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fult\Desktop\COVID19\"/>
    </mc:Choice>
  </mc:AlternateContent>
  <xr:revisionPtr revIDLastSave="0" documentId="8_{59A1724A-D0E1-4DB2-8257-53875524E149}" xr6:coauthVersionLast="45" xr6:coauthVersionMax="45" xr10:uidLastSave="{00000000-0000-0000-0000-000000000000}"/>
  <bookViews>
    <workbookView xWindow="-120" yWindow="-120" windowWidth="21840" windowHeight="13140" activeTab="4" xr2:uid="{00000000-000D-0000-FFFF-FFFF00000000}"/>
  </bookViews>
  <sheets>
    <sheet name="PIVOT" sheetId="3" r:id="rId1"/>
    <sheet name="Sheet1" sheetId="4" r:id="rId2"/>
    <sheet name="Sheet2" sheetId="5" r:id="rId3"/>
    <sheet name="Sheet3" sheetId="6" r:id="rId4"/>
    <sheet name="Hospital_Data" sheetId="1" r:id="rId5"/>
  </sheets>
  <calcPr calcId="191029"/>
  <pivotCaches>
    <pivotCache cacheId="5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421" i="1" l="1"/>
  <c r="A1422" i="1"/>
  <c r="A1423" i="1"/>
  <c r="A1425" i="1"/>
  <c r="A1426" i="1"/>
  <c r="A1427" i="1"/>
  <c r="A1428" i="1"/>
  <c r="A1429" i="1"/>
  <c r="A1430" i="1"/>
  <c r="A1432" i="1"/>
  <c r="A1433" i="1"/>
  <c r="A1434" i="1"/>
  <c r="A1435" i="1"/>
  <c r="A1436" i="1"/>
  <c r="A1437" i="1"/>
  <c r="A1438" i="1"/>
  <c r="A1439" i="1"/>
  <c r="A1440" i="1"/>
  <c r="A1441" i="1"/>
  <c r="A1442" i="1"/>
  <c r="A4" i="1"/>
  <c r="A1443" i="1"/>
  <c r="A1444" i="1"/>
  <c r="A1445" i="1"/>
  <c r="A1446" i="1"/>
  <c r="A1447" i="1"/>
  <c r="A1448" i="1"/>
  <c r="A1449" i="1"/>
  <c r="A1450" i="1"/>
  <c r="A1451" i="1"/>
  <c r="A1452" i="1"/>
  <c r="A1453" i="1"/>
  <c r="A1424" i="1"/>
  <c r="A1454" i="1"/>
  <c r="A1455" i="1"/>
  <c r="A1456" i="1"/>
  <c r="A1457" i="1"/>
  <c r="A1458" i="1"/>
  <c r="A1461" i="1"/>
  <c r="A1462" i="1"/>
  <c r="A1463" i="1"/>
  <c r="A1464" i="1"/>
  <c r="A1465" i="1"/>
  <c r="A1466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00" i="1"/>
  <c r="A1401" i="1"/>
  <c r="A1402" i="1"/>
  <c r="A1404" i="1"/>
  <c r="A1405" i="1"/>
  <c r="A2" i="1"/>
  <c r="A1406" i="1"/>
  <c r="A1407" i="1"/>
  <c r="A1408" i="1"/>
  <c r="A1409" i="1"/>
  <c r="A1410" i="1"/>
  <c r="A1411" i="1"/>
  <c r="A1412" i="1"/>
  <c r="A1413" i="1"/>
  <c r="A1414" i="1"/>
  <c r="A1416" i="1"/>
  <c r="A1417" i="1"/>
  <c r="A1418" i="1"/>
  <c r="A22" i="1"/>
  <c r="A24" i="1"/>
  <c r="A25" i="1"/>
  <c r="A26" i="1"/>
  <c r="A27" i="1"/>
  <c r="A1512" i="1"/>
  <c r="A1513" i="1"/>
  <c r="A28" i="1"/>
  <c r="A1514" i="1"/>
  <c r="A1515" i="1"/>
  <c r="A29" i="1"/>
  <c r="A30" i="1"/>
  <c r="A1516" i="1"/>
  <c r="A31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33" i="1"/>
  <c r="A1542" i="1"/>
  <c r="A1543" i="1"/>
  <c r="A1544" i="1"/>
  <c r="A1545" i="1"/>
  <c r="A1546" i="1"/>
  <c r="A1547" i="1"/>
  <c r="A1548" i="1"/>
  <c r="A1569" i="1"/>
  <c r="A1570" i="1"/>
  <c r="A1571" i="1"/>
  <c r="A1572" i="1"/>
  <c r="A1573" i="1"/>
  <c r="A1574" i="1"/>
  <c r="A34" i="1"/>
  <c r="A1575" i="1"/>
  <c r="A35" i="1"/>
  <c r="A1576" i="1"/>
  <c r="A1577" i="1"/>
  <c r="A1578" i="1"/>
  <c r="A1579" i="1"/>
  <c r="A1580" i="1"/>
  <c r="A1581" i="1"/>
  <c r="A1582" i="1"/>
  <c r="A1583" i="1"/>
  <c r="A1584" i="1"/>
  <c r="A1588" i="1"/>
  <c r="A38" i="1"/>
  <c r="A1592" i="1"/>
  <c r="A1593" i="1"/>
  <c r="A1594" i="1"/>
  <c r="A1595" i="1"/>
  <c r="A1596" i="1"/>
  <c r="A39" i="1"/>
  <c r="A40" i="1"/>
  <c r="A1597" i="1"/>
  <c r="A1598" i="1"/>
  <c r="A1599" i="1"/>
  <c r="A41" i="1"/>
  <c r="A1601" i="1"/>
  <c r="A42" i="1"/>
  <c r="A43" i="1"/>
  <c r="A45" i="1"/>
  <c r="A46" i="1"/>
  <c r="A47" i="1"/>
  <c r="A48" i="1"/>
  <c r="A1602" i="1"/>
  <c r="A49" i="1"/>
  <c r="A1603" i="1"/>
  <c r="A1604" i="1"/>
  <c r="A1607" i="1"/>
  <c r="A1608" i="1"/>
  <c r="A50" i="1"/>
  <c r="A51" i="1"/>
  <c r="A52" i="1"/>
  <c r="A53" i="1"/>
  <c r="A1610" i="1"/>
  <c r="A1611" i="1"/>
  <c r="A54" i="1"/>
  <c r="A1613" i="1"/>
  <c r="A1614" i="1"/>
  <c r="A1615" i="1"/>
  <c r="A1616" i="1"/>
  <c r="A1618" i="1"/>
  <c r="A1619" i="1"/>
  <c r="A56" i="1"/>
  <c r="A1620" i="1"/>
  <c r="A1621" i="1"/>
  <c r="A1622" i="1"/>
  <c r="A1623" i="1"/>
  <c r="A58" i="1"/>
  <c r="A60" i="1"/>
  <c r="A61" i="1"/>
  <c r="A62" i="1"/>
  <c r="A1624" i="1"/>
  <c r="A1625" i="1"/>
  <c r="A1626" i="1"/>
  <c r="A1628" i="1"/>
  <c r="A1629" i="1"/>
  <c r="A1630" i="1"/>
  <c r="A1631" i="1"/>
  <c r="A1632" i="1"/>
  <c r="A1633" i="1"/>
  <c r="A1634" i="1"/>
  <c r="A1635" i="1"/>
  <c r="A1636" i="1"/>
  <c r="A1637" i="1"/>
  <c r="A1640" i="1"/>
  <c r="A1641" i="1"/>
  <c r="A1642" i="1"/>
  <c r="A63" i="1"/>
  <c r="A1643" i="1"/>
  <c r="A1644" i="1"/>
  <c r="A64" i="1"/>
  <c r="A65" i="1"/>
  <c r="A1646" i="1"/>
  <c r="A66" i="1"/>
  <c r="A1647" i="1"/>
  <c r="A1648" i="1"/>
  <c r="A1649" i="1"/>
  <c r="A1651" i="1"/>
  <c r="A1653" i="1"/>
  <c r="A67" i="1"/>
  <c r="A1654" i="1"/>
  <c r="A1655" i="1"/>
  <c r="A1656" i="1"/>
  <c r="A1657" i="1"/>
  <c r="A1658" i="1"/>
  <c r="A1659" i="1"/>
  <c r="A1660" i="1"/>
  <c r="A1661" i="1"/>
  <c r="A1662" i="1"/>
  <c r="A1663" i="1"/>
  <c r="A1664" i="1"/>
  <c r="A1669" i="1"/>
  <c r="A1670" i="1"/>
  <c r="A1671" i="1"/>
  <c r="A1672" i="1"/>
  <c r="A69" i="1"/>
  <c r="A1673" i="1"/>
  <c r="A1674" i="1"/>
  <c r="A1675" i="1"/>
  <c r="A1676" i="1"/>
  <c r="A1677" i="1"/>
  <c r="A1678" i="1"/>
  <c r="A1679" i="1"/>
  <c r="A1680" i="1"/>
  <c r="A1681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70" i="1"/>
  <c r="A71" i="1"/>
  <c r="A72" i="1"/>
  <c r="A1698" i="1"/>
  <c r="A1699" i="1"/>
  <c r="A1700" i="1"/>
  <c r="A1701" i="1"/>
  <c r="A73" i="1"/>
  <c r="A74" i="1"/>
  <c r="A75" i="1"/>
  <c r="A76" i="1"/>
  <c r="A1702" i="1"/>
  <c r="A1703" i="1"/>
  <c r="A1704" i="1"/>
  <c r="A1705" i="1"/>
  <c r="A1706" i="1"/>
  <c r="A77" i="1"/>
  <c r="A1707" i="1"/>
  <c r="A1708" i="1"/>
  <c r="A1710" i="1"/>
  <c r="A1711" i="1"/>
  <c r="A1712" i="1"/>
  <c r="A78" i="1"/>
  <c r="A79" i="1"/>
  <c r="A80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808" i="1"/>
  <c r="A1809" i="1"/>
  <c r="A1810" i="1"/>
  <c r="A82" i="1"/>
  <c r="A83" i="1"/>
  <c r="A84" i="1"/>
  <c r="A1812" i="1"/>
  <c r="A1813" i="1"/>
  <c r="A1814" i="1"/>
  <c r="A85" i="1"/>
  <c r="A1815" i="1"/>
  <c r="A1816" i="1"/>
  <c r="A1817" i="1"/>
  <c r="A1818" i="1"/>
  <c r="A1819" i="1"/>
  <c r="A1820" i="1"/>
  <c r="A1822" i="1"/>
  <c r="A88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794" i="1"/>
  <c r="A1795" i="1"/>
  <c r="A1835" i="1"/>
  <c r="A1836" i="1"/>
  <c r="A1837" i="1"/>
  <c r="A1838" i="1"/>
  <c r="A1839" i="1"/>
  <c r="A1840" i="1"/>
  <c r="A1841" i="1"/>
  <c r="A1842" i="1"/>
  <c r="A1843" i="1"/>
  <c r="A1844" i="1"/>
  <c r="A1796" i="1"/>
  <c r="A1854" i="1"/>
  <c r="A1855" i="1"/>
  <c r="A89" i="1"/>
  <c r="A90" i="1"/>
  <c r="A91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92" i="1"/>
  <c r="A93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27" i="1"/>
  <c r="A1928" i="1"/>
  <c r="A1929" i="1"/>
  <c r="A1930" i="1"/>
  <c r="A1931" i="1"/>
  <c r="A1932" i="1"/>
  <c r="A1933" i="1"/>
  <c r="A1934" i="1"/>
  <c r="A1935" i="1"/>
  <c r="A1936" i="1"/>
  <c r="A1942" i="1"/>
  <c r="A1943" i="1"/>
  <c r="A1944" i="1"/>
  <c r="A1945" i="1"/>
  <c r="A1946" i="1"/>
  <c r="A1947" i="1"/>
  <c r="A1948" i="1"/>
  <c r="A1949" i="1"/>
  <c r="A1950" i="1"/>
  <c r="A1951" i="1"/>
  <c r="A1952" i="1"/>
  <c r="A1954" i="1"/>
  <c r="A1955" i="1"/>
  <c r="A1956" i="1"/>
  <c r="A1957" i="1"/>
  <c r="A1958" i="1"/>
  <c r="A1959" i="1"/>
  <c r="A1960" i="1"/>
  <c r="A1963" i="1"/>
  <c r="A1964" i="1"/>
  <c r="A1965" i="1"/>
  <c r="A1966" i="1"/>
  <c r="A95" i="1"/>
  <c r="A1967" i="1"/>
  <c r="A1968" i="1"/>
  <c r="A1969" i="1"/>
  <c r="A1970" i="1"/>
  <c r="A1971" i="1"/>
  <c r="A1972" i="1"/>
  <c r="A1973" i="1"/>
  <c r="A1974" i="1"/>
  <c r="A1975" i="1"/>
  <c r="A1979" i="1"/>
  <c r="A1980" i="1"/>
  <c r="A1981" i="1"/>
  <c r="A1982" i="1"/>
  <c r="A1983" i="1"/>
  <c r="A1984" i="1"/>
  <c r="A96" i="1"/>
  <c r="A97" i="1"/>
  <c r="A98" i="1"/>
  <c r="A1985" i="1"/>
  <c r="A1986" i="1"/>
  <c r="A1987" i="1"/>
  <c r="A1988" i="1"/>
  <c r="A1991" i="1"/>
  <c r="A1992" i="1"/>
  <c r="A1993" i="1"/>
  <c r="A1994" i="1"/>
  <c r="A1995" i="1"/>
  <c r="A1996" i="1"/>
  <c r="A99" i="1"/>
  <c r="A1998" i="1"/>
  <c r="A1999" i="1"/>
  <c r="A2000" i="1"/>
  <c r="A2001" i="1"/>
  <c r="A2002" i="1"/>
  <c r="A2004" i="1"/>
  <c r="A2006" i="1"/>
  <c r="A100" i="1"/>
  <c r="A2008" i="1"/>
  <c r="A2009" i="1"/>
  <c r="A2010" i="1"/>
  <c r="A2013" i="1"/>
  <c r="A2015" i="1"/>
  <c r="A2016" i="1"/>
  <c r="A2017" i="1"/>
  <c r="A2018" i="1"/>
  <c r="A2019" i="1"/>
  <c r="A2020" i="1"/>
  <c r="A2021" i="1"/>
  <c r="A101" i="1"/>
  <c r="A2023" i="1"/>
  <c r="A2024" i="1"/>
  <c r="A2025" i="1"/>
  <c r="A2026" i="1"/>
  <c r="A2027" i="1"/>
  <c r="A2028" i="1"/>
  <c r="A2030" i="1"/>
  <c r="A2031" i="1"/>
  <c r="A2032" i="1"/>
  <c r="A2051" i="1"/>
  <c r="A2033" i="1"/>
  <c r="A102" i="1"/>
  <c r="A2035" i="1"/>
  <c r="A2036" i="1"/>
  <c r="A2037" i="1"/>
  <c r="A2038" i="1"/>
  <c r="A104" i="1"/>
  <c r="A2042" i="1"/>
  <c r="A2043" i="1"/>
  <c r="A2044" i="1"/>
  <c r="A2045" i="1"/>
  <c r="A2046" i="1"/>
  <c r="A2047" i="1"/>
  <c r="A2048" i="1"/>
  <c r="A2049" i="1"/>
  <c r="A2062" i="1"/>
  <c r="A2052" i="1"/>
  <c r="A2055" i="1"/>
  <c r="A2056" i="1"/>
  <c r="A2057" i="1"/>
  <c r="A106" i="1"/>
  <c r="A2061" i="1"/>
  <c r="A107" i="1"/>
  <c r="A110" i="1"/>
  <c r="A111" i="1"/>
  <c r="A2040" i="1"/>
  <c r="A2063" i="1"/>
  <c r="A113" i="1"/>
  <c r="A114" i="1"/>
  <c r="A2067" i="1"/>
  <c r="A2068" i="1"/>
  <c r="A2069" i="1"/>
  <c r="A2070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7" i="1"/>
  <c r="A1499" i="1"/>
  <c r="A1500" i="1"/>
  <c r="A1501" i="1"/>
  <c r="A1502" i="1"/>
  <c r="A1503" i="1"/>
  <c r="A2071" i="1"/>
  <c r="A116" i="1"/>
  <c r="A2073" i="1"/>
  <c r="A2074" i="1"/>
  <c r="A2075" i="1"/>
  <c r="A119" i="1"/>
  <c r="A120" i="1"/>
  <c r="A2076" i="1"/>
  <c r="A2077" i="1"/>
  <c r="A121" i="1"/>
  <c r="A122" i="1"/>
  <c r="A123" i="1"/>
  <c r="A125" i="1"/>
  <c r="A126" i="1"/>
  <c r="A2078" i="1"/>
  <c r="A2079" i="1"/>
  <c r="A127" i="1"/>
  <c r="A128" i="1"/>
  <c r="A129" i="1"/>
  <c r="A2081" i="1"/>
  <c r="A2082" i="1"/>
  <c r="A131" i="1"/>
  <c r="A2083" i="1"/>
  <c r="A132" i="1"/>
  <c r="A133" i="1"/>
  <c r="A2086" i="1"/>
  <c r="A2087" i="1"/>
  <c r="A2088" i="1"/>
  <c r="A2089" i="1"/>
  <c r="A2090" i="1"/>
  <c r="A2092" i="1"/>
  <c r="A2093" i="1"/>
  <c r="A2094" i="1"/>
  <c r="A2095" i="1"/>
  <c r="A2096" i="1"/>
  <c r="A2097" i="1"/>
  <c r="A2098" i="1"/>
  <c r="A2102" i="1"/>
  <c r="A2103" i="1"/>
  <c r="A2104" i="1"/>
  <c r="A2105" i="1"/>
  <c r="A2107" i="1"/>
  <c r="A2108" i="1"/>
  <c r="A2109" i="1"/>
  <c r="A2110" i="1"/>
  <c r="A2111" i="1"/>
  <c r="A2112" i="1"/>
  <c r="A2113" i="1"/>
  <c r="A2114" i="1"/>
  <c r="A2115" i="1"/>
  <c r="A2119" i="1"/>
  <c r="A2120" i="1"/>
  <c r="A2122" i="1"/>
  <c r="A2123" i="1"/>
  <c r="A2124" i="1"/>
  <c r="A2125" i="1"/>
  <c r="A1506" i="1"/>
  <c r="A1507" i="1"/>
  <c r="A1508" i="1"/>
  <c r="A9" i="1"/>
  <c r="A10" i="1"/>
  <c r="A11" i="1"/>
  <c r="A12" i="1"/>
  <c r="A1509" i="1"/>
  <c r="A13" i="1"/>
  <c r="A17" i="1"/>
  <c r="A18" i="1"/>
  <c r="A1510" i="1"/>
  <c r="A1511" i="1"/>
  <c r="A1845" i="1"/>
  <c r="A1870" i="1"/>
  <c r="A1918" i="1"/>
  <c r="A1431" i="1"/>
  <c r="A1846" i="1"/>
  <c r="A1976" i="1"/>
  <c r="A2014" i="1"/>
  <c r="A86" i="1"/>
  <c r="A2011" i="1"/>
  <c r="A1847" i="1"/>
  <c r="A1919" i="1"/>
  <c r="A1549" i="1"/>
  <c r="A117" i="1"/>
  <c r="A124" i="1"/>
  <c r="A1459" i="1"/>
  <c r="A1977" i="1"/>
  <c r="A130" i="1"/>
  <c r="A19" i="1"/>
  <c r="A20" i="1"/>
  <c r="A68" i="1"/>
  <c r="A105" i="1"/>
  <c r="A108" i="1"/>
  <c r="A59" i="1"/>
  <c r="A118" i="1"/>
  <c r="A57" i="1"/>
  <c r="A44" i="1"/>
  <c r="A1638" i="1"/>
  <c r="A103" i="1"/>
  <c r="A55" i="1"/>
  <c r="A1848" i="1"/>
  <c r="A1550" i="1"/>
  <c r="A2064" i="1"/>
  <c r="A2058" i="1"/>
  <c r="A1665" i="1"/>
  <c r="A2003" i="1"/>
  <c r="A1989" i="1"/>
  <c r="A1682" i="1"/>
  <c r="A1849" i="1"/>
  <c r="A1871" i="1"/>
  <c r="A1797" i="1"/>
  <c r="A1666" i="1"/>
  <c r="A1937" i="1"/>
  <c r="A1997" i="1"/>
  <c r="A1798" i="1"/>
  <c r="A1460" i="1"/>
  <c r="A1850" i="1"/>
  <c r="A1961" i="1"/>
  <c r="A1551" i="1"/>
  <c r="A32" i="1"/>
  <c r="A36" i="1"/>
  <c r="A1600" i="1"/>
  <c r="A1650" i="1"/>
  <c r="A1589" i="1"/>
  <c r="A1467" i="1"/>
  <c r="A14" i="1"/>
  <c r="A1552" i="1"/>
  <c r="A1962" i="1"/>
  <c r="A1897" i="1"/>
  <c r="A1898" i="1"/>
  <c r="A1872" i="1"/>
  <c r="A1403" i="1"/>
  <c r="A2050" i="1"/>
  <c r="A3" i="1"/>
  <c r="A37" i="1"/>
  <c r="A2116" i="1"/>
  <c r="A2099" i="1"/>
  <c r="A2005" i="1"/>
  <c r="A1920" i="1"/>
  <c r="A1873" i="1"/>
  <c r="A1695" i="1"/>
  <c r="A1696" i="1"/>
  <c r="A1799" i="1"/>
  <c r="A1938" i="1"/>
  <c r="A1590" i="1"/>
  <c r="A1553" i="1"/>
  <c r="A1709" i="1"/>
  <c r="A1856" i="1"/>
  <c r="A2059" i="1"/>
  <c r="A1800" i="1"/>
  <c r="A1851" i="1"/>
  <c r="A1921" i="1"/>
  <c r="A1591" i="1"/>
  <c r="A15" i="1"/>
  <c r="A1801" i="1"/>
  <c r="A1899" i="1"/>
  <c r="A1852" i="1"/>
  <c r="A2012" i="1"/>
  <c r="A1802" i="1"/>
  <c r="A1922" i="1"/>
  <c r="A1923" i="1"/>
  <c r="A2022" i="1"/>
  <c r="A1853" i="1"/>
  <c r="A1900" i="1"/>
  <c r="A1803" i="1"/>
  <c r="A1639" i="1"/>
  <c r="A1605" i="1"/>
  <c r="A1652" i="1"/>
  <c r="A2100" i="1"/>
  <c r="A2039" i="1"/>
  <c r="A1990" i="1"/>
  <c r="A1953" i="1"/>
  <c r="A1554" i="1"/>
  <c r="A109" i="1"/>
  <c r="A1585" i="1"/>
  <c r="A1667" i="1"/>
  <c r="A2053" i="1"/>
  <c r="A1555" i="1"/>
  <c r="A2072" i="1"/>
  <c r="A1978" i="1"/>
  <c r="A1556" i="1"/>
  <c r="A1612" i="1"/>
  <c r="A1557" i="1"/>
  <c r="A1645" i="1"/>
  <c r="A2101" i="1"/>
  <c r="A1939" i="1"/>
  <c r="A2084" i="1"/>
  <c r="A1558" i="1"/>
  <c r="A1804" i="1"/>
  <c r="A1668" i="1"/>
  <c r="A1901" i="1"/>
  <c r="A2065" i="1"/>
  <c r="A1924" i="1"/>
  <c r="A1606" i="1"/>
  <c r="A2041" i="1"/>
  <c r="A2066" i="1"/>
  <c r="A2034" i="1"/>
  <c r="A2029" i="1"/>
  <c r="A2121" i="1"/>
  <c r="A2060" i="1"/>
  <c r="A2085" i="1"/>
  <c r="A1925" i="1"/>
  <c r="A2054" i="1"/>
  <c r="A5" i="1"/>
  <c r="A1926" i="1"/>
  <c r="A1609" i="1"/>
  <c r="A1697" i="1"/>
  <c r="A1415" i="1"/>
  <c r="A2106" i="1"/>
  <c r="A2007" i="1"/>
  <c r="A1559" i="1"/>
  <c r="A1586" i="1"/>
  <c r="A1940" i="1"/>
  <c r="A1560" i="1"/>
  <c r="A1561" i="1"/>
  <c r="A1941" i="1"/>
  <c r="A1562" i="1"/>
  <c r="A1563" i="1"/>
  <c r="A1504" i="1"/>
  <c r="A1564" i="1"/>
  <c r="A1419" i="1"/>
  <c r="A1565" i="1"/>
  <c r="A1587" i="1"/>
  <c r="A1566" i="1"/>
  <c r="A1805" i="1"/>
  <c r="A2117" i="1"/>
  <c r="A2118" i="1"/>
  <c r="A2080" i="1"/>
  <c r="A1567" i="1"/>
  <c r="A8" i="1"/>
  <c r="A115" i="1"/>
  <c r="A1617" i="1"/>
  <c r="A1505" i="1"/>
  <c r="A2091" i="1"/>
  <c r="A21" i="1"/>
  <c r="A1420" i="1"/>
  <c r="A81" i="1"/>
  <c r="A94" i="1"/>
  <c r="A23" i="1"/>
  <c r="A6" i="1"/>
  <c r="A1811" i="1"/>
  <c r="A112" i="1"/>
  <c r="A1627" i="1"/>
  <c r="A1568" i="1"/>
  <c r="A1821" i="1"/>
  <c r="A1806" i="1"/>
  <c r="A16" i="1"/>
  <c r="A1807" i="1"/>
  <c r="A87" i="1"/>
</calcChain>
</file>

<file path=xl/sharedStrings.xml><?xml version="1.0" encoding="utf-8"?>
<sst xmlns="http://schemas.openxmlformats.org/spreadsheetml/2006/main" count="792" uniqueCount="270">
  <si>
    <t>MD</t>
  </si>
  <si>
    <t>Row Labels</t>
  </si>
  <si>
    <t>01001</t>
  </si>
  <si>
    <t>01003</t>
  </si>
  <si>
    <t>01005</t>
  </si>
  <si>
    <t>01007</t>
  </si>
  <si>
    <t>01009</t>
  </si>
  <si>
    <t>01011</t>
  </si>
  <si>
    <t>01013</t>
  </si>
  <si>
    <t>01015</t>
  </si>
  <si>
    <t>01017</t>
  </si>
  <si>
    <t>01019</t>
  </si>
  <si>
    <t>01021</t>
  </si>
  <si>
    <t>01023</t>
  </si>
  <si>
    <t>01025</t>
  </si>
  <si>
    <t>01027</t>
  </si>
  <si>
    <t>01031</t>
  </si>
  <si>
    <t>01033</t>
  </si>
  <si>
    <t>01035</t>
  </si>
  <si>
    <t>01039</t>
  </si>
  <si>
    <t>01041</t>
  </si>
  <si>
    <t>01043</t>
  </si>
  <si>
    <t>01045</t>
  </si>
  <si>
    <t>01047</t>
  </si>
  <si>
    <t>01049</t>
  </si>
  <si>
    <t>01051</t>
  </si>
  <si>
    <t>01053</t>
  </si>
  <si>
    <t>01055</t>
  </si>
  <si>
    <t>01057</t>
  </si>
  <si>
    <t>01059</t>
  </si>
  <si>
    <t>01061</t>
  </si>
  <si>
    <t>01063</t>
  </si>
  <si>
    <t>01065</t>
  </si>
  <si>
    <t>01069</t>
  </si>
  <si>
    <t>01071</t>
  </si>
  <si>
    <t>01073</t>
  </si>
  <si>
    <t>01077</t>
  </si>
  <si>
    <t>01079</t>
  </si>
  <si>
    <t>01081</t>
  </si>
  <si>
    <t>01083</t>
  </si>
  <si>
    <t>01089</t>
  </si>
  <si>
    <t>01091</t>
  </si>
  <si>
    <t>01093</t>
  </si>
  <si>
    <t>01095</t>
  </si>
  <si>
    <t>01097</t>
  </si>
  <si>
    <t>01099</t>
  </si>
  <si>
    <t>01101</t>
  </si>
  <si>
    <t>01103</t>
  </si>
  <si>
    <t>01107</t>
  </si>
  <si>
    <t>01109</t>
  </si>
  <si>
    <t>01111</t>
  </si>
  <si>
    <t>01113</t>
  </si>
  <si>
    <t>01115</t>
  </si>
  <si>
    <t>01117</t>
  </si>
  <si>
    <t>01119</t>
  </si>
  <si>
    <t>01121</t>
  </si>
  <si>
    <t>01123</t>
  </si>
  <si>
    <t>01125</t>
  </si>
  <si>
    <t>01127</t>
  </si>
  <si>
    <t>01129</t>
  </si>
  <si>
    <t>01131</t>
  </si>
  <si>
    <t>01133</t>
  </si>
  <si>
    <t>02020</t>
  </si>
  <si>
    <t>02050</t>
  </si>
  <si>
    <t>02070</t>
  </si>
  <si>
    <t>02090</t>
  </si>
  <si>
    <t>02110</t>
  </si>
  <si>
    <t>02122</t>
  </si>
  <si>
    <t>02130</t>
  </si>
  <si>
    <t>02150</t>
  </si>
  <si>
    <t>02170</t>
  </si>
  <si>
    <t>02180</t>
  </si>
  <si>
    <t>02185</t>
  </si>
  <si>
    <t>02188</t>
  </si>
  <si>
    <t>02195</t>
  </si>
  <si>
    <t>02220</t>
  </si>
  <si>
    <t>02261</t>
  </si>
  <si>
    <t>02275</t>
  </si>
  <si>
    <t>04001</t>
  </si>
  <si>
    <t>04003</t>
  </si>
  <si>
    <t>04005</t>
  </si>
  <si>
    <t>04007</t>
  </si>
  <si>
    <t>04009</t>
  </si>
  <si>
    <t>04012</t>
  </si>
  <si>
    <t>04013</t>
  </si>
  <si>
    <t>04015</t>
  </si>
  <si>
    <t>04017</t>
  </si>
  <si>
    <t>04019</t>
  </si>
  <si>
    <t>04021</t>
  </si>
  <si>
    <t>04023</t>
  </si>
  <si>
    <t>04025</t>
  </si>
  <si>
    <t>04027</t>
  </si>
  <si>
    <t>05001</t>
  </si>
  <si>
    <t>05003</t>
  </si>
  <si>
    <t>05005</t>
  </si>
  <si>
    <t>05007</t>
  </si>
  <si>
    <t>05009</t>
  </si>
  <si>
    <t>05011</t>
  </si>
  <si>
    <t>05015</t>
  </si>
  <si>
    <t>05017</t>
  </si>
  <si>
    <t>05019</t>
  </si>
  <si>
    <t>05021</t>
  </si>
  <si>
    <t>05023</t>
  </si>
  <si>
    <t>05027</t>
  </si>
  <si>
    <t>05029</t>
  </si>
  <si>
    <t>05031</t>
  </si>
  <si>
    <t>05033</t>
  </si>
  <si>
    <t>05035</t>
  </si>
  <si>
    <t>05037</t>
  </si>
  <si>
    <t>05039</t>
  </si>
  <si>
    <t>05041</t>
  </si>
  <si>
    <t>05043</t>
  </si>
  <si>
    <t>05045</t>
  </si>
  <si>
    <t>05047</t>
  </si>
  <si>
    <t>05049</t>
  </si>
  <si>
    <t>05051</t>
  </si>
  <si>
    <t>05055</t>
  </si>
  <si>
    <t>05057</t>
  </si>
  <si>
    <t>05059</t>
  </si>
  <si>
    <t>05061</t>
  </si>
  <si>
    <t>05063</t>
  </si>
  <si>
    <t>05065</t>
  </si>
  <si>
    <t>05067</t>
  </si>
  <si>
    <t>05069</t>
  </si>
  <si>
    <t>05071</t>
  </si>
  <si>
    <t>05075</t>
  </si>
  <si>
    <t>05081</t>
  </si>
  <si>
    <t>05083</t>
  </si>
  <si>
    <t>05093</t>
  </si>
  <si>
    <t>05103</t>
  </si>
  <si>
    <t>05107</t>
  </si>
  <si>
    <t>05109</t>
  </si>
  <si>
    <t>05113</t>
  </si>
  <si>
    <t>05115</t>
  </si>
  <si>
    <t>05119</t>
  </si>
  <si>
    <t>05121</t>
  </si>
  <si>
    <t>05123</t>
  </si>
  <si>
    <t>05125</t>
  </si>
  <si>
    <t>05127</t>
  </si>
  <si>
    <t>05131</t>
  </si>
  <si>
    <t>05133</t>
  </si>
  <si>
    <t>05137</t>
  </si>
  <si>
    <t>05139</t>
  </si>
  <si>
    <t>05141</t>
  </si>
  <si>
    <t>05143</t>
  </si>
  <si>
    <t>05145</t>
  </si>
  <si>
    <t>05149</t>
  </si>
  <si>
    <t>06001</t>
  </si>
  <si>
    <t>06005</t>
  </si>
  <si>
    <t>06007</t>
  </si>
  <si>
    <t>06009</t>
  </si>
  <si>
    <t>06011</t>
  </si>
  <si>
    <t>06013</t>
  </si>
  <si>
    <t>06015</t>
  </si>
  <si>
    <t>06017</t>
  </si>
  <si>
    <t>06019</t>
  </si>
  <si>
    <t>06021</t>
  </si>
  <si>
    <t>06023</t>
  </si>
  <si>
    <t>06025</t>
  </si>
  <si>
    <t>06027</t>
  </si>
  <si>
    <t>06029</t>
  </si>
  <si>
    <t>06031</t>
  </si>
  <si>
    <t>06033</t>
  </si>
  <si>
    <t>06035</t>
  </si>
  <si>
    <t>06037</t>
  </si>
  <si>
    <t>06039</t>
  </si>
  <si>
    <t>06041</t>
  </si>
  <si>
    <t>06043</t>
  </si>
  <si>
    <t>06045</t>
  </si>
  <si>
    <t>06047</t>
  </si>
  <si>
    <t>06049</t>
  </si>
  <si>
    <t>06051</t>
  </si>
  <si>
    <t>06053</t>
  </si>
  <si>
    <t>06055</t>
  </si>
  <si>
    <t>06057</t>
  </si>
  <si>
    <t>06059</t>
  </si>
  <si>
    <t>06061</t>
  </si>
  <si>
    <t>06063</t>
  </si>
  <si>
    <t>06065</t>
  </si>
  <si>
    <t>06067</t>
  </si>
  <si>
    <t>06069</t>
  </si>
  <si>
    <t>06071</t>
  </si>
  <si>
    <t>06073</t>
  </si>
  <si>
    <t>06075</t>
  </si>
  <si>
    <t>06077</t>
  </si>
  <si>
    <t>06079</t>
  </si>
  <si>
    <t>06081</t>
  </si>
  <si>
    <t>06083</t>
  </si>
  <si>
    <t>06085</t>
  </si>
  <si>
    <t>06087</t>
  </si>
  <si>
    <t>06089</t>
  </si>
  <si>
    <t>06093</t>
  </si>
  <si>
    <t>06095</t>
  </si>
  <si>
    <t>06097</t>
  </si>
  <si>
    <t>06099</t>
  </si>
  <si>
    <t>06101</t>
  </si>
  <si>
    <t>06103</t>
  </si>
  <si>
    <t>06105</t>
  </si>
  <si>
    <t>06107</t>
  </si>
  <si>
    <t>06109</t>
  </si>
  <si>
    <t>06111</t>
  </si>
  <si>
    <t>06113</t>
  </si>
  <si>
    <t>06115</t>
  </si>
  <si>
    <t>08001</t>
  </si>
  <si>
    <t>08003</t>
  </si>
  <si>
    <t>08005</t>
  </si>
  <si>
    <t>08007</t>
  </si>
  <si>
    <t>08009</t>
  </si>
  <si>
    <t>08013</t>
  </si>
  <si>
    <t>08014</t>
  </si>
  <si>
    <t>08015</t>
  </si>
  <si>
    <t>08017</t>
  </si>
  <si>
    <t>08021</t>
  </si>
  <si>
    <t>08029</t>
  </si>
  <si>
    <t>08031</t>
  </si>
  <si>
    <t>08035</t>
  </si>
  <si>
    <t>08037</t>
  </si>
  <si>
    <t>08041</t>
  </si>
  <si>
    <t>08043</t>
  </si>
  <si>
    <t>08045</t>
  </si>
  <si>
    <t>08049</t>
  </si>
  <si>
    <t>08051</t>
  </si>
  <si>
    <t>08055</t>
  </si>
  <si>
    <t>08059</t>
  </si>
  <si>
    <t>08061</t>
  </si>
  <si>
    <t>08063</t>
  </si>
  <si>
    <t>08065</t>
  </si>
  <si>
    <t>08067</t>
  </si>
  <si>
    <t>08069</t>
  </si>
  <si>
    <t>08071</t>
  </si>
  <si>
    <t>08073</t>
  </si>
  <si>
    <t>08075</t>
  </si>
  <si>
    <t>08077</t>
  </si>
  <si>
    <t>08081</t>
  </si>
  <si>
    <t>08083</t>
  </si>
  <si>
    <t>08085</t>
  </si>
  <si>
    <t>08087</t>
  </si>
  <si>
    <t>08089</t>
  </si>
  <si>
    <t>08095</t>
  </si>
  <si>
    <t>08097</t>
  </si>
  <si>
    <t>08099</t>
  </si>
  <si>
    <t>08101</t>
  </si>
  <si>
    <t>08103</t>
  </si>
  <si>
    <t>08105</t>
  </si>
  <si>
    <t>08107</t>
  </si>
  <si>
    <t>08115</t>
  </si>
  <si>
    <t>08117</t>
  </si>
  <si>
    <t>08119</t>
  </si>
  <si>
    <t>08123</t>
  </si>
  <si>
    <t>08125</t>
  </si>
  <si>
    <t>09001</t>
  </si>
  <si>
    <t>09003</t>
  </si>
  <si>
    <t>09005</t>
  </si>
  <si>
    <t>09007</t>
  </si>
  <si>
    <t>09009</t>
  </si>
  <si>
    <t>09011</t>
  </si>
  <si>
    <t>09013</t>
  </si>
  <si>
    <t>09015</t>
  </si>
  <si>
    <t>Grand Total</t>
  </si>
  <si>
    <t>GEOID</t>
  </si>
  <si>
    <t>ACBeds</t>
  </si>
  <si>
    <t>ICUs</t>
  </si>
  <si>
    <t>StaffedBeds</t>
  </si>
  <si>
    <t>Discharges</t>
  </si>
  <si>
    <t>Census</t>
  </si>
  <si>
    <t>ALOS</t>
  </si>
  <si>
    <t>CMI</t>
  </si>
  <si>
    <t>MDs</t>
  </si>
  <si>
    <t>AcuteBeds</t>
  </si>
  <si>
    <t>=concatenate("1",A2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</si>
</sst>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2">
    <xf numFmtId="0" fontId="0" fillId="0" borderId="0" xfId="0"/>
    <xf numFmtId="3" fontId="0" fillId="0" borderId="0" xfId="0" applyNumberFormat="1"/>
    <xf numFmtId="4" fontId="0" fillId="0" borderId="0" xfId="0" applyNumberFormat="1"/>
    <xf numFmtId="2" fontId="0" fillId="0" borderId="0" xfId="0" applyNumberFormat="1"/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1" fontId="0" fillId="0" borderId="0" xfId="0" applyNumberFormat="1" applyAlignment="1"/>
    <xf numFmtId="1" fontId="0" fillId="0" borderId="0" xfId="0" pivotButton="1" applyNumberFormat="1" applyAlignment="1">
      <alignment horizontal="center" vertical="center"/>
    </xf>
    <xf numFmtId="1" fontId="0" fillId="0" borderId="0" xfId="0" applyNumberFormat="1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0" xfId="0" pivotButton="1"/>
    <xf numFmtId="0" fontId="0" fillId="0" borderId="0" xfId="0" applyAlignment="1">
      <alignment horizontal="left"/>
    </xf>
    <xf numFmtId="4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16"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horizontal="center"/>
    </dxf>
    <dxf>
      <alignment wrapText="1"/>
    </dxf>
    <dxf>
      <alignment wrapText="0"/>
    </dxf>
    <dxf>
      <numFmt numFmtId="2" formatCode="0.00"/>
    </dxf>
    <dxf>
      <numFmt numFmtId="2" formatCode="0.0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awrence Fulton" refreshedDate="44004.278748842589" createdVersion="6" refreshedVersion="6" minRefreshableVersion="3" recordCount="5694" xr:uid="{21961D8E-9025-4C28-A43A-EB0A653C74DC}">
  <cacheSource type="worksheet">
    <worksheetSource ref="A1:J5695" sheet="Hospital_Data"/>
  </cacheSource>
  <cacheFields count="18">
    <cacheField name="FIPS County Code" numFmtId="0">
      <sharedItems containsMixedTypes="1" containsNumber="1" containsInteger="1" minValue="10001" maxValue="56045" count="2532">
        <s v="01009"/>
        <s v="01023"/>
        <s v="01059"/>
        <s v="01111"/>
        <s v="01129"/>
        <s v="02070"/>
        <s v="02122"/>
        <s v="02130"/>
        <s v="02150"/>
        <s v="02180"/>
        <s v="02185"/>
        <s v="02188"/>
        <s v="02195"/>
        <s v="02220"/>
        <s v="02261"/>
        <s v="02275"/>
        <s v="04001"/>
        <s v="04003"/>
        <s v="04005"/>
        <s v="04007"/>
        <s v="04012"/>
        <s v="04013"/>
        <s v="04017"/>
        <s v="04021"/>
        <s v="04023"/>
        <s v="05001"/>
        <s v="05003"/>
        <s v="05007"/>
        <s v="05011"/>
        <s v="05015"/>
        <s v="05017"/>
        <s v="05019"/>
        <s v="05021"/>
        <s v="05023"/>
        <s v="05029"/>
        <s v="05037"/>
        <s v="05039"/>
        <s v="05041"/>
        <s v="05047"/>
        <s v="05049"/>
        <s v="05061"/>
        <s v="05065"/>
        <s v="05075"/>
        <s v="05081"/>
        <s v="05083"/>
        <s v="05093"/>
        <s v="05127"/>
        <s v="05133"/>
        <s v="05137"/>
        <s v="05141"/>
        <s v="05149"/>
        <s v="06007"/>
        <s v="06009"/>
        <s v="06021"/>
        <s v="06023"/>
        <s v="06027"/>
        <s v="06029"/>
        <s v="06033"/>
        <s v="06035"/>
        <s v="06037"/>
        <s v="06043"/>
        <s v="06045"/>
        <s v="06049"/>
        <s v="06051"/>
        <s v="06057"/>
        <s v="06063"/>
        <s v="06071"/>
        <s v="06083"/>
        <s v="06089"/>
        <s v="06093"/>
        <s v="06097"/>
        <s v="06105"/>
        <s v="06111"/>
        <s v="08007"/>
        <s v="08009"/>
        <s v="08015"/>
        <s v="08021"/>
        <s v="08043"/>
        <s v="08045"/>
        <s v="08049"/>
        <s v="08051"/>
        <s v="08055"/>
        <s v="08061"/>
        <s v="08063"/>
        <s v="08065"/>
        <s v="08069"/>
        <s v="08071"/>
        <s v="08073"/>
        <s v="08077"/>
        <s v="08081"/>
        <s v="08083"/>
        <s v="08087"/>
        <s v="08089"/>
        <s v="08095"/>
        <s v="08097"/>
        <s v="08099"/>
        <s v="08103"/>
        <s v="08105"/>
        <s v="08115"/>
        <s v="08119"/>
        <s v="08125"/>
        <n v="12007"/>
        <n v="12013"/>
        <n v="12037"/>
        <n v="12049"/>
        <n v="12051"/>
        <n v="12059"/>
        <n v="12063"/>
        <n v="12079"/>
        <n v="12087"/>
        <n v="12121"/>
        <n v="12125"/>
        <n v="12133"/>
        <n v="13005"/>
        <n v="13023"/>
        <n v="13027"/>
        <n v="13035"/>
        <n v="13037"/>
        <n v="13043"/>
        <n v="13049"/>
        <n v="13065"/>
        <n v="13099"/>
        <n v="13103"/>
        <n v="13105"/>
        <n v="13133"/>
        <n v="13143"/>
        <n v="13159"/>
        <n v="13161"/>
        <n v="13165"/>
        <n v="13173"/>
        <n v="13179"/>
        <n v="13199"/>
        <n v="13201"/>
        <n v="13205"/>
        <n v="13207"/>
        <n v="13211"/>
        <n v="13225"/>
        <n v="13233"/>
        <n v="13237"/>
        <n v="13241"/>
        <n v="13243"/>
        <n v="13251"/>
        <n v="13259"/>
        <n v="13267"/>
        <n v="13281"/>
        <n v="13309"/>
        <n v="13317"/>
        <n v="13321"/>
        <n v="15001"/>
        <n v="15003"/>
        <n v="15007"/>
        <n v="15009"/>
        <n v="16007"/>
        <n v="16009"/>
        <n v="16011"/>
        <n v="16013"/>
        <n v="16017"/>
        <n v="16021"/>
        <n v="16023"/>
        <n v="16029"/>
        <n v="16031"/>
        <n v="16035"/>
        <n v="16039"/>
        <n v="16041"/>
        <n v="16045"/>
        <n v="16047"/>
        <n v="16049"/>
        <n v="16053"/>
        <n v="16057"/>
        <n v="16059"/>
        <n v="16067"/>
        <n v="16071"/>
        <n v="16077"/>
        <n v="16079"/>
        <n v="16081"/>
        <n v="16085"/>
        <n v="16087"/>
        <n v="17011"/>
        <n v="17021"/>
        <n v="17025"/>
        <n v="17033"/>
        <n v="17037"/>
        <n v="17039"/>
        <n v="17045"/>
        <n v="17051"/>
        <n v="17053"/>
        <n v="17055"/>
        <n v="17061"/>
        <n v="17065"/>
        <n v="17067"/>
        <n v="17069"/>
        <n v="17073"/>
        <n v="17077"/>
        <n v="17085"/>
        <n v="17099"/>
        <n v="17101"/>
        <n v="17107"/>
        <n v="17111"/>
        <n v="17117"/>
        <n v="17119"/>
        <n v="17121"/>
        <n v="17125"/>
        <n v="17127"/>
        <n v="17131"/>
        <n v="17135"/>
        <n v="17141"/>
        <n v="17145"/>
        <n v="17147"/>
        <n v="17149"/>
        <n v="17157"/>
        <n v="17165"/>
        <n v="17169"/>
        <n v="17179"/>
        <n v="17181"/>
        <n v="17183"/>
        <n v="17185"/>
        <n v="17187"/>
        <n v="17189"/>
        <n v="17191"/>
        <n v="17195"/>
        <n v="17203"/>
        <n v="18001"/>
        <n v="18009"/>
        <n v="18021"/>
        <n v="18023"/>
        <n v="18031"/>
        <n v="18049"/>
        <n v="18051"/>
        <n v="18055"/>
        <n v="18061"/>
        <n v="18073"/>
        <n v="18075"/>
        <n v="18079"/>
        <n v="18087"/>
        <n v="18093"/>
        <n v="18095"/>
        <n v="18099"/>
        <n v="18103"/>
        <n v="18117"/>
        <n v="18123"/>
        <n v="18131"/>
        <n v="18133"/>
        <n v="18135"/>
        <n v="18137"/>
        <n v="18139"/>
        <n v="18143"/>
        <n v="18151"/>
        <n v="18153"/>
        <n v="18159"/>
        <n v="18165"/>
        <n v="18169"/>
        <n v="18171"/>
        <n v="18173"/>
        <n v="18175"/>
        <n v="18181"/>
        <n v="19001"/>
        <n v="19003"/>
        <n v="19005"/>
        <n v="19007"/>
        <n v="19009"/>
        <n v="19011"/>
        <n v="19015"/>
        <n v="19017"/>
        <n v="19019"/>
        <n v="19021"/>
        <n v="19025"/>
        <n v="19027"/>
        <n v="19029"/>
        <n v="19035"/>
        <n v="19037"/>
        <n v="19039"/>
        <n v="19043"/>
        <n v="19045"/>
        <n v="19047"/>
        <n v="19049"/>
        <n v="19051"/>
        <n v="19053"/>
        <n v="19055"/>
        <n v="19061"/>
        <n v="19063"/>
        <n v="19065"/>
        <n v="19067"/>
        <n v="19069"/>
        <n v="19071"/>
        <n v="19073"/>
        <n v="19075"/>
        <n v="19077"/>
        <n v="19079"/>
        <n v="19081"/>
        <n v="19083"/>
        <n v="19085"/>
        <n v="19087"/>
        <n v="19089"/>
        <n v="19091"/>
        <n v="19093"/>
        <n v="19095"/>
        <n v="19097"/>
        <n v="19101"/>
        <n v="19105"/>
        <n v="19107"/>
        <n v="19109"/>
        <n v="19117"/>
        <n v="19119"/>
        <n v="19121"/>
        <n v="19123"/>
        <n v="19125"/>
        <n v="19131"/>
        <n v="19133"/>
        <n v="19135"/>
        <n v="19137"/>
        <n v="19141"/>
        <n v="19143"/>
        <n v="19145"/>
        <n v="19147"/>
        <n v="19149"/>
        <n v="19151"/>
        <n v="19159"/>
        <n v="19161"/>
        <n v="19165"/>
        <n v="19167"/>
        <n v="19169"/>
        <n v="19175"/>
        <n v="19177"/>
        <n v="19183"/>
        <n v="19185"/>
        <n v="19191"/>
        <n v="19197"/>
        <n v="20001"/>
        <n v="20003"/>
        <n v="20005"/>
        <n v="20007"/>
        <n v="20009"/>
        <n v="20013"/>
        <n v="20019"/>
        <n v="20021"/>
        <n v="20023"/>
        <n v="20025"/>
        <n v="20027"/>
        <n v="20029"/>
        <n v="20031"/>
        <n v="20033"/>
        <n v="20035"/>
        <n v="20037"/>
        <n v="20039"/>
        <n v="20041"/>
        <n v="20047"/>
        <n v="20053"/>
        <n v="20063"/>
        <n v="20065"/>
        <n v="20071"/>
        <n v="20073"/>
        <n v="20075"/>
        <n v="20077"/>
        <n v="20081"/>
        <n v="20083"/>
        <n v="20085"/>
        <n v="20087"/>
        <n v="20089"/>
        <n v="20093"/>
        <n v="20095"/>
        <n v="20097"/>
        <n v="20099"/>
        <n v="20101"/>
        <n v="20105"/>
        <n v="20109"/>
        <n v="20111"/>
        <n v="20113"/>
        <n v="20115"/>
        <n v="20117"/>
        <n v="20119"/>
        <n v="20123"/>
        <n v="20127"/>
        <n v="20131"/>
        <n v="20133"/>
        <n v="20135"/>
        <n v="20137"/>
        <n v="20141"/>
        <n v="20143"/>
        <n v="20145"/>
        <n v="20147"/>
        <n v="20149"/>
        <n v="20153"/>
        <n v="20157"/>
        <n v="20159"/>
        <n v="20163"/>
        <n v="20165"/>
        <n v="20167"/>
        <n v="20171"/>
        <n v="20179"/>
        <n v="20181"/>
        <n v="20183"/>
        <n v="20185"/>
        <n v="20187"/>
        <n v="20189"/>
        <n v="20191"/>
        <n v="20193"/>
        <n v="20195"/>
        <n v="20201"/>
        <n v="20203"/>
        <n v="20205"/>
        <n v="21003"/>
        <n v="21027"/>
        <n v="21033"/>
        <n v="21041"/>
        <n v="21045"/>
        <n v="21057"/>
        <n v="21065"/>
        <n v="21069"/>
        <n v="21071"/>
        <n v="21081"/>
        <n v="21087"/>
        <n v="21099"/>
        <n v="21121"/>
        <n v="21131"/>
        <n v="21133"/>
        <n v="21137"/>
        <n v="21139"/>
        <n v="21151"/>
        <n v="21157"/>
        <n v="21167"/>
        <n v="21175"/>
        <n v="21181"/>
        <n v="21183"/>
        <n v="21187"/>
        <n v="21207"/>
        <n v="21213"/>
        <n v="21221"/>
        <n v="21225"/>
        <n v="21231"/>
        <n v="21239"/>
        <n v="22001"/>
        <n v="22005"/>
        <n v="22007"/>
        <n v="22009"/>
        <n v="22013"/>
        <n v="22017"/>
        <n v="22019"/>
        <n v="22029"/>
        <n v="22049"/>
        <n v="22057"/>
        <n v="22059"/>
        <n v="22065"/>
        <n v="22077"/>
        <n v="22081"/>
        <n v="22083"/>
        <n v="22091"/>
        <n v="22093"/>
        <n v="22099"/>
        <n v="22101"/>
        <n v="22105"/>
        <n v="22111"/>
        <n v="22113"/>
        <n v="22117"/>
        <n v="22125"/>
        <n v="23003"/>
        <n v="23005"/>
        <n v="23009"/>
        <n v="23015"/>
        <n v="23017"/>
        <n v="23019"/>
        <n v="23021"/>
        <n v="23025"/>
        <n v="23027"/>
        <n v="23029"/>
        <n v="25003"/>
        <n v="25007"/>
        <n v="25027"/>
        <n v="26003"/>
        <n v="26005"/>
        <n v="26011"/>
        <n v="26013"/>
        <n v="26015"/>
        <n v="26019"/>
        <n v="26027"/>
        <n v="26029"/>
        <n v="26031"/>
        <n v="26037"/>
        <n v="26041"/>
        <n v="26045"/>
        <n v="26051"/>
        <n v="26053"/>
        <n v="26061"/>
        <n v="26063"/>
        <n v="26067"/>
        <n v="26071"/>
        <n v="26079"/>
        <n v="26091"/>
        <n v="26095"/>
        <n v="26097"/>
        <n v="26103"/>
        <n v="26117"/>
        <n v="26123"/>
        <n v="26127"/>
        <n v="26131"/>
        <n v="26133"/>
        <n v="26151"/>
        <n v="26153"/>
        <n v="26155"/>
        <n v="26157"/>
        <n v="26159"/>
        <n v="27001"/>
        <n v="27011"/>
        <n v="27015"/>
        <n v="27017"/>
        <n v="27021"/>
        <n v="27023"/>
        <n v="27029"/>
        <n v="27031"/>
        <n v="27033"/>
        <n v="27035"/>
        <n v="27043"/>
        <n v="27049"/>
        <n v="27051"/>
        <n v="27057"/>
        <n v="27061"/>
        <n v="27063"/>
        <n v="27065"/>
        <n v="27069"/>
        <n v="27071"/>
        <n v="27073"/>
        <n v="27075"/>
        <n v="27077"/>
        <n v="27079"/>
        <n v="27081"/>
        <n v="27083"/>
        <n v="27085"/>
        <n v="27087"/>
        <n v="27089"/>
        <n v="27093"/>
        <n v="27095"/>
        <n v="27097"/>
        <n v="27101"/>
        <n v="27103"/>
        <n v="27107"/>
        <n v="27111"/>
        <n v="27113"/>
        <n v="27115"/>
        <n v="27117"/>
        <n v="27119"/>
        <n v="27121"/>
        <n v="27127"/>
        <n v="27129"/>
        <n v="27133"/>
        <n v="27135"/>
        <n v="27137"/>
        <n v="27139"/>
        <n v="27143"/>
        <n v="27145"/>
        <n v="27149"/>
        <n v="27151"/>
        <n v="27153"/>
        <n v="27155"/>
        <n v="27157"/>
        <n v="27159"/>
        <n v="27161"/>
        <n v="27165"/>
        <n v="27167"/>
        <n v="27171"/>
        <n v="27173"/>
        <n v="28007"/>
        <n v="28013"/>
        <n v="28019"/>
        <n v="28021"/>
        <n v="28023"/>
        <n v="28029"/>
        <n v="28031"/>
        <n v="28037"/>
        <n v="28041"/>
        <n v="28051"/>
        <n v="28053"/>
        <n v="28065"/>
        <n v="28069"/>
        <n v="28077"/>
        <n v="28079"/>
        <n v="28095"/>
        <n v="28097"/>
        <n v="28099"/>
        <n v="28101"/>
        <n v="28103"/>
        <n v="28109"/>
        <n v="28111"/>
        <n v="28115"/>
        <n v="28119"/>
        <n v="28123"/>
        <n v="28127"/>
        <n v="28131"/>
        <n v="28133"/>
        <n v="28135"/>
        <n v="28139"/>
        <n v="28147"/>
        <n v="28157"/>
        <n v="28163"/>
        <n v="29005"/>
        <n v="29009"/>
        <n v="29011"/>
        <n v="29033"/>
        <n v="29037"/>
        <n v="29039"/>
        <n v="29047"/>
        <n v="29065"/>
        <n v="29071"/>
        <n v="29073"/>
        <n v="29075"/>
        <n v="29079"/>
        <n v="29081"/>
        <n v="29091"/>
        <n v="29093"/>
        <n v="29097"/>
        <n v="29107"/>
        <n v="29109"/>
        <n v="29113"/>
        <n v="29115"/>
        <n v="29117"/>
        <n v="29121"/>
        <n v="29123"/>
        <n v="29145"/>
        <n v="29157"/>
        <n v="29163"/>
        <n v="29171"/>
        <n v="29177"/>
        <n v="29179"/>
        <n v="29185"/>
        <n v="29186"/>
        <n v="29187"/>
        <n v="29195"/>
        <n v="29199"/>
        <n v="29211"/>
        <n v="29221"/>
        <n v="30001"/>
        <n v="30003"/>
        <n v="30005"/>
        <n v="30007"/>
        <n v="30009"/>
        <n v="30011"/>
        <n v="30015"/>
        <n v="30017"/>
        <n v="30019"/>
        <n v="30021"/>
        <n v="30023"/>
        <n v="30025"/>
        <n v="30027"/>
        <n v="30029"/>
        <n v="30031"/>
        <n v="30033"/>
        <n v="30035"/>
        <n v="30039"/>
        <n v="30047"/>
        <n v="30051"/>
        <n v="30053"/>
        <n v="30055"/>
        <n v="30057"/>
        <n v="30059"/>
        <n v="30061"/>
        <n v="30065"/>
        <n v="30067"/>
        <n v="30071"/>
        <n v="30073"/>
        <n v="30077"/>
        <n v="30079"/>
        <n v="30081"/>
        <n v="30083"/>
        <n v="30085"/>
        <n v="30087"/>
        <n v="30089"/>
        <n v="30091"/>
        <n v="30095"/>
        <n v="30097"/>
        <n v="30099"/>
        <n v="30101"/>
        <n v="30105"/>
        <n v="30107"/>
        <n v="31003"/>
        <n v="31011"/>
        <n v="31013"/>
        <n v="31015"/>
        <n v="31017"/>
        <n v="31021"/>
        <n v="31023"/>
        <n v="31029"/>
        <n v="31031"/>
        <n v="31033"/>
        <n v="31037"/>
        <n v="31039"/>
        <n v="31041"/>
        <n v="31045"/>
        <n v="31047"/>
        <n v="31057"/>
        <n v="31059"/>
        <n v="31061"/>
        <n v="31065"/>
        <n v="31067"/>
        <n v="31069"/>
        <n v="31081"/>
        <n v="31083"/>
        <n v="31089"/>
        <n v="31093"/>
        <n v="31095"/>
        <n v="31097"/>
        <n v="31099"/>
        <n v="31101"/>
        <n v="31105"/>
        <n v="31107"/>
        <n v="31119"/>
        <n v="31121"/>
        <n v="31123"/>
        <n v="31125"/>
        <n v="31127"/>
        <n v="31129"/>
        <n v="31131"/>
        <n v="31133"/>
        <n v="31135"/>
        <n v="31137"/>
        <n v="31139"/>
        <n v="31143"/>
        <n v="31145"/>
        <n v="31147"/>
        <n v="31149"/>
        <n v="31151"/>
        <n v="31155"/>
        <n v="31159"/>
        <n v="31161"/>
        <n v="31169"/>
        <n v="31173"/>
        <n v="31175"/>
        <n v="31177"/>
        <n v="31179"/>
        <n v="31181"/>
        <n v="31185"/>
        <n v="32001"/>
        <n v="32003"/>
        <n v="32005"/>
        <n v="32007"/>
        <n v="32013"/>
        <n v="32015"/>
        <n v="32017"/>
        <n v="32019"/>
        <n v="32021"/>
        <n v="32023"/>
        <n v="32027"/>
        <n v="32031"/>
        <n v="32033"/>
        <n v="33003"/>
        <n v="33007"/>
        <n v="33009"/>
        <n v="33011"/>
        <n v="33013"/>
        <n v="33019"/>
        <n v="35006"/>
        <n v="35007"/>
        <n v="35025"/>
        <n v="35027"/>
        <n v="35029"/>
        <n v="35051"/>
        <n v="35053"/>
        <n v="35055"/>
        <n v="35059"/>
        <n v="36003"/>
        <n v="36025"/>
        <n v="36031"/>
        <n v="36043"/>
        <n v="36045"/>
        <n v="36049"/>
        <n v="36053"/>
        <n v="36073"/>
        <n v="36089"/>
        <n v="36095"/>
        <n v="36097"/>
        <n v="36105"/>
        <n v="36111"/>
        <n v="36123"/>
        <n v="37005"/>
        <n v="37009"/>
        <n v="37011"/>
        <n v="37013"/>
        <n v="37015"/>
        <n v="37017"/>
        <n v="37019"/>
        <n v="37037"/>
        <n v="37039"/>
        <n v="37041"/>
        <n v="37055"/>
        <n v="37083"/>
        <n v="37113"/>
        <n v="37121"/>
        <n v="37123"/>
        <n v="37141"/>
        <n v="37149"/>
        <n v="37169"/>
        <n v="37173"/>
        <n v="37175"/>
        <n v="37187"/>
        <n v="37189"/>
        <n v="37197"/>
        <n v="38001"/>
        <n v="38003"/>
        <n v="38009"/>
        <n v="38011"/>
        <n v="38019"/>
        <n v="38021"/>
        <n v="38023"/>
        <n v="38029"/>
        <n v="38031"/>
        <n v="38035"/>
        <n v="38037"/>
        <n v="38039"/>
        <n v="38051"/>
        <n v="38053"/>
        <n v="38055"/>
        <n v="38057"/>
        <n v="38061"/>
        <n v="38063"/>
        <n v="38067"/>
        <n v="38069"/>
        <n v="38071"/>
        <n v="38073"/>
        <n v="38079"/>
        <n v="38089"/>
        <n v="38093"/>
        <n v="38095"/>
        <n v="38097"/>
        <n v="38099"/>
        <n v="38101"/>
        <n v="38103"/>
        <n v="38105"/>
        <n v="39001"/>
        <n v="39003"/>
        <n v="39007"/>
        <n v="39009"/>
        <n v="39013"/>
        <n v="39021"/>
        <n v="39033"/>
        <n v="39039"/>
        <n v="39047"/>
        <n v="39051"/>
        <n v="39065"/>
        <n v="39067"/>
        <n v="39069"/>
        <n v="39071"/>
        <n v="39073"/>
        <n v="39077"/>
        <n v="39079"/>
        <n v="39093"/>
        <n v="39103"/>
        <n v="39117"/>
        <n v="39123"/>
        <n v="39125"/>
        <n v="39131"/>
        <n v="39139"/>
        <n v="39147"/>
        <n v="39157"/>
        <n v="39167"/>
        <n v="39169"/>
        <n v="39171"/>
        <n v="39175"/>
        <n v="40005"/>
        <n v="40007"/>
        <n v="40011"/>
        <n v="40015"/>
        <n v="40019"/>
        <n v="40025"/>
        <n v="40029"/>
        <n v="40037"/>
        <n v="40039"/>
        <n v="40043"/>
        <n v="40045"/>
        <n v="40055"/>
        <n v="40057"/>
        <n v="40059"/>
        <n v="40061"/>
        <n v="40063"/>
        <n v="40067"/>
        <n v="40069"/>
        <n v="40073"/>
        <n v="40079"/>
        <n v="40081"/>
        <n v="40083"/>
        <n v="40085"/>
        <n v="40089"/>
        <n v="40093"/>
        <n v="40095"/>
        <n v="40099"/>
        <n v="40105"/>
        <n v="40107"/>
        <n v="40113"/>
        <n v="40117"/>
        <n v="40129"/>
        <n v="40149"/>
        <n v="40151"/>
        <n v="41001"/>
        <n v="41007"/>
        <n v="41011"/>
        <n v="41013"/>
        <n v="41015"/>
        <n v="41019"/>
        <n v="41023"/>
        <n v="41025"/>
        <n v="41027"/>
        <n v="41031"/>
        <n v="41037"/>
        <n v="41039"/>
        <n v="41041"/>
        <n v="41043"/>
        <n v="41049"/>
        <n v="41053"/>
        <n v="41057"/>
        <n v="41059"/>
        <n v="41061"/>
        <n v="41063"/>
        <n v="42013"/>
        <n v="42015"/>
        <n v="42035"/>
        <n v="42039"/>
        <n v="42047"/>
        <n v="42049"/>
        <n v="42057"/>
        <n v="42065"/>
        <n v="42069"/>
        <n v="42081"/>
        <n v="42105"/>
        <n v="42111"/>
        <n v="42115"/>
        <n v="42117"/>
        <n v="45001"/>
        <n v="45005"/>
        <n v="45037"/>
        <n v="45039"/>
        <n v="45089"/>
        <n v="46005"/>
        <n v="46007"/>
        <n v="46009"/>
        <n v="46015"/>
        <n v="46023"/>
        <n v="46027"/>
        <n v="46033"/>
        <n v="46037"/>
        <n v="46039"/>
        <n v="46043"/>
        <n v="46045"/>
        <n v="46047"/>
        <n v="46049"/>
        <n v="46051"/>
        <n v="46053"/>
        <n v="46055"/>
        <n v="46059"/>
        <n v="46067"/>
        <n v="46073"/>
        <n v="46077"/>
        <n v="46079"/>
        <n v="46081"/>
        <n v="46083"/>
        <n v="46089"/>
        <n v="46091"/>
        <n v="46093"/>
        <n v="46099"/>
        <n v="46101"/>
        <n v="46107"/>
        <n v="46109"/>
        <n v="46115"/>
        <n v="46123"/>
        <n v="46125"/>
        <n v="46129"/>
        <n v="47005"/>
        <n v="47007"/>
        <n v="47021"/>
        <n v="47027"/>
        <n v="47067"/>
        <n v="47069"/>
        <n v="47081"/>
        <n v="47083"/>
        <n v="47085"/>
        <n v="47091"/>
        <n v="47097"/>
        <n v="47111"/>
        <n v="47117"/>
        <n v="47139"/>
        <n v="47143"/>
        <n v="47159"/>
        <n v="47169"/>
        <n v="48017"/>
        <n v="48035"/>
        <n v="48039"/>
        <n v="48043"/>
        <n v="48051"/>
        <n v="48053"/>
        <n v="48055"/>
        <n v="48057"/>
        <n v="48063"/>
        <n v="48067"/>
        <n v="48069"/>
        <n v="48071"/>
        <n v="48073"/>
        <n v="48077"/>
        <n v="48079"/>
        <n v="48083"/>
        <n v="48087"/>
        <n v="48089"/>
        <n v="48093"/>
        <n v="48095"/>
        <n v="48097"/>
        <n v="48099"/>
        <n v="48103"/>
        <n v="48107"/>
        <n v="48109"/>
        <n v="48111"/>
        <n v="48147"/>
        <n v="48151"/>
        <n v="48153"/>
        <n v="48165"/>
        <n v="48185"/>
        <n v="48193"/>
        <n v="48195"/>
        <n v="48197"/>
        <n v="48207"/>
        <n v="48217"/>
        <n v="48225"/>
        <n v="48231"/>
        <n v="48233"/>
        <n v="48239"/>
        <n v="48255"/>
        <n v="48267"/>
        <n v="48281"/>
        <n v="48285"/>
        <n v="48291"/>
        <n v="48293"/>
        <n v="48305"/>
        <n v="48307"/>
        <n v="48313"/>
        <n v="48317"/>
        <n v="48321"/>
        <n v="48325"/>
        <n v="48331"/>
        <n v="48335"/>
        <n v="48341"/>
        <n v="48357"/>
        <n v="48369"/>
        <n v="48371"/>
        <n v="48383"/>
        <n v="48389"/>
        <n v="48391"/>
        <n v="48399"/>
        <n v="48403"/>
        <n v="48405"/>
        <n v="48413"/>
        <n v="48415"/>
        <n v="48433"/>
        <n v="48435"/>
        <n v="48437"/>
        <n v="48447"/>
        <n v="48461"/>
        <n v="48463"/>
        <n v="48475"/>
        <n v="48483"/>
        <n v="48485"/>
        <n v="48491"/>
        <n v="48495"/>
        <n v="48499"/>
        <n v="48501"/>
        <n v="48503"/>
        <n v="49001"/>
        <n v="49017"/>
        <n v="49019"/>
        <n v="49023"/>
        <n v="49025"/>
        <n v="49027"/>
        <n v="49037"/>
        <n v="49039"/>
        <n v="49051"/>
        <n v="50001"/>
        <n v="50005"/>
        <n v="50015"/>
        <n v="50017"/>
        <n v="50019"/>
        <n v="50025"/>
        <n v="50027"/>
        <n v="51017"/>
        <n v="51051"/>
        <n v="51071"/>
        <n v="51103"/>
        <n v="51139"/>
        <n v="51141"/>
        <n v="51171"/>
        <n v="51678"/>
        <n v="53001"/>
        <n v="53003"/>
        <n v="53005"/>
        <n v="53007"/>
        <n v="53009"/>
        <n v="53013"/>
        <n v="53019"/>
        <n v="53021"/>
        <n v="53023"/>
        <n v="53025"/>
        <n v="53027"/>
        <n v="53029"/>
        <n v="53031"/>
        <n v="53033"/>
        <n v="53037"/>
        <n v="53039"/>
        <n v="53041"/>
        <n v="53043"/>
        <n v="53045"/>
        <n v="53047"/>
        <n v="53049"/>
        <n v="53051"/>
        <n v="53055"/>
        <n v="53057"/>
        <n v="53063"/>
        <n v="53065"/>
        <n v="53075"/>
        <n v="53077"/>
        <n v="54001"/>
        <n v="54005"/>
        <n v="54007"/>
        <n v="54013"/>
        <n v="54019"/>
        <n v="54023"/>
        <n v="54027"/>
        <n v="54035"/>
        <n v="54037"/>
        <n v="54057"/>
        <n v="54065"/>
        <n v="54067"/>
        <n v="54075"/>
        <n v="54077"/>
        <n v="54087"/>
        <n v="54089"/>
        <n v="54091"/>
        <n v="54095"/>
        <n v="54097"/>
        <n v="54101"/>
        <n v="55001"/>
        <n v="55003"/>
        <n v="55005"/>
        <n v="55013"/>
        <n v="55015"/>
        <n v="55017"/>
        <n v="55019"/>
        <n v="55021"/>
        <n v="55023"/>
        <n v="55025"/>
        <n v="55027"/>
        <n v="55029"/>
        <n v="55031"/>
        <n v="55033"/>
        <n v="55039"/>
        <n v="55043"/>
        <n v="55047"/>
        <n v="55049"/>
        <n v="55053"/>
        <n v="55065"/>
        <n v="55067"/>
        <n v="55069"/>
        <n v="55081"/>
        <n v="55083"/>
        <n v="55091"/>
        <n v="55093"/>
        <n v="55095"/>
        <n v="55099"/>
        <n v="55103"/>
        <n v="55105"/>
        <n v="55107"/>
        <n v="55109"/>
        <n v="55111"/>
        <n v="55113"/>
        <n v="55115"/>
        <n v="55119"/>
        <n v="55121"/>
        <n v="55123"/>
        <n v="55125"/>
        <n v="55127"/>
        <n v="55129"/>
        <n v="55135"/>
        <n v="55137"/>
        <n v="56003"/>
        <n v="56007"/>
        <n v="56009"/>
        <n v="56011"/>
        <n v="56015"/>
        <n v="56017"/>
        <n v="56019"/>
        <n v="56023"/>
        <n v="56027"/>
        <n v="56029"/>
        <n v="56031"/>
        <n v="56043"/>
        <n v="56045"/>
        <s v="01001"/>
        <s v="01003"/>
        <s v="01005"/>
        <s v="01007"/>
        <s v="01011"/>
        <s v="01013"/>
        <s v="01015"/>
        <s v="01017"/>
        <s v="01019"/>
        <s v="01021"/>
        <s v="01025"/>
        <s v="01027"/>
        <s v="01031"/>
        <s v="01033"/>
        <s v="01035"/>
        <s v="01039"/>
        <s v="01041"/>
        <s v="01043"/>
        <s v="01045"/>
        <s v="01047"/>
        <s v="01049"/>
        <s v="01051"/>
        <s v="01053"/>
        <s v="01055"/>
        <s v="01057"/>
        <s v="01061"/>
        <s v="01063"/>
        <s v="01065"/>
        <s v="01069"/>
        <s v="01071"/>
        <s v="01073"/>
        <s v="01077"/>
        <s v="01079"/>
        <s v="01081"/>
        <s v="01083"/>
        <s v="01089"/>
        <s v="01091"/>
        <s v="01093"/>
        <s v="01095"/>
        <s v="01097"/>
        <s v="01099"/>
        <s v="01101"/>
        <s v="01103"/>
        <s v="01107"/>
        <s v="01109"/>
        <s v="01113"/>
        <s v="01115"/>
        <s v="01117"/>
        <s v="01119"/>
        <s v="01121"/>
        <s v="01123"/>
        <s v="01125"/>
        <s v="01127"/>
        <s v="01131"/>
        <s v="01133"/>
        <s v="02020"/>
        <s v="02050"/>
        <s v="02090"/>
        <s v="02110"/>
        <s v="02170"/>
        <s v="04009"/>
        <s v="04015"/>
        <s v="04019"/>
        <s v="04025"/>
        <s v="04027"/>
        <s v="05005"/>
        <s v="05009"/>
        <s v="05027"/>
        <s v="05031"/>
        <s v="05033"/>
        <s v="05035"/>
        <s v="05043"/>
        <s v="05045"/>
        <s v="05051"/>
        <s v="05055"/>
        <s v="05057"/>
        <s v="05059"/>
        <s v="05063"/>
        <s v="05067"/>
        <s v="05069"/>
        <s v="05071"/>
        <s v="05103"/>
        <s v="05107"/>
        <s v="05109"/>
        <s v="05113"/>
        <s v="05115"/>
        <s v="05119"/>
        <s v="05121"/>
        <s v="05123"/>
        <s v="05125"/>
        <s v="05131"/>
        <s v="05139"/>
        <s v="05143"/>
        <s v="05145"/>
        <s v="06001"/>
        <s v="06005"/>
        <s v="06011"/>
        <s v="06013"/>
        <s v="06015"/>
        <s v="06017"/>
        <s v="06019"/>
        <s v="06025"/>
        <s v="06031"/>
        <s v="06039"/>
        <s v="06041"/>
        <s v="06047"/>
        <s v="06053"/>
        <s v="06055"/>
        <s v="06059"/>
        <s v="06061"/>
        <s v="06065"/>
        <s v="06067"/>
        <s v="06069"/>
        <s v="06073"/>
        <s v="06075"/>
        <s v="06077"/>
        <s v="06079"/>
        <s v="06081"/>
        <s v="06085"/>
        <s v="06087"/>
        <s v="06095"/>
        <s v="06099"/>
        <s v="06101"/>
        <s v="06103"/>
        <s v="06107"/>
        <s v="06109"/>
        <s v="06113"/>
        <s v="06115"/>
        <s v="08001"/>
        <s v="08003"/>
        <s v="08005"/>
        <s v="08013"/>
        <s v="08014"/>
        <s v="08017"/>
        <s v="08029"/>
        <s v="08031"/>
        <s v="08035"/>
        <s v="08037"/>
        <s v="08041"/>
        <s v="08059"/>
        <s v="08067"/>
        <s v="08075"/>
        <s v="08085"/>
        <s v="08101"/>
        <s v="08107"/>
        <s v="08117"/>
        <s v="08123"/>
        <s v="09001"/>
        <s v="09003"/>
        <s v="09005"/>
        <s v="09007"/>
        <s v="09009"/>
        <s v="09011"/>
        <s v="09013"/>
        <s v="09015"/>
        <n v="10001"/>
        <n v="10003"/>
        <n v="10005"/>
        <n v="11001"/>
        <n v="12001"/>
        <n v="12003"/>
        <n v="12005"/>
        <n v="12009"/>
        <n v="12011"/>
        <n v="12015"/>
        <n v="12017"/>
        <n v="12019"/>
        <n v="12021"/>
        <n v="12023"/>
        <n v="12027"/>
        <n v="12031"/>
        <n v="12033"/>
        <n v="12035"/>
        <n v="12039"/>
        <n v="12045"/>
        <n v="12053"/>
        <n v="12055"/>
        <n v="12057"/>
        <n v="12061"/>
        <n v="12069"/>
        <n v="12071"/>
        <n v="12073"/>
        <n v="12075"/>
        <n v="12081"/>
        <n v="12083"/>
        <n v="12085"/>
        <n v="12086"/>
        <n v="12089"/>
        <n v="12091"/>
        <n v="12093"/>
        <n v="12095"/>
        <n v="12097"/>
        <n v="12099"/>
        <n v="12101"/>
        <n v="12103"/>
        <n v="12105"/>
        <n v="12107"/>
        <n v="12109"/>
        <n v="12111"/>
        <n v="12113"/>
        <n v="12115"/>
        <n v="12117"/>
        <n v="12123"/>
        <n v="12127"/>
        <n v="12131"/>
        <n v="13001"/>
        <n v="13009"/>
        <n v="13013"/>
        <n v="13015"/>
        <n v="13017"/>
        <n v="13019"/>
        <n v="13021"/>
        <n v="13031"/>
        <n v="13033"/>
        <n v="13039"/>
        <n v="13045"/>
        <n v="13047"/>
        <n v="13051"/>
        <n v="13057"/>
        <n v="13059"/>
        <n v="13063"/>
        <n v="13067"/>
        <n v="13069"/>
        <n v="13071"/>
        <n v="13073"/>
        <n v="13075"/>
        <n v="13077"/>
        <n v="13081"/>
        <n v="13083"/>
        <n v="13087"/>
        <n v="13089"/>
        <n v="13091"/>
        <n v="13095"/>
        <n v="13097"/>
        <n v="13107"/>
        <n v="13109"/>
        <n v="13111"/>
        <n v="13113"/>
        <n v="13115"/>
        <n v="13117"/>
        <n v="13119"/>
        <n v="13121"/>
        <n v="13123"/>
        <n v="13127"/>
        <n v="13129"/>
        <n v="13131"/>
        <n v="13135"/>
        <n v="13137"/>
        <n v="13139"/>
        <n v="13147"/>
        <n v="13151"/>
        <n v="13153"/>
        <n v="13155"/>
        <n v="13157"/>
        <n v="13163"/>
        <n v="13175"/>
        <n v="13185"/>
        <n v="13187"/>
        <n v="13189"/>
        <n v="13193"/>
        <n v="13213"/>
        <n v="13215"/>
        <n v="13217"/>
        <n v="13223"/>
        <n v="13227"/>
        <n v="13235"/>
        <n v="13245"/>
        <n v="13247"/>
        <n v="13253"/>
        <n v="13255"/>
        <n v="13257"/>
        <n v="13261"/>
        <n v="13275"/>
        <n v="13277"/>
        <n v="13279"/>
        <n v="13285"/>
        <n v="13291"/>
        <n v="13293"/>
        <n v="13297"/>
        <n v="13299"/>
        <n v="13303"/>
        <n v="13305"/>
        <n v="13313"/>
        <n v="16001"/>
        <n v="16005"/>
        <n v="16019"/>
        <n v="16027"/>
        <n v="16055"/>
        <n v="16065"/>
        <n v="16069"/>
        <n v="16083"/>
        <n v="17001"/>
        <n v="17005"/>
        <n v="17007"/>
        <n v="17019"/>
        <n v="17027"/>
        <n v="17029"/>
        <n v="17031"/>
        <n v="17043"/>
        <n v="17049"/>
        <n v="17057"/>
        <n v="17063"/>
        <n v="17075"/>
        <n v="17081"/>
        <n v="17083"/>
        <n v="17089"/>
        <n v="17091"/>
        <n v="17095"/>
        <n v="17097"/>
        <n v="17103"/>
        <n v="17105"/>
        <n v="17109"/>
        <n v="17113"/>
        <n v="17115"/>
        <n v="17137"/>
        <n v="17143"/>
        <n v="17159"/>
        <n v="17161"/>
        <n v="17163"/>
        <n v="17167"/>
        <n v="17173"/>
        <n v="17177"/>
        <n v="17197"/>
        <n v="17199"/>
        <n v="17201"/>
        <n v="18003"/>
        <n v="18005"/>
        <n v="18011"/>
        <n v="18017"/>
        <n v="18019"/>
        <n v="18027"/>
        <n v="18029"/>
        <n v="18033"/>
        <n v="18035"/>
        <n v="18037"/>
        <n v="18039"/>
        <n v="18041"/>
        <n v="18043"/>
        <n v="18053"/>
        <n v="18057"/>
        <n v="18059"/>
        <n v="18063"/>
        <n v="18065"/>
        <n v="18067"/>
        <n v="18069"/>
        <n v="18071"/>
        <n v="18077"/>
        <n v="18081"/>
        <n v="18083"/>
        <n v="18085"/>
        <n v="18089"/>
        <n v="18091"/>
        <n v="18097"/>
        <n v="18105"/>
        <n v="18107"/>
        <n v="18109"/>
        <n v="18113"/>
        <n v="18127"/>
        <n v="18141"/>
        <n v="18145"/>
        <n v="18149"/>
        <n v="18157"/>
        <n v="18163"/>
        <n v="18167"/>
        <n v="18177"/>
        <n v="18179"/>
        <n v="18183"/>
        <n v="19013"/>
        <n v="19033"/>
        <n v="19041"/>
        <n v="19057"/>
        <n v="19059"/>
        <n v="19099"/>
        <n v="19103"/>
        <n v="19111"/>
        <n v="19113"/>
        <n v="19127"/>
        <n v="19139"/>
        <n v="19153"/>
        <n v="19155"/>
        <n v="19157"/>
        <n v="19163"/>
        <n v="19179"/>
        <n v="19187"/>
        <n v="19193"/>
        <n v="20011"/>
        <n v="20015"/>
        <n v="20045"/>
        <n v="20051"/>
        <n v="20055"/>
        <n v="20057"/>
        <n v="20059"/>
        <n v="20061"/>
        <n v="20067"/>
        <n v="20079"/>
        <n v="20091"/>
        <n v="20103"/>
        <n v="20121"/>
        <n v="20125"/>
        <n v="20129"/>
        <n v="20151"/>
        <n v="20155"/>
        <n v="20161"/>
        <n v="20169"/>
        <n v="20173"/>
        <n v="20175"/>
        <n v="20177"/>
        <n v="20209"/>
        <n v="21001"/>
        <n v="21009"/>
        <n v="21013"/>
        <n v="21015"/>
        <n v="21017"/>
        <n v="21019"/>
        <n v="21021"/>
        <n v="21025"/>
        <n v="21035"/>
        <n v="21037"/>
        <n v="21047"/>
        <n v="21049"/>
        <n v="21051"/>
        <n v="21053"/>
        <n v="21055"/>
        <n v="21059"/>
        <n v="21067"/>
        <n v="21073"/>
        <n v="21075"/>
        <n v="21083"/>
        <n v="21085"/>
        <n v="21093"/>
        <n v="21095"/>
        <n v="21097"/>
        <n v="21101"/>
        <n v="21107"/>
        <n v="21111"/>
        <n v="21115"/>
        <n v="21117"/>
        <n v="21125"/>
        <n v="21127"/>
        <n v="21141"/>
        <n v="21145"/>
        <n v="21155"/>
        <n v="21161"/>
        <n v="21171"/>
        <n v="21173"/>
        <n v="21177"/>
        <n v="21179"/>
        <n v="21185"/>
        <n v="21191"/>
        <n v="21193"/>
        <n v="21195"/>
        <n v="21199"/>
        <n v="21203"/>
        <n v="21205"/>
        <n v="21209"/>
        <n v="21211"/>
        <n v="21217"/>
        <n v="21227"/>
        <n v="21235"/>
        <n v="22003"/>
        <n v="22011"/>
        <n v="22015"/>
        <n v="22021"/>
        <n v="22023"/>
        <n v="22027"/>
        <n v="22031"/>
        <n v="22033"/>
        <n v="22035"/>
        <n v="22037"/>
        <n v="22039"/>
        <n v="22041"/>
        <n v="22045"/>
        <n v="22047"/>
        <n v="22051"/>
        <n v="22053"/>
        <n v="22055"/>
        <n v="22061"/>
        <n v="22063"/>
        <n v="22067"/>
        <n v="22069"/>
        <n v="22071"/>
        <n v="22073"/>
        <n v="22079"/>
        <n v="22085"/>
        <n v="22087"/>
        <n v="22089"/>
        <n v="22095"/>
        <n v="22097"/>
        <n v="22103"/>
        <n v="22109"/>
        <n v="22115"/>
        <n v="22119"/>
        <n v="22123"/>
        <n v="22127"/>
        <n v="23001"/>
        <n v="23007"/>
        <n v="23011"/>
        <n v="23013"/>
        <n v="23031"/>
        <n v="24001"/>
        <n v="24003"/>
        <n v="24005"/>
        <n v="24009"/>
        <n v="24013"/>
        <n v="24015"/>
        <n v="24017"/>
        <n v="24019"/>
        <n v="24021"/>
        <n v="24023"/>
        <n v="24025"/>
        <n v="24027"/>
        <n v="24029"/>
        <n v="24031"/>
        <n v="24033"/>
        <n v="24037"/>
        <n v="24039"/>
        <n v="24041"/>
        <n v="24043"/>
        <n v="24045"/>
        <n v="24047"/>
        <n v="24510"/>
        <n v="25001"/>
        <n v="25005"/>
        <n v="25009"/>
        <n v="25011"/>
        <n v="25013"/>
        <n v="25015"/>
        <n v="25017"/>
        <n v="25019"/>
        <n v="25021"/>
        <n v="25023"/>
        <n v="25025"/>
        <n v="26007"/>
        <n v="26017"/>
        <n v="26021"/>
        <n v="26023"/>
        <n v="26025"/>
        <n v="26033"/>
        <n v="26035"/>
        <n v="26039"/>
        <n v="26043"/>
        <n v="26047"/>
        <n v="26049"/>
        <n v="26055"/>
        <n v="26057"/>
        <n v="26059"/>
        <n v="26065"/>
        <n v="26069"/>
        <n v="26073"/>
        <n v="26075"/>
        <n v="26077"/>
        <n v="26081"/>
        <n v="26087"/>
        <n v="26093"/>
        <n v="26099"/>
        <n v="26101"/>
        <n v="26105"/>
        <n v="26107"/>
        <n v="26111"/>
        <n v="26115"/>
        <n v="26121"/>
        <n v="26125"/>
        <n v="26129"/>
        <n v="26137"/>
        <n v="26139"/>
        <n v="26145"/>
        <n v="26147"/>
        <n v="26149"/>
        <n v="26161"/>
        <n v="26163"/>
        <n v="26165"/>
        <n v="27003"/>
        <n v="27005"/>
        <n v="27007"/>
        <n v="27013"/>
        <n v="27019"/>
        <n v="27025"/>
        <n v="27037"/>
        <n v="27041"/>
        <n v="27047"/>
        <n v="27053"/>
        <n v="27059"/>
        <n v="27067"/>
        <n v="27091"/>
        <n v="27099"/>
        <n v="27105"/>
        <n v="27109"/>
        <n v="27123"/>
        <n v="27131"/>
        <n v="27147"/>
        <n v="27163"/>
        <n v="27169"/>
        <n v="28001"/>
        <n v="28003"/>
        <n v="28011"/>
        <n v="28017"/>
        <n v="28025"/>
        <n v="28027"/>
        <n v="28033"/>
        <n v="28035"/>
        <n v="28039"/>
        <n v="28043"/>
        <n v="28045"/>
        <n v="28047"/>
        <n v="28049"/>
        <n v="28059"/>
        <n v="28061"/>
        <n v="28063"/>
        <n v="28067"/>
        <n v="28071"/>
        <n v="28075"/>
        <n v="28081"/>
        <n v="28083"/>
        <n v="28085"/>
        <n v="28087"/>
        <n v="28089"/>
        <n v="28091"/>
        <n v="28093"/>
        <n v="28105"/>
        <n v="28107"/>
        <n v="28113"/>
        <n v="28117"/>
        <n v="28121"/>
        <n v="28125"/>
        <n v="28129"/>
        <n v="28137"/>
        <n v="28141"/>
        <n v="28145"/>
        <n v="28149"/>
        <n v="28151"/>
        <n v="28153"/>
        <n v="28155"/>
        <n v="28159"/>
        <n v="28161"/>
        <n v="29001"/>
        <n v="29007"/>
        <n v="29013"/>
        <n v="29019"/>
        <n v="29021"/>
        <n v="29023"/>
        <n v="29027"/>
        <n v="29029"/>
        <n v="29031"/>
        <n v="29043"/>
        <n v="29049"/>
        <n v="29051"/>
        <n v="29053"/>
        <n v="29069"/>
        <n v="29077"/>
        <n v="29083"/>
        <n v="29095"/>
        <n v="29099"/>
        <n v="29101"/>
        <n v="29105"/>
        <n v="29127"/>
        <n v="29147"/>
        <n v="29155"/>
        <n v="29159"/>
        <n v="29161"/>
        <n v="29165"/>
        <n v="29167"/>
        <n v="29175"/>
        <n v="29181"/>
        <n v="29183"/>
        <n v="29189"/>
        <n v="29201"/>
        <n v="29207"/>
        <n v="29213"/>
        <n v="29215"/>
        <n v="29217"/>
        <n v="29510"/>
        <n v="30013"/>
        <n v="30041"/>
        <n v="30049"/>
        <n v="30063"/>
        <n v="30093"/>
        <n v="30111"/>
        <n v="31001"/>
        <n v="31019"/>
        <n v="31053"/>
        <n v="31055"/>
        <n v="31079"/>
        <n v="31109"/>
        <n v="31111"/>
        <n v="31141"/>
        <n v="31153"/>
        <n v="31157"/>
        <n v="32510"/>
        <n v="33001"/>
        <n v="33005"/>
        <n v="33015"/>
        <n v="33017"/>
        <n v="34001"/>
        <n v="34003"/>
        <n v="34005"/>
        <n v="34007"/>
        <n v="34009"/>
        <n v="34011"/>
        <n v="34013"/>
        <n v="34015"/>
        <n v="34017"/>
        <n v="34019"/>
        <n v="34021"/>
        <n v="34023"/>
        <n v="34025"/>
        <n v="34027"/>
        <n v="34029"/>
        <n v="34031"/>
        <n v="34033"/>
        <n v="34035"/>
        <n v="34037"/>
        <n v="34039"/>
        <n v="34041"/>
        <n v="35001"/>
        <n v="35005"/>
        <n v="35009"/>
        <n v="35013"/>
        <n v="35015"/>
        <n v="35017"/>
        <n v="35019"/>
        <n v="35028"/>
        <n v="35031"/>
        <n v="35035"/>
        <n v="35039"/>
        <n v="35041"/>
        <n v="35043"/>
        <n v="35045"/>
        <n v="35047"/>
        <n v="35049"/>
        <n v="36001"/>
        <n v="36005"/>
        <n v="36007"/>
        <n v="36009"/>
        <n v="36011"/>
        <n v="36013"/>
        <n v="36015"/>
        <n v="36017"/>
        <n v="36019"/>
        <n v="36021"/>
        <n v="36023"/>
        <n v="36027"/>
        <n v="36029"/>
        <n v="36033"/>
        <n v="36035"/>
        <n v="36037"/>
        <n v="36047"/>
        <n v="36051"/>
        <n v="36055"/>
        <n v="36057"/>
        <n v="36059"/>
        <n v="36061"/>
        <n v="36063"/>
        <n v="36065"/>
        <n v="36067"/>
        <n v="36069"/>
        <n v="36071"/>
        <n v="36075"/>
        <n v="36077"/>
        <n v="36079"/>
        <n v="36081"/>
        <n v="36083"/>
        <n v="36085"/>
        <n v="36087"/>
        <n v="36091"/>
        <n v="36093"/>
        <n v="36101"/>
        <n v="36103"/>
        <n v="36109"/>
        <n v="36113"/>
        <n v="36117"/>
        <n v="36119"/>
        <n v="36121"/>
        <n v="37001"/>
        <n v="37007"/>
        <n v="37021"/>
        <n v="37023"/>
        <n v="37025"/>
        <n v="37027"/>
        <n v="37031"/>
        <n v="37035"/>
        <n v="37045"/>
        <n v="37047"/>
        <n v="37049"/>
        <n v="37051"/>
        <n v="37057"/>
        <n v="37059"/>
        <n v="37061"/>
        <n v="37063"/>
        <n v="37065"/>
        <n v="37067"/>
        <n v="37069"/>
        <n v="37071"/>
        <n v="37077"/>
        <n v="37081"/>
        <n v="37085"/>
        <n v="37087"/>
        <n v="37089"/>
        <n v="37091"/>
        <n v="37093"/>
        <n v="37097"/>
        <n v="37099"/>
        <n v="37101"/>
        <n v="37105"/>
        <n v="37107"/>
        <n v="37109"/>
        <n v="37111"/>
        <n v="37117"/>
        <n v="37119"/>
        <n v="37125"/>
        <n v="37127"/>
        <n v="37129"/>
        <n v="37133"/>
        <n v="37135"/>
        <n v="37139"/>
        <n v="37145"/>
        <n v="37147"/>
        <n v="37151"/>
        <n v="37153"/>
        <n v="37155"/>
        <n v="37157"/>
        <n v="37159"/>
        <n v="37161"/>
        <n v="37163"/>
        <n v="37165"/>
        <n v="37167"/>
        <n v="37171"/>
        <n v="37179"/>
        <n v="37181"/>
        <n v="37183"/>
        <n v="37191"/>
        <n v="37193"/>
        <n v="37195"/>
        <n v="38015"/>
        <n v="38017"/>
        <n v="38085"/>
        <n v="39005"/>
        <n v="39011"/>
        <n v="39015"/>
        <n v="39017"/>
        <n v="39023"/>
        <n v="39025"/>
        <n v="39027"/>
        <n v="39029"/>
        <n v="39031"/>
        <n v="39035"/>
        <n v="39037"/>
        <n v="39041"/>
        <n v="39043"/>
        <n v="39045"/>
        <n v="39049"/>
        <n v="39053"/>
        <n v="39055"/>
        <n v="39057"/>
        <n v="39059"/>
        <n v="39061"/>
        <n v="39063"/>
        <n v="39075"/>
        <n v="39081"/>
        <n v="39083"/>
        <n v="39085"/>
        <n v="39087"/>
        <n v="39089"/>
        <n v="39091"/>
        <n v="39095"/>
        <n v="39097"/>
        <n v="39099"/>
        <n v="39101"/>
        <n v="39107"/>
        <n v="39109"/>
        <n v="39113"/>
        <n v="39119"/>
        <n v="39129"/>
        <n v="39133"/>
        <n v="39141"/>
        <n v="39143"/>
        <n v="39145"/>
        <n v="39149"/>
        <n v="39151"/>
        <n v="39153"/>
        <n v="39155"/>
        <n v="39159"/>
        <n v="39161"/>
        <n v="39165"/>
        <n v="39173"/>
        <n v="40001"/>
        <n v="40009"/>
        <n v="40013"/>
        <n v="40017"/>
        <n v="40021"/>
        <n v="40023"/>
        <n v="40027"/>
        <n v="40031"/>
        <n v="40035"/>
        <n v="40041"/>
        <n v="40047"/>
        <n v="40049"/>
        <n v="40051"/>
        <n v="40065"/>
        <n v="40071"/>
        <n v="40075"/>
        <n v="40077"/>
        <n v="40087"/>
        <n v="40091"/>
        <n v="40097"/>
        <n v="40101"/>
        <n v="40103"/>
        <n v="40109"/>
        <n v="40111"/>
        <n v="40115"/>
        <n v="40119"/>
        <n v="40121"/>
        <n v="40123"/>
        <n v="40125"/>
        <n v="40127"/>
        <n v="40131"/>
        <n v="40133"/>
        <n v="40135"/>
        <n v="40137"/>
        <n v="40139"/>
        <n v="40141"/>
        <n v="40143"/>
        <n v="40145"/>
        <n v="40147"/>
        <n v="40153"/>
        <n v="41003"/>
        <n v="41005"/>
        <n v="41017"/>
        <n v="41029"/>
        <n v="41033"/>
        <n v="41035"/>
        <n v="41045"/>
        <n v="41047"/>
        <n v="41051"/>
        <n v="41065"/>
        <n v="41067"/>
        <n v="41071"/>
        <n v="42001"/>
        <n v="42003"/>
        <n v="42005"/>
        <n v="42007"/>
        <n v="42009"/>
        <n v="42011"/>
        <n v="42017"/>
        <n v="42019"/>
        <n v="42021"/>
        <n v="42025"/>
        <n v="42027"/>
        <n v="42029"/>
        <n v="42031"/>
        <n v="42033"/>
        <n v="42037"/>
        <n v="42041"/>
        <n v="42043"/>
        <n v="42045"/>
        <n v="42051"/>
        <n v="42055"/>
        <n v="42059"/>
        <n v="42061"/>
        <n v="42063"/>
        <n v="42071"/>
        <n v="42073"/>
        <n v="42075"/>
        <n v="42077"/>
        <n v="42079"/>
        <n v="42083"/>
        <n v="42085"/>
        <n v="42087"/>
        <n v="42089"/>
        <n v="42091"/>
        <n v="42093"/>
        <n v="42095"/>
        <n v="42097"/>
        <n v="42101"/>
        <n v="42107"/>
        <n v="42119"/>
        <n v="42121"/>
        <n v="42123"/>
        <n v="42125"/>
        <n v="42127"/>
        <n v="42129"/>
        <n v="42131"/>
        <n v="42133"/>
        <n v="44003"/>
        <n v="44005"/>
        <n v="44007"/>
        <n v="44009"/>
        <n v="45003"/>
        <n v="45007"/>
        <n v="45009"/>
        <n v="45011"/>
        <n v="45013"/>
        <n v="45019"/>
        <n v="45021"/>
        <n v="45023"/>
        <n v="45025"/>
        <n v="45027"/>
        <n v="45029"/>
        <n v="45031"/>
        <n v="45033"/>
        <n v="45035"/>
        <n v="45041"/>
        <n v="45043"/>
        <n v="45045"/>
        <n v="45047"/>
        <n v="45049"/>
        <n v="45051"/>
        <n v="45053"/>
        <n v="45055"/>
        <n v="45057"/>
        <n v="45059"/>
        <n v="45063"/>
        <n v="45067"/>
        <n v="45069"/>
        <n v="45071"/>
        <n v="45073"/>
        <n v="45075"/>
        <n v="45077"/>
        <n v="45079"/>
        <n v="45083"/>
        <n v="45085"/>
        <n v="45087"/>
        <n v="45091"/>
        <n v="46011"/>
        <n v="46013"/>
        <n v="46029"/>
        <n v="46035"/>
        <n v="46041"/>
        <n v="46065"/>
        <n v="46102"/>
        <n v="46103"/>
        <n v="46121"/>
        <n v="46127"/>
        <n v="46135"/>
        <n v="47001"/>
        <n v="47003"/>
        <n v="47009"/>
        <n v="47011"/>
        <n v="47013"/>
        <n v="47015"/>
        <n v="47017"/>
        <n v="47019"/>
        <n v="47025"/>
        <n v="47029"/>
        <n v="47031"/>
        <n v="47035"/>
        <n v="47037"/>
        <n v="47039"/>
        <n v="47041"/>
        <n v="47043"/>
        <n v="47045"/>
        <n v="47047"/>
        <n v="47049"/>
        <n v="47051"/>
        <n v="47053"/>
        <n v="47055"/>
        <n v="47059"/>
        <n v="47063"/>
        <n v="47065"/>
        <n v="47071"/>
        <n v="47073"/>
        <n v="47075"/>
        <n v="47077"/>
        <n v="47079"/>
        <n v="47089"/>
        <n v="47093"/>
        <n v="47099"/>
        <n v="47103"/>
        <n v="47105"/>
        <n v="47107"/>
        <n v="47109"/>
        <n v="47113"/>
        <n v="47115"/>
        <n v="47119"/>
        <n v="47123"/>
        <n v="47125"/>
        <n v="47131"/>
        <n v="47133"/>
        <n v="47135"/>
        <n v="47141"/>
        <n v="47145"/>
        <n v="47147"/>
        <n v="47149"/>
        <n v="47151"/>
        <n v="47155"/>
        <n v="47157"/>
        <n v="47163"/>
        <n v="47165"/>
        <n v="47167"/>
        <n v="47171"/>
        <n v="47177"/>
        <n v="47179"/>
        <n v="47181"/>
        <n v="47183"/>
        <n v="47185"/>
        <n v="47187"/>
        <n v="47189"/>
        <n v="48001"/>
        <n v="48003"/>
        <n v="48005"/>
        <n v="48013"/>
        <n v="48015"/>
        <n v="48021"/>
        <n v="48023"/>
        <n v="48025"/>
        <n v="48027"/>
        <n v="48029"/>
        <n v="48037"/>
        <n v="48041"/>
        <n v="48049"/>
        <n v="48061"/>
        <n v="48075"/>
        <n v="48085"/>
        <n v="48091"/>
        <n v="48113"/>
        <n v="48115"/>
        <n v="48117"/>
        <n v="48121"/>
        <n v="48123"/>
        <n v="48127"/>
        <n v="48133"/>
        <n v="48135"/>
        <n v="48139"/>
        <n v="48141"/>
        <n v="48143"/>
        <n v="48145"/>
        <n v="48149"/>
        <n v="48157"/>
        <n v="48159"/>
        <n v="48161"/>
        <n v="48163"/>
        <n v="48167"/>
        <n v="48171"/>
        <n v="48177"/>
        <n v="48179"/>
        <n v="48181"/>
        <n v="48183"/>
        <n v="48187"/>
        <n v="48189"/>
        <n v="48199"/>
        <n v="48201"/>
        <n v="48203"/>
        <n v="48209"/>
        <n v="48211"/>
        <n v="48213"/>
        <n v="48215"/>
        <n v="48219"/>
        <n v="48221"/>
        <n v="48223"/>
        <n v="48227"/>
        <n v="48237"/>
        <n v="48241"/>
        <n v="48245"/>
        <n v="48249"/>
        <n v="48251"/>
        <n v="48253"/>
        <n v="48257"/>
        <n v="48265"/>
        <n v="48273"/>
        <n v="48275"/>
        <n v="48277"/>
        <n v="48279"/>
        <n v="48299"/>
        <n v="48303"/>
        <n v="48309"/>
        <n v="48323"/>
        <n v="48329"/>
        <n v="48337"/>
        <n v="48339"/>
        <n v="48347"/>
        <n v="48349"/>
        <n v="48353"/>
        <n v="48355"/>
        <n v="48361"/>
        <n v="48363"/>
        <n v="48365"/>
        <n v="48367"/>
        <n v="48373"/>
        <n v="48375"/>
        <n v="48381"/>
        <n v="48387"/>
        <n v="48397"/>
        <n v="48401"/>
        <n v="48409"/>
        <n v="48419"/>
        <n v="48423"/>
        <n v="48425"/>
        <n v="48427"/>
        <n v="48429"/>
        <n v="48439"/>
        <n v="48441"/>
        <n v="48445"/>
        <n v="48449"/>
        <n v="48451"/>
        <n v="48453"/>
        <n v="48455"/>
        <n v="48457"/>
        <n v="48459"/>
        <n v="48465"/>
        <n v="48467"/>
        <n v="48469"/>
        <n v="48471"/>
        <n v="48477"/>
        <n v="48479"/>
        <n v="48481"/>
        <n v="48487"/>
        <n v="48493"/>
        <n v="48497"/>
        <n v="49003"/>
        <n v="49005"/>
        <n v="49007"/>
        <n v="49011"/>
        <n v="49013"/>
        <n v="49021"/>
        <n v="49035"/>
        <n v="49041"/>
        <n v="49043"/>
        <n v="49045"/>
        <n v="49047"/>
        <n v="49049"/>
        <n v="49053"/>
        <n v="49057"/>
        <n v="50003"/>
        <n v="50007"/>
        <n v="50011"/>
        <n v="50021"/>
        <n v="50023"/>
        <n v="51001"/>
        <n v="51003"/>
        <n v="51005"/>
        <n v="51009"/>
        <n v="51013"/>
        <n v="51015"/>
        <n v="51019"/>
        <n v="51027"/>
        <n v="51041"/>
        <n v="51047"/>
        <n v="51057"/>
        <n v="51059"/>
        <n v="51061"/>
        <n v="51067"/>
        <n v="51073"/>
        <n v="51083"/>
        <n v="51085"/>
        <n v="51087"/>
        <n v="51095"/>
        <n v="51105"/>
        <n v="51107"/>
        <n v="51117"/>
        <n v="51121"/>
        <n v="51135"/>
        <n v="51147"/>
        <n v="51153"/>
        <n v="51155"/>
        <n v="51167"/>
        <n v="51173"/>
        <n v="51177"/>
        <n v="51179"/>
        <n v="51185"/>
        <n v="51187"/>
        <n v="51191"/>
        <n v="51195"/>
        <n v="51197"/>
        <n v="51510"/>
        <n v="51540"/>
        <n v="51550"/>
        <n v="51590"/>
        <n v="51595"/>
        <n v="51620"/>
        <n v="51630"/>
        <n v="51640"/>
        <n v="51650"/>
        <n v="51660"/>
        <n v="51670"/>
        <n v="51680"/>
        <n v="51683"/>
        <n v="51690"/>
        <n v="51700"/>
        <n v="51710"/>
        <n v="51720"/>
        <n v="51730"/>
        <n v="51740"/>
        <n v="51760"/>
        <n v="51770"/>
        <n v="51775"/>
        <n v="51800"/>
        <n v="51810"/>
        <n v="51840"/>
        <n v="53011"/>
        <n v="53015"/>
        <n v="53035"/>
        <n v="53053"/>
        <n v="53061"/>
        <n v="53067"/>
        <n v="53071"/>
        <n v="53073"/>
        <n v="54003"/>
        <n v="54011"/>
        <n v="54025"/>
        <n v="54029"/>
        <n v="54033"/>
        <n v="54039"/>
        <n v="54041"/>
        <n v="54045"/>
        <n v="54047"/>
        <n v="54049"/>
        <n v="54051"/>
        <n v="54053"/>
        <n v="54055"/>
        <n v="54059"/>
        <n v="54061"/>
        <n v="54069"/>
        <n v="54079"/>
        <n v="54081"/>
        <n v="54083"/>
        <n v="54103"/>
        <n v="54107"/>
        <n v="55009"/>
        <n v="55035"/>
        <n v="55045"/>
        <n v="55055"/>
        <n v="55057"/>
        <n v="55059"/>
        <n v="55063"/>
        <n v="55071"/>
        <n v="55073"/>
        <n v="55075"/>
        <n v="55079"/>
        <n v="55085"/>
        <n v="55087"/>
        <n v="55089"/>
        <n v="55097"/>
        <n v="55101"/>
        <n v="55117"/>
        <n v="55131"/>
        <n v="55133"/>
        <n v="55139"/>
        <n v="55141"/>
        <n v="56001"/>
        <n v="56005"/>
        <n v="56013"/>
        <n v="56021"/>
        <n v="56025"/>
        <n v="56033"/>
        <n v="56037"/>
        <n v="56039"/>
        <n v="56041"/>
      </sharedItems>
    </cacheField>
    <cacheField name="Provider Number" numFmtId="0">
      <sharedItems containsBlank="1" containsMixedTypes="1" containsNumber="1" containsInteger="1" minValue="100001" maxValue="676622"/>
    </cacheField>
    <cacheField name="State" numFmtId="0">
      <sharedItems/>
    </cacheField>
    <cacheField name="County" numFmtId="0">
      <sharedItems/>
    </cacheField>
    <cacheField name="Zip Code" numFmtId="0">
      <sharedItems containsMixedTypes="1" containsNumber="1" containsInteger="1" minValue="10003" maxValue="99929"/>
    </cacheField>
    <cacheField name="Hospital Name" numFmtId="0">
      <sharedItems/>
    </cacheField>
    <cacheField name="Hospital Type" numFmtId="0">
      <sharedItems/>
    </cacheField>
    <cacheField name="City" numFmtId="0">
      <sharedItems/>
    </cacheField>
    <cacheField name="Average Daily Census" numFmtId="0">
      <sharedItems containsString="0" containsBlank="1" containsNumber="1" minValue="0" maxValue="1854.9"/>
    </cacheField>
    <cacheField name="Average Length of Stay" numFmtId="0">
      <sharedItems containsString="0" containsBlank="1" containsNumber="1" minValue="0" maxValue="6932"/>
    </cacheField>
    <cacheField name="# of Affiliated Physicians" numFmtId="0">
      <sharedItems containsString="0" containsBlank="1" containsNumber="1" containsInteger="1" minValue="1" maxValue="4550"/>
    </cacheField>
    <cacheField name="Total Acute Beds" numFmtId="0">
      <sharedItems containsString="0" containsBlank="1" containsNumber="1" containsInteger="1" minValue="1" maxValue="2753"/>
    </cacheField>
    <cacheField name="Intensive Care Unit Beds" numFmtId="0">
      <sharedItems containsString="0" containsBlank="1" containsNumber="1" containsInteger="1" minValue="1" maxValue="506"/>
    </cacheField>
    <cacheField name="Market Concentration Index" numFmtId="0">
      <sharedItems containsString="0" containsBlank="1" containsNumber="1" minValue="0.02" maxValue="1"/>
    </cacheField>
    <cacheField name="# of Staffed Beds" numFmtId="0">
      <sharedItems containsString="0" containsBlank="1" containsNumber="1" containsInteger="1" minValue="1" maxValue="2753"/>
    </cacheField>
    <cacheField name="Case Mix Index" numFmtId="0">
      <sharedItems containsString="0" containsBlank="1" containsNumber="1" minValue="0.63" maxValue="5.26"/>
    </cacheField>
    <cacheField name="Definitive ID" numFmtId="0">
      <sharedItems containsSemiMixedTypes="0" containsString="0" containsNumber="1" containsInteger="1" minValue="10" maxValue="1013729"/>
    </cacheField>
    <cacheField name="# of Discharges" numFmtId="0">
      <sharedItems containsString="0" containsBlank="1" containsNumber="1" containsInteger="1" minValue="1" maxValue="1285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694">
  <r>
    <x v="0"/>
    <s v="011305"/>
    <s v="AL"/>
    <s v="AL - Blount"/>
    <n v="35121"/>
    <s v="St Vincents Blount"/>
    <s v="Critical Access Hospital"/>
    <s v="Oneonta"/>
    <n v="12.5"/>
    <n v="4"/>
    <n v="59"/>
    <n v="25"/>
    <n v="6"/>
    <n v="0.19"/>
    <n v="25"/>
    <n v="1.1000000000000001"/>
    <n v="24"/>
    <n v="835"/>
  </r>
  <r>
    <x v="1"/>
    <s v="011304"/>
    <s v="AL"/>
    <s v="AL - Choctaw"/>
    <n v="36904"/>
    <s v="Choctaw General Hospital"/>
    <s v="Critical Access Hospital"/>
    <s v="Butler"/>
    <n v="5.9"/>
    <n v="3"/>
    <n v="10"/>
    <n v="25"/>
    <m/>
    <m/>
    <n v="25"/>
    <n v="0.91"/>
    <n v="550089"/>
    <n v="68"/>
  </r>
  <r>
    <x v="2"/>
    <s v="011302"/>
    <s v="AL"/>
    <s v="AL - Franklin"/>
    <n v="35582"/>
    <s v="Red Bay Hospital"/>
    <s v="Critical Access Hospital"/>
    <s v="Red Bay"/>
    <n v="6.7"/>
    <n v="1.7"/>
    <n v="25"/>
    <n v="25"/>
    <m/>
    <m/>
    <n v="25"/>
    <n v="0.86"/>
    <n v="58"/>
    <n v="393"/>
  </r>
  <r>
    <x v="3"/>
    <m/>
    <s v="AL"/>
    <s v="AL - Randolph"/>
    <n v="36278"/>
    <s v="Tanner Medical Center - East Alabama"/>
    <s v="Critical Access Hospital"/>
    <s v="Wedowee"/>
    <n v="3.4"/>
    <n v="1.8"/>
    <n v="23"/>
    <n v="15"/>
    <m/>
    <m/>
    <n v="15"/>
    <n v="0.84"/>
    <n v="866201"/>
    <n v="254"/>
  </r>
  <r>
    <x v="3"/>
    <s v="011303 (Closed)"/>
    <s v="AL"/>
    <s v="AL - Randolph"/>
    <n v="36274"/>
    <s v="Randolph Medical Center (Closed March 2011)"/>
    <s v="Critical Access Hospital"/>
    <s v="Roanoke"/>
    <n v="11.7"/>
    <n v="0.3"/>
    <m/>
    <m/>
    <m/>
    <m/>
    <m/>
    <m/>
    <n v="104"/>
    <n v="875"/>
  </r>
  <r>
    <x v="4"/>
    <s v="011300"/>
    <s v="AL"/>
    <s v="AL - Washington"/>
    <n v="36518"/>
    <s v="Washington County Hospital"/>
    <s v="Critical Access Hospital"/>
    <s v="Chatom"/>
    <n v="6.5"/>
    <n v="3.2"/>
    <n v="17"/>
    <n v="15"/>
    <m/>
    <n v="0.21"/>
    <n v="15"/>
    <n v="1.1200000000000001"/>
    <n v="118"/>
    <n v="286"/>
  </r>
  <r>
    <x v="5"/>
    <s v="021309"/>
    <s v="AK"/>
    <s v="AK - Dillingham"/>
    <n v="99576"/>
    <s v="Kanakanak Hospital"/>
    <s v="Critical Access Hospital"/>
    <s v="Dillingham"/>
    <n v="2.4"/>
    <n v="3.1"/>
    <n v="24"/>
    <n v="16"/>
    <m/>
    <m/>
    <n v="16"/>
    <n v="1"/>
    <n v="576737"/>
    <n v="221"/>
  </r>
  <r>
    <x v="6"/>
    <s v="021302"/>
    <s v="AK"/>
    <s v="AK - Kenai Peninsula"/>
    <n v="99664"/>
    <s v="Providence Seward Medical &amp; Care Center"/>
    <s v="Critical Access Hospital"/>
    <s v="Seward"/>
    <n v="1.3"/>
    <n v="2.5"/>
    <n v="14"/>
    <n v="6"/>
    <m/>
    <m/>
    <n v="6"/>
    <n v="1.01"/>
    <n v="129"/>
    <n v="94"/>
  </r>
  <r>
    <x v="6"/>
    <s v="021313"/>
    <s v="AK"/>
    <s v="AK - Kenai Peninsula"/>
    <n v="99603"/>
    <s v="South Peninsula Hospital"/>
    <s v="Critical Access Hospital"/>
    <s v="Homer"/>
    <n v="7.9"/>
    <n v="3.2"/>
    <n v="67"/>
    <n v="21"/>
    <m/>
    <m/>
    <n v="21"/>
    <n v="1.29"/>
    <n v="130"/>
    <n v="785"/>
  </r>
  <r>
    <x v="7"/>
    <s v="021311"/>
    <s v="AK"/>
    <s v="AK - Ketchikan Gateway"/>
    <n v="99901"/>
    <s v="PeaceHealth Ketchikan Medical Center"/>
    <s v="Critical Access Hospital"/>
    <s v="Ketchikan"/>
    <n v="9.6"/>
    <n v="2.8"/>
    <n v="110"/>
    <n v="25"/>
    <n v="4"/>
    <n v="1"/>
    <n v="25"/>
    <n v="1.24"/>
    <n v="131"/>
    <n v="1257"/>
  </r>
  <r>
    <x v="8"/>
    <s v="021306"/>
    <s v="AK"/>
    <s v="AK - Kodiak Island"/>
    <n v="99615"/>
    <s v="Providence Kodiak Island Medical Center"/>
    <s v="Critical Access Hospital"/>
    <s v="Kodiak"/>
    <n v="4.8"/>
    <n v="2.6"/>
    <n v="40"/>
    <n v="24"/>
    <m/>
    <m/>
    <n v="24"/>
    <n v="1.1399999999999999"/>
    <n v="133"/>
    <n v="521"/>
  </r>
  <r>
    <x v="9"/>
    <s v="021308"/>
    <s v="AK"/>
    <s v="AK - Nome"/>
    <n v="99762"/>
    <s v="Norton Sound Regional Hospital"/>
    <s v="Critical Access Hospital"/>
    <s v="Nome"/>
    <n v="7.2"/>
    <n v="2.8"/>
    <n v="56"/>
    <n v="18"/>
    <m/>
    <m/>
    <n v="18"/>
    <n v="0.93"/>
    <n v="135"/>
    <n v="734"/>
  </r>
  <r>
    <x v="10"/>
    <s v="021312"/>
    <s v="AK"/>
    <s v="AK - North Slope"/>
    <n v="99723"/>
    <s v="Samuel Simmonds Memorial Hospital"/>
    <s v="Critical Access Hospital"/>
    <s v="Barrow"/>
    <n v="2.5"/>
    <n v="2.8"/>
    <n v="33"/>
    <n v="14"/>
    <m/>
    <m/>
    <n v="14"/>
    <n v="1.1399999999999999"/>
    <n v="542220"/>
    <n v="246"/>
  </r>
  <r>
    <x v="11"/>
    <s v="021310"/>
    <s v="AK"/>
    <s v="AK - Northwest Arctic"/>
    <n v="99752"/>
    <s v="Maniilaq Health Center"/>
    <s v="Critical Access Hospital"/>
    <s v="Kotzebue"/>
    <n v="4.0999999999999996"/>
    <n v="3"/>
    <n v="46"/>
    <n v="17"/>
    <m/>
    <m/>
    <n v="17"/>
    <n v="0.97"/>
    <n v="576044"/>
    <n v="492"/>
  </r>
  <r>
    <x v="12"/>
    <s v="021304"/>
    <s v="AK"/>
    <s v="AK - Petersburg"/>
    <n v="99833"/>
    <s v="Petersburg Medical Center"/>
    <s v="Critical Access Hospital"/>
    <s v="Petersburg"/>
    <n v="3.2"/>
    <n v="2.9"/>
    <n v="7"/>
    <n v="12"/>
    <m/>
    <m/>
    <n v="12"/>
    <n v="0.91"/>
    <n v="6216"/>
    <n v="101"/>
  </r>
  <r>
    <x v="13"/>
    <s v="021303 (Closed)"/>
    <s v="AK"/>
    <s v="AK - Sitka"/>
    <n v="99835"/>
    <s v="Sitka Community Hospital (Closed)"/>
    <s v="Critical Access Hospital"/>
    <s v="Sitka"/>
    <n v="4.7"/>
    <n v="2.2000000000000002"/>
    <m/>
    <m/>
    <m/>
    <m/>
    <m/>
    <n v="0.94"/>
    <n v="136"/>
    <n v="208"/>
  </r>
  <r>
    <x v="13"/>
    <s v="021314"/>
    <s v="AK"/>
    <s v="AK - Sitka"/>
    <n v="99835"/>
    <s v="Mt Edgecumbe Hospital"/>
    <s v="Critical Access Hospital"/>
    <s v="Sitka"/>
    <n v="9.1"/>
    <n v="3.1"/>
    <n v="120"/>
    <n v="27"/>
    <m/>
    <m/>
    <n v="27"/>
    <n v="1.29"/>
    <n v="137"/>
    <n v="499"/>
  </r>
  <r>
    <x v="14"/>
    <s v="021301"/>
    <s v="AK"/>
    <s v="AK - Valdez Cordova"/>
    <n v="99686"/>
    <s v="Providence Valdez Medical Center"/>
    <s v="Critical Access Hospital"/>
    <s v="Valdez"/>
    <n v="2.5"/>
    <n v="2.4"/>
    <n v="10"/>
    <n v="11"/>
    <m/>
    <m/>
    <n v="11"/>
    <n v="1.1200000000000001"/>
    <n v="5617"/>
    <n v="148"/>
  </r>
  <r>
    <x v="14"/>
    <s v="021307"/>
    <s v="AK"/>
    <s v="AK - Valdez Cordova"/>
    <n v="99574"/>
    <s v="Cordova Community Medical Center"/>
    <s v="Critical Access Hospital"/>
    <s v="Cordova"/>
    <n v="2.8"/>
    <n v="2.7"/>
    <n v="10"/>
    <n v="13"/>
    <m/>
    <m/>
    <n v="13"/>
    <n v="1.1000000000000001"/>
    <n v="5731"/>
    <n v="45"/>
  </r>
  <r>
    <x v="15"/>
    <s v="021305"/>
    <s v="AK"/>
    <s v="AK - Wrangell"/>
    <n v="99929"/>
    <s v="Wrangell Medical Center"/>
    <s v="Critical Access Hospital"/>
    <s v="Wrangell"/>
    <n v="2.2999999999999998"/>
    <n v="2.9"/>
    <n v="9"/>
    <n v="8"/>
    <m/>
    <m/>
    <n v="8"/>
    <n v="0.95"/>
    <n v="138"/>
    <n v="126"/>
  </r>
  <r>
    <x v="16"/>
    <s v="031315"/>
    <s v="AZ"/>
    <s v="AZ - Apache"/>
    <n v="85938"/>
    <s v="White Mountain Regional Medical Center"/>
    <s v="Critical Access Hospital"/>
    <s v="Springerville"/>
    <n v="5"/>
    <n v="0"/>
    <n v="37"/>
    <n v="21"/>
    <m/>
    <m/>
    <n v="21"/>
    <n v="0.98"/>
    <n v="144"/>
    <n v="184"/>
  </r>
  <r>
    <x v="16"/>
    <s v="031309"/>
    <s v="AZ"/>
    <s v="AZ - Apache"/>
    <n v="86505"/>
    <s v="Sage Memorial Hospital"/>
    <s v="Critical Access Hospital"/>
    <s v="Ganado"/>
    <n v="2.6"/>
    <n v="2.7"/>
    <n v="30"/>
    <n v="25"/>
    <m/>
    <m/>
    <n v="25"/>
    <n v="0.83"/>
    <n v="143"/>
    <n v="244"/>
  </r>
  <r>
    <x v="17"/>
    <s v="031312"/>
    <s v="AZ"/>
    <s v="AZ - Cochise"/>
    <n v="85603"/>
    <s v="Copper Queen Community Hospital"/>
    <s v="Critical Access Hospital"/>
    <s v="Bisbee"/>
    <n v="4.2"/>
    <n v="3"/>
    <n v="69"/>
    <n v="14"/>
    <m/>
    <n v="0.41"/>
    <n v="14"/>
    <n v="0.86"/>
    <n v="145"/>
    <n v="271"/>
  </r>
  <r>
    <x v="17"/>
    <s v="031301"/>
    <s v="AZ"/>
    <s v="AZ - Cochise"/>
    <n v="85602"/>
    <s v="Benson Hospital"/>
    <s v="Critical Access Hospital"/>
    <s v="Benson"/>
    <n v="4"/>
    <n v="2.5"/>
    <n v="60"/>
    <n v="22"/>
    <m/>
    <n v="0.41"/>
    <n v="22"/>
    <n v="0.99"/>
    <n v="146"/>
    <n v="209"/>
  </r>
  <r>
    <x v="17"/>
    <s v="031302"/>
    <s v="AZ"/>
    <s v="AZ - Cochise"/>
    <n v="85643"/>
    <s v="Northern Cochise Community Hospital"/>
    <s v="Critical Access Hospital"/>
    <s v="Willcox"/>
    <n v="2.2000000000000002"/>
    <n v="2.6"/>
    <n v="32"/>
    <n v="24"/>
    <m/>
    <n v="0.41"/>
    <n v="24"/>
    <n v="1.08"/>
    <n v="147"/>
    <n v="184"/>
  </r>
  <r>
    <x v="17"/>
    <s v="031303 (Closed)"/>
    <s v="AZ"/>
    <s v="AZ - Cochise"/>
    <n v="85607"/>
    <s v="Cochise Regional Hospital (FKA Southeast Arizona Medical Center - Closed)"/>
    <s v="Critical Access Hospital"/>
    <s v="Douglas"/>
    <n v="1.9"/>
    <n v="2.4"/>
    <m/>
    <m/>
    <m/>
    <n v="0.41"/>
    <m/>
    <m/>
    <n v="148"/>
    <n v="256"/>
  </r>
  <r>
    <x v="18"/>
    <s v="031304"/>
    <s v="AZ"/>
    <s v="AZ - Coconino"/>
    <n v="86040"/>
    <s v="Page Hospital"/>
    <s v="Critical Access Hospital"/>
    <s v="Page"/>
    <n v="2.5"/>
    <n v="2.2999999999999998"/>
    <n v="35"/>
    <n v="25"/>
    <m/>
    <n v="0.92"/>
    <n v="25"/>
    <n v="1.1499999999999999"/>
    <n v="151"/>
    <n v="377"/>
  </r>
  <r>
    <x v="19"/>
    <s v="031314"/>
    <s v="AZ"/>
    <s v="AZ - Gila"/>
    <n v="85501"/>
    <s v="Cobre Valley Regional Medical Center"/>
    <s v="Critical Access Hospital"/>
    <s v="Globe"/>
    <n v="14"/>
    <n v="2.8"/>
    <n v="153"/>
    <n v="25"/>
    <n v="4"/>
    <n v="0.5"/>
    <n v="25"/>
    <n v="1.27"/>
    <n v="154"/>
    <n v="1588"/>
  </r>
  <r>
    <x v="19"/>
    <s v="031318"/>
    <s v="AZ"/>
    <s v="AZ - Gila"/>
    <n v="85541"/>
    <s v="Banner Payson Medical Center (AKA Payson Regional Medical Center)"/>
    <s v="Critical Access Hospital"/>
    <s v="Payson"/>
    <n v="9.8000000000000007"/>
    <n v="1.2"/>
    <n v="103"/>
    <n v="25"/>
    <n v="4"/>
    <n v="0.5"/>
    <n v="25"/>
    <n v="1.34"/>
    <n v="155"/>
    <n v="1327"/>
  </r>
  <r>
    <x v="20"/>
    <s v="031317"/>
    <s v="AZ"/>
    <s v="AZ - La Paz"/>
    <n v="85344"/>
    <s v="La Paz Regional Hospital"/>
    <s v="Critical Access Hospital"/>
    <s v="Parker"/>
    <n v="8.9"/>
    <n v="3.7"/>
    <n v="53"/>
    <n v="25"/>
    <n v="3"/>
    <m/>
    <n v="25"/>
    <n v="1.29"/>
    <n v="157"/>
    <n v="711"/>
  </r>
  <r>
    <x v="20"/>
    <s v="031307"/>
    <s v="AZ"/>
    <s v="AZ - La Paz"/>
    <n v="85344"/>
    <s v="Parker Indian Health Center"/>
    <s v="Critical Access Hospital"/>
    <s v="Parker"/>
    <n v="2.5"/>
    <n v="4.4000000000000004"/>
    <n v="15"/>
    <n v="20"/>
    <m/>
    <m/>
    <n v="17"/>
    <n v="0.95"/>
    <n v="542057"/>
    <n v="41"/>
  </r>
  <r>
    <x v="21"/>
    <s v="031300"/>
    <s v="AZ"/>
    <s v="AZ - Maricopa"/>
    <n v="85390"/>
    <s v="Wickenburg Community Hospital"/>
    <s v="Critical Access Hospital"/>
    <s v="Wickenburg"/>
    <n v="3"/>
    <n v="2.4"/>
    <n v="79"/>
    <n v="19"/>
    <m/>
    <n v="0.05"/>
    <n v="19"/>
    <n v="1.3"/>
    <n v="183"/>
    <n v="327"/>
  </r>
  <r>
    <x v="22"/>
    <s v="031305"/>
    <s v="AZ"/>
    <s v="AZ - Navajo"/>
    <n v="86042"/>
    <s v="Hopi Health Care Center"/>
    <s v="Critical Access Hospital"/>
    <s v="Polacca"/>
    <n v="1.4"/>
    <n v="2.1"/>
    <n v="17"/>
    <n v="6"/>
    <m/>
    <m/>
    <n v="6"/>
    <n v="0.88"/>
    <n v="199"/>
    <n v="248"/>
  </r>
  <r>
    <x v="22"/>
    <s v="031311"/>
    <s v="AZ"/>
    <s v="AZ - Navajo"/>
    <n v="86047"/>
    <s v="Little Colorado Medical Center"/>
    <s v="Critical Access Hospital"/>
    <s v="Winslow"/>
    <n v="8.1"/>
    <n v="3.7"/>
    <n v="50"/>
    <n v="25"/>
    <m/>
    <n v="0.73"/>
    <n v="25"/>
    <n v="1.1299999999999999"/>
    <n v="201"/>
    <n v="916"/>
  </r>
  <r>
    <x v="23"/>
    <s v="031308"/>
    <s v="AZ"/>
    <s v="AZ - Pinal"/>
    <n v="85147"/>
    <s v="Hu Hu Kam Memorial Hospital"/>
    <s v="Critical Access Hospital"/>
    <s v="Sacaton"/>
    <n v="0.6"/>
    <n v="2.1"/>
    <n v="134"/>
    <n v="12"/>
    <m/>
    <m/>
    <n v="12"/>
    <n v="0.8"/>
    <n v="542058"/>
    <n v="101"/>
  </r>
  <r>
    <x v="23"/>
    <s v="031316 (Closed)"/>
    <s v="AZ"/>
    <s v="AZ - Pinal"/>
    <n v="85132"/>
    <s v="Florence Community Healthcare (Closed June 2012)"/>
    <s v="Critical Access Hospital"/>
    <s v="Florence"/>
    <n v="3.1"/>
    <n v="0.9"/>
    <m/>
    <m/>
    <m/>
    <n v="0.05"/>
    <m/>
    <m/>
    <n v="550148"/>
    <n v="526"/>
  </r>
  <r>
    <x v="24"/>
    <s v="031313"/>
    <s v="AZ"/>
    <s v="AZ - Santa Cruz"/>
    <n v="85621"/>
    <s v="Holy Cross Hospital"/>
    <s v="Critical Access Hospital"/>
    <s v="Nogales"/>
    <n v="6.9"/>
    <n v="2.2000000000000002"/>
    <n v="56"/>
    <n v="25"/>
    <m/>
    <n v="1"/>
    <n v="25"/>
    <n v="0.89"/>
    <n v="212"/>
    <n v="1148"/>
  </r>
  <r>
    <x v="25"/>
    <s v="041314"/>
    <s v="AR"/>
    <s v="AR - Arkansas"/>
    <n v="72042"/>
    <s v="DeWitt Hospital &amp; Nursing Home"/>
    <s v="Critical Access Hospital"/>
    <s v="De Witt"/>
    <n v="2.2999999999999998"/>
    <n v="4.8"/>
    <n v="6"/>
    <n v="25"/>
    <m/>
    <m/>
    <n v="25"/>
    <n v="0.91"/>
    <n v="219"/>
    <n v="192"/>
  </r>
  <r>
    <x v="26"/>
    <s v="041323"/>
    <s v="AR"/>
    <s v="AR - Ashley"/>
    <n v="71635"/>
    <s v="Ashley County Medical Center"/>
    <s v="Critical Access Hospital"/>
    <s v="Crossett"/>
    <n v="10.1"/>
    <n v="3.7"/>
    <n v="47"/>
    <n v="25"/>
    <n v="6"/>
    <m/>
    <n v="25"/>
    <n v="1.18"/>
    <n v="220"/>
    <n v="816"/>
  </r>
  <r>
    <x v="27"/>
    <s v="041331"/>
    <s v="AR"/>
    <s v="AR - Benton"/>
    <n v="72736"/>
    <s v="Ozarks Community Hospital of Gravette (AKA Ozarks Community Health System)"/>
    <s v="Critical Access Hospital"/>
    <s v="Gravette"/>
    <n v="20.3"/>
    <n v="3.8"/>
    <n v="100"/>
    <n v="25"/>
    <m/>
    <n v="0.24"/>
    <n v="25"/>
    <n v="0.95"/>
    <n v="224"/>
    <n v="415"/>
  </r>
  <r>
    <x v="28"/>
    <s v="041327"/>
    <s v="AR"/>
    <s v="AR - Bradley"/>
    <n v="71671"/>
    <s v="Bradley County Medical Center"/>
    <s v="Critical Access Hospital"/>
    <s v="Warren"/>
    <n v="5.7"/>
    <n v="3"/>
    <n v="28"/>
    <n v="25"/>
    <m/>
    <m/>
    <n v="25"/>
    <n v="1.05"/>
    <n v="226"/>
    <n v="542"/>
  </r>
  <r>
    <x v="29"/>
    <s v="041329"/>
    <s v="AR"/>
    <s v="AR - Carroll"/>
    <n v="72616"/>
    <s v="Mercy Hospital Berryville (FKA St Johns Hospital Berryville)"/>
    <s v="Critical Access Hospital"/>
    <s v="Berryville"/>
    <n v="3.8"/>
    <n v="2.7"/>
    <n v="30"/>
    <n v="25"/>
    <m/>
    <m/>
    <n v="25"/>
    <n v="1.01"/>
    <n v="227"/>
    <n v="357"/>
  </r>
  <r>
    <x v="29"/>
    <s v="041304"/>
    <s v="AR"/>
    <s v="AR - Carroll"/>
    <n v="72632"/>
    <s v="Eureka Springs Hospital"/>
    <s v="Critical Access Hospital"/>
    <s v="Eureka Springs"/>
    <n v="4.9000000000000004"/>
    <n v="4.4000000000000004"/>
    <n v="10"/>
    <n v="15"/>
    <m/>
    <m/>
    <n v="15"/>
    <n v="0.87"/>
    <n v="5981"/>
    <n v="199"/>
  </r>
  <r>
    <x v="30"/>
    <s v="041328"/>
    <s v="AR"/>
    <s v="AR - Chicot"/>
    <n v="71653"/>
    <s v="Chicot Memorial Medical Center"/>
    <s v="Critical Access Hospital"/>
    <s v="Lake Village"/>
    <n v="9.1999999999999993"/>
    <n v="3.5"/>
    <n v="22"/>
    <n v="25"/>
    <m/>
    <m/>
    <n v="25"/>
    <n v="0.97"/>
    <n v="228"/>
    <n v="510"/>
  </r>
  <r>
    <x v="31"/>
    <s v="041321"/>
    <s v="AR"/>
    <s v="AR - Clark"/>
    <n v="71923"/>
    <s v="Baptist Health - Arkadelphia"/>
    <s v="Critical Access Hospital"/>
    <s v="Arkadelphia"/>
    <n v="10.9"/>
    <n v="2.5"/>
    <n v="34"/>
    <n v="25"/>
    <m/>
    <n v="1"/>
    <n v="25"/>
    <n v="1.1499999999999999"/>
    <n v="229"/>
    <n v="1028"/>
  </r>
  <r>
    <x v="32"/>
    <s v="041330"/>
    <s v="AR"/>
    <s v="AR - Clay"/>
    <n v="72454"/>
    <s v="Piggott Community Hospital"/>
    <s v="Critical Access Hospital"/>
    <s v="Piggott"/>
    <n v="12.4"/>
    <n v="2.1"/>
    <n v="24"/>
    <n v="25"/>
    <m/>
    <m/>
    <n v="25"/>
    <n v="0.95"/>
    <n v="230"/>
    <n v="729"/>
  </r>
  <r>
    <x v="33"/>
    <s v="041312"/>
    <s v="AR"/>
    <s v="AR - Cleburne"/>
    <n v="72543"/>
    <s v="Baptist Health - Heber Springs"/>
    <s v="Critical Access Hospital"/>
    <s v="Heber Springs"/>
    <n v="9"/>
    <n v="3"/>
    <n v="32"/>
    <n v="25"/>
    <m/>
    <m/>
    <n v="25"/>
    <n v="1.32"/>
    <n v="231"/>
    <n v="733"/>
  </r>
  <r>
    <x v="34"/>
    <s v="041324"/>
    <s v="AR"/>
    <s v="AR - Conway"/>
    <n v="72110"/>
    <s v="CHI St Vincent Morrilton"/>
    <s v="Critical Access Hospital"/>
    <s v="Morrilton"/>
    <n v="7.9"/>
    <n v="4.2"/>
    <n v="32"/>
    <n v="25"/>
    <m/>
    <m/>
    <n v="25"/>
    <n v="1.29"/>
    <n v="234"/>
    <n v="636"/>
  </r>
  <r>
    <x v="35"/>
    <s v="041307"/>
    <s v="AR"/>
    <s v="AR - Cross"/>
    <n v="72396"/>
    <s v="CrossRidge Community Hospital"/>
    <s v="Critical Access Hospital"/>
    <s v="Wynne"/>
    <n v="8.5"/>
    <n v="3.9"/>
    <n v="16"/>
    <n v="15"/>
    <m/>
    <m/>
    <n v="15"/>
    <n v="0.91"/>
    <n v="239"/>
    <n v="567"/>
  </r>
  <r>
    <x v="36"/>
    <s v="041317"/>
    <s v="AR"/>
    <s v="AR - Dallas"/>
    <n v="71742"/>
    <s v="Dallas County Medical Center"/>
    <s v="Critical Access Hospital"/>
    <s v="Fordyce"/>
    <n v="2"/>
    <n v="2.9"/>
    <n v="9"/>
    <n v="22"/>
    <m/>
    <m/>
    <n v="22"/>
    <n v="0.85"/>
    <n v="240"/>
    <n v="144"/>
  </r>
  <r>
    <x v="37"/>
    <s v="041308"/>
    <s v="AR"/>
    <s v="AR - Desha"/>
    <n v="71654"/>
    <s v="McGehee Hospital (AKA McGehee-Desha County Hospital)"/>
    <s v="Critical Access Hospital"/>
    <s v="McGehee"/>
    <n v="4.3"/>
    <n v="3.9"/>
    <n v="8"/>
    <n v="25"/>
    <m/>
    <m/>
    <n v="25"/>
    <n v="0.88"/>
    <n v="241"/>
    <n v="273"/>
  </r>
  <r>
    <x v="37"/>
    <s v="041326"/>
    <s v="AR"/>
    <s v="AR - Desha"/>
    <n v="71639"/>
    <s v="Delta Memorial Hospital"/>
    <s v="Critical Access Hospital"/>
    <s v="Dumas"/>
    <n v="8.5"/>
    <n v="3.3"/>
    <n v="12"/>
    <n v="25"/>
    <m/>
    <m/>
    <n v="25"/>
    <n v="0.89"/>
    <n v="242"/>
    <n v="844"/>
  </r>
  <r>
    <x v="38"/>
    <s v="041303"/>
    <s v="AR"/>
    <s v="AR - Franklin"/>
    <n v="72949"/>
    <s v="Mercy Hospital Ozark"/>
    <s v="Critical Access Hospital"/>
    <s v="Ozark"/>
    <n v="2.7"/>
    <n v="2.5"/>
    <n v="17"/>
    <n v="25"/>
    <m/>
    <n v="0.45"/>
    <n v="25"/>
    <n v="1.01"/>
    <n v="245"/>
    <n v="225"/>
  </r>
  <r>
    <x v="39"/>
    <s v="041322"/>
    <s v="AR"/>
    <s v="AR - Fulton"/>
    <n v="72576"/>
    <s v="Fulton County Hospital"/>
    <s v="Critical Access Hospital"/>
    <s v="Salem"/>
    <n v="10.3"/>
    <n v="3.4"/>
    <n v="15"/>
    <n v="25"/>
    <m/>
    <m/>
    <n v="25"/>
    <n v="0.9"/>
    <n v="6180"/>
    <n v="549"/>
  </r>
  <r>
    <x v="40"/>
    <s v="041311"/>
    <s v="AR"/>
    <s v="AR - Howard"/>
    <n v="71852"/>
    <s v="Howard Memorial Hospital"/>
    <s v="Critical Access Hospital"/>
    <s v="Nashville"/>
    <n v="7.3"/>
    <n v="3.3"/>
    <n v="57"/>
    <n v="25"/>
    <m/>
    <m/>
    <n v="20"/>
    <n v="1.01"/>
    <n v="254"/>
    <n v="559"/>
  </r>
  <r>
    <x v="41"/>
    <s v="041306"/>
    <s v="AR"/>
    <s v="AR - Izard"/>
    <n v="72519"/>
    <s v="Izard County Medical Center"/>
    <s v="Critical Access Hospital"/>
    <s v="Calico Rock"/>
    <n v="4.5999999999999996"/>
    <n v="5.7"/>
    <n v="18"/>
    <n v="25"/>
    <m/>
    <m/>
    <n v="25"/>
    <n v="0.83"/>
    <n v="5931"/>
    <n v="298"/>
  </r>
  <r>
    <x v="42"/>
    <s v="041309"/>
    <s v="AR"/>
    <s v="AR - Lawrence"/>
    <n v="72476"/>
    <s v="Lawrence Memorial Hospital"/>
    <s v="Critical Access Hospital"/>
    <s v="Walnut Ridge"/>
    <n v="7.6"/>
    <n v="22.6"/>
    <n v="25"/>
    <n v="25"/>
    <m/>
    <m/>
    <n v="25"/>
    <n v="0.94"/>
    <n v="259"/>
    <n v="334"/>
  </r>
  <r>
    <x v="43"/>
    <s v="041320"/>
    <s v="AR"/>
    <s v="AR - Little River"/>
    <n v="71822"/>
    <s v="Little River Memorial Hospital"/>
    <s v="Critical Access Hospital"/>
    <s v="Ashdown"/>
    <n v="2.7"/>
    <n v="2.4"/>
    <n v="19"/>
    <n v="25"/>
    <m/>
    <n v="0.6"/>
    <n v="25"/>
    <n v="0.96"/>
    <n v="5919"/>
    <n v="137"/>
  </r>
  <r>
    <x v="44"/>
    <s v="041300"/>
    <s v="AR"/>
    <s v="AR - Logan"/>
    <n v="72855"/>
    <s v="Mercy Hospital Paris (FKA North Logan Mercy Hospital)"/>
    <s v="Critical Access Hospital"/>
    <s v="Paris"/>
    <n v="3.1"/>
    <n v="3.1"/>
    <n v="11"/>
    <n v="16"/>
    <m/>
    <m/>
    <n v="16"/>
    <n v="1.1000000000000001"/>
    <n v="260"/>
    <n v="159"/>
  </r>
  <r>
    <x v="44"/>
    <s v="041318"/>
    <s v="AR"/>
    <s v="AR - Logan"/>
    <n v="72927"/>
    <s v="Mercy Hospital Booneville (FKA Booneville Community Hospital)"/>
    <s v="Critical Access Hospital"/>
    <s v="Booneville"/>
    <n v="3.8"/>
    <n v="2.8"/>
    <n v="12"/>
    <n v="24"/>
    <m/>
    <m/>
    <n v="24"/>
    <n v="1.1000000000000001"/>
    <n v="261"/>
    <n v="259"/>
  </r>
  <r>
    <x v="45"/>
    <s v="041316"/>
    <s v="AR"/>
    <s v="AR - Mississippi"/>
    <n v="72370"/>
    <s v="South Mississippi County Regional Medical Center"/>
    <s v="Critical Access Hospital"/>
    <s v="Osceola"/>
    <n v="4.0999999999999996"/>
    <n v="2.9"/>
    <n v="11"/>
    <n v="25"/>
    <m/>
    <n v="0.56999999999999995"/>
    <n v="25"/>
    <n v="0.98"/>
    <n v="262"/>
    <n v="364"/>
  </r>
  <r>
    <x v="46"/>
    <s v="041305"/>
    <s v="AR"/>
    <s v="AR - Scott"/>
    <n v="72958"/>
    <s v="Mercy Hospital Waldron (FKA Mercy Hospital Scott County)"/>
    <s v="Critical Access Hospital"/>
    <s v="Waldron"/>
    <n v="3.2"/>
    <n v="2.9"/>
    <n v="14"/>
    <n v="24"/>
    <m/>
    <m/>
    <n v="24"/>
    <n v="1.06"/>
    <n v="281"/>
    <n v="225"/>
  </r>
  <r>
    <x v="47"/>
    <s v="041319 (Closed)"/>
    <s v="AR"/>
    <s v="AR - Sevier"/>
    <n v="71832"/>
    <s v="De Queen Medical Center (Closed)"/>
    <s v="Critical Access Hospital"/>
    <s v="De Queen"/>
    <n v="4"/>
    <n v="3.6"/>
    <m/>
    <m/>
    <m/>
    <m/>
    <m/>
    <n v="0.88"/>
    <n v="284"/>
    <n v="320"/>
  </r>
  <r>
    <x v="48"/>
    <s v="041310"/>
    <s v="AR"/>
    <s v="AR - Stone"/>
    <n v="72560"/>
    <s v="Stone County Medical Center"/>
    <s v="Critical Access Hospital"/>
    <s v="Mountain View"/>
    <n v="5.2"/>
    <n v="2.6"/>
    <n v="23"/>
    <n v="25"/>
    <m/>
    <m/>
    <n v="25"/>
    <n v="1.31"/>
    <n v="285"/>
    <n v="544"/>
  </r>
  <r>
    <x v="49"/>
    <s v="041313"/>
    <s v="AR"/>
    <s v="AR - Van Buren"/>
    <n v="72031"/>
    <s v="Ozark Health Medical Center"/>
    <s v="Critical Access Hospital"/>
    <s v="Clinton"/>
    <n v="13"/>
    <n v="4.7"/>
    <n v="29"/>
    <n v="25"/>
    <m/>
    <m/>
    <n v="25"/>
    <n v="1.0900000000000001"/>
    <n v="287"/>
    <n v="386"/>
  </r>
  <r>
    <x v="50"/>
    <s v="041302"/>
    <s v="AR"/>
    <s v="AR - Yell"/>
    <n v="72834"/>
    <s v="Dardanelle Regional Medical Center (FKA River Valley Medical Center)"/>
    <s v="Critical Access Hospital"/>
    <s v="Dardanelle"/>
    <n v="4.3"/>
    <n v="3.5"/>
    <n v="12"/>
    <n v="25"/>
    <m/>
    <n v="0.66"/>
    <n v="25"/>
    <n v="1.03"/>
    <n v="294"/>
    <n v="308"/>
  </r>
  <r>
    <x v="51"/>
    <s v="051311"/>
    <s v="CA"/>
    <s v="CA - Butte"/>
    <n v="95948"/>
    <s v="Orchard Hospital (FKA Biggs - Gridley Memorial Hospital)"/>
    <s v="Critical Access Hospital"/>
    <s v="Gridley"/>
    <n v="8.6"/>
    <n v="3.8"/>
    <n v="42"/>
    <n v="24"/>
    <m/>
    <n v="0.42"/>
    <n v="24"/>
    <n v="1.03"/>
    <n v="5745"/>
    <n v="291"/>
  </r>
  <r>
    <x v="52"/>
    <s v="051332"/>
    <s v="CA"/>
    <s v="CA - Calaveras"/>
    <n v="95249"/>
    <s v="Mark Twain Medical Center"/>
    <s v="Critical Access Hospital"/>
    <s v="San Andreas"/>
    <n v="8.6"/>
    <n v="3.3"/>
    <n v="42"/>
    <n v="25"/>
    <m/>
    <m/>
    <n v="25"/>
    <n v="1.39"/>
    <n v="311"/>
    <n v="924"/>
  </r>
  <r>
    <x v="53"/>
    <s v="051306"/>
    <s v="CA"/>
    <s v="CA - Glenn"/>
    <n v="95988"/>
    <s v="Glenn Medical Center"/>
    <s v="Critical Access Hospital"/>
    <s v="Willows"/>
    <n v="17.3"/>
    <n v="2.8"/>
    <n v="19"/>
    <n v="15"/>
    <m/>
    <m/>
    <n v="15"/>
    <n v="0.9"/>
    <n v="333"/>
    <n v="122"/>
  </r>
  <r>
    <x v="54"/>
    <s v="051309"/>
    <s v="CA"/>
    <s v="CA - Humboldt"/>
    <n v="95542"/>
    <s v="Jerold Phelps Community Hospital"/>
    <s v="Critical Access Hospital"/>
    <s v="Garberville"/>
    <n v="3.1"/>
    <n v="2.2999999999999998"/>
    <n v="11"/>
    <n v="9"/>
    <m/>
    <n v="0.53"/>
    <n v="9"/>
    <n v="0.84"/>
    <n v="334"/>
    <n v="55"/>
  </r>
  <r>
    <x v="54"/>
    <s v="051318"/>
    <s v="CA"/>
    <s v="CA - Humboldt"/>
    <n v="95540"/>
    <s v="Redwood Memorial Hospital"/>
    <s v="Critical Access Hospital"/>
    <s v="Fortuna"/>
    <n v="12.2"/>
    <n v="3.6"/>
    <n v="79"/>
    <n v="25"/>
    <n v="4"/>
    <n v="0.53"/>
    <n v="25"/>
    <n v="1.47"/>
    <n v="335"/>
    <n v="1209"/>
  </r>
  <r>
    <x v="55"/>
    <s v="051302"/>
    <s v="CA"/>
    <s v="CA - Inyo"/>
    <n v="93545"/>
    <s v="Southern Inyo Hospital (AKA Southern Inyo Healthcare District)"/>
    <s v="Critical Access Hospital"/>
    <s v="Lone Pine"/>
    <n v="0.5"/>
    <n v="3.2"/>
    <n v="11"/>
    <n v="4"/>
    <m/>
    <m/>
    <n v="4"/>
    <n v="1.05"/>
    <n v="341"/>
    <n v="51"/>
  </r>
  <r>
    <x v="55"/>
    <s v="051324"/>
    <s v="CA"/>
    <s v="CA - Inyo"/>
    <n v="93514"/>
    <s v="Northern Inyo Hospital"/>
    <s v="Critical Access Hospital"/>
    <s v="Bishop"/>
    <n v="8.8000000000000007"/>
    <n v="2.6"/>
    <n v="79"/>
    <n v="25"/>
    <n v="4"/>
    <m/>
    <n v="25"/>
    <n v="1.31"/>
    <n v="342"/>
    <n v="1017"/>
  </r>
  <r>
    <x v="56"/>
    <s v="051314"/>
    <s v="CA"/>
    <s v="CA - Kern"/>
    <n v="93240"/>
    <s v="Kern Valley Healthcare District"/>
    <s v="Critical Access Hospital"/>
    <s v="Lake Isabella"/>
    <n v="4.5999999999999996"/>
    <n v="3.5"/>
    <n v="47"/>
    <n v="24"/>
    <m/>
    <n v="0.18"/>
    <n v="24"/>
    <n v="1"/>
    <n v="343"/>
    <n v="419"/>
  </r>
  <r>
    <x v="56"/>
    <s v="051301"/>
    <s v="CA"/>
    <s v="CA - Kern"/>
    <n v="93561"/>
    <s v="Adventist Health Tehachapi Valley (FKA Tehachapi Hospital)"/>
    <s v="Critical Access Hospital"/>
    <s v="Tehachapi"/>
    <n v="6.5"/>
    <n v="4.4000000000000004"/>
    <n v="41"/>
    <n v="20"/>
    <n v="4"/>
    <n v="0.18"/>
    <n v="20"/>
    <n v="1"/>
    <n v="344"/>
    <n v="168"/>
  </r>
  <r>
    <x v="56"/>
    <s v="051333"/>
    <s v="CA"/>
    <s v="CA - Kern"/>
    <n v="93555"/>
    <s v="Ridgecrest Regional Hospital"/>
    <s v="Critical Access Hospital"/>
    <s v="Ridgecrest"/>
    <n v="16.600000000000001"/>
    <n v="2.6"/>
    <n v="117"/>
    <n v="25"/>
    <n v="4"/>
    <n v="0.18"/>
    <n v="25"/>
    <n v="1.29"/>
    <n v="350"/>
    <n v="1798"/>
  </r>
  <r>
    <x v="57"/>
    <s v="051317"/>
    <s v="CA"/>
    <s v="CA - Lake"/>
    <n v="95422"/>
    <s v="Adventist Health Clear Lake (FKA St Helena Hospital - Clear Lake)"/>
    <s v="Critical Access Hospital"/>
    <s v="Clearlake"/>
    <n v="15.4"/>
    <n v="4"/>
    <n v="86"/>
    <n v="25"/>
    <n v="4"/>
    <n v="0.5"/>
    <n v="25"/>
    <n v="1.27"/>
    <n v="356"/>
    <n v="1417"/>
  </r>
  <r>
    <x v="57"/>
    <s v="051329"/>
    <s v="CA"/>
    <s v="CA - Lake"/>
    <n v="95453"/>
    <s v="Sutter Lakeside Hospital"/>
    <s v="Critical Access Hospital"/>
    <s v="Lakeport"/>
    <n v="17.399999999999999"/>
    <n v="3"/>
    <n v="83"/>
    <n v="25"/>
    <n v="4"/>
    <n v="0.5"/>
    <n v="25"/>
    <n v="1.37"/>
    <n v="357"/>
    <n v="1625"/>
  </r>
  <r>
    <x v="58"/>
    <s v="051320"/>
    <s v="CA"/>
    <s v="CA - Lassen"/>
    <n v="96130"/>
    <s v="Banner Lassen Medical Center"/>
    <s v="Critical Access Hospital"/>
    <s v="Susanville"/>
    <n v="8.9"/>
    <n v="3.3"/>
    <n v="61"/>
    <n v="25"/>
    <m/>
    <n v="1"/>
    <n v="25"/>
    <n v="1.05"/>
    <n v="358"/>
    <n v="987"/>
  </r>
  <r>
    <x v="59"/>
    <s v="051307"/>
    <s v="CA"/>
    <s v="CA - Los Angeles"/>
    <n v="90704"/>
    <s v="Catalina Island Medical Center"/>
    <s v="Critical Access Hospital"/>
    <s v="Avalon"/>
    <n v="3.8"/>
    <n v="3"/>
    <n v="10"/>
    <n v="8"/>
    <m/>
    <n v="0.03"/>
    <n v="8"/>
    <n v="0.85"/>
    <n v="359"/>
    <n v="6"/>
  </r>
  <r>
    <x v="60"/>
    <s v="051304"/>
    <s v="CA"/>
    <s v="CA - Mariposa"/>
    <n v="95338"/>
    <s v="John C Fremont Healthcare District"/>
    <s v="Critical Access Hospital"/>
    <s v="Mariposa"/>
    <n v="12.8"/>
    <n v="3.6"/>
    <n v="28"/>
    <n v="18"/>
    <m/>
    <m/>
    <n v="18"/>
    <n v="1.04"/>
    <n v="449"/>
    <n v="309"/>
  </r>
  <r>
    <x v="61"/>
    <s v="051310"/>
    <s v="CA"/>
    <s v="CA - Mendocino"/>
    <n v="95490"/>
    <s v="Adventist Health Howard Memorial (FKA Frank R Howard Memorial Hospital)"/>
    <s v="Critical Access Hospital"/>
    <s v="Willits"/>
    <n v="19.5"/>
    <n v="4"/>
    <n v="55"/>
    <n v="25"/>
    <n v="4"/>
    <n v="0.41"/>
    <n v="25"/>
    <n v="1.57"/>
    <n v="450"/>
    <n v="1541"/>
  </r>
  <r>
    <x v="61"/>
    <s v="051325"/>
    <s v="CA"/>
    <s v="CA - Mendocino"/>
    <n v="95437"/>
    <s v="Mendocino Coast District Hospital"/>
    <s v="Critical Access Hospital"/>
    <s v="Fort Bragg"/>
    <n v="11.1"/>
    <n v="3.3"/>
    <n v="81"/>
    <n v="25"/>
    <n v="4"/>
    <n v="0.41"/>
    <n v="25"/>
    <n v="1.36"/>
    <n v="451"/>
    <n v="797"/>
  </r>
  <r>
    <x v="62"/>
    <s v="051308"/>
    <s v="CA"/>
    <s v="CA - Modoc"/>
    <n v="96104"/>
    <s v="Surprise Valley Community Hospital"/>
    <s v="Critical Access Hospital"/>
    <s v="Cedarville"/>
    <n v="1"/>
    <n v="2.6"/>
    <n v="3"/>
    <n v="4"/>
    <m/>
    <m/>
    <n v="4"/>
    <n v="0.85"/>
    <n v="455"/>
    <n v="21"/>
  </r>
  <r>
    <x v="62"/>
    <s v="051330"/>
    <s v="CA"/>
    <s v="CA - Modoc"/>
    <n v="96101"/>
    <s v="Modoc Medical Center"/>
    <s v="Critical Access Hospital"/>
    <s v="Alturas"/>
    <n v="3.2"/>
    <n v="3.7"/>
    <n v="24"/>
    <n v="16"/>
    <m/>
    <m/>
    <n v="16"/>
    <n v="1.03"/>
    <n v="4774"/>
    <n v="238"/>
  </r>
  <r>
    <x v="63"/>
    <s v="051303"/>
    <s v="CA"/>
    <s v="CA - Mono"/>
    <n v="93546"/>
    <s v="Mammoth Hospital"/>
    <s v="Critical Access Hospital"/>
    <s v="Mammoth Lakes"/>
    <n v="4.5999999999999996"/>
    <n v="2.4"/>
    <n v="62"/>
    <n v="17"/>
    <n v="2"/>
    <m/>
    <n v="17"/>
    <n v="1.59"/>
    <n v="5409"/>
    <n v="820"/>
  </r>
  <r>
    <x v="64"/>
    <s v="051328"/>
    <s v="CA"/>
    <s v="CA - Nevada"/>
    <n v="96160"/>
    <s v="Tahoe Forest Hospital"/>
    <s v="Critical Access Hospital"/>
    <s v="Truckee"/>
    <n v="14.5"/>
    <n v="2.2999999999999998"/>
    <n v="92"/>
    <n v="25"/>
    <n v="6"/>
    <n v="0.5"/>
    <n v="25"/>
    <n v="1.59"/>
    <n v="463"/>
    <n v="2068"/>
  </r>
  <r>
    <x v="65"/>
    <s v="051300"/>
    <s v="CA"/>
    <s v="CA - Plumas"/>
    <n v="96122"/>
    <s v="Eastern Plumas Hospital - Portola Campus"/>
    <s v="Critical Access Hospital"/>
    <s v="Portola"/>
    <n v="3.1"/>
    <n v="4"/>
    <n v="20"/>
    <n v="9"/>
    <m/>
    <m/>
    <n v="9"/>
    <n v="0.87"/>
    <n v="491"/>
    <n v="124"/>
  </r>
  <r>
    <x v="65"/>
    <s v="051326"/>
    <s v="CA"/>
    <s v="CA - Plumas"/>
    <n v="95971"/>
    <s v="Plumas District Hospital"/>
    <s v="Critical Access Hospital"/>
    <s v="Quincy"/>
    <n v="6.1"/>
    <n v="2.9"/>
    <n v="25"/>
    <n v="17"/>
    <m/>
    <m/>
    <n v="17"/>
    <n v="1.04"/>
    <n v="492"/>
    <n v="516"/>
  </r>
  <r>
    <x v="65"/>
    <s v="051327"/>
    <s v="CA"/>
    <s v="CA - Plumas"/>
    <n v="96020"/>
    <s v="Seneca Healthcare District Hospital"/>
    <s v="Critical Access Hospital"/>
    <s v="Chester"/>
    <n v="2.1"/>
    <n v="3.2"/>
    <n v="13"/>
    <n v="10"/>
    <m/>
    <m/>
    <n v="10"/>
    <n v="0.96"/>
    <n v="493"/>
    <n v="129"/>
  </r>
  <r>
    <x v="66"/>
    <s v="051323"/>
    <s v="CA"/>
    <s v="CA - San Bernardino"/>
    <n v="92363"/>
    <s v="Colorado River Medical Center"/>
    <s v="Critical Access Hospital"/>
    <s v="Needles"/>
    <n v="4.0999999999999996"/>
    <n v="2.9"/>
    <n v="9"/>
    <n v="25"/>
    <m/>
    <n v="0.14000000000000001"/>
    <n v="25"/>
    <n v="0.88"/>
    <n v="533"/>
    <n v="519"/>
  </r>
  <r>
    <x v="66"/>
    <s v="051312"/>
    <s v="CA"/>
    <s v="CA - San Bernardino"/>
    <n v="92352"/>
    <s v="Mountains Community Hospital"/>
    <s v="Critical Access Hospital"/>
    <s v="Lake Arrowhead"/>
    <n v="3.2"/>
    <n v="3.1"/>
    <n v="24"/>
    <n v="17"/>
    <m/>
    <n v="0.14000000000000001"/>
    <n v="17"/>
    <n v="1.02"/>
    <n v="534"/>
    <n v="306"/>
  </r>
  <r>
    <x v="66"/>
    <s v="051335"/>
    <s v="CA"/>
    <s v="CA - San Bernardino"/>
    <n v="92315"/>
    <s v="Bear Valley Community Hospital (AKA Bear Valley Community Healthcare District)"/>
    <s v="Critical Access Hospital"/>
    <s v="Big Bear Lake"/>
    <n v="1.5"/>
    <n v="2.2999999999999998"/>
    <n v="45"/>
    <n v="9"/>
    <m/>
    <n v="0.14000000000000001"/>
    <n v="9"/>
    <n v="0.88"/>
    <n v="528"/>
    <n v="138"/>
  </r>
  <r>
    <x v="67"/>
    <s v="051331"/>
    <s v="CA"/>
    <s v="CA - Santa Barbara"/>
    <n v="93463"/>
    <s v="Santa Ynez Valley Cottage Hospital"/>
    <s v="Critical Access Hospital"/>
    <s v="Solvang"/>
    <n v="1.7"/>
    <n v="2.9"/>
    <n v="46"/>
    <n v="11"/>
    <m/>
    <n v="0.38"/>
    <n v="11"/>
    <n v="1.06"/>
    <n v="585"/>
    <n v="212"/>
  </r>
  <r>
    <x v="68"/>
    <s v="051305"/>
    <s v="CA"/>
    <s v="CA - Shasta"/>
    <n v="96028"/>
    <s v="Mayers Memorial Hospital"/>
    <s v="Critical Access Hospital"/>
    <s v="Fall River Mills"/>
    <n v="5.2"/>
    <n v="3.2"/>
    <n v="24"/>
    <n v="22"/>
    <m/>
    <n v="0.57999999999999996"/>
    <n v="22"/>
    <n v="1.05"/>
    <n v="603"/>
    <n v="207"/>
  </r>
  <r>
    <x v="69"/>
    <s v="051319"/>
    <s v="CA"/>
    <s v="CA - Siskiyou"/>
    <n v="96067"/>
    <s v="Mercy Medical Center Mt Shasta"/>
    <s v="Critical Access Hospital"/>
    <s v="Mount Shasta"/>
    <n v="8.1999999999999993"/>
    <n v="3"/>
    <n v="79"/>
    <n v="25"/>
    <n v="4"/>
    <m/>
    <n v="25"/>
    <n v="1.51"/>
    <n v="604"/>
    <n v="992"/>
  </r>
  <r>
    <x v="69"/>
    <s v="051316"/>
    <s v="CA"/>
    <s v="CA - Siskiyou"/>
    <n v="96097"/>
    <s v="Fairchild Medical Center"/>
    <s v="Critical Access Hospital"/>
    <s v="Yreka"/>
    <n v="12.7"/>
    <n v="3.5"/>
    <n v="69"/>
    <n v="25"/>
    <n v="4"/>
    <m/>
    <n v="25"/>
    <n v="1.33"/>
    <n v="605"/>
    <n v="1299"/>
  </r>
  <r>
    <x v="70"/>
    <s v="051321"/>
    <s v="CA"/>
    <s v="CA - Sonoma"/>
    <n v="95448"/>
    <s v="Healdsburg District Hospital"/>
    <s v="Critical Access Hospital"/>
    <s v="Healdsburg"/>
    <n v="7.9"/>
    <n v="3.6"/>
    <n v="72"/>
    <n v="25"/>
    <n v="4"/>
    <n v="0.3"/>
    <n v="25"/>
    <n v="1.28"/>
    <n v="617"/>
    <n v="672"/>
  </r>
  <r>
    <x v="71"/>
    <s v="051315"/>
    <s v="CA"/>
    <s v="CA - Trinity"/>
    <n v="96093"/>
    <s v="Trinity Hospital"/>
    <s v="Critical Access Hospital"/>
    <s v="Weaverville"/>
    <n v="5.9"/>
    <n v="4"/>
    <n v="23"/>
    <n v="25"/>
    <m/>
    <m/>
    <n v="25"/>
    <n v="1.01"/>
    <n v="625"/>
    <n v="231"/>
  </r>
  <r>
    <x v="72"/>
    <s v="051334"/>
    <s v="CA"/>
    <s v="CA - Ventura"/>
    <n v="93023"/>
    <s v="Ojai Valley Community Hospital"/>
    <s v="Critical Access Hospital"/>
    <s v="Ojai"/>
    <n v="8.5"/>
    <n v="9.1"/>
    <n v="88"/>
    <n v="25"/>
    <n v="4"/>
    <n v="0.2"/>
    <n v="25"/>
    <n v="1.25"/>
    <n v="637"/>
    <n v="452"/>
  </r>
  <r>
    <x v="73"/>
    <s v="061328"/>
    <s v="CO"/>
    <s v="CO - Archuleta"/>
    <n v="81147"/>
    <s v="Pagosa Springs Medical Center (FKA Pagosa Mountain Hospital)"/>
    <s v="Critical Access Hospital"/>
    <s v="Pagosa Springs"/>
    <n v="3.3"/>
    <n v="2.6"/>
    <n v="37"/>
    <n v="11"/>
    <m/>
    <m/>
    <n v="11"/>
    <n v="1.1499999999999999"/>
    <n v="650"/>
    <n v="454"/>
  </r>
  <r>
    <x v="74"/>
    <s v="061311"/>
    <s v="CO"/>
    <s v="CO - Baca"/>
    <n v="81073"/>
    <s v="Southeast Colorado Hospital"/>
    <s v="Critical Access Hospital"/>
    <s v="Springfield"/>
    <n v="4.9000000000000004"/>
    <n v="3.3"/>
    <n v="8"/>
    <n v="15"/>
    <m/>
    <m/>
    <n v="15"/>
    <n v="0.98"/>
    <n v="6112"/>
    <n v="199"/>
  </r>
  <r>
    <x v="75"/>
    <s v="061322"/>
    <s v="CO"/>
    <s v="CO - Chaffee"/>
    <n v="81201"/>
    <s v="Heart of the Rockies Regional Medical Center"/>
    <s v="Critical Access Hospital"/>
    <s v="Salida"/>
    <n v="10.3"/>
    <n v="3"/>
    <n v="112"/>
    <n v="25"/>
    <n v="2"/>
    <m/>
    <n v="25"/>
    <n v="1.26"/>
    <n v="655"/>
    <n v="979"/>
  </r>
  <r>
    <x v="76"/>
    <s v="061308"/>
    <s v="CO"/>
    <s v="CO - Conejos"/>
    <n v="81140"/>
    <s v="Conejos County Hospital"/>
    <s v="Critical Access Hospital"/>
    <s v="La Jara"/>
    <n v="2.9"/>
    <n v="2.9"/>
    <n v="18"/>
    <n v="17"/>
    <m/>
    <m/>
    <n v="17"/>
    <n v="1.04"/>
    <n v="5793"/>
    <n v="161"/>
  </r>
  <r>
    <x v="77"/>
    <s v="061344"/>
    <s v="CO"/>
    <s v="CO - Fremont"/>
    <n v="81212"/>
    <s v="St Thomas More Hospital"/>
    <s v="Critical Access Hospital"/>
    <s v="Canon City"/>
    <n v="14.9"/>
    <n v="3.6"/>
    <n v="88"/>
    <n v="25"/>
    <n v="4"/>
    <n v="1"/>
    <n v="25"/>
    <n v="1.53"/>
    <n v="670"/>
    <n v="1735"/>
  </r>
  <r>
    <x v="78"/>
    <s v="061317"/>
    <s v="CO"/>
    <s v="CO - Garfield"/>
    <n v="81650"/>
    <s v="Grand River Medical Center (AKA Grand River Health)"/>
    <s v="Critical Access Hospital"/>
    <s v="Rifle"/>
    <n v="5.2"/>
    <n v="2.8"/>
    <n v="70"/>
    <n v="12"/>
    <m/>
    <n v="0.44"/>
    <n v="12"/>
    <n v="1.3"/>
    <n v="672"/>
    <n v="573"/>
  </r>
  <r>
    <x v="79"/>
    <s v="061318"/>
    <s v="CO"/>
    <s v="CO - Grand"/>
    <n v="80459"/>
    <s v="Middle Park Health - Kremmling (FKA Middle Park Medical Center - Kremmling)"/>
    <s v="Critical Access Hospital"/>
    <s v="Kremmling"/>
    <n v="10.199999999999999"/>
    <n v="3.6"/>
    <n v="51"/>
    <n v="21"/>
    <m/>
    <m/>
    <n v="21"/>
    <n v="1.02"/>
    <n v="5856"/>
    <n v="101"/>
  </r>
  <r>
    <x v="79"/>
    <s v="061318*"/>
    <s v="CO"/>
    <s v="CO - Grand"/>
    <n v="80446"/>
    <s v="Middle Park Health - Granby (FKA Middle Park Medical Center - Granby)"/>
    <s v="Critical Access Hospital"/>
    <s v="Granby"/>
    <m/>
    <m/>
    <m/>
    <m/>
    <m/>
    <m/>
    <n v="2"/>
    <m/>
    <n v="581817"/>
    <m/>
  </r>
  <r>
    <x v="80"/>
    <s v="061320"/>
    <s v="CO"/>
    <s v="CO - Gunnison"/>
    <n v="81230"/>
    <s v="Gunnison Valley Health"/>
    <s v="Critical Access Hospital"/>
    <s v="Gunnison"/>
    <n v="4.7"/>
    <n v="2.2000000000000002"/>
    <n v="76"/>
    <n v="20"/>
    <m/>
    <m/>
    <n v="20"/>
    <n v="1.43"/>
    <n v="673"/>
    <n v="510"/>
  </r>
  <r>
    <x v="81"/>
    <s v="061316"/>
    <s v="CO"/>
    <s v="CO - Huerfano"/>
    <n v="81089"/>
    <s v="Spanish Peaks Regional Health Center"/>
    <s v="Critical Access Hospital"/>
    <s v="Walsenburg"/>
    <n v="2.1"/>
    <n v="2.5"/>
    <n v="29"/>
    <n v="16"/>
    <m/>
    <m/>
    <n v="16"/>
    <n v="0.99"/>
    <n v="674"/>
    <n v="139"/>
  </r>
  <r>
    <x v="82"/>
    <s v="061300"/>
    <s v="CO"/>
    <s v="CO - Kiowa"/>
    <n v="81036"/>
    <s v="Kiowa County District Hospital"/>
    <s v="Critical Access Hospital"/>
    <s v="Eads"/>
    <n v="16.2"/>
    <n v="3.1"/>
    <n v="9"/>
    <n v="25"/>
    <m/>
    <m/>
    <n v="25"/>
    <n v="0.87"/>
    <n v="5774"/>
    <n v="34"/>
  </r>
  <r>
    <x v="83"/>
    <s v="061313"/>
    <s v="CO"/>
    <s v="CO - Kit Carson"/>
    <n v="80807"/>
    <s v="Kit Carson County Memorial Hospital"/>
    <s v="Critical Access Hospital"/>
    <s v="Burlington"/>
    <n v="4.5999999999999996"/>
    <n v="3.3"/>
    <n v="19"/>
    <n v="19"/>
    <m/>
    <m/>
    <n v="19"/>
    <n v="0.89"/>
    <n v="677"/>
    <n v="308"/>
  </r>
  <r>
    <x v="84"/>
    <s v="061319"/>
    <s v="CO"/>
    <s v="CO - Lake"/>
    <n v="80461"/>
    <s v="St Vincent General Hospital District"/>
    <s v="Critical Access Hospital"/>
    <s v="Leadville"/>
    <n v="0.8"/>
    <n v="1.8"/>
    <n v="12"/>
    <n v="8"/>
    <m/>
    <m/>
    <n v="8"/>
    <n v="0.9"/>
    <n v="678"/>
    <n v="104"/>
  </r>
  <r>
    <x v="85"/>
    <s v="061312"/>
    <s v="CO"/>
    <s v="CO - Larimer"/>
    <n v="80517"/>
    <s v="Estes Park Health (FKA Estes Park Medical Center)"/>
    <s v="Critical Access Hospital"/>
    <s v="Estes Park"/>
    <n v="3.3"/>
    <n v="2.7"/>
    <n v="49"/>
    <n v="25"/>
    <m/>
    <n v="0.37"/>
    <n v="23"/>
    <n v="1.22"/>
    <n v="683"/>
    <n v="404"/>
  </r>
  <r>
    <x v="86"/>
    <s v="061321"/>
    <s v="CO"/>
    <s v="CO - Las Animas"/>
    <n v="81082"/>
    <s v="Mt San Rafael Hospital"/>
    <s v="Critical Access Hospital"/>
    <s v="Trinidad"/>
    <n v="7.2"/>
    <n v="3.4"/>
    <n v="46"/>
    <n v="25"/>
    <m/>
    <m/>
    <n v="25"/>
    <n v="0.96"/>
    <n v="685"/>
    <n v="479"/>
  </r>
  <r>
    <x v="87"/>
    <s v="061306"/>
    <s v="CO"/>
    <s v="CO - Lincoln"/>
    <n v="80821"/>
    <s v="Lincoln Community Hospital"/>
    <s v="Critical Access Hospital"/>
    <s v="Hugo"/>
    <n v="2.6"/>
    <n v="3.3"/>
    <n v="23"/>
    <n v="15"/>
    <m/>
    <m/>
    <n v="15"/>
    <n v="0.97"/>
    <n v="5289"/>
    <n v="137"/>
  </r>
  <r>
    <x v="88"/>
    <s v="061302"/>
    <s v="CO"/>
    <s v="CO - Mesa"/>
    <n v="81521"/>
    <s v="Family Health West (FKA Colorado Canyons Hospital and Medical Center)"/>
    <s v="Critical Access Hospital"/>
    <s v="Fruita"/>
    <n v="13.4"/>
    <n v="3.2"/>
    <n v="43"/>
    <n v="25"/>
    <m/>
    <n v="0.55000000000000004"/>
    <n v="25"/>
    <n v="1.37"/>
    <n v="5926"/>
    <n v="258"/>
  </r>
  <r>
    <x v="89"/>
    <s v="061314"/>
    <s v="CO"/>
    <s v="CO - Moffat"/>
    <n v="81625"/>
    <s v="Memorial Regional Health (FKA Memorial Hospital at Craig)"/>
    <s v="Critical Access Hospital"/>
    <s v="Craig"/>
    <n v="8.8000000000000007"/>
    <n v="3.2"/>
    <n v="44"/>
    <n v="25"/>
    <m/>
    <n v="1"/>
    <n v="25"/>
    <n v="1.39"/>
    <n v="690"/>
    <n v="819"/>
  </r>
  <r>
    <x v="90"/>
    <s v="061327"/>
    <s v="CO"/>
    <s v="CO - Montezuma"/>
    <n v="81321"/>
    <s v="Southwest Memorial Hospital"/>
    <s v="Critical Access Hospital"/>
    <s v="Cortez"/>
    <n v="9.6"/>
    <n v="3.1"/>
    <n v="78"/>
    <n v="25"/>
    <n v="4"/>
    <m/>
    <n v="25"/>
    <n v="1.27"/>
    <n v="691"/>
    <n v="1027"/>
  </r>
  <r>
    <x v="91"/>
    <s v="061303"/>
    <s v="CO"/>
    <s v="CO - Morgan"/>
    <n v="80723"/>
    <s v="East Morgan County Hospital"/>
    <s v="Critical Access Hospital"/>
    <s v="Brush"/>
    <n v="4.0999999999999996"/>
    <n v="2.6"/>
    <n v="38"/>
    <n v="25"/>
    <m/>
    <n v="0.53"/>
    <n v="25"/>
    <n v="1.28"/>
    <n v="694"/>
    <n v="410"/>
  </r>
  <r>
    <x v="92"/>
    <s v="061336"/>
    <s v="CO"/>
    <s v="CO - Otero"/>
    <n v="81050"/>
    <s v="Arkansas Valley Regional Medical Center"/>
    <s v="Critical Access Hospital"/>
    <s v="La Junta"/>
    <n v="256.2"/>
    <n v="3"/>
    <n v="74"/>
    <n v="522"/>
    <n v="506"/>
    <m/>
    <n v="522"/>
    <n v="1.18"/>
    <n v="695"/>
    <n v="1048"/>
  </r>
  <r>
    <x v="93"/>
    <s v="061305"/>
    <s v="CO"/>
    <s v="CO - Phillips"/>
    <n v="80734"/>
    <s v="Melissa Memorial Hospital (AKA East Phillips County Hospital District)"/>
    <s v="Critical Access Hospital"/>
    <s v="Holyoke"/>
    <n v="2.9"/>
    <n v="3.1"/>
    <n v="19"/>
    <n v="15"/>
    <m/>
    <m/>
    <n v="15"/>
    <n v="1"/>
    <n v="696"/>
    <n v="195"/>
  </r>
  <r>
    <x v="93"/>
    <s v="061304"/>
    <s v="CO"/>
    <s v="CO - Phillips"/>
    <n v="80731"/>
    <s v="Haxtun Hospital District"/>
    <s v="Critical Access Hospital"/>
    <s v="Haxtun"/>
    <n v="20.5"/>
    <n v="3.1"/>
    <n v="8"/>
    <n v="25"/>
    <m/>
    <m/>
    <n v="25"/>
    <n v="0.87"/>
    <n v="5380"/>
    <n v="63"/>
  </r>
  <r>
    <x v="94"/>
    <s v="061324"/>
    <s v="CO"/>
    <s v="CO - Pitkin"/>
    <n v="81611"/>
    <s v="Aspen Valley Hospital"/>
    <s v="Critical Access Hospital"/>
    <s v="Aspen"/>
    <n v="6.4"/>
    <n v="3.3"/>
    <n v="78"/>
    <n v="25"/>
    <n v="4"/>
    <n v="0.44"/>
    <n v="25"/>
    <n v="1.49"/>
    <n v="697"/>
    <n v="716"/>
  </r>
  <r>
    <x v="95"/>
    <s v="061323"/>
    <s v="CO"/>
    <s v="CO - Prowers"/>
    <n v="81052"/>
    <s v="Prowers Medical Center"/>
    <s v="Critical Access Hospital"/>
    <s v="Lamar"/>
    <n v="8.1999999999999993"/>
    <n v="2.7"/>
    <n v="52"/>
    <n v="25"/>
    <m/>
    <m/>
    <n v="25"/>
    <n v="0.97"/>
    <n v="698"/>
    <n v="537"/>
  </r>
  <r>
    <x v="96"/>
    <s v="061325"/>
    <s v="CO"/>
    <s v="CO - Rio Blanco"/>
    <n v="81641"/>
    <s v="Pioneers Medical Center"/>
    <s v="Critical Access Hospital"/>
    <s v="Meeker"/>
    <n v="4"/>
    <n v="2"/>
    <n v="14"/>
    <n v="10"/>
    <m/>
    <m/>
    <n v="10"/>
    <n v="1.34"/>
    <n v="701"/>
    <n v="384"/>
  </r>
  <r>
    <x v="96"/>
    <s v="061307"/>
    <s v="CO"/>
    <s v="CO - Rio Blanco"/>
    <n v="81648"/>
    <s v="Rangely District Hospital"/>
    <s v="Critical Access Hospital"/>
    <s v="Rangely"/>
    <n v="14"/>
    <n v="2.5"/>
    <n v="10"/>
    <n v="25"/>
    <m/>
    <m/>
    <n v="25"/>
    <n v="0.95"/>
    <n v="702"/>
    <n v="36"/>
  </r>
  <r>
    <x v="97"/>
    <s v="061301"/>
    <s v="CO"/>
    <s v="CO - Rio Grande"/>
    <n v="81132"/>
    <s v="Rio Grande Hospital"/>
    <s v="Critical Access Hospital"/>
    <s v="Del Norte"/>
    <n v="6.7"/>
    <n v="3.3"/>
    <n v="33"/>
    <n v="17"/>
    <m/>
    <m/>
    <n v="17"/>
    <n v="0.98"/>
    <n v="703"/>
    <n v="443"/>
  </r>
  <r>
    <x v="98"/>
    <s v="061310"/>
    <s v="CO"/>
    <s v="CO - Sedgwick"/>
    <n v="80737"/>
    <s v="Sedgwick County Health Center"/>
    <s v="Critical Access Hospital"/>
    <s v="Julesburg"/>
    <n v="2"/>
    <n v="2.9"/>
    <n v="10"/>
    <n v="9"/>
    <m/>
    <m/>
    <n v="9"/>
    <n v="0.9"/>
    <n v="5540"/>
    <n v="154"/>
  </r>
  <r>
    <x v="99"/>
    <s v="061326"/>
    <s v="CO"/>
    <s v="CO - Teller"/>
    <n v="80863"/>
    <s v="UCHealth Pikes Peak Regional Hospital"/>
    <s v="Critical Access Hospital"/>
    <s v="Woodland Park"/>
    <n v="4.4000000000000004"/>
    <n v="3"/>
    <n v="40"/>
    <n v="15"/>
    <m/>
    <n v="0.48"/>
    <n v="15"/>
    <n v="1.31"/>
    <n v="706"/>
    <n v="392"/>
  </r>
  <r>
    <x v="100"/>
    <s v="061309"/>
    <s v="CO"/>
    <s v="CO - Yuma"/>
    <n v="80758"/>
    <s v="Wray Community District Hospital"/>
    <s v="Critical Access Hospital"/>
    <s v="Wray"/>
    <n v="4.2"/>
    <n v="3.1"/>
    <n v="21"/>
    <n v="16"/>
    <m/>
    <m/>
    <n v="15"/>
    <n v="1.25"/>
    <n v="708"/>
    <n v="352"/>
  </r>
  <r>
    <x v="100"/>
    <s v="061315"/>
    <s v="CO"/>
    <s v="CO - Yuma"/>
    <n v="80759"/>
    <s v="Yuma District Hospital"/>
    <s v="Critical Access Hospital"/>
    <s v="Yuma"/>
    <n v="1.6"/>
    <n v="2.2999999999999998"/>
    <n v="25"/>
    <n v="15"/>
    <m/>
    <m/>
    <n v="15"/>
    <n v="0.94"/>
    <n v="709"/>
    <n v="183"/>
  </r>
  <r>
    <x v="101"/>
    <n v="101310"/>
    <s v="FL"/>
    <s v="FL - Bradford"/>
    <n v="32091"/>
    <s v="Shands Starke Regional Medical Center"/>
    <s v="Critical Access Hospital"/>
    <s v="Starke"/>
    <n v="11.1"/>
    <n v="4.2"/>
    <n v="45"/>
    <n v="25"/>
    <m/>
    <m/>
    <n v="25"/>
    <n v="1.03"/>
    <n v="760"/>
    <n v="962"/>
  </r>
  <r>
    <x v="102"/>
    <n v="101304"/>
    <s v="FL"/>
    <s v="FL - Calhoun"/>
    <n v="32424"/>
    <s v="Calhoun Liberty Hospital"/>
    <s v="Critical Access Hospital"/>
    <s v="Blountstown"/>
    <n v="7.5"/>
    <n v="3.5"/>
    <n v="42"/>
    <n v="15"/>
    <m/>
    <m/>
    <n v="15"/>
    <n v="1"/>
    <n v="5558"/>
    <n v="264"/>
  </r>
  <r>
    <x v="103"/>
    <n v="101305"/>
    <s v="FL"/>
    <s v="FL - Franklin"/>
    <n v="32320"/>
    <s v="George E Weems Memorial Hospital"/>
    <s v="Critical Access Hospital"/>
    <s v="Apalachicola"/>
    <n v="1.6"/>
    <n v="3"/>
    <n v="7"/>
    <n v="25"/>
    <m/>
    <m/>
    <n v="25"/>
    <n v="0.91"/>
    <n v="5495"/>
    <n v="126"/>
  </r>
  <r>
    <x v="104"/>
    <n v="101300"/>
    <s v="FL"/>
    <s v="FL - Hardee"/>
    <n v="33873"/>
    <s v="AdventHealth Wauchula (FKA Florida Hospital Wauchula)"/>
    <s v="Critical Access Hospital"/>
    <s v="Wauchula"/>
    <n v="22.8"/>
    <n v="3.5"/>
    <n v="15"/>
    <n v="25"/>
    <m/>
    <n v="1"/>
    <n v="25"/>
    <n v="1.06"/>
    <n v="803"/>
    <n v="272"/>
  </r>
  <r>
    <x v="105"/>
    <n v="101309"/>
    <s v="FL"/>
    <s v="FL - Hendry"/>
    <n v="33440"/>
    <s v="Hendry Regional Medical Center"/>
    <s v="Critical Access Hospital"/>
    <s v="Clewiston"/>
    <n v="3.1"/>
    <n v="2.2000000000000002"/>
    <n v="75"/>
    <n v="25"/>
    <n v="3"/>
    <n v="1"/>
    <n v="25"/>
    <n v="1.25"/>
    <n v="804"/>
    <n v="425"/>
  </r>
  <r>
    <x v="106"/>
    <n v="101307"/>
    <s v="FL"/>
    <s v="FL - Holmes"/>
    <n v="32425"/>
    <s v="Doctors Memorial Hospital"/>
    <s v="Critical Access Hospital"/>
    <s v="Bonifay"/>
    <n v="9.1"/>
    <n v="3.8"/>
    <n v="38"/>
    <n v="20"/>
    <m/>
    <m/>
    <n v="20"/>
    <n v="0.95"/>
    <n v="820"/>
    <n v="419"/>
  </r>
  <r>
    <x v="107"/>
    <s v="101302 (Closed)"/>
    <s v="FL"/>
    <s v="FL - Jackson"/>
    <n v="32440"/>
    <s v="Campbellton-Graceville Hospital (Closed)"/>
    <s v="Critical Access Hospital"/>
    <s v="Graceville"/>
    <n v="5.3"/>
    <n v="3.4"/>
    <m/>
    <m/>
    <m/>
    <m/>
    <m/>
    <m/>
    <n v="824"/>
    <n v="78"/>
  </r>
  <r>
    <x v="108"/>
    <n v="101311"/>
    <s v="FL"/>
    <s v="FL - Madison"/>
    <n v="32340"/>
    <s v="Madison County Memorial Hospital"/>
    <s v="Critical Access Hospital"/>
    <s v="Madison"/>
    <n v="10.9"/>
    <n v="3.6"/>
    <n v="30"/>
    <n v="25"/>
    <m/>
    <m/>
    <n v="25"/>
    <n v="0.97"/>
    <n v="5573"/>
    <n v="341"/>
  </r>
  <r>
    <x v="109"/>
    <n v="101313"/>
    <s v="FL"/>
    <s v="FL - Monroe"/>
    <n v="33070"/>
    <s v="Mariners Hospital"/>
    <s v="Critical Access Hospital"/>
    <s v="Tavernier"/>
    <n v="4"/>
    <n v="3"/>
    <n v="78"/>
    <n v="25"/>
    <n v="4"/>
    <n v="0.44"/>
    <n v="25"/>
    <n v="1.01"/>
    <n v="865"/>
    <n v="466"/>
  </r>
  <r>
    <x v="109"/>
    <n v="101312"/>
    <s v="FL"/>
    <s v="FL - Monroe"/>
    <n v="33050"/>
    <s v="Fishermens Community Hospital"/>
    <s v="Critical Access Hospital"/>
    <s v="Marathon"/>
    <n v="0.1"/>
    <n v="2.2000000000000002"/>
    <n v="19"/>
    <n v="5"/>
    <n v="1"/>
    <n v="0.44"/>
    <n v="5"/>
    <n v="0.81"/>
    <n v="866"/>
    <n v="15"/>
  </r>
  <r>
    <x v="110"/>
    <s v="101301 (Closed)"/>
    <s v="FL"/>
    <s v="FL - Suwannee"/>
    <n v="32064"/>
    <s v="Lake City Medical Center (FKA Shands Live Oak Regional Medical Center) (Closed)"/>
    <s v="Critical Access Hospital"/>
    <s v="Live Oak"/>
    <n v="9.6999999999999993"/>
    <n v="4"/>
    <n v="44"/>
    <n v="25"/>
    <m/>
    <m/>
    <m/>
    <n v="1.07"/>
    <n v="925"/>
    <n v="892"/>
  </r>
  <r>
    <x v="111"/>
    <n v="101303"/>
    <s v="FL"/>
    <s v="FL - Union"/>
    <n v="32054"/>
    <s v="Lake Butler Hospital (FKA Lake Butler Hand Surgery Center)"/>
    <s v="Critical Access Hospital"/>
    <s v="Lake Butler"/>
    <n v="8.4"/>
    <n v="2"/>
    <n v="17"/>
    <n v="25"/>
    <m/>
    <m/>
    <n v="25"/>
    <n v="0.83"/>
    <n v="5311"/>
    <n v="28"/>
  </r>
  <r>
    <x v="112"/>
    <n v="101308"/>
    <s v="FL"/>
    <s v="FL - Washington"/>
    <n v="32428"/>
    <s v="Northwest Florida Community Hospital"/>
    <s v="Critical Access Hospital"/>
    <s v="Chipley"/>
    <n v="14.6"/>
    <n v="4"/>
    <n v="46"/>
    <n v="25"/>
    <m/>
    <m/>
    <n v="25"/>
    <n v="1.03"/>
    <n v="934"/>
    <n v="704"/>
  </r>
  <r>
    <x v="113"/>
    <n v="111327"/>
    <s v="GA"/>
    <s v="GA - Bacon"/>
    <n v="31510"/>
    <s v="Bacon County Hospital and Health System"/>
    <s v="Critical Access Hospital"/>
    <s v="Alma"/>
    <n v="12.9"/>
    <n v="4"/>
    <n v="44"/>
    <n v="25"/>
    <n v="4"/>
    <m/>
    <n v="25"/>
    <n v="1.07"/>
    <n v="936"/>
    <n v="1102"/>
  </r>
  <r>
    <x v="114"/>
    <n v="111302"/>
    <s v="GA"/>
    <s v="GA - Bleckley"/>
    <n v="31014"/>
    <s v="Bleckley Memorial Hospital"/>
    <s v="Critical Access Hospital"/>
    <s v="Cochran"/>
    <n v="12.9"/>
    <n v="2.2999999999999998"/>
    <n v="12"/>
    <n v="15"/>
    <m/>
    <m/>
    <n v="15"/>
    <n v="0.94"/>
    <n v="945"/>
    <n v="73"/>
  </r>
  <r>
    <x v="115"/>
    <n v="111332"/>
    <s v="GA"/>
    <s v="GA - Brooks"/>
    <n v="31643"/>
    <s v="Brooks County Hospital"/>
    <s v="Critical Access Hospital"/>
    <s v="Quitman"/>
    <n v="13.4"/>
    <n v="3.2"/>
    <n v="13"/>
    <n v="25"/>
    <m/>
    <n v="0.88"/>
    <n v="25"/>
    <n v="0.92"/>
    <n v="946"/>
    <n v="173"/>
  </r>
  <r>
    <x v="116"/>
    <n v="111319"/>
    <s v="GA"/>
    <s v="GA - Butts"/>
    <n v="30233"/>
    <s v="WellStar Sylvan Grove Hospital (FKA Sylvan Grove Hospital)"/>
    <s v="Critical Access Hospital"/>
    <s v="Jackson"/>
    <n v="13.1"/>
    <n v="13.7"/>
    <n v="8"/>
    <n v="25"/>
    <m/>
    <n v="0.06"/>
    <n v="25"/>
    <n v="0.84"/>
    <n v="949"/>
    <n v="351"/>
  </r>
  <r>
    <x v="117"/>
    <s v="111309 (Closed)"/>
    <s v="GA"/>
    <s v="GA - Calhoun"/>
    <n v="39813"/>
    <s v="Calhoun Memorial Hospital (Closed February 2013)"/>
    <s v="Critical Access Hospital"/>
    <s v="Arlington"/>
    <n v="3.7"/>
    <n v="2.8"/>
    <m/>
    <m/>
    <m/>
    <m/>
    <m/>
    <m/>
    <n v="6379"/>
    <n v="344"/>
  </r>
  <r>
    <x v="118"/>
    <n v="111334"/>
    <s v="GA"/>
    <s v="GA - Candler"/>
    <n v="30439"/>
    <s v="Candler County Hospital"/>
    <s v="Critical Access Hospital"/>
    <s v="Metter"/>
    <n v="7.8"/>
    <n v="2.8"/>
    <n v="22"/>
    <n v="25"/>
    <n v="6"/>
    <m/>
    <n v="25"/>
    <n v="1.17"/>
    <n v="951"/>
    <n v="275"/>
  </r>
  <r>
    <x v="119"/>
    <s v="111315 (Closed)"/>
    <s v="GA"/>
    <s v="GA - Charlton"/>
    <n v="31537"/>
    <s v="Charlton Memorial Hospital (Closed August 2013)"/>
    <s v="Critical Access Hospital"/>
    <s v="Folkston"/>
    <m/>
    <m/>
    <m/>
    <m/>
    <m/>
    <m/>
    <m/>
    <m/>
    <n v="955"/>
    <m/>
  </r>
  <r>
    <x v="120"/>
    <n v="111308"/>
    <s v="GA"/>
    <s v="GA - Clinch"/>
    <n v="31634"/>
    <s v="Clinch Memorial Hospital"/>
    <s v="Critical Access Hospital"/>
    <s v="Homerville"/>
    <n v="7"/>
    <n v="2.6"/>
    <n v="10"/>
    <n v="15"/>
    <m/>
    <m/>
    <n v="15"/>
    <n v="0.91"/>
    <n v="964"/>
    <n v="170"/>
  </r>
  <r>
    <x v="121"/>
    <n v="111314"/>
    <s v="GA"/>
    <s v="GA - Early"/>
    <n v="39823"/>
    <s v="LifeBrite Community Hospital of Early (FKA Pioneer Community Hospital of Early)"/>
    <s v="Critical Access Hospital"/>
    <s v="Blakely"/>
    <n v="9"/>
    <n v="3.1"/>
    <n v="81"/>
    <n v="25"/>
    <m/>
    <m/>
    <n v="25"/>
    <n v="0.87"/>
    <n v="984"/>
    <n v="182"/>
  </r>
  <r>
    <x v="122"/>
    <n v="111306"/>
    <s v="GA"/>
    <s v="GA - Effingham"/>
    <n v="31329"/>
    <s v="Effingham Health System (AKA Effingham Hospital)"/>
    <s v="Critical Access Hospital"/>
    <s v="Springfield"/>
    <n v="6.6"/>
    <n v="3.9"/>
    <n v="72"/>
    <n v="25"/>
    <m/>
    <n v="0.33"/>
    <n v="25"/>
    <n v="1.19"/>
    <n v="985"/>
    <n v="395"/>
  </r>
  <r>
    <x v="123"/>
    <n v="111337"/>
    <s v="GA"/>
    <s v="GA - Elbert"/>
    <n v="30635"/>
    <s v="Elbert Memorial Hospital"/>
    <s v="Critical Access Hospital"/>
    <s v="Elberton"/>
    <n v="7.5"/>
    <n v="6"/>
    <n v="18"/>
    <n v="52"/>
    <n v="4"/>
    <m/>
    <n v="52"/>
    <n v="1.06"/>
    <n v="986"/>
    <n v="457"/>
  </r>
  <r>
    <x v="124"/>
    <n v="111329"/>
    <s v="GA"/>
    <s v="GA - Greene"/>
    <n v="30642"/>
    <s v="St Marys Good Samaritan Hospital"/>
    <s v="Critical Access Hospital"/>
    <s v="Greensboro"/>
    <n v="13.7"/>
    <n v="3.4"/>
    <n v="55"/>
    <n v="25"/>
    <m/>
    <m/>
    <n v="25"/>
    <n v="1.3"/>
    <n v="5401"/>
    <n v="903"/>
  </r>
  <r>
    <x v="125"/>
    <n v="111320"/>
    <s v="GA"/>
    <s v="GA - Haralson"/>
    <n v="30110"/>
    <s v="Higgins General Hospital"/>
    <s v="Critical Access Hospital"/>
    <s v="Bremen"/>
    <n v="12.4"/>
    <n v="4.0999999999999996"/>
    <n v="47"/>
    <n v="15"/>
    <m/>
    <n v="0.06"/>
    <n v="15"/>
    <n v="1.1100000000000001"/>
    <n v="1011"/>
    <n v="342"/>
  </r>
  <r>
    <x v="126"/>
    <n v="111303"/>
    <s v="GA"/>
    <s v="GA - Jasper"/>
    <n v="31064"/>
    <s v="Jasper Memorial Hospital"/>
    <s v="Critical Access Hospital"/>
    <s v="Monticello"/>
    <n v="3.8"/>
    <n v="16.8"/>
    <n v="15"/>
    <n v="12"/>
    <m/>
    <n v="0.06"/>
    <n v="12"/>
    <n v="1.1100000000000001"/>
    <n v="1018"/>
    <n v="5"/>
  </r>
  <r>
    <x v="127"/>
    <n v="111333"/>
    <s v="GA"/>
    <s v="GA - Jeff Davis"/>
    <n v="31539"/>
    <s v="Jeff Davis Hospital"/>
    <s v="Critical Access Hospital"/>
    <s v="Hazlehurst"/>
    <n v="8.1999999999999993"/>
    <n v="3.4"/>
    <n v="27"/>
    <n v="25"/>
    <n v="4"/>
    <m/>
    <n v="25"/>
    <n v="1.17"/>
    <n v="1019"/>
    <n v="448"/>
  </r>
  <r>
    <x v="128"/>
    <n v="111311"/>
    <s v="GA"/>
    <s v="GA - Jenkins"/>
    <n v="30442"/>
    <s v="Jenkins County Medical Center (FKA Optim Jenkins Medical Center)"/>
    <s v="Critical Access Hospital"/>
    <s v="Millen"/>
    <n v="1.2"/>
    <n v="1.1000000000000001"/>
    <n v="3"/>
    <n v="15"/>
    <m/>
    <m/>
    <n v="15"/>
    <n v="0.86"/>
    <n v="6108"/>
    <n v="61"/>
  </r>
  <r>
    <x v="129"/>
    <n v="111326"/>
    <s v="GA"/>
    <s v="GA - Lanier"/>
    <n v="31635"/>
    <s v="South Georgia Medical Center Lanier Campus (FKA Louis Smith Memorial Hospital)"/>
    <s v="Critical Access Hospital"/>
    <s v="Lakeland"/>
    <n v="6"/>
    <n v="2.6"/>
    <n v="7"/>
    <n v="25"/>
    <m/>
    <n v="0.88"/>
    <n v="25"/>
    <n v="1"/>
    <n v="1021"/>
    <n v="189"/>
  </r>
  <r>
    <x v="130"/>
    <n v="111335"/>
    <s v="GA"/>
    <s v="GA - Liberty"/>
    <n v="31313"/>
    <s v="Liberty Regional Medical Center"/>
    <s v="Critical Access Hospital"/>
    <s v="Hinesville"/>
    <n v="7.5"/>
    <n v="3.5"/>
    <n v="64"/>
    <n v="25"/>
    <m/>
    <n v="1"/>
    <n v="25"/>
    <n v="1.2"/>
    <n v="1024"/>
    <n v="963"/>
  </r>
  <r>
    <x v="131"/>
    <n v="111316"/>
    <s v="GA"/>
    <s v="GA - Meriwether"/>
    <n v="31830"/>
    <s v="Warm Springs Medical Center"/>
    <s v="Critical Access Hospital"/>
    <s v="Warm Springs"/>
    <n v="12.4"/>
    <n v="3.4"/>
    <n v="11"/>
    <n v="25"/>
    <m/>
    <n v="0.06"/>
    <n v="25"/>
    <n v="0.92"/>
    <n v="1030"/>
    <n v="150"/>
  </r>
  <r>
    <x v="132"/>
    <n v="111305"/>
    <s v="GA"/>
    <s v="GA - Miller"/>
    <n v="39837"/>
    <s v="Miller County Hospital"/>
    <s v="Critical Access Hospital"/>
    <s v="Colquitt"/>
    <n v="21"/>
    <n v="3.8"/>
    <n v="22"/>
    <n v="25"/>
    <m/>
    <m/>
    <n v="25"/>
    <n v="1.05"/>
    <n v="1031"/>
    <n v="301"/>
  </r>
  <r>
    <x v="133"/>
    <n v="111331"/>
    <s v="GA"/>
    <s v="GA - Mitchell"/>
    <n v="31730"/>
    <s v="Mitchell County Hospital"/>
    <s v="Critical Access Hospital"/>
    <s v="Camilla"/>
    <n v="15.2"/>
    <n v="2.6"/>
    <n v="15"/>
    <n v="25"/>
    <m/>
    <m/>
    <n v="25"/>
    <n v="0.94"/>
    <n v="1032"/>
    <n v="74"/>
  </r>
  <r>
    <x v="134"/>
    <n v="111318"/>
    <s v="GA"/>
    <s v="GA - Monroe"/>
    <n v="31029"/>
    <s v="Monroe County Hospital"/>
    <s v="Critical Access Hospital"/>
    <s v="Forsyth"/>
    <n v="11.3"/>
    <n v="3"/>
    <n v="11"/>
    <n v="25"/>
    <m/>
    <n v="0.54"/>
    <n v="25"/>
    <n v="0.92"/>
    <n v="1033"/>
    <n v="185"/>
  </r>
  <r>
    <x v="135"/>
    <n v="111304"/>
    <s v="GA"/>
    <s v="GA - Morgan"/>
    <n v="30650"/>
    <s v="Morgan Medical Center (FKA Morgan Memorial Hospital)"/>
    <s v="Critical Access Hospital"/>
    <s v="Madison"/>
    <n v="13.9"/>
    <n v="2.2999999999999998"/>
    <n v="20"/>
    <n v="25"/>
    <m/>
    <n v="0.06"/>
    <n v="25"/>
    <n v="1.04"/>
    <n v="5965"/>
    <n v="87"/>
  </r>
  <r>
    <x v="136"/>
    <n v="111310"/>
    <s v="GA"/>
    <s v="GA - Peach"/>
    <n v="31008"/>
    <s v="Medical Center of Peach County"/>
    <s v="Critical Access Hospital"/>
    <s v="Byron"/>
    <n v="19.100000000000001"/>
    <n v="2.9"/>
    <n v="21"/>
    <n v="25"/>
    <m/>
    <n v="0.68"/>
    <n v="25"/>
    <n v="0.97"/>
    <n v="1041"/>
    <n v="843"/>
  </r>
  <r>
    <x v="137"/>
    <n v="111330"/>
    <s v="GA"/>
    <s v="GA - Polk"/>
    <n v="30125"/>
    <s v="Polk Medical Center"/>
    <s v="Critical Access Hospital"/>
    <s v="Cedartown"/>
    <n v="21.1"/>
    <n v="2.4"/>
    <n v="27"/>
    <n v="25"/>
    <m/>
    <n v="1"/>
    <n v="25"/>
    <n v="0.87"/>
    <n v="1043"/>
    <n v="130"/>
  </r>
  <r>
    <x v="138"/>
    <n v="111313"/>
    <s v="GA"/>
    <s v="GA - Putnam"/>
    <n v="31024"/>
    <s v="Putnam General Hospital"/>
    <s v="Critical Access Hospital"/>
    <s v="Eatonton"/>
    <n v="9.6"/>
    <n v="3.2"/>
    <n v="28"/>
    <n v="25"/>
    <m/>
    <m/>
    <n v="25"/>
    <n v="1"/>
    <n v="1045"/>
    <n v="259"/>
  </r>
  <r>
    <x v="139"/>
    <n v="111336"/>
    <s v="GA"/>
    <s v="GA - Rabun"/>
    <n v="30525"/>
    <s v="Mountain Lakes Medical Center"/>
    <s v="Critical Access Hospital"/>
    <s v="Clayton"/>
    <n v="5.9"/>
    <n v="2.6"/>
    <n v="38"/>
    <n v="25"/>
    <m/>
    <m/>
    <n v="25"/>
    <n v="0.97"/>
    <n v="6421"/>
    <n v="425"/>
  </r>
  <r>
    <x v="140"/>
    <n v="111300"/>
    <s v="GA"/>
    <s v="GA - Randolph"/>
    <n v="39840"/>
    <s v="Southwest Georgia Regional Medical Center"/>
    <s v="Critical Access Hospital"/>
    <s v="Cuthbert"/>
    <n v="4.0999999999999996"/>
    <n v="3.4"/>
    <n v="5"/>
    <n v="25"/>
    <m/>
    <m/>
    <n v="25"/>
    <n v="0.85"/>
    <n v="1046"/>
    <n v="297"/>
  </r>
  <r>
    <x v="141"/>
    <n v="111312"/>
    <s v="GA"/>
    <s v="GA - Screven"/>
    <n v="30467"/>
    <s v="Optim Medical Center - Screven (FKA Screven County Hospital)"/>
    <s v="Critical Access Hospital"/>
    <s v="Sylvania"/>
    <n v="5.4"/>
    <n v="3"/>
    <n v="18"/>
    <n v="25"/>
    <m/>
    <m/>
    <n v="25"/>
    <n v="1.06"/>
    <n v="5989"/>
    <n v="185"/>
  </r>
  <r>
    <x v="142"/>
    <s v="111322 (Closed)"/>
    <s v="GA"/>
    <s v="GA - Stewart"/>
    <n v="31825"/>
    <s v="Stewart Webster Hospital (Closed March 2013)"/>
    <s v="Critical Access Hospital"/>
    <s v="Richland"/>
    <n v="3.4"/>
    <n v="2.5"/>
    <m/>
    <m/>
    <m/>
    <n v="0.33"/>
    <m/>
    <m/>
    <n v="5756"/>
    <n v="265"/>
  </r>
  <r>
    <x v="143"/>
    <n v="111323"/>
    <s v="GA"/>
    <s v="GA - Tattnall"/>
    <n v="30453"/>
    <s v="Optim Medical Center - Tattnall"/>
    <s v="Critical Access Hospital"/>
    <s v="Reidsville"/>
    <n v="7.3"/>
    <n v="2"/>
    <n v="55"/>
    <n v="25"/>
    <m/>
    <m/>
    <n v="25"/>
    <n v="2.2200000000000002"/>
    <n v="5418"/>
    <n v="1341"/>
  </r>
  <r>
    <x v="144"/>
    <n v="111324"/>
    <s v="GA"/>
    <s v="GA - Towns"/>
    <n v="30546"/>
    <s v="Chatuge Regional Hospital"/>
    <s v="Critical Access Hospital"/>
    <s v="Hiawassee"/>
    <n v="8.1999999999999993"/>
    <n v="3.6"/>
    <n v="20"/>
    <n v="25"/>
    <m/>
    <m/>
    <n v="25"/>
    <n v="1.1100000000000001"/>
    <n v="1060"/>
    <n v="345"/>
  </r>
  <r>
    <x v="145"/>
    <s v="111321(Closed)"/>
    <s v="GA"/>
    <s v="GA - Wheeler"/>
    <n v="30428"/>
    <s v="Lower Oconee Community Hospital (Closed)"/>
    <s v="Critical Access Hospital"/>
    <s v="Glenwood"/>
    <n v="7.1"/>
    <n v="3.8"/>
    <m/>
    <m/>
    <m/>
    <m/>
    <m/>
    <m/>
    <n v="5709"/>
    <n v="609"/>
  </r>
  <r>
    <x v="146"/>
    <n v="111325"/>
    <s v="GA"/>
    <s v="GA - Wilkes"/>
    <n v="30673"/>
    <s v="Wills Memorial Hospital"/>
    <s v="Critical Access Hospital"/>
    <s v="Washington"/>
    <n v="9.8000000000000007"/>
    <n v="3"/>
    <n v="15"/>
    <n v="25"/>
    <m/>
    <m/>
    <n v="25"/>
    <n v="0.99"/>
    <n v="1069"/>
    <n v="488"/>
  </r>
  <r>
    <x v="147"/>
    <n v="111328"/>
    <s v="GA"/>
    <s v="GA - Worth"/>
    <n v="31791"/>
    <s v="Phoebe Worth Medical Center"/>
    <s v="Critical Access Hospital"/>
    <s v="Sylvester"/>
    <n v="11.9"/>
    <n v="2.8"/>
    <n v="14"/>
    <n v="25"/>
    <m/>
    <n v="0.95"/>
    <n v="25"/>
    <n v="0.95"/>
    <n v="1070"/>
    <n v="205"/>
  </r>
  <r>
    <x v="148"/>
    <n v="121307"/>
    <s v="HI"/>
    <s v="HI - Hawaii"/>
    <n v="96727"/>
    <s v="Hale Ho Ola Hamakua (FKA Honoka a Hospital)"/>
    <s v="Critical Access Hospital"/>
    <s v="Honokaa"/>
    <n v="8.9"/>
    <n v="1.4"/>
    <n v="44"/>
    <n v="11"/>
    <m/>
    <n v="0.34"/>
    <n v="11"/>
    <n v="0.97"/>
    <n v="5110"/>
    <n v="4"/>
  </r>
  <r>
    <x v="148"/>
    <n v="121301"/>
    <s v="HI"/>
    <s v="HI - Hawaii"/>
    <n v="96777"/>
    <s v="Kau Hospital"/>
    <s v="Critical Access Hospital"/>
    <s v="Pahale"/>
    <n v="19.5"/>
    <n v="3.2"/>
    <n v="10"/>
    <n v="6"/>
    <m/>
    <n v="0.34"/>
    <n v="6"/>
    <n v="1.01"/>
    <n v="5971"/>
    <n v="45"/>
  </r>
  <r>
    <x v="148"/>
    <n v="121302"/>
    <s v="HI"/>
    <s v="HI - Hawaii"/>
    <n v="96755"/>
    <s v="Kohala Hospital"/>
    <s v="Critical Access Hospital"/>
    <s v="Kapaau"/>
    <n v="3.2"/>
    <n v="7.2"/>
    <n v="7"/>
    <n v="6"/>
    <m/>
    <n v="0.34"/>
    <n v="6"/>
    <n v="1.1499999999999999"/>
    <n v="6392"/>
    <n v="6"/>
  </r>
  <r>
    <x v="149"/>
    <n v="121304"/>
    <s v="HI"/>
    <s v="HI - Honolulu"/>
    <n v="96731"/>
    <s v="Kahuku Medical Center"/>
    <s v="Critical Access Hospital"/>
    <s v="Kahuku"/>
    <n v="13.3"/>
    <n v="2.9"/>
    <n v="28"/>
    <n v="15"/>
    <m/>
    <n v="0.24"/>
    <n v="15"/>
    <n v="1.06"/>
    <n v="1074"/>
    <n v="10"/>
  </r>
  <r>
    <x v="150"/>
    <n v="121300"/>
    <s v="HI"/>
    <s v="HI - Kauai"/>
    <n v="96796"/>
    <s v="Kauai Veterans Memorial Hospital (AKA West Kauai Medical Center)"/>
    <s v="Critical Access Hospital"/>
    <s v="Waimea"/>
    <n v="10.4"/>
    <n v="3.3"/>
    <n v="20"/>
    <n v="25"/>
    <n v="2"/>
    <n v="0.53"/>
    <n v="25"/>
    <n v="1.1399999999999999"/>
    <n v="5652"/>
    <n v="607"/>
  </r>
  <r>
    <x v="150"/>
    <n v="121306"/>
    <s v="HI"/>
    <s v="HI - Kauai"/>
    <n v="96746"/>
    <s v="Samuel Mahelona Memorial Hospital"/>
    <s v="Critical Access Hospital"/>
    <s v="Kapaa"/>
    <n v="0.1"/>
    <n v="2.7"/>
    <n v="9"/>
    <n v="5"/>
    <m/>
    <n v="0.53"/>
    <n v="5"/>
    <n v="1.1599999999999999"/>
    <n v="6260"/>
    <n v="3"/>
  </r>
  <r>
    <x v="151"/>
    <n v="121308"/>
    <s v="HI"/>
    <s v="HI - Maui"/>
    <n v="96790"/>
    <s v="Kula Hospital"/>
    <s v="Critical Access Hospital"/>
    <s v="Kula"/>
    <n v="5"/>
    <n v="7.3"/>
    <n v="8"/>
    <n v="9"/>
    <m/>
    <n v="0.78"/>
    <n v="9"/>
    <m/>
    <n v="1085"/>
    <n v="6"/>
  </r>
  <r>
    <x v="151"/>
    <n v="121303"/>
    <s v="HI"/>
    <s v="HI - Maui"/>
    <n v="96748"/>
    <s v="Molokai General Hospital"/>
    <s v="Critical Access Hospital"/>
    <s v="Kaunakakai"/>
    <n v="0.6"/>
    <n v="4.7"/>
    <n v="26"/>
    <n v="15"/>
    <m/>
    <n v="0.78"/>
    <n v="15"/>
    <n v="0.97"/>
    <n v="1086"/>
    <n v="67"/>
  </r>
  <r>
    <x v="151"/>
    <n v="121305"/>
    <s v="HI"/>
    <s v="HI - Maui"/>
    <n v="96763"/>
    <s v="Lanai Community Hospital"/>
    <s v="Critical Access Hospital"/>
    <s v="Lanai City"/>
    <m/>
    <n v="2.6"/>
    <n v="4"/>
    <n v="4"/>
    <m/>
    <n v="0.78"/>
    <n v="4"/>
    <m/>
    <n v="5394"/>
    <m/>
  </r>
  <r>
    <x v="152"/>
    <n v="131316"/>
    <s v="ID"/>
    <s v="ID - Bear Lake"/>
    <n v="83254"/>
    <s v="Bear Lake Memorial Hospital"/>
    <s v="Critical Access Hospital"/>
    <s v="Montpelier"/>
    <n v="5.2"/>
    <n v="2.7"/>
    <n v="25"/>
    <n v="21"/>
    <m/>
    <m/>
    <n v="21"/>
    <n v="1.36"/>
    <n v="6340"/>
    <n v="324"/>
  </r>
  <r>
    <x v="153"/>
    <n v="131317"/>
    <s v="ID"/>
    <s v="ID - Benewah"/>
    <n v="83861"/>
    <s v="Benewah Community Hospital"/>
    <s v="Critical Access Hospital"/>
    <s v="Saint Maries"/>
    <n v="3.6"/>
    <n v="2.9"/>
    <n v="19"/>
    <n v="19"/>
    <m/>
    <m/>
    <n v="19"/>
    <n v="1.1399999999999999"/>
    <n v="5405"/>
    <n v="264"/>
  </r>
  <r>
    <x v="154"/>
    <n v="131325"/>
    <s v="ID"/>
    <s v="ID - Bingham"/>
    <n v="83221"/>
    <s v="Bingham Memorial Hospital"/>
    <s v="Critical Access Hospital"/>
    <s v="Blackfoot"/>
    <n v="16.5"/>
    <n v="2.8"/>
    <n v="128"/>
    <n v="25"/>
    <n v="5"/>
    <n v="1"/>
    <n v="25"/>
    <n v="1.54"/>
    <n v="5921"/>
    <n v="2277"/>
  </r>
  <r>
    <x v="155"/>
    <n v="131323"/>
    <s v="ID"/>
    <s v="ID - Blaine"/>
    <n v="83340"/>
    <s v="St Lukes Wood River Medical Center"/>
    <s v="Critical Access Hospital"/>
    <s v="Ketchum"/>
    <n v="8.9"/>
    <n v="2.6"/>
    <n v="86"/>
    <n v="25"/>
    <m/>
    <n v="1"/>
    <n v="25"/>
    <n v="1.55"/>
    <n v="1093"/>
    <n v="1164"/>
  </r>
  <r>
    <x v="156"/>
    <n v="131328"/>
    <s v="ID"/>
    <s v="ID - Bonner"/>
    <n v="83864"/>
    <s v="Bonner General Hospital"/>
    <s v="Critical Access Hospital"/>
    <s v="Sandpoint"/>
    <n v="11.3"/>
    <n v="2.9"/>
    <n v="116"/>
    <n v="25"/>
    <n v="4"/>
    <n v="1"/>
    <n v="25"/>
    <n v="1.39"/>
    <n v="1094"/>
    <n v="1740"/>
  </r>
  <r>
    <x v="157"/>
    <n v="131301"/>
    <s v="ID"/>
    <s v="ID - Boundary"/>
    <n v="83805"/>
    <s v="Boundary Community Hospital"/>
    <s v="Critical Access Hospital"/>
    <s v="Bonners Ferry"/>
    <n v="2.8"/>
    <n v="3.2"/>
    <n v="29"/>
    <n v="20"/>
    <m/>
    <m/>
    <n v="20"/>
    <n v="1.05"/>
    <n v="5622"/>
    <n v="92"/>
  </r>
  <r>
    <x v="158"/>
    <n v="131324"/>
    <s v="ID"/>
    <s v="ID - Butte"/>
    <n v="83213"/>
    <s v="Lost Rivers Medical Center"/>
    <s v="Critical Access Hospital"/>
    <s v="Arco"/>
    <n v="0.7"/>
    <n v="2"/>
    <n v="23"/>
    <n v="14"/>
    <m/>
    <n v="0.5"/>
    <n v="14"/>
    <n v="0.85"/>
    <n v="5484"/>
    <n v="31"/>
  </r>
  <r>
    <x v="159"/>
    <n v="131309"/>
    <s v="ID"/>
    <s v="ID - Caribou"/>
    <n v="83276"/>
    <s v="Caribou Memorial Hospital"/>
    <s v="Critical Access Hospital"/>
    <s v="Soda Springs"/>
    <n v="4"/>
    <n v="2.6"/>
    <n v="16"/>
    <n v="25"/>
    <m/>
    <m/>
    <n v="25"/>
    <n v="1.0900000000000001"/>
    <n v="5961"/>
    <n v="292"/>
  </r>
  <r>
    <x v="160"/>
    <n v="131326"/>
    <s v="ID"/>
    <s v="ID - Cassia"/>
    <n v="83318"/>
    <s v="Cassia Regional Hospital (FKA Cassia Regional Medical Center)"/>
    <s v="Critical Access Hospital"/>
    <s v="Burley"/>
    <n v="10.5"/>
    <n v="1.9"/>
    <n v="71"/>
    <n v="31"/>
    <n v="6"/>
    <n v="0.52"/>
    <n v="31"/>
    <n v="1.35"/>
    <n v="1099"/>
    <n v="1435"/>
  </r>
  <r>
    <x v="161"/>
    <n v="131320"/>
    <s v="ID"/>
    <s v="ID - Clearwater"/>
    <n v="83544"/>
    <s v="Clearwater Valley Hospital and Clinics (FKA Clearwater Valley Hospital)"/>
    <s v="Critical Access Hospital"/>
    <s v="Orofino"/>
    <n v="6"/>
    <n v="2.8"/>
    <n v="22"/>
    <n v="23"/>
    <m/>
    <m/>
    <n v="23"/>
    <n v="0.97"/>
    <n v="6034"/>
    <n v="506"/>
  </r>
  <r>
    <x v="162"/>
    <n v="131311"/>
    <s v="ID"/>
    <s v="ID - Elmore"/>
    <n v="83647"/>
    <s v="St Lukes Elmore Medical Center (FKA Elmore Medical Center)"/>
    <s v="Critical Access Hospital"/>
    <s v="Mountain Home"/>
    <n v="8"/>
    <n v="2.6"/>
    <n v="37"/>
    <n v="21"/>
    <m/>
    <n v="1"/>
    <n v="21"/>
    <n v="0.97"/>
    <n v="6248"/>
    <n v="676"/>
  </r>
  <r>
    <x v="163"/>
    <n v="131322"/>
    <s v="ID"/>
    <s v="ID - Franklin"/>
    <n v="83263"/>
    <s v="Franklin County Medical Center"/>
    <s v="Critical Access Hospital"/>
    <s v="Preston"/>
    <n v="6.4"/>
    <n v="1.9"/>
    <n v="11"/>
    <n v="20"/>
    <m/>
    <n v="0.66"/>
    <n v="20"/>
    <n v="1.18"/>
    <n v="5100"/>
    <n v="529"/>
  </r>
  <r>
    <x v="164"/>
    <n v="131318"/>
    <s v="ID"/>
    <s v="ID - Gem"/>
    <n v="83617"/>
    <s v="Valor Health (FKA Walter Knox Memorial Hospital)"/>
    <s v="Critical Access Hospital"/>
    <s v="Emmett"/>
    <n v="2.2999999999999998"/>
    <n v="2.6"/>
    <n v="37"/>
    <n v="13"/>
    <m/>
    <n v="0.41"/>
    <n v="13"/>
    <n v="1.1599999999999999"/>
    <n v="5763"/>
    <n v="197"/>
  </r>
  <r>
    <x v="165"/>
    <n v="131302"/>
    <s v="ID"/>
    <s v="ID - Gooding"/>
    <n v="83330"/>
    <s v="North Canyon Medical Center"/>
    <s v="Critical Access Hospital"/>
    <s v="Gooding"/>
    <n v="7.4"/>
    <n v="2.7"/>
    <n v="47"/>
    <n v="16"/>
    <m/>
    <m/>
    <n v="16"/>
    <n v="1.1599999999999999"/>
    <n v="5137"/>
    <n v="491"/>
  </r>
  <r>
    <x v="166"/>
    <n v="131321"/>
    <s v="ID"/>
    <s v="ID - Idaho"/>
    <n v="83522"/>
    <s v="St Marys Hospital and Clinics (FKA St Marys Hospital)"/>
    <s v="Critical Access Hospital"/>
    <s v="Cottonwood"/>
    <n v="5.4"/>
    <n v="3.1"/>
    <n v="23"/>
    <n v="25"/>
    <m/>
    <m/>
    <n v="25"/>
    <n v="0.9"/>
    <n v="6219"/>
    <n v="353"/>
  </r>
  <r>
    <x v="166"/>
    <n v="131315"/>
    <s v="ID"/>
    <s v="ID - Idaho"/>
    <n v="83530"/>
    <s v="Syringa General Hospital"/>
    <s v="Critical Access Hospital"/>
    <s v="Grangeville"/>
    <n v="4.9000000000000004"/>
    <n v="2.4"/>
    <n v="13"/>
    <n v="15"/>
    <m/>
    <m/>
    <n v="15"/>
    <n v="0.9"/>
    <n v="6437"/>
    <n v="403"/>
  </r>
  <r>
    <x v="167"/>
    <n v="131310"/>
    <s v="ID"/>
    <s v="ID - Jerome"/>
    <n v="83338"/>
    <s v="St Lukes Jerome Medical Center (FKA St Benedicts Family Medical Center)"/>
    <s v="Critical Access Hospital"/>
    <s v="Jerome"/>
    <n v="6.5"/>
    <n v="2.1"/>
    <n v="26"/>
    <n v="18"/>
    <m/>
    <n v="0.92"/>
    <n v="18"/>
    <n v="1.08"/>
    <n v="5106"/>
    <n v="359"/>
  </r>
  <r>
    <x v="168"/>
    <n v="131327"/>
    <s v="ID"/>
    <s v="ID - Latah"/>
    <n v="83843"/>
    <s v="Gritman Medical Center"/>
    <s v="Critical Access Hospital"/>
    <s v="Moscow"/>
    <n v="12.3"/>
    <n v="3.1"/>
    <n v="90"/>
    <n v="25"/>
    <n v="3"/>
    <n v="1"/>
    <n v="25"/>
    <n v="1.4"/>
    <n v="1102"/>
    <n v="1364"/>
  </r>
  <r>
    <x v="169"/>
    <n v="131305"/>
    <s v="ID"/>
    <s v="ID - Lemhi"/>
    <n v="83467"/>
    <s v="Steele Memorial Medical Center"/>
    <s v="Critical Access Hospital"/>
    <s v="Salmon"/>
    <n v="3.2"/>
    <n v="2.4"/>
    <n v="33"/>
    <n v="18"/>
    <m/>
    <m/>
    <n v="18"/>
    <n v="1.31"/>
    <n v="1103"/>
    <n v="350"/>
  </r>
  <r>
    <x v="170"/>
    <n v="131319"/>
    <s v="ID"/>
    <s v="ID - Minidoka"/>
    <n v="83350"/>
    <s v="Minidoka Memorial Hospital"/>
    <s v="Critical Access Hospital"/>
    <s v="Rupert"/>
    <n v="5.4"/>
    <n v="3.5"/>
    <n v="27"/>
    <n v="16"/>
    <m/>
    <n v="0.52"/>
    <n v="16"/>
    <n v="1.3"/>
    <n v="6028"/>
    <n v="488"/>
  </r>
  <r>
    <x v="171"/>
    <n v="131303"/>
    <s v="ID"/>
    <s v="ID - Oneida"/>
    <n v="83252"/>
    <s v="Nell J Redfield Memorial Hospital"/>
    <s v="Critical Access Hospital"/>
    <s v="Malad City"/>
    <n v="3.6"/>
    <n v="2.8"/>
    <n v="8"/>
    <n v="11"/>
    <m/>
    <m/>
    <n v="11"/>
    <n v="0.98"/>
    <n v="5800"/>
    <n v="173"/>
  </r>
  <r>
    <x v="172"/>
    <n v="131304"/>
    <s v="ID"/>
    <s v="ID - Power"/>
    <n v="83211"/>
    <s v="Power County Memorial Hospital (FKA Harms Memorial Hospital)"/>
    <s v="Critical Access Hospital"/>
    <s v="American Falls"/>
    <n v="1.7"/>
    <n v="2.9"/>
    <n v="8"/>
    <n v="10"/>
    <m/>
    <n v="0.96"/>
    <n v="10"/>
    <n v="1.1499999999999999"/>
    <n v="5138"/>
    <n v="31"/>
  </r>
  <r>
    <x v="173"/>
    <n v="131314"/>
    <s v="ID"/>
    <s v="ID - Shoshone"/>
    <n v="83837"/>
    <s v="Shoshone Medical Center"/>
    <s v="Critical Access Hospital"/>
    <s v="Kellogg"/>
    <n v="3.9"/>
    <n v="2.5"/>
    <n v="33"/>
    <n v="21"/>
    <m/>
    <m/>
    <n v="21"/>
    <n v="1.03"/>
    <n v="5517"/>
    <n v="256"/>
  </r>
  <r>
    <x v="174"/>
    <n v="131313"/>
    <s v="ID"/>
    <s v="ID - Teton"/>
    <n v="83422"/>
    <s v="Teton Valley Hospital"/>
    <s v="Critical Access Hospital"/>
    <s v="Driggs"/>
    <n v="1.6"/>
    <n v="2.2999999999999998"/>
    <n v="20"/>
    <n v="13"/>
    <m/>
    <n v="0.77"/>
    <n v="13"/>
    <n v="1.1000000000000001"/>
    <n v="6208"/>
    <n v="155"/>
  </r>
  <r>
    <x v="175"/>
    <n v="131312"/>
    <s v="ID"/>
    <s v="ID - Valley"/>
    <n v="83638"/>
    <s v="St Lukes McCall Medical Center"/>
    <s v="Critical Access Hospital"/>
    <s v="McCall"/>
    <n v="4.3"/>
    <n v="2.1"/>
    <n v="44"/>
    <n v="15"/>
    <m/>
    <m/>
    <n v="15"/>
    <n v="1.45"/>
    <n v="5561"/>
    <n v="568"/>
  </r>
  <r>
    <x v="175"/>
    <n v="131308"/>
    <s v="ID"/>
    <s v="ID - Valley"/>
    <n v="83611"/>
    <s v="Cascade Medical Center"/>
    <s v="Critical Access Hospital"/>
    <s v="Cascade"/>
    <n v="0.3"/>
    <n v="1.8"/>
    <n v="5"/>
    <n v="8"/>
    <m/>
    <m/>
    <n v="8"/>
    <n v="0.8"/>
    <n v="5684"/>
    <n v="43"/>
  </r>
  <r>
    <x v="176"/>
    <n v="131307"/>
    <s v="ID"/>
    <s v="ID - Washington"/>
    <n v="83672"/>
    <s v="Weiser Memorial Hospital"/>
    <s v="Critical Access Hospital"/>
    <s v="Weiser"/>
    <n v="2.5"/>
    <n v="2"/>
    <n v="17"/>
    <n v="19"/>
    <m/>
    <m/>
    <n v="19"/>
    <n v="1.18"/>
    <n v="5807"/>
    <n v="301"/>
  </r>
  <r>
    <x v="177"/>
    <n v="141337"/>
    <s v="IL"/>
    <s v="IL - Bureau"/>
    <n v="61356"/>
    <s v="Perry Memorial Hospital"/>
    <s v="Critical Access Hospital"/>
    <s v="Princeton"/>
    <n v="6.3"/>
    <n v="2.6"/>
    <n v="42"/>
    <n v="25"/>
    <n v="3"/>
    <n v="0.23"/>
    <n v="25"/>
    <n v="1.17"/>
    <n v="1110"/>
    <n v="707"/>
  </r>
  <r>
    <x v="178"/>
    <n v="141339"/>
    <s v="IL"/>
    <s v="IL - Christian"/>
    <n v="62568"/>
    <s v="Taylorville Memorial Hospital"/>
    <s v="Critical Access Hospital"/>
    <s v="Taylorville"/>
    <n v="13.6"/>
    <n v="3.5"/>
    <n v="56"/>
    <n v="25"/>
    <m/>
    <n v="0.55000000000000004"/>
    <n v="25"/>
    <n v="1.06"/>
    <n v="1113"/>
    <n v="610"/>
  </r>
  <r>
    <x v="178"/>
    <n v="141341"/>
    <s v="IL"/>
    <s v="IL - Christian"/>
    <n v="62557"/>
    <s v="Pana Community Hospital"/>
    <s v="Critical Access Hospital"/>
    <s v="Pana"/>
    <n v="4.5"/>
    <n v="3.2"/>
    <n v="23"/>
    <n v="22"/>
    <m/>
    <n v="0.55000000000000004"/>
    <n v="22"/>
    <n v="0.91"/>
    <n v="1114"/>
    <n v="404"/>
  </r>
  <r>
    <x v="179"/>
    <n v="141351"/>
    <s v="IL"/>
    <s v="IL - Clay"/>
    <n v="62839"/>
    <s v="Clay County Hospital"/>
    <s v="Critical Access Hospital"/>
    <s v="Flora"/>
    <n v="6.2"/>
    <n v="3.7"/>
    <n v="34"/>
    <n v="20"/>
    <m/>
    <m/>
    <n v="20"/>
    <n v="1"/>
    <n v="1115"/>
    <n v="536"/>
  </r>
  <r>
    <x v="180"/>
    <n v="141343"/>
    <s v="IL"/>
    <s v="IL - Crawford"/>
    <n v="62454"/>
    <s v="Crawford Memorial Hospital"/>
    <s v="Critical Access Hospital"/>
    <s v="Robinson"/>
    <n v="9"/>
    <n v="1.9"/>
    <n v="36"/>
    <n v="25"/>
    <m/>
    <m/>
    <n v="25"/>
    <n v="1.38"/>
    <n v="1169"/>
    <n v="1312"/>
  </r>
  <r>
    <x v="181"/>
    <n v="141340"/>
    <s v="IL"/>
    <s v="IL - Dekalb"/>
    <n v="60548"/>
    <s v="Northwestern Medicine Valley West Hospital (FKA Valley West Community Hospital)"/>
    <s v="Critical Access Hospital"/>
    <s v="Sandwich"/>
    <n v="5.5"/>
    <n v="2.5"/>
    <n v="30"/>
    <n v="25"/>
    <n v="4"/>
    <n v="0.03"/>
    <n v="25"/>
    <n v="1.19"/>
    <n v="1170"/>
    <n v="682"/>
  </r>
  <r>
    <x v="182"/>
    <n v="141303"/>
    <s v="IL"/>
    <s v="IL - Dewitt"/>
    <n v="61727"/>
    <s v="Warner Hospital and Health Services (FKA Dr John Warner Hospital)"/>
    <s v="Critical Access Hospital"/>
    <s v="Clinton"/>
    <n v="1.2"/>
    <n v="3.2"/>
    <n v="20"/>
    <n v="15"/>
    <m/>
    <m/>
    <n v="15"/>
    <n v="1.1000000000000001"/>
    <n v="1172"/>
    <n v="145"/>
  </r>
  <r>
    <x v="183"/>
    <n v="141320"/>
    <s v="IL"/>
    <s v="IL - Edgar"/>
    <n v="61944"/>
    <s v="Horizon Health (FKA Paris Community Hospital)"/>
    <s v="Critical Access Hospital"/>
    <s v="Paris"/>
    <n v="14.9"/>
    <n v="2.9"/>
    <n v="66"/>
    <n v="25"/>
    <m/>
    <m/>
    <n v="25"/>
    <n v="1.05"/>
    <n v="1268"/>
    <n v="711"/>
  </r>
  <r>
    <x v="184"/>
    <n v="141346"/>
    <s v="IL"/>
    <s v="IL - Fayette"/>
    <n v="62471"/>
    <s v="Fayette County Hospital"/>
    <s v="Critical Access Hospital"/>
    <s v="Vandalia"/>
    <n v="10"/>
    <n v="3.3"/>
    <n v="27"/>
    <n v="29"/>
    <n v="4"/>
    <m/>
    <n v="29"/>
    <n v="0.95"/>
    <n v="5532"/>
    <n v="489"/>
  </r>
  <r>
    <x v="185"/>
    <n v="141317"/>
    <s v="IL"/>
    <s v="IL - Ford"/>
    <n v="60936"/>
    <s v="Gibson Area Hospital and Health Services"/>
    <s v="Critical Access Hospital"/>
    <s v="Gibson City"/>
    <n v="9.3000000000000007"/>
    <n v="2.5"/>
    <n v="84"/>
    <n v="25"/>
    <n v="2"/>
    <m/>
    <n v="25"/>
    <n v="1.56"/>
    <n v="1180"/>
    <n v="779"/>
  </r>
  <r>
    <x v="186"/>
    <n v="141321"/>
    <s v="IL"/>
    <s v="IL - Franklin"/>
    <n v="62812"/>
    <s v="Franklin Hospital"/>
    <s v="Critical Access Hospital"/>
    <s v="Benton"/>
    <n v="2.2999999999999998"/>
    <n v="2.8"/>
    <n v="26"/>
    <n v="25"/>
    <m/>
    <m/>
    <n v="16"/>
    <n v="0.96"/>
    <n v="5822"/>
    <n v="185"/>
  </r>
  <r>
    <x v="187"/>
    <n v="141300"/>
    <s v="IL"/>
    <s v="IL - Greene"/>
    <n v="62016"/>
    <s v="Thomas H Boyd Memorial Hospital"/>
    <s v="Critical Access Hospital"/>
    <s v="Carrollton"/>
    <n v="2.5"/>
    <n v="2.5"/>
    <n v="14"/>
    <n v="25"/>
    <m/>
    <m/>
    <n v="25"/>
    <n v="0.91"/>
    <n v="1182"/>
    <n v="130"/>
  </r>
  <r>
    <x v="188"/>
    <n v="141326"/>
    <s v="IL"/>
    <s v="IL - Hamilton"/>
    <n v="62859"/>
    <s v="Hamilton Memorial Hospital District"/>
    <s v="Critical Access Hospital"/>
    <s v="Mc Leansboro"/>
    <n v="8.6999999999999993"/>
    <n v="2.6"/>
    <n v="34"/>
    <n v="25"/>
    <m/>
    <m/>
    <n v="25"/>
    <n v="0.88"/>
    <n v="1184"/>
    <n v="321"/>
  </r>
  <r>
    <x v="189"/>
    <n v="141305"/>
    <s v="IL"/>
    <s v="IL - Hancock"/>
    <n v="62321"/>
    <s v="Memorial Hospital"/>
    <s v="Critical Access Hospital"/>
    <s v="Carthage"/>
    <n v="5.8"/>
    <n v="2.7"/>
    <n v="30"/>
    <n v="18"/>
    <m/>
    <n v="0.45"/>
    <n v="18"/>
    <n v="0.97"/>
    <n v="5052"/>
    <n v="502"/>
  </r>
  <r>
    <x v="190"/>
    <n v="141328"/>
    <s v="IL"/>
    <s v="IL - Hardin"/>
    <n v="62982"/>
    <s v="Hardin County General Hospital"/>
    <s v="Critical Access Hospital"/>
    <s v="Rosiclare"/>
    <n v="7.1"/>
    <n v="3.7"/>
    <n v="7"/>
    <n v="25"/>
    <m/>
    <m/>
    <n v="25"/>
    <n v="0.89"/>
    <n v="1185"/>
    <n v="379"/>
  </r>
  <r>
    <x v="191"/>
    <n v="141325"/>
    <s v="IL"/>
    <s v="IL - Henry"/>
    <n v="61443"/>
    <s v="OSF Saint Luke Medical Center (FKA Kewanee Hospital)"/>
    <s v="Critical Access Hospital"/>
    <s v="Kewanee"/>
    <n v="4.0999999999999996"/>
    <n v="1.8"/>
    <n v="23"/>
    <n v="25"/>
    <n v="3"/>
    <n v="0.27"/>
    <n v="25"/>
    <n v="0.98"/>
    <n v="1186"/>
    <n v="553"/>
  </r>
  <r>
    <x v="191"/>
    <n v="141319"/>
    <s v="IL"/>
    <s v="IL - Henry"/>
    <n v="61254"/>
    <s v="Hammond Henry Hospital"/>
    <s v="Critical Access Hospital"/>
    <s v="Geneseo"/>
    <n v="8.3000000000000007"/>
    <n v="3.2"/>
    <n v="39"/>
    <n v="25"/>
    <m/>
    <n v="0.27"/>
    <n v="25"/>
    <n v="1.31"/>
    <n v="1187"/>
    <n v="771"/>
  </r>
  <r>
    <x v="192"/>
    <n v="141334"/>
    <s v="IL"/>
    <s v="IL - Jackson"/>
    <n v="62966"/>
    <s v="SIH St Joseph Memorial Hospital"/>
    <s v="Critical Access Hospital"/>
    <s v="Murphysboro"/>
    <n v="12.5"/>
    <n v="2.8"/>
    <n v="61"/>
    <n v="25"/>
    <m/>
    <n v="0.33"/>
    <n v="25"/>
    <n v="1.32"/>
    <n v="1190"/>
    <n v="353"/>
  </r>
  <r>
    <x v="193"/>
    <n v="141302"/>
    <s v="IL"/>
    <s v="IL - Jo Daviess"/>
    <n v="61036"/>
    <s v="Midwest Medical Center"/>
    <s v="Critical Access Hospital"/>
    <s v="Galena"/>
    <n v="6.6"/>
    <n v="3.1"/>
    <n v="21"/>
    <n v="25"/>
    <m/>
    <m/>
    <n v="18"/>
    <n v="0.96"/>
    <n v="1194"/>
    <n v="146"/>
  </r>
  <r>
    <x v="194"/>
    <n v="141310"/>
    <s v="IL"/>
    <s v="IL - La Salle"/>
    <n v="61342"/>
    <s v="OSF Saint Paul Medical Center (FKA Mendota Community Hospital)"/>
    <s v="Critical Access Hospital"/>
    <s v="Mendota"/>
    <n v="5.4"/>
    <n v="2.9"/>
    <n v="19"/>
    <n v="25"/>
    <n v="4"/>
    <n v="0.23"/>
    <n v="25"/>
    <n v="1.07"/>
    <n v="1211"/>
    <n v="336"/>
  </r>
  <r>
    <x v="195"/>
    <n v="141344"/>
    <s v="IL"/>
    <s v="IL - Lawrence"/>
    <n v="62439"/>
    <s v="Lawrence County Memorial Hospital"/>
    <s v="Critical Access Hospital"/>
    <s v="Lawrenceville"/>
    <n v="5.5"/>
    <n v="4"/>
    <n v="15"/>
    <n v="25"/>
    <m/>
    <m/>
    <n v="25"/>
    <n v="0.98"/>
    <n v="1215"/>
    <n v="351"/>
  </r>
  <r>
    <x v="196"/>
    <n v="141322"/>
    <s v="IL"/>
    <s v="IL - Logan"/>
    <n v="62656"/>
    <s v="Abraham Lincoln Memorial Hospital"/>
    <s v="Critical Access Hospital"/>
    <s v="Lincoln"/>
    <n v="12"/>
    <n v="3.9"/>
    <n v="67"/>
    <n v="25"/>
    <m/>
    <n v="1"/>
    <n v="25"/>
    <n v="1.19"/>
    <n v="1218"/>
    <n v="759"/>
  </r>
  <r>
    <x v="197"/>
    <n v="141335"/>
    <s v="IL"/>
    <s v="IL - Mchenry"/>
    <n v="60033"/>
    <s v="Mercyhealth Hospital and Medical Center - Harvard"/>
    <s v="Critical Access Hospital"/>
    <s v="Harvard"/>
    <n v="3.6"/>
    <n v="2.9"/>
    <n v="26"/>
    <n v="13"/>
    <n v="3"/>
    <n v="0.03"/>
    <n v="13"/>
    <n v="1.2"/>
    <n v="1221"/>
    <n v="465"/>
  </r>
  <r>
    <x v="198"/>
    <n v="141306"/>
    <s v="IL"/>
    <s v="IL - Macoupin"/>
    <n v="62088"/>
    <s v="Community Hospital of Staunton (FKA Community Memorial Hospital)"/>
    <s v="Critical Access Hospital"/>
    <s v="Staunton"/>
    <n v="3.7"/>
    <n v="3.1"/>
    <n v="21"/>
    <n v="25"/>
    <m/>
    <n v="0.08"/>
    <n v="25"/>
    <n v="0.94"/>
    <n v="1227"/>
    <n v="244"/>
  </r>
  <r>
    <x v="198"/>
    <n v="141347"/>
    <s v="IL"/>
    <s v="IL - Macoupin"/>
    <n v="62626"/>
    <s v="Carlinville Area Hospital"/>
    <s v="Critical Access Hospital"/>
    <s v="Carlinville"/>
    <n v="6.7"/>
    <n v="2.9"/>
    <n v="32"/>
    <n v="25"/>
    <m/>
    <n v="0.08"/>
    <n v="25"/>
    <n v="0.96"/>
    <n v="1228"/>
    <n v="362"/>
  </r>
  <r>
    <x v="199"/>
    <n v="141336"/>
    <s v="IL"/>
    <s v="IL - Madison"/>
    <n v="62249"/>
    <s v="HSHS St Josephs Hospital - Highland"/>
    <s v="Critical Access Hospital"/>
    <s v="Highland"/>
    <n v="16.100000000000001"/>
    <n v="3.3"/>
    <n v="54"/>
    <n v="25"/>
    <m/>
    <n v="0.08"/>
    <n v="25"/>
    <n v="1.28"/>
    <n v="1229"/>
    <n v="985"/>
  </r>
  <r>
    <x v="200"/>
    <n v="141345"/>
    <s v="IL"/>
    <s v="IL - Marion"/>
    <n v="62881"/>
    <s v="Salem Township Hospital"/>
    <s v="Critical Access Hospital"/>
    <s v="Salem"/>
    <n v="7.3"/>
    <n v="3.8"/>
    <n v="35"/>
    <n v="25"/>
    <m/>
    <n v="0.68"/>
    <n v="25"/>
    <n v="1.25"/>
    <n v="1235"/>
    <n v="454"/>
  </r>
  <r>
    <x v="201"/>
    <n v="141313"/>
    <s v="IL"/>
    <s v="IL - Mason"/>
    <n v="62644"/>
    <s v="Mason District Hospital"/>
    <s v="Critical Access Hospital"/>
    <s v="Havana"/>
    <n v="3.2"/>
    <n v="3.1"/>
    <n v="13"/>
    <n v="25"/>
    <m/>
    <m/>
    <n v="25"/>
    <n v="1.1000000000000001"/>
    <n v="1236"/>
    <n v="140"/>
  </r>
  <r>
    <x v="202"/>
    <n v="141323"/>
    <s v="IL"/>
    <s v="IL - Massac"/>
    <n v="62960"/>
    <s v="Massac Memorial Hospital"/>
    <s v="Critical Access Hospital"/>
    <s v="Metropolis"/>
    <n v="10.1"/>
    <n v="4.2"/>
    <n v="15"/>
    <n v="25"/>
    <m/>
    <n v="0.44"/>
    <n v="25"/>
    <n v="0.94"/>
    <n v="6135"/>
    <n v="782"/>
  </r>
  <r>
    <x v="203"/>
    <n v="141304"/>
    <s v="IL"/>
    <s v="IL - Mercer"/>
    <n v="61231"/>
    <s v="Genesis Medical Center - Aledo (FKA Mercer County Hospital)"/>
    <s v="Critical Access Hospital"/>
    <s v="Aledo"/>
    <n v="2.8"/>
    <n v="1.7"/>
    <n v="15"/>
    <n v="22"/>
    <m/>
    <n v="0.27"/>
    <n v="22"/>
    <n v="0.92"/>
    <n v="4972"/>
    <n v="146"/>
  </r>
  <r>
    <x v="204"/>
    <n v="141350"/>
    <s v="IL"/>
    <s v="IL - Montgomery"/>
    <n v="62056"/>
    <s v="HSHS St Francis Hospital"/>
    <s v="Critical Access Hospital"/>
    <s v="Litchfield"/>
    <n v="11.7"/>
    <n v="2.5"/>
    <n v="48"/>
    <n v="25"/>
    <m/>
    <m/>
    <n v="25"/>
    <n v="1.28"/>
    <n v="1237"/>
    <n v="1519"/>
  </r>
  <r>
    <x v="204"/>
    <n v="141332"/>
    <s v="IL"/>
    <s v="IL - Montgomery"/>
    <n v="62049"/>
    <s v="Hillsboro Area Hospital"/>
    <s v="Critical Access Hospital"/>
    <s v="Hillsboro"/>
    <n v="6.7"/>
    <n v="2.9"/>
    <n v="35"/>
    <n v="25"/>
    <m/>
    <m/>
    <n v="25"/>
    <n v="0.93"/>
    <n v="1238"/>
    <n v="192"/>
  </r>
  <r>
    <x v="205"/>
    <n v="141312"/>
    <s v="IL"/>
    <s v="IL - Ogle"/>
    <n v="61068"/>
    <s v="Rochelle Community Hospital"/>
    <s v="Critical Access Hospital"/>
    <s v="Rochelle"/>
    <n v="3"/>
    <n v="2.6"/>
    <n v="31"/>
    <n v="17"/>
    <n v="4"/>
    <n v="1"/>
    <n v="17"/>
    <n v="0.95"/>
    <n v="1240"/>
    <n v="374"/>
  </r>
  <r>
    <x v="206"/>
    <n v="141307"/>
    <s v="IL"/>
    <s v="IL - Perry"/>
    <n v="62274"/>
    <s v="Pinckneyville Community Hospital"/>
    <s v="Critical Access Hospital"/>
    <s v="Pinckneyville"/>
    <n v="8.6"/>
    <n v="3.2"/>
    <n v="24"/>
    <n v="17"/>
    <m/>
    <m/>
    <n v="17"/>
    <n v="0.98"/>
    <n v="1244"/>
    <n v="309"/>
  </r>
  <r>
    <x v="206"/>
    <n v="141331"/>
    <s v="IL"/>
    <s v="IL - Perry"/>
    <n v="62832"/>
    <s v="Marshall Browning Hospital"/>
    <s v="Critical Access Hospital"/>
    <s v="Du Quoin"/>
    <n v="5.8"/>
    <n v="2.2000000000000002"/>
    <n v="29"/>
    <n v="25"/>
    <m/>
    <m/>
    <n v="25"/>
    <n v="1.03"/>
    <n v="1245"/>
    <n v="386"/>
  </r>
  <r>
    <x v="207"/>
    <n v="141301"/>
    <s v="IL"/>
    <s v="IL - Piatt"/>
    <n v="61856"/>
    <s v="Kirby Medical Center (AKA John &amp; Mary Kirby Hospital)"/>
    <s v="Critical Access Hospital"/>
    <s v="Monticello"/>
    <n v="4.9000000000000004"/>
    <n v="2.2999999999999998"/>
    <n v="25"/>
    <n v="16"/>
    <m/>
    <n v="0.75"/>
    <n v="16"/>
    <n v="1.48"/>
    <n v="1246"/>
    <n v="134"/>
  </r>
  <r>
    <x v="208"/>
    <n v="141315"/>
    <s v="IL"/>
    <s v="IL - Pike"/>
    <n v="62363"/>
    <s v="Illini Community Hospital"/>
    <s v="Critical Access Hospital"/>
    <s v="Pittsfield"/>
    <n v="3"/>
    <n v="2.9"/>
    <n v="31"/>
    <n v="25"/>
    <m/>
    <m/>
    <n v="25"/>
    <n v="1.1000000000000001"/>
    <n v="1247"/>
    <n v="254"/>
  </r>
  <r>
    <x v="209"/>
    <n v="141348"/>
    <s v="IL"/>
    <s v="IL - Randolph"/>
    <n v="62278"/>
    <s v="Red Bud Regional Hospital"/>
    <s v="Critical Access Hospital"/>
    <s v="Red Bud"/>
    <n v="15.1"/>
    <n v="3.1"/>
    <n v="20"/>
    <n v="25"/>
    <m/>
    <m/>
    <n v="25"/>
    <n v="1.1299999999999999"/>
    <n v="1248"/>
    <n v="658"/>
  </r>
  <r>
    <x v="209"/>
    <n v="141349"/>
    <s v="IL"/>
    <s v="IL - Randolph"/>
    <n v="62286"/>
    <s v="Sparta Community Hospital"/>
    <s v="Critical Access Hospital"/>
    <s v="Sparta"/>
    <n v="5"/>
    <n v="2.9"/>
    <n v="44"/>
    <n v="25"/>
    <m/>
    <m/>
    <n v="25"/>
    <n v="1.05"/>
    <n v="1249"/>
    <n v="320"/>
  </r>
  <r>
    <x v="209"/>
    <n v="141338"/>
    <s v="IL"/>
    <s v="IL - Randolph"/>
    <n v="62233"/>
    <s v="Memorial Hospital"/>
    <s v="Critical Access Hospital"/>
    <s v="Chester"/>
    <n v="4.5"/>
    <n v="3.5"/>
    <n v="37"/>
    <n v="25"/>
    <m/>
    <m/>
    <n v="25"/>
    <n v="1.02"/>
    <n v="1250"/>
    <n v="347"/>
  </r>
  <r>
    <x v="210"/>
    <n v="141324"/>
    <s v="IL"/>
    <s v="IL - Saline"/>
    <n v="62930"/>
    <s v="Ferrell Hospital"/>
    <s v="Critical Access Hospital"/>
    <s v="Eldorado"/>
    <n v="7.5"/>
    <n v="3.6"/>
    <n v="26"/>
    <n v="25"/>
    <m/>
    <m/>
    <n v="25"/>
    <n v="0.92"/>
    <n v="1258"/>
    <n v="509"/>
  </r>
  <r>
    <x v="211"/>
    <n v="141333"/>
    <s v="IL"/>
    <s v="IL - Schuyler"/>
    <n v="62681"/>
    <s v="Sarah D Culbertson Memorial Hospital"/>
    <s v="Critical Access Hospital"/>
    <s v="Rushville"/>
    <n v="3.7"/>
    <n v="3.4"/>
    <n v="28"/>
    <n v="22"/>
    <m/>
    <m/>
    <n v="22"/>
    <n v="0.89"/>
    <n v="1261"/>
    <n v="223"/>
  </r>
  <r>
    <x v="212"/>
    <n v="141330"/>
    <s v="IL"/>
    <s v="IL - Tazewell"/>
    <n v="61747"/>
    <s v="Hopedale Medical Complex"/>
    <s v="Critical Access Hospital"/>
    <s v="Hopedale"/>
    <n v="5.3"/>
    <n v="3.3"/>
    <n v="15"/>
    <n v="25"/>
    <m/>
    <n v="0.44"/>
    <n v="25"/>
    <n v="1.38"/>
    <n v="1265"/>
    <n v="286"/>
  </r>
  <r>
    <x v="213"/>
    <n v="141342"/>
    <s v="IL"/>
    <s v="IL - Union"/>
    <n v="62906"/>
    <s v="Union County Hospital"/>
    <s v="Critical Access Hospital"/>
    <s v="Anna"/>
    <n v="6.4"/>
    <n v="3.4"/>
    <n v="20"/>
    <n v="25"/>
    <m/>
    <m/>
    <n v="25"/>
    <n v="1.1200000000000001"/>
    <n v="1266"/>
    <n v="517"/>
  </r>
  <r>
    <x v="214"/>
    <n v="141316"/>
    <s v="IL"/>
    <s v="IL - Vermilion"/>
    <n v="60942"/>
    <s v="Carle Hoopeston Regional Health Center"/>
    <s v="Critical Access Hospital"/>
    <s v="Hoopeston"/>
    <n v="3.1"/>
    <n v="2.7"/>
    <n v="50"/>
    <n v="22"/>
    <m/>
    <n v="0.51"/>
    <n v="22"/>
    <n v="1.1499999999999999"/>
    <n v="1267"/>
    <n v="373"/>
  </r>
  <r>
    <x v="215"/>
    <n v="141327"/>
    <s v="IL"/>
    <s v="IL - Wabash"/>
    <n v="62863"/>
    <s v="Wabash General Hospital"/>
    <s v="Critical Access Hospital"/>
    <s v="Mount Carmel"/>
    <n v="6.9"/>
    <n v="3.3"/>
    <n v="42"/>
    <n v="25"/>
    <n v="4"/>
    <m/>
    <n v="25"/>
    <n v="1.42"/>
    <n v="1271"/>
    <n v="676"/>
  </r>
  <r>
    <x v="216"/>
    <n v="141318"/>
    <s v="IL"/>
    <s v="IL - Warren"/>
    <n v="61462"/>
    <s v="OSF Holy Family Medical Center"/>
    <s v="Critical Access Hospital"/>
    <s v="Monmouth"/>
    <n v="3.5"/>
    <n v="3"/>
    <n v="15"/>
    <n v="23"/>
    <m/>
    <m/>
    <n v="23"/>
    <n v="0.94"/>
    <n v="1272"/>
    <n v="199"/>
  </r>
  <r>
    <x v="217"/>
    <n v="141308"/>
    <s v="IL"/>
    <s v="IL - Washington"/>
    <n v="62263"/>
    <s v="Washington County Hospital"/>
    <s v="Critical Access Hospital"/>
    <s v="Nashville"/>
    <n v="5"/>
    <n v="2.2000000000000002"/>
    <n v="13"/>
    <n v="22"/>
    <m/>
    <m/>
    <n v="22"/>
    <n v="0.94"/>
    <n v="5804"/>
    <n v="68"/>
  </r>
  <r>
    <x v="218"/>
    <n v="141311"/>
    <s v="IL"/>
    <s v="IL - Wayne"/>
    <n v="62837"/>
    <s v="Fairfield Memorial Hospital"/>
    <s v="Critical Access Hospital"/>
    <s v="Fairfield"/>
    <n v="4.5999999999999996"/>
    <n v="3"/>
    <n v="32"/>
    <n v="25"/>
    <n v="4"/>
    <m/>
    <n v="25"/>
    <n v="1.04"/>
    <n v="1273"/>
    <n v="561"/>
  </r>
  <r>
    <x v="219"/>
    <n v="141329"/>
    <s v="IL"/>
    <s v="IL - Whiteside"/>
    <n v="61270"/>
    <s v="Morrison Community Hospital"/>
    <s v="Critical Access Hospital"/>
    <s v="Morrison"/>
    <n v="9.1"/>
    <n v="2.9"/>
    <n v="20"/>
    <n v="25"/>
    <m/>
    <n v="0.87"/>
    <n v="25"/>
    <n v="0.87"/>
    <n v="5854"/>
    <n v="51"/>
  </r>
  <r>
    <x v="220"/>
    <n v="141309"/>
    <s v="IL"/>
    <s v="IL - Woodford"/>
    <n v="61530"/>
    <s v="Advocate Eureka Hospital"/>
    <s v="Critical Access Hospital"/>
    <s v="Eureka"/>
    <n v="3.3"/>
    <n v="2.9"/>
    <n v="15"/>
    <n v="25"/>
    <m/>
    <n v="0.44"/>
    <n v="25"/>
    <n v="1.1399999999999999"/>
    <n v="1284"/>
    <n v="173"/>
  </r>
  <r>
    <x v="221"/>
    <n v="151330"/>
    <s v="IN"/>
    <s v="IN - Adams"/>
    <n v="46733"/>
    <s v="Adams Memorial Hospital"/>
    <s v="Critical Access Hospital"/>
    <s v="Decatur"/>
    <n v="15.3"/>
    <n v="3.4"/>
    <n v="77"/>
    <n v="25"/>
    <n v="4"/>
    <n v="1"/>
    <n v="25"/>
    <n v="1.23"/>
    <n v="1285"/>
    <n v="1305"/>
  </r>
  <r>
    <x v="222"/>
    <n v="151302"/>
    <s v="IN"/>
    <s v="IN - Blackford"/>
    <n v="47348"/>
    <s v="IU Health Blackford Hospital"/>
    <s v="Critical Access Hospital"/>
    <s v="Hartford City"/>
    <n v="6.1"/>
    <n v="3.5"/>
    <n v="15"/>
    <n v="15"/>
    <m/>
    <m/>
    <n v="15"/>
    <n v="0.98"/>
    <n v="1293"/>
    <n v="274"/>
  </r>
  <r>
    <x v="223"/>
    <n v="151309"/>
    <s v="IN"/>
    <s v="IN - Clay"/>
    <n v="47834"/>
    <s v="Ascension St Vincent Clay (FKA St Vincent Clay Hospital)"/>
    <s v="Critical Access Hospital"/>
    <s v="Brazil"/>
    <n v="2"/>
    <n v="3.3"/>
    <n v="28"/>
    <n v="25"/>
    <m/>
    <n v="0.51"/>
    <n v="25"/>
    <n v="0.95"/>
    <n v="1299"/>
    <n v="124"/>
  </r>
  <r>
    <x v="224"/>
    <n v="151316"/>
    <s v="IN"/>
    <s v="IN - Clinton"/>
    <n v="46041"/>
    <s v="IU Health Frankfort Hospital (FKA St Vincent Frankfort Hospital)"/>
    <s v="Critical Access Hospital"/>
    <s v="Frankfort"/>
    <n v="4.2"/>
    <n v="3.3"/>
    <n v="21"/>
    <n v="25"/>
    <m/>
    <n v="1"/>
    <n v="25"/>
    <n v="1.1399999999999999"/>
    <n v="1300"/>
    <n v="371"/>
  </r>
  <r>
    <x v="225"/>
    <n v="151332"/>
    <s v="IN"/>
    <s v="IN - Decatur"/>
    <n v="47240"/>
    <s v="Decatur County Memorial Hospital"/>
    <s v="Critical Access Hospital"/>
    <s v="Greensburg"/>
    <n v="11.1"/>
    <n v="3.1"/>
    <n v="63"/>
    <n v="25"/>
    <m/>
    <n v="1"/>
    <n v="25"/>
    <n v="1.18"/>
    <n v="1303"/>
    <n v="1237"/>
  </r>
  <r>
    <x v="226"/>
    <n v="151313"/>
    <s v="IN"/>
    <s v="IN - Fulton"/>
    <n v="46975"/>
    <s v="Woodlawn Hospital"/>
    <s v="Critical Access Hospital"/>
    <s v="Rochester"/>
    <n v="9.9"/>
    <n v="3.3"/>
    <n v="46"/>
    <n v="25"/>
    <n v="4"/>
    <m/>
    <n v="25"/>
    <n v="1.28"/>
    <n v="5339"/>
    <n v="1009"/>
  </r>
  <r>
    <x v="227"/>
    <n v="151319"/>
    <s v="IN"/>
    <s v="IN - Gibson"/>
    <n v="47670"/>
    <s v="Gibson General Hospital"/>
    <s v="Critical Access Hospital"/>
    <s v="Princeton"/>
    <n v="8.5"/>
    <n v="3.4"/>
    <n v="28"/>
    <n v="25"/>
    <n v="5"/>
    <m/>
    <n v="25"/>
    <n v="0.92"/>
    <n v="1312"/>
    <n v="284"/>
  </r>
  <r>
    <x v="228"/>
    <n v="151317"/>
    <s v="IN"/>
    <s v="IN - Greene"/>
    <n v="47441"/>
    <s v="Greene County General Hospital"/>
    <s v="Critical Access Hospital"/>
    <s v="Linton"/>
    <n v="7.1"/>
    <n v="2.5"/>
    <n v="42"/>
    <n v="25"/>
    <n v="5"/>
    <m/>
    <n v="25"/>
    <n v="0.96"/>
    <n v="1315"/>
    <n v="864"/>
  </r>
  <r>
    <x v="229"/>
    <n v="151331"/>
    <s v="IN"/>
    <s v="IN - Harrison"/>
    <n v="47112"/>
    <s v="Harrison County Hospital"/>
    <s v="Critical Access Hospital"/>
    <s v="Corydon"/>
    <n v="13.1"/>
    <n v="3.3"/>
    <n v="59"/>
    <n v="25"/>
    <n v="4"/>
    <n v="0.24"/>
    <n v="25"/>
    <n v="1.22"/>
    <n v="1321"/>
    <n v="1417"/>
  </r>
  <r>
    <x v="230"/>
    <n v="151324"/>
    <s v="IN"/>
    <s v="IN - Jasper"/>
    <n v="47978"/>
    <s v="Franciscan Health Rensselaer (FKA Jasper County Hospital)"/>
    <s v="Critical Access Hospital"/>
    <s v="Rensselaer"/>
    <n v="4.4000000000000004"/>
    <n v="3.3"/>
    <n v="28"/>
    <n v="25"/>
    <n v="4"/>
    <n v="0.03"/>
    <n v="25"/>
    <n v="1.1200000000000001"/>
    <n v="1329"/>
    <n v="412"/>
  </r>
  <r>
    <x v="231"/>
    <n v="151320"/>
    <s v="IN"/>
    <s v="IN - Jay"/>
    <n v="47371"/>
    <s v="IU Health Jay Hospital (FKA Jay County Hospital)"/>
    <s v="Critical Access Hospital"/>
    <s v="Portland"/>
    <n v="5.9"/>
    <n v="2.2000000000000002"/>
    <n v="43"/>
    <n v="25"/>
    <m/>
    <m/>
    <n v="25"/>
    <n v="1.1000000000000001"/>
    <n v="1330"/>
    <n v="752"/>
  </r>
  <r>
    <x v="232"/>
    <n v="151303"/>
    <s v="IN"/>
    <s v="IN - Jennings"/>
    <n v="47265"/>
    <s v="Ascension St Vincent Jennings (FKA St Vincent Jennings Hospital)"/>
    <s v="Critical Access Hospital"/>
    <s v="North Vernon"/>
    <n v="1.8"/>
    <n v="2.7"/>
    <n v="33"/>
    <n v="25"/>
    <m/>
    <n v="1"/>
    <n v="25"/>
    <n v="1.04"/>
    <n v="1332"/>
    <n v="201"/>
  </r>
  <r>
    <x v="233"/>
    <n v="151323"/>
    <s v="IN"/>
    <s v="IN - Lagrange"/>
    <n v="46761"/>
    <s v="Parkview LaGrange Hospital"/>
    <s v="Critical Access Hospital"/>
    <s v="La Grange"/>
    <n v="8.3000000000000007"/>
    <n v="3.2"/>
    <n v="29"/>
    <n v="25"/>
    <m/>
    <m/>
    <n v="25"/>
    <n v="1.1299999999999999"/>
    <n v="1336"/>
    <n v="1071"/>
  </r>
  <r>
    <x v="234"/>
    <n v="151328"/>
    <s v="IN"/>
    <s v="IN - Lawrence"/>
    <n v="47421"/>
    <s v="IU Health Bedford Hospital"/>
    <s v="Critical Access Hospital"/>
    <s v="Bedford"/>
    <n v="10.5"/>
    <n v="3.5"/>
    <n v="61"/>
    <n v="25"/>
    <n v="6"/>
    <n v="0.62"/>
    <n v="25"/>
    <n v="1.21"/>
    <n v="1349"/>
    <n v="1095"/>
  </r>
  <r>
    <x v="234"/>
    <n v="151335"/>
    <s v="IN"/>
    <s v="IN - Lawrence"/>
    <n v="47421"/>
    <s v="Ascension St Vincent Dunn (FKA St Vincent Dunn Hospital)"/>
    <s v="Critical Access Hospital"/>
    <s v="Bedford"/>
    <n v="5.6"/>
    <n v="3.2"/>
    <n v="33"/>
    <n v="25"/>
    <m/>
    <n v="0.62"/>
    <n v="25"/>
    <n v="1.06"/>
    <n v="1350"/>
    <n v="611"/>
  </r>
  <r>
    <x v="235"/>
    <n v="151308"/>
    <s v="IN"/>
    <s v="IN - Madison"/>
    <n v="46036"/>
    <s v="Ascension St Vincent Mercy (FKA St Vincent Mercy Hospital)"/>
    <s v="Critical Access Hospital"/>
    <s v="Elwood"/>
    <n v="2.4"/>
    <n v="3.4"/>
    <n v="21"/>
    <n v="25"/>
    <m/>
    <n v="0.12"/>
    <n v="25"/>
    <n v="1.22"/>
    <n v="1353"/>
    <n v="218"/>
  </r>
  <r>
    <x v="236"/>
    <n v="151300"/>
    <s v="IN"/>
    <s v="IN - Marshall"/>
    <n v="46506"/>
    <s v="Community Hospital of Bremen"/>
    <s v="Critical Access Hospital"/>
    <s v="Bremen"/>
    <n v="2.2000000000000002"/>
    <n v="2.2000000000000002"/>
    <n v="64"/>
    <n v="24"/>
    <m/>
    <n v="0.55000000000000004"/>
    <n v="24"/>
    <n v="1.18"/>
    <n v="1367"/>
    <n v="277"/>
  </r>
  <r>
    <x v="237"/>
    <n v="151318"/>
    <s v="IN"/>
    <s v="IN - Miami"/>
    <n v="46970"/>
    <s v="Dukes Memorial Hospital"/>
    <s v="Critical Access Hospital"/>
    <s v="Peru"/>
    <n v="8.3000000000000007"/>
    <n v="3.1"/>
    <n v="40"/>
    <n v="25"/>
    <n v="4"/>
    <n v="1"/>
    <n v="25"/>
    <n v="1.21"/>
    <n v="1368"/>
    <n v="884"/>
  </r>
  <r>
    <x v="238"/>
    <n v="151306"/>
    <s v="IN"/>
    <s v="IN - Orange"/>
    <n v="47454"/>
    <s v="IU Health Paoli Hospital (FKA Bloomington Hospital of Orange County)"/>
    <s v="Critical Access Hospital"/>
    <s v="Paoli"/>
    <n v="1.9"/>
    <n v="1.6"/>
    <n v="32"/>
    <n v="24"/>
    <m/>
    <m/>
    <n v="24"/>
    <n v="0.99"/>
    <n v="5605"/>
    <n v="360"/>
  </r>
  <r>
    <x v="239"/>
    <n v="151322"/>
    <s v="IN"/>
    <s v="IN - Perry"/>
    <n v="47586"/>
    <s v="Perry County Memorial Hospital"/>
    <s v="Critical Access Hospital"/>
    <s v="Tell City"/>
    <n v="8.1999999999999993"/>
    <n v="3.1"/>
    <n v="45"/>
    <n v="25"/>
    <n v="4"/>
    <m/>
    <n v="25"/>
    <n v="1.04"/>
    <n v="1375"/>
    <n v="767"/>
  </r>
  <r>
    <x v="240"/>
    <n v="151305"/>
    <s v="IN"/>
    <s v="IN - Pulaski"/>
    <n v="46996"/>
    <s v="Pulaski Memorial Hospital"/>
    <s v="Critical Access Hospital"/>
    <s v="Winamac"/>
    <n v="7.7"/>
    <n v="3.5"/>
    <n v="38"/>
    <n v="25"/>
    <m/>
    <m/>
    <n v="25"/>
    <n v="1.07"/>
    <n v="5081"/>
    <n v="543"/>
  </r>
  <r>
    <x v="241"/>
    <n v="151333"/>
    <s v="IN"/>
    <s v="IN - Putnam"/>
    <n v="46135"/>
    <s v="Putnam County Hospital"/>
    <s v="Critical Access Hospital"/>
    <s v="Greencastle"/>
    <n v="7.2"/>
    <n v="2.8"/>
    <n v="60"/>
    <n v="25"/>
    <n v="6"/>
    <n v="0.12"/>
    <n v="25"/>
    <n v="1.21"/>
    <n v="1377"/>
    <n v="771"/>
  </r>
  <r>
    <x v="242"/>
    <n v="151301"/>
    <s v="IN"/>
    <s v="IN - Randolph"/>
    <n v="47394"/>
    <s v="Ascension St Vincent Randolph"/>
    <s v="Critical Access Hospital"/>
    <s v="Winchester"/>
    <n v="3.1"/>
    <n v="2.6"/>
    <n v="33"/>
    <n v="25"/>
    <m/>
    <m/>
    <n v="25"/>
    <n v="1.04"/>
    <n v="1378"/>
    <n v="422"/>
  </r>
  <r>
    <x v="243"/>
    <n v="151329"/>
    <s v="IN"/>
    <s v="IN - Ripley"/>
    <n v="47006"/>
    <s v="Margaret Mary Health (FKA Margaret Mary Community Hospital)"/>
    <s v="Critical Access Hospital"/>
    <s v="Batesville"/>
    <n v="12.6"/>
    <n v="2.9"/>
    <n v="102"/>
    <n v="25"/>
    <n v="7"/>
    <m/>
    <n v="25"/>
    <n v="1.36"/>
    <n v="1379"/>
    <n v="1598"/>
  </r>
  <r>
    <x v="244"/>
    <n v="151304"/>
    <s v="IN"/>
    <s v="IN - Rush"/>
    <n v="46173"/>
    <s v="Rush Memorial Hospital"/>
    <s v="Critical Access Hospital"/>
    <s v="Rushville"/>
    <n v="3.7"/>
    <n v="3.3"/>
    <n v="54"/>
    <n v="25"/>
    <m/>
    <m/>
    <n v="25"/>
    <n v="0.99"/>
    <n v="1380"/>
    <n v="381"/>
  </r>
  <r>
    <x v="245"/>
    <n v="151334"/>
    <s v="IN"/>
    <s v="IN - Scott"/>
    <n v="47170"/>
    <s v="Scott Memorial Hospital"/>
    <s v="Critical Access Hospital"/>
    <s v="Scottsburg"/>
    <n v="8"/>
    <n v="3.8"/>
    <n v="38"/>
    <n v="25"/>
    <n v="4"/>
    <n v="1"/>
    <n v="25"/>
    <n v="1.06"/>
    <n v="1384"/>
    <n v="807"/>
  </r>
  <r>
    <x v="246"/>
    <n v="151315"/>
    <s v="IN"/>
    <s v="IN - Steuben"/>
    <n v="46703"/>
    <s v="Cameron Memorial Community Hospital"/>
    <s v="Critical Access Hospital"/>
    <s v="Angola"/>
    <n v="10.7"/>
    <n v="2.7"/>
    <n v="73"/>
    <n v="25"/>
    <n v="2"/>
    <n v="1"/>
    <n v="25"/>
    <n v="1.1599999999999999"/>
    <n v="1387"/>
    <n v="1262"/>
  </r>
  <r>
    <x v="247"/>
    <n v="151327"/>
    <s v="IN"/>
    <s v="IN - Sullivan"/>
    <n v="47882"/>
    <s v="Sullivan County Community Hospital"/>
    <s v="Critical Access Hospital"/>
    <s v="Sullivan"/>
    <n v="6.6"/>
    <n v="2.9"/>
    <n v="46"/>
    <n v="25"/>
    <n v="4"/>
    <n v="0.51"/>
    <n v="25"/>
    <n v="1.1000000000000001"/>
    <n v="1388"/>
    <n v="653"/>
  </r>
  <r>
    <x v="248"/>
    <n v="151311"/>
    <s v="IN"/>
    <s v="IN - Tipton"/>
    <n v="46072"/>
    <s v="IU Health Tipton Hospital (FKA Desert View Regional Medical Center)"/>
    <s v="Critical Access Hospital"/>
    <s v="Tipton"/>
    <n v="7.8"/>
    <n v="3.5"/>
    <n v="31"/>
    <n v="25"/>
    <m/>
    <m/>
    <n v="25"/>
    <n v="1.33"/>
    <n v="1392"/>
    <n v="702"/>
  </r>
  <r>
    <x v="249"/>
    <n v="151326"/>
    <s v="IN"/>
    <s v="IN - Vermillion"/>
    <n v="47842"/>
    <s v="Union Hospital Clinton"/>
    <s v="Critical Access Hospital"/>
    <s v="Clinton"/>
    <n v="5.0999999999999996"/>
    <n v="2.7"/>
    <n v="35"/>
    <n v="25"/>
    <n v="6"/>
    <n v="0.51"/>
    <n v="25"/>
    <n v="1.05"/>
    <n v="1395"/>
    <n v="630"/>
  </r>
  <r>
    <x v="250"/>
    <n v="151310"/>
    <s v="IN"/>
    <s v="IN - Wabash"/>
    <n v="46992"/>
    <s v="Parkview Wabash Hospital (AKA Wabash County Hospital)"/>
    <s v="Critical Access Hospital"/>
    <s v="Wabash"/>
    <n v="6.1"/>
    <n v="2.6"/>
    <n v="49"/>
    <n v="18"/>
    <m/>
    <n v="1"/>
    <n v="18"/>
    <n v="1.1499999999999999"/>
    <n v="1398"/>
    <n v="1018"/>
  </r>
  <r>
    <x v="251"/>
    <n v="151307"/>
    <s v="IN"/>
    <s v="IN - Warren"/>
    <n v="47993"/>
    <s v="Ascension St Vincent Williamsport (FKA St Vincent Williamsport Hospital)"/>
    <s v="Critical Access Hospital"/>
    <s v="Williamsport"/>
    <n v="5.7"/>
    <n v="3.3"/>
    <n v="26"/>
    <n v="16"/>
    <m/>
    <n v="0.49"/>
    <n v="16"/>
    <n v="0.96"/>
    <n v="1399"/>
    <n v="457"/>
  </r>
  <r>
    <x v="252"/>
    <n v="151325"/>
    <s v="IN"/>
    <s v="IN - Warrick"/>
    <n v="47601"/>
    <s v="Ascension St Vincent Warrick (FKA St Marys Warrick Hospital)"/>
    <s v="Critical Access Hospital"/>
    <s v="Boonville"/>
    <n v="7.1"/>
    <n v="3.2"/>
    <n v="19"/>
    <n v="25"/>
    <m/>
    <n v="0.39"/>
    <n v="25"/>
    <n v="1.1299999999999999"/>
    <n v="1401"/>
    <n v="130"/>
  </r>
  <r>
    <x v="253"/>
    <n v="151314"/>
    <s v="IN"/>
    <s v="IN - Washington"/>
    <n v="47167"/>
    <s v="Ascension St Vincent Salem"/>
    <s v="Critical Access Hospital"/>
    <s v="Salem"/>
    <n v="1.4"/>
    <n v="3.9"/>
    <n v="32"/>
    <n v="25"/>
    <m/>
    <n v="0.24"/>
    <n v="25"/>
    <n v="1.17"/>
    <n v="1403"/>
    <n v="64"/>
  </r>
  <r>
    <x v="254"/>
    <n v="151312"/>
    <s v="IN"/>
    <s v="IN - White"/>
    <n v="47960"/>
    <s v="IU Health White Memorial Hospital"/>
    <s v="Critical Access Hospital"/>
    <s v="Monticello"/>
    <n v="6.2"/>
    <n v="3.1"/>
    <n v="53"/>
    <n v="25"/>
    <m/>
    <m/>
    <n v="25"/>
    <n v="1.2"/>
    <n v="1406"/>
    <n v="550"/>
  </r>
  <r>
    <x v="255"/>
    <n v="161310"/>
    <s v="IA"/>
    <s v="IA - Adair"/>
    <n v="50849"/>
    <s v="Adair County Memorial Hospital"/>
    <s v="Critical Access Hospital"/>
    <s v="Greenfield"/>
    <n v="1.1000000000000001"/>
    <n v="2.7"/>
    <n v="13"/>
    <n v="25"/>
    <m/>
    <m/>
    <n v="25"/>
    <n v="1"/>
    <n v="1408"/>
    <n v="50"/>
  </r>
  <r>
    <x v="256"/>
    <n v="161304"/>
    <s v="IA"/>
    <s v="IA - Adams"/>
    <n v="50841"/>
    <s v="CHI Health Mercy Corning (FKA Alegent Health Mercy Hospital Corning)"/>
    <s v="Critical Access Hospital"/>
    <s v="Corning"/>
    <n v="1.6"/>
    <n v="2"/>
    <n v="22"/>
    <n v="22"/>
    <m/>
    <m/>
    <n v="22"/>
    <n v="1.04"/>
    <n v="1409"/>
    <n v="126"/>
  </r>
  <r>
    <x v="257"/>
    <n v="161318"/>
    <s v="IA"/>
    <s v="IA - Allamakee"/>
    <n v="52172"/>
    <s v="Veterans Memorial Hospital"/>
    <s v="Critical Access Hospital"/>
    <s v="Waukon"/>
    <n v="6.6"/>
    <n v="2.5"/>
    <n v="17"/>
    <n v="25"/>
    <m/>
    <m/>
    <n v="25"/>
    <n v="0.98"/>
    <n v="1410"/>
    <n v="501"/>
  </r>
  <r>
    <x v="258"/>
    <n v="161377"/>
    <s v="IA"/>
    <s v="IA - Appanoose"/>
    <n v="52544"/>
    <s v="MercyOne Centerville Medical Center (FKA Mercy Medical Center - Centerville)"/>
    <s v="Critical Access Hospital"/>
    <s v="Centerville"/>
    <n v="3.8"/>
    <n v="2.6"/>
    <n v="39"/>
    <n v="25"/>
    <n v="3"/>
    <m/>
    <n v="25"/>
    <n v="1.1299999999999999"/>
    <n v="1411"/>
    <n v="272"/>
  </r>
  <r>
    <x v="259"/>
    <n v="161330"/>
    <s v="IA"/>
    <s v="IA - Audubon"/>
    <n v="50025"/>
    <s v="Audubon County Memorial Hospital"/>
    <s v="Critical Access Hospital"/>
    <s v="Audubon"/>
    <n v="1.8"/>
    <n v="2.4"/>
    <n v="21"/>
    <n v="25"/>
    <m/>
    <m/>
    <n v="25"/>
    <n v="0.95"/>
    <n v="1412"/>
    <n v="124"/>
  </r>
  <r>
    <x v="260"/>
    <n v="161349"/>
    <s v="IA"/>
    <s v="IA - Benton"/>
    <n v="52349"/>
    <s v="Virginia Gay Hospital"/>
    <s v="Critical Access Hospital"/>
    <s v="Vinton"/>
    <n v="4.5999999999999996"/>
    <n v="2.9"/>
    <n v="31"/>
    <n v="25"/>
    <m/>
    <n v="0.42"/>
    <n v="25"/>
    <n v="0.95"/>
    <n v="6267"/>
    <n v="259"/>
  </r>
  <r>
    <x v="261"/>
    <n v="161372"/>
    <s v="IA"/>
    <s v="IA - Boone"/>
    <n v="50036"/>
    <s v="Boone County Hospital"/>
    <s v="Critical Access Hospital"/>
    <s v="Boone"/>
    <n v="9.4"/>
    <n v="3.2"/>
    <n v="56"/>
    <n v="25"/>
    <m/>
    <n v="0.59"/>
    <n v="25"/>
    <n v="1.02"/>
    <n v="1416"/>
    <n v="732"/>
  </r>
  <r>
    <x v="262"/>
    <n v="161339"/>
    <s v="IA"/>
    <s v="IA - Bremer"/>
    <n v="50677"/>
    <s v="Waverly Health Center"/>
    <s v="Critical Access Hospital"/>
    <s v="Waverly"/>
    <n v="7"/>
    <n v="2.5"/>
    <n v="71"/>
    <n v="21"/>
    <m/>
    <n v="0.34"/>
    <n v="21"/>
    <n v="1.05"/>
    <n v="1417"/>
    <n v="876"/>
  </r>
  <r>
    <x v="262"/>
    <n v="161320"/>
    <s v="IA"/>
    <s v="IA - Bremer"/>
    <n v="50674"/>
    <s v="Community Memorial Hospital"/>
    <s v="Critical Access Hospital"/>
    <s v="Sumner"/>
    <n v="2.4"/>
    <n v="2.2999999999999998"/>
    <n v="13"/>
    <n v="16"/>
    <m/>
    <n v="0.34"/>
    <n v="16"/>
    <n v="1.06"/>
    <n v="5431"/>
    <n v="103"/>
  </r>
  <r>
    <x v="263"/>
    <n v="161335"/>
    <s v="IA"/>
    <s v="IA - Buchanan"/>
    <n v="50644"/>
    <s v="Buchanan County Health Center"/>
    <s v="Critical Access Hospital"/>
    <s v="Independence"/>
    <n v="3.6"/>
    <n v="3.1"/>
    <n v="33"/>
    <n v="25"/>
    <m/>
    <m/>
    <n v="25"/>
    <n v="0.95"/>
    <n v="1418"/>
    <n v="210"/>
  </r>
  <r>
    <x v="264"/>
    <n v="161375"/>
    <s v="IA"/>
    <s v="IA - Buena Vista"/>
    <n v="50588"/>
    <s v="Buena Vista Regional Medical Center"/>
    <s v="Critical Access Hospital"/>
    <s v="Storm Lake"/>
    <n v="7.5"/>
    <n v="2.8"/>
    <n v="42"/>
    <n v="25"/>
    <m/>
    <n v="1"/>
    <n v="25"/>
    <n v="1.27"/>
    <n v="1419"/>
    <n v="965"/>
  </r>
  <r>
    <x v="265"/>
    <n v="161350"/>
    <s v="IA"/>
    <s v="IA - Calhoun"/>
    <n v="51449"/>
    <s v="Stewart Memorial Community Hospital"/>
    <s v="Critical Access Hospital"/>
    <s v="Lake City"/>
    <n v="3.1"/>
    <n v="2.8"/>
    <n v="21"/>
    <n v="25"/>
    <n v="2"/>
    <m/>
    <n v="25"/>
    <n v="1.04"/>
    <n v="1420"/>
    <n v="332"/>
  </r>
  <r>
    <x v="266"/>
    <n v="161332"/>
    <s v="IA"/>
    <s v="IA - Carroll"/>
    <n v="51455"/>
    <s v="Manning Regional Healthcare Center"/>
    <s v="Critical Access Hospital"/>
    <s v="Manning"/>
    <n v="1.9"/>
    <n v="3.4"/>
    <n v="12"/>
    <n v="17"/>
    <m/>
    <n v="0.72"/>
    <n v="17"/>
    <n v="0.93"/>
    <n v="1422"/>
    <n v="114"/>
  </r>
  <r>
    <x v="267"/>
    <n v="161376"/>
    <s v="IA"/>
    <s v="IA - Cass"/>
    <n v="50022"/>
    <s v="Cass County Memorial Hospital"/>
    <s v="Critical Access Hospital"/>
    <s v="Atlantic"/>
    <n v="8.8000000000000007"/>
    <n v="2.2999999999999998"/>
    <n v="56"/>
    <n v="25"/>
    <n v="4"/>
    <m/>
    <n v="25"/>
    <n v="1.1599999999999999"/>
    <n v="1423"/>
    <n v="667"/>
  </r>
  <r>
    <x v="268"/>
    <n v="161362"/>
    <s v="IA"/>
    <s v="IA - Cherokee"/>
    <n v="51012"/>
    <s v="Cherokee Regional Medical Center"/>
    <s v="Critical Access Hospital"/>
    <s v="Cherokee"/>
    <n v="9.3000000000000007"/>
    <n v="3.1"/>
    <n v="23"/>
    <n v="25"/>
    <m/>
    <m/>
    <n v="25"/>
    <n v="1"/>
    <n v="1425"/>
    <n v="692"/>
  </r>
  <r>
    <x v="269"/>
    <n v="161331"/>
    <s v="IA"/>
    <s v="IA - Chickasaw"/>
    <n v="50659"/>
    <s v="MercyOne New Hampton Medical Center (FKA Mercy Medical Center - New Hampton)"/>
    <s v="Critical Access Hospital"/>
    <s v="New Hampton"/>
    <n v="2.8"/>
    <n v="2.2000000000000002"/>
    <n v="54"/>
    <n v="8"/>
    <m/>
    <m/>
    <n v="8"/>
    <n v="1.04"/>
    <n v="1426"/>
    <n v="175"/>
  </r>
  <r>
    <x v="270"/>
    <n v="161348"/>
    <s v="IA"/>
    <s v="IA - Clarke"/>
    <n v="50213"/>
    <s v="Clarke County Hospital"/>
    <s v="Critical Access Hospital"/>
    <s v="Osceola"/>
    <n v="7"/>
    <n v="3.1"/>
    <n v="35"/>
    <n v="25"/>
    <m/>
    <m/>
    <n v="25"/>
    <n v="0.94"/>
    <n v="1427"/>
    <n v="206"/>
  </r>
  <r>
    <x v="271"/>
    <n v="161319"/>
    <s v="IA"/>
    <s v="IA - Clayton"/>
    <n v="52043"/>
    <s v="MercyOne Elkader Medical Center (FKA Central Community Hospital)"/>
    <s v="Critical Access Hospital"/>
    <s v="Elkader"/>
    <n v="2.9"/>
    <n v="3.4"/>
    <n v="12"/>
    <n v="15"/>
    <m/>
    <m/>
    <n v="15"/>
    <n v="1.04"/>
    <n v="1429"/>
    <n v="90"/>
  </r>
  <r>
    <x v="271"/>
    <n v="161312"/>
    <s v="IA"/>
    <s v="IA - Clayton"/>
    <n v="52052"/>
    <s v="Guttenberg Municipal Hospital"/>
    <s v="Critical Access Hospital"/>
    <s v="Guttenberg"/>
    <n v="3.2"/>
    <n v="3.2"/>
    <n v="21"/>
    <n v="25"/>
    <m/>
    <m/>
    <n v="25"/>
    <n v="1.1399999999999999"/>
    <n v="1430"/>
    <n v="167"/>
  </r>
  <r>
    <x v="272"/>
    <n v="161313"/>
    <s v="IA"/>
    <s v="IA - Clinton"/>
    <n v="52742"/>
    <s v="Genesis Medical Center - Dewitt"/>
    <s v="Critical Access Hospital"/>
    <s v="De Witt"/>
    <n v="3.8"/>
    <n v="1.2"/>
    <n v="15"/>
    <n v="13"/>
    <m/>
    <n v="0.69"/>
    <n v="13"/>
    <n v="1.17"/>
    <n v="1431"/>
    <n v="230"/>
  </r>
  <r>
    <x v="273"/>
    <n v="161369"/>
    <s v="IA"/>
    <s v="IA - Crawford"/>
    <n v="51442"/>
    <s v="Crawford County Memorial Hospital"/>
    <s v="Critical Access Hospital"/>
    <s v="Denison"/>
    <n v="5.3"/>
    <n v="2.8"/>
    <n v="32"/>
    <n v="25"/>
    <m/>
    <m/>
    <n v="25"/>
    <n v="1.1399999999999999"/>
    <n v="1433"/>
    <n v="568"/>
  </r>
  <r>
    <x v="274"/>
    <n v="161322"/>
    <s v="IA"/>
    <s v="IA - Dallas"/>
    <n v="50220"/>
    <s v="Dallas County Hospital"/>
    <s v="Critical Access Hospital"/>
    <s v="Perry"/>
    <n v="2.1"/>
    <n v="3.4"/>
    <n v="26"/>
    <n v="25"/>
    <m/>
    <n v="0.32"/>
    <n v="25"/>
    <n v="0.96"/>
    <n v="1434"/>
    <n v="103"/>
  </r>
  <r>
    <x v="275"/>
    <n v="161327"/>
    <s v="IA"/>
    <s v="IA - Davis"/>
    <n v="52537"/>
    <s v="Davis County Hospital"/>
    <s v="Critical Access Hospital"/>
    <s v="Bloomfield"/>
    <n v="2.5"/>
    <n v="2.8"/>
    <n v="23"/>
    <n v="25"/>
    <m/>
    <m/>
    <n v="25"/>
    <n v="1.24"/>
    <n v="1435"/>
    <n v="161"/>
  </r>
  <r>
    <x v="276"/>
    <n v="161340"/>
    <s v="IA"/>
    <s v="IA - Decatur"/>
    <n v="50144"/>
    <s v="Decatur County Hospital"/>
    <s v="Critical Access Hospital"/>
    <s v="Leon"/>
    <n v="2.4"/>
    <n v="3"/>
    <n v="17"/>
    <n v="11"/>
    <m/>
    <m/>
    <n v="11"/>
    <n v="0.98"/>
    <n v="1436"/>
    <n v="142"/>
  </r>
  <r>
    <x v="277"/>
    <n v="161343"/>
    <s v="IA"/>
    <s v="IA - Delaware"/>
    <n v="52057"/>
    <s v="Regional Medical Center"/>
    <s v="Critical Access Hospital"/>
    <s v="Manchester"/>
    <n v="6.5"/>
    <n v="3.1"/>
    <n v="71"/>
    <n v="25"/>
    <m/>
    <m/>
    <n v="25"/>
    <n v="1.2"/>
    <n v="1437"/>
    <n v="590"/>
  </r>
  <r>
    <x v="278"/>
    <n v="161378"/>
    <s v="IA"/>
    <s v="IA - Dubuque"/>
    <n v="52040"/>
    <s v="MercyOne Dyersville Medical Center (FKA Mercy Medical Center - Dyersville)"/>
    <s v="Critical Access Hospital"/>
    <s v="Dyersville"/>
    <n v="1.9"/>
    <n v="2.6"/>
    <n v="9"/>
    <n v="20"/>
    <m/>
    <n v="0.49"/>
    <n v="20"/>
    <n v="0.8"/>
    <n v="1442"/>
    <n v="28"/>
  </r>
  <r>
    <x v="279"/>
    <n v="161351"/>
    <s v="IA"/>
    <s v="IA - Emmet"/>
    <n v="51334"/>
    <s v="Avera Holy Family Hospital"/>
    <s v="Critical Access Hospital"/>
    <s v="Estherville"/>
    <n v="4.9000000000000004"/>
    <n v="2.8"/>
    <n v="28"/>
    <n v="22"/>
    <m/>
    <m/>
    <n v="22"/>
    <n v="1.1100000000000001"/>
    <n v="1443"/>
    <n v="342"/>
  </r>
  <r>
    <x v="280"/>
    <n v="161338"/>
    <s v="IA"/>
    <s v="IA - Fayette"/>
    <n v="50662"/>
    <s v="MercyOne Oelwein Medical Center (FKA Mercy Hospital)"/>
    <s v="Critical Access Hospital"/>
    <s v="Oelwein"/>
    <n v="3.4"/>
    <n v="2.7"/>
    <n v="12"/>
    <n v="25"/>
    <m/>
    <m/>
    <n v="25"/>
    <n v="0.9"/>
    <n v="1444"/>
    <n v="182"/>
  </r>
  <r>
    <x v="280"/>
    <n v="161316"/>
    <s v="IA"/>
    <s v="IA - Fayette"/>
    <n v="52175"/>
    <s v="Gundersen Palmer Lutheran Hospital (FKA Palmer Lutheran Health Center)"/>
    <s v="Critical Access Hospital"/>
    <s v="West Union"/>
    <n v="3.4"/>
    <n v="2.8"/>
    <n v="26"/>
    <n v="25"/>
    <m/>
    <m/>
    <n v="25"/>
    <n v="1.05"/>
    <n v="1445"/>
    <n v="182"/>
  </r>
  <r>
    <x v="281"/>
    <n v="161347"/>
    <s v="IA"/>
    <s v="IA - Floyd"/>
    <n v="50616"/>
    <s v="Floyd County Medical Center"/>
    <s v="Critical Access Hospital"/>
    <s v="Charles City"/>
    <n v="7.7"/>
    <n v="3.3"/>
    <n v="21"/>
    <n v="25"/>
    <m/>
    <m/>
    <n v="25"/>
    <n v="1.05"/>
    <n v="5411"/>
    <n v="379"/>
  </r>
  <r>
    <x v="282"/>
    <n v="161308"/>
    <s v="IA"/>
    <s v="IA - Franklin"/>
    <n v="50441"/>
    <s v="Franklin General Hospital"/>
    <s v="Critical Access Hospital"/>
    <s v="Hampton"/>
    <n v="3.9"/>
    <n v="3.3"/>
    <n v="19"/>
    <n v="25"/>
    <m/>
    <m/>
    <n v="25"/>
    <n v="0.94"/>
    <n v="1446"/>
    <n v="139"/>
  </r>
  <r>
    <x v="283"/>
    <n v="161324"/>
    <s v="IA"/>
    <s v="IA - Fremont"/>
    <n v="51640"/>
    <s v="George C Grape Community Hospital"/>
    <s v="Critical Access Hospital"/>
    <s v="Hamburg"/>
    <n v="2.2999999999999998"/>
    <n v="3.3"/>
    <n v="8"/>
    <n v="25"/>
    <m/>
    <m/>
    <n v="25"/>
    <n v="1"/>
    <n v="5075"/>
    <n v="63"/>
  </r>
  <r>
    <x v="284"/>
    <n v="161325"/>
    <s v="IA"/>
    <s v="IA - Greene"/>
    <n v="50129"/>
    <s v="Greene County Medical Center"/>
    <s v="Critical Access Hospital"/>
    <s v="Jefferson"/>
    <n v="4.7"/>
    <n v="3.3"/>
    <n v="25"/>
    <n v="25"/>
    <m/>
    <m/>
    <n v="25"/>
    <n v="1.2"/>
    <n v="1447"/>
    <n v="247"/>
  </r>
  <r>
    <x v="285"/>
    <n v="161303"/>
    <s v="IA"/>
    <s v="IA - Grundy"/>
    <n v="50638"/>
    <s v="UnityPoint Health - Grundy County Memorial Hospital"/>
    <s v="Critical Access Hospital"/>
    <s v="Grundy Center"/>
    <n v="2.4"/>
    <n v="1.9"/>
    <n v="88"/>
    <n v="25"/>
    <m/>
    <n v="0.34"/>
    <n v="25"/>
    <n v="1.3"/>
    <n v="1448"/>
    <n v="154"/>
  </r>
  <r>
    <x v="286"/>
    <n v="161314"/>
    <s v="IA"/>
    <s v="IA - Guthrie"/>
    <n v="50115"/>
    <s v="Guthrie County Hospital"/>
    <s v="Critical Access Hospital"/>
    <s v="Guthrie Center"/>
    <n v="4.2"/>
    <n v="3.3"/>
    <n v="15"/>
    <n v="25"/>
    <m/>
    <n v="0.32"/>
    <n v="25"/>
    <n v="1.03"/>
    <n v="1449"/>
    <n v="264"/>
  </r>
  <r>
    <x v="287"/>
    <n v="161361"/>
    <s v="IA"/>
    <s v="IA - Hamilton"/>
    <n v="50595"/>
    <s v="Van Diest Medical Center (FKA Hamilton County Public Hospital)"/>
    <s v="Critical Access Hospital"/>
    <s v="Webster City"/>
    <n v="8.1999999999999993"/>
    <n v="3.2"/>
    <n v="34"/>
    <n v="25"/>
    <m/>
    <m/>
    <n v="25"/>
    <n v="1.01"/>
    <n v="1450"/>
    <n v="558"/>
  </r>
  <r>
    <x v="288"/>
    <n v="161307"/>
    <s v="IA"/>
    <s v="IA - Hancock"/>
    <n v="50423"/>
    <s v="Hancock County Memorial Hospital (AKA Hancock County Health System Memorial Hospital)"/>
    <s v="Critical Access Hospital"/>
    <s v="Britt"/>
    <n v="7"/>
    <n v="2.6"/>
    <n v="25"/>
    <n v="25"/>
    <m/>
    <m/>
    <n v="25"/>
    <n v="1.02"/>
    <n v="1451"/>
    <n v="157"/>
  </r>
  <r>
    <x v="289"/>
    <n v="161380"/>
    <s v="IA"/>
    <s v="IA - Hardin"/>
    <n v="50126"/>
    <s v="Hansen Family Hospital (FKA Ellsworth Municipal Hospital)"/>
    <s v="Critical Access Hospital"/>
    <s v="Iowa Falls"/>
    <n v="6.6"/>
    <n v="3.6"/>
    <n v="26"/>
    <n v="19"/>
    <m/>
    <m/>
    <n v="19"/>
    <n v="1.02"/>
    <n v="1452"/>
    <n v="301"/>
  </r>
  <r>
    <x v="290"/>
    <n v="161309"/>
    <s v="IA"/>
    <s v="IA - Harrison"/>
    <n v="51555"/>
    <s v="CHI Health Missouri Valley (FKA Alegent Health Community Memorial Hospital)"/>
    <s v="Critical Access Hospital"/>
    <s v="Missouri Valley"/>
    <n v="4.0999999999999996"/>
    <n v="1.6"/>
    <n v="25"/>
    <n v="25"/>
    <m/>
    <n v="0.15"/>
    <n v="25"/>
    <n v="1.04"/>
    <n v="1453"/>
    <n v="289"/>
  </r>
  <r>
    <x v="291"/>
    <n v="161356"/>
    <s v="IA"/>
    <s v="IA - Henry"/>
    <n v="52641"/>
    <s v="Henry County Health Center"/>
    <s v="Critical Access Hospital"/>
    <s v="Mount Pleasant"/>
    <n v="4.5"/>
    <n v="0.3"/>
    <n v="44"/>
    <n v="25"/>
    <m/>
    <m/>
    <n v="25"/>
    <n v="1.1200000000000001"/>
    <n v="1454"/>
    <n v="418"/>
  </r>
  <r>
    <x v="292"/>
    <n v="161328"/>
    <s v="IA"/>
    <s v="IA - Howard"/>
    <n v="52136"/>
    <s v="Regional Health Services of Howard County"/>
    <s v="Critical Access Hospital"/>
    <s v="Cresco"/>
    <n v="3.4"/>
    <n v="2.2999999999999998"/>
    <n v="17"/>
    <n v="18"/>
    <m/>
    <m/>
    <n v="18"/>
    <n v="0.99"/>
    <n v="1455"/>
    <n v="205"/>
  </r>
  <r>
    <x v="293"/>
    <n v="161334"/>
    <s v="IA"/>
    <s v="IA - Humboldt"/>
    <n v="50548"/>
    <s v="Humboldt County Memorial Hospital"/>
    <s v="Critical Access Hospital"/>
    <s v="Humboldt"/>
    <n v="3.5"/>
    <n v="2.8"/>
    <n v="22"/>
    <n v="17"/>
    <m/>
    <m/>
    <n v="17"/>
    <n v="1.04"/>
    <n v="6242"/>
    <n v="179"/>
  </r>
  <r>
    <x v="294"/>
    <n v="161354"/>
    <s v="IA"/>
    <s v="IA - Ida"/>
    <n v="51445"/>
    <s v="Horn Memorial Hospital"/>
    <s v="Critical Access Hospital"/>
    <s v="Ida Grove"/>
    <n v="5.6"/>
    <n v="3.9"/>
    <n v="22"/>
    <n v="25"/>
    <m/>
    <m/>
    <n v="25"/>
    <n v="0.98"/>
    <n v="1456"/>
    <n v="235"/>
  </r>
  <r>
    <x v="295"/>
    <n v="161317"/>
    <s v="IA"/>
    <s v="IA - Iowa"/>
    <n v="52301"/>
    <s v="Compass Memorial Healthcare (FKA Marengo Memorial Hospital)"/>
    <s v="Critical Access Hospital"/>
    <s v="Marengo"/>
    <n v="6.9"/>
    <n v="2.7"/>
    <n v="22"/>
    <n v="25"/>
    <m/>
    <m/>
    <n v="25"/>
    <n v="1.1399999999999999"/>
    <n v="1457"/>
    <n v="224"/>
  </r>
  <r>
    <x v="296"/>
    <n v="161329"/>
    <s v="IA"/>
    <s v="IA - Jackson"/>
    <n v="52060"/>
    <s v="Jackson County Regional Health Center"/>
    <s v="Critical Access Hospital"/>
    <s v="Maquoketa"/>
    <n v="4.9000000000000004"/>
    <n v="3"/>
    <n v="23"/>
    <n v="25"/>
    <m/>
    <m/>
    <n v="25"/>
    <n v="0.92"/>
    <n v="1458"/>
    <n v="134"/>
  </r>
  <r>
    <x v="297"/>
    <n v="161364"/>
    <s v="IA"/>
    <s v="IA - Jefferson"/>
    <n v="52556"/>
    <s v="Jefferson County Health Center"/>
    <s v="Critical Access Hospital"/>
    <s v="Fairfield"/>
    <n v="9.4"/>
    <n v="3.6"/>
    <n v="63"/>
    <n v="25"/>
    <m/>
    <n v="1"/>
    <n v="25"/>
    <n v="1.17"/>
    <n v="1460"/>
    <n v="450"/>
  </r>
  <r>
    <x v="298"/>
    <n v="161306"/>
    <s v="IA"/>
    <s v="IA - Jones"/>
    <n v="52205"/>
    <s v="UnityPoint Health Anamosa - Jones Regional Medical Center"/>
    <s v="Critical Access Hospital"/>
    <s v="Anamosa"/>
    <n v="5"/>
    <n v="2.8"/>
    <n v="45"/>
    <n v="22"/>
    <m/>
    <n v="0.42"/>
    <n v="22"/>
    <n v="1.19"/>
    <n v="1464"/>
    <n v="248"/>
  </r>
  <r>
    <x v="299"/>
    <n v="161315"/>
    <s v="IA"/>
    <s v="IA - Keokuk"/>
    <n v="52591"/>
    <s v="Keokuk County Health Center"/>
    <s v="Critical Access Hospital"/>
    <s v="Sigourney"/>
    <n v="5"/>
    <n v="3.1"/>
    <n v="25"/>
    <n v="25"/>
    <m/>
    <m/>
    <n v="25"/>
    <n v="0.99"/>
    <n v="5594"/>
    <n v="51"/>
  </r>
  <r>
    <x v="300"/>
    <n v="161353"/>
    <s v="IA"/>
    <s v="IA - Kossuth"/>
    <n v="50511"/>
    <s v="Kossuth Regional Health Center"/>
    <s v="Critical Access Hospital"/>
    <s v="Algona"/>
    <n v="9.6"/>
    <n v="3.1"/>
    <n v="13"/>
    <n v="24"/>
    <m/>
    <m/>
    <n v="24"/>
    <n v="1.05"/>
    <n v="1465"/>
    <n v="611"/>
  </r>
  <r>
    <x v="301"/>
    <n v="161341"/>
    <s v="IA"/>
    <s v="IA - Lucas"/>
    <n v="50049"/>
    <s v="Lucas County Health Center"/>
    <s v="Critical Access Hospital"/>
    <s v="Chariton"/>
    <n v="2.9"/>
    <n v="3"/>
    <n v="28"/>
    <n v="25"/>
    <m/>
    <m/>
    <n v="25"/>
    <n v="0.95"/>
    <n v="1470"/>
    <n v="210"/>
  </r>
  <r>
    <x v="302"/>
    <m/>
    <s v="IA"/>
    <s v="IA - Lyon"/>
    <n v="51246"/>
    <s v="Sanford Rock Rapids Medical Center (Closed No Longer Offers Inpatient Services)"/>
    <s v="Critical Access Hospital"/>
    <s v="Rock Rapids"/>
    <m/>
    <n v="2.7"/>
    <m/>
    <m/>
    <m/>
    <m/>
    <m/>
    <n v="0.97"/>
    <n v="1471"/>
    <m/>
  </r>
  <r>
    <x v="302"/>
    <n v="161321"/>
    <s v="IA"/>
    <s v="IA - Lyon"/>
    <n v="51246"/>
    <s v="Avera Merrill Pioneer Hospital"/>
    <s v="Critical Access Hospital"/>
    <s v="Rock Rapids"/>
    <n v="1.6"/>
    <n v="1"/>
    <n v="3"/>
    <n v="14"/>
    <m/>
    <m/>
    <n v="11"/>
    <m/>
    <n v="973727"/>
    <n v="116"/>
  </r>
  <r>
    <x v="303"/>
    <n v="161326"/>
    <s v="IA"/>
    <s v="IA - Madison"/>
    <n v="50273"/>
    <s v="Madison County Memorial Hospital"/>
    <s v="Critical Access Hospital"/>
    <s v="Winterset"/>
    <n v="4.3"/>
    <n v="3.5"/>
    <n v="22"/>
    <n v="25"/>
    <m/>
    <n v="0.32"/>
    <n v="25"/>
    <n v="0.93"/>
    <n v="1472"/>
    <n v="194"/>
  </r>
  <r>
    <x v="304"/>
    <n v="161379"/>
    <s v="IA"/>
    <s v="IA - Mahaska"/>
    <n v="52577"/>
    <s v="Mahaska Health Partnership (FKA Mahaska County Hospital)"/>
    <s v="Critical Access Hospital"/>
    <s v="Oskaloosa"/>
    <n v="10.5"/>
    <n v="3.3"/>
    <n v="67"/>
    <n v="25"/>
    <m/>
    <n v="1"/>
    <n v="25"/>
    <n v="1.28"/>
    <n v="1473"/>
    <n v="950"/>
  </r>
  <r>
    <x v="305"/>
    <n v="161367"/>
    <s v="IA"/>
    <s v="IA - Marion"/>
    <n v="50219"/>
    <s v="Pella Regional Health Center"/>
    <s v="Critical Access Hospital"/>
    <s v="Pella"/>
    <n v="11.6"/>
    <n v="3"/>
    <n v="98"/>
    <n v="25"/>
    <n v="3"/>
    <n v="0.61"/>
    <n v="25"/>
    <n v="1.36"/>
    <n v="1474"/>
    <n v="1192"/>
  </r>
  <r>
    <x v="305"/>
    <n v="161355"/>
    <s v="IA"/>
    <s v="IA - Marion"/>
    <n v="50138"/>
    <s v="Knoxville Hospital &amp; Clinics"/>
    <s v="Critical Access Hospital"/>
    <s v="Knoxville"/>
    <n v="7.2"/>
    <n v="2.9"/>
    <n v="38"/>
    <n v="25"/>
    <m/>
    <n v="0.61"/>
    <n v="25"/>
    <n v="1.02"/>
    <n v="1475"/>
    <n v="412"/>
  </r>
  <r>
    <x v="306"/>
    <n v="161323"/>
    <s v="IA"/>
    <s v="IA - Mitchell"/>
    <n v="50461"/>
    <s v="Mitchell County Regional Health Center"/>
    <s v="Critical Access Hospital"/>
    <s v="Osage"/>
    <n v="4.5"/>
    <n v="2.8"/>
    <n v="14"/>
    <n v="25"/>
    <m/>
    <m/>
    <n v="25"/>
    <n v="0.91"/>
    <n v="6140"/>
    <n v="285"/>
  </r>
  <r>
    <x v="307"/>
    <n v="161359"/>
    <s v="IA"/>
    <s v="IA - Monona"/>
    <n v="51040"/>
    <s v="Burgess Health Center"/>
    <s v="Critical Access Hospital"/>
    <s v="Onawa"/>
    <n v="6.7"/>
    <n v="3.6"/>
    <n v="29"/>
    <n v="25"/>
    <m/>
    <m/>
    <n v="25"/>
    <n v="0.98"/>
    <n v="1477"/>
    <n v="506"/>
  </r>
  <r>
    <x v="308"/>
    <n v="161342"/>
    <s v="IA"/>
    <s v="IA - Monroe"/>
    <n v="52531"/>
    <s v="Monroe County Hospital"/>
    <s v="Critical Access Hospital"/>
    <s v="Albia"/>
    <n v="3.3"/>
    <n v="4.2"/>
    <n v="18"/>
    <n v="25"/>
    <m/>
    <m/>
    <n v="25"/>
    <n v="1.1399999999999999"/>
    <n v="1478"/>
    <n v="132"/>
  </r>
  <r>
    <x v="309"/>
    <n v="161363"/>
    <s v="IA"/>
    <s v="IA - Montgomery"/>
    <n v="51566"/>
    <s v="Montgomery County Memorial Hospital"/>
    <s v="Critical Access Hospital"/>
    <s v="Red Oak"/>
    <n v="11.6"/>
    <n v="3.5"/>
    <n v="62"/>
    <n v="25"/>
    <n v="8"/>
    <m/>
    <n v="25"/>
    <n v="0.99"/>
    <n v="1479"/>
    <n v="856"/>
  </r>
  <r>
    <x v="310"/>
    <n v="161300"/>
    <s v="IA"/>
    <s v="IA - Obrien"/>
    <n v="51245"/>
    <s v="MercyOne Primghar Medical Center (FKA Baum Harmon Mercy Hospital)"/>
    <s v="Critical Access Hospital"/>
    <s v="Primghar"/>
    <n v="1"/>
    <n v="2.6"/>
    <n v="86"/>
    <n v="14"/>
    <m/>
    <m/>
    <n v="14"/>
    <n v="0.99"/>
    <n v="1481"/>
    <n v="68"/>
  </r>
  <r>
    <x v="310"/>
    <n v="161381"/>
    <s v="IA"/>
    <s v="IA - Obrien"/>
    <n v="51201"/>
    <s v="Sanford Sheldon Medical Center"/>
    <s v="Critical Access Hospital"/>
    <s v="Sheldon"/>
    <n v="8.9"/>
    <n v="3"/>
    <n v="36"/>
    <n v="25"/>
    <m/>
    <m/>
    <n v="25"/>
    <n v="1.03"/>
    <n v="1482"/>
    <n v="467"/>
  </r>
  <r>
    <x v="311"/>
    <n v="161345"/>
    <s v="IA"/>
    <s v="IA - Osceola"/>
    <n v="51249"/>
    <s v="Osceola Regional Health Center (AKA Osceola Community Hospital)"/>
    <s v="Critical Access Hospital"/>
    <s v="Sibley"/>
    <n v="2.9"/>
    <n v="3.3"/>
    <n v="10"/>
    <n v="25"/>
    <m/>
    <m/>
    <n v="25"/>
    <n v="0.98"/>
    <n v="1483"/>
    <n v="179"/>
  </r>
  <r>
    <x v="312"/>
    <n v="161352"/>
    <s v="IA"/>
    <s v="IA - Page"/>
    <n v="51632"/>
    <s v="Clarinda Regional Health Center"/>
    <s v="Critical Access Hospital"/>
    <s v="Clarinda"/>
    <n v="5.4"/>
    <n v="3"/>
    <n v="40"/>
    <n v="25"/>
    <m/>
    <m/>
    <n v="25"/>
    <n v="1"/>
    <n v="1484"/>
    <n v="425"/>
  </r>
  <r>
    <x v="312"/>
    <n v="161366"/>
    <s v="IA"/>
    <s v="IA - Page"/>
    <n v="51601"/>
    <s v="Shenandoah Medical Center"/>
    <s v="Critical Access Hospital"/>
    <s v="Shenandoah"/>
    <n v="4.4000000000000004"/>
    <n v="3"/>
    <n v="52"/>
    <n v="25"/>
    <n v="2"/>
    <m/>
    <n v="25"/>
    <n v="1.17"/>
    <n v="1485"/>
    <n v="609"/>
  </r>
  <r>
    <x v="313"/>
    <n v="161357"/>
    <s v="IA"/>
    <s v="IA - Palo Alto"/>
    <n v="50536"/>
    <s v="Palo Alto County Hospital (AKA Palo Alto County Health System)"/>
    <s v="Critical Access Hospital"/>
    <s v="Emmetsburg"/>
    <n v="4.5999999999999996"/>
    <n v="2.4"/>
    <n v="19"/>
    <n v="24"/>
    <m/>
    <m/>
    <n v="24"/>
    <n v="0.98"/>
    <n v="1486"/>
    <n v="266"/>
  </r>
  <r>
    <x v="314"/>
    <n v="161368"/>
    <s v="IA"/>
    <s v="IA - Plymouth"/>
    <n v="51031"/>
    <s v="Floyd Valley Healthcare"/>
    <s v="Critical Access Hospital"/>
    <s v="Le Mars"/>
    <n v="5.7"/>
    <n v="3.1"/>
    <n v="38"/>
    <n v="25"/>
    <m/>
    <m/>
    <n v="25"/>
    <n v="1.18"/>
    <n v="1487"/>
    <n v="492"/>
  </r>
  <r>
    <x v="315"/>
    <n v="161305"/>
    <s v="IA"/>
    <s v="IA - Pocahontas"/>
    <n v="50574"/>
    <s v="Pocahontas Community Hospital"/>
    <s v="Critical Access Hospital"/>
    <s v="Pocahontas"/>
    <n v="3.2"/>
    <n v="5.8"/>
    <n v="10"/>
    <n v="25"/>
    <m/>
    <m/>
    <n v="25"/>
    <n v="0.91"/>
    <n v="5523"/>
    <n v="163"/>
  </r>
  <r>
    <x v="316"/>
    <n v="161373"/>
    <s v="IA"/>
    <s v="IA - Ringgold"/>
    <n v="50854"/>
    <s v="Ringgold County Hospital"/>
    <s v="Critical Access Hospital"/>
    <s v="Mount Ayr"/>
    <n v="2.9"/>
    <n v="3.5"/>
    <n v="19"/>
    <n v="16"/>
    <m/>
    <m/>
    <n v="16"/>
    <n v="1.03"/>
    <n v="1496"/>
    <n v="177"/>
  </r>
  <r>
    <x v="317"/>
    <n v="161370"/>
    <s v="IA"/>
    <s v="IA - Sac"/>
    <n v="50583"/>
    <s v="Loring Hospital"/>
    <s v="Critical Access Hospital"/>
    <s v="Sac City"/>
    <n v="2.1"/>
    <n v="3.3"/>
    <n v="9"/>
    <n v="25"/>
    <m/>
    <m/>
    <n v="25"/>
    <n v="1"/>
    <n v="6335"/>
    <n v="210"/>
  </r>
  <r>
    <x v="318"/>
    <n v="161374"/>
    <s v="IA"/>
    <s v="IA - Shelby"/>
    <n v="51537"/>
    <s v="Myrtue Medical Center"/>
    <s v="Critical Access Hospital"/>
    <s v="Harlan"/>
    <n v="9"/>
    <n v="3.5"/>
    <n v="39"/>
    <n v="25"/>
    <m/>
    <m/>
    <n v="25"/>
    <n v="1.1399999999999999"/>
    <n v="1499"/>
    <n v="666"/>
  </r>
  <r>
    <x v="319"/>
    <n v="161360"/>
    <s v="IA"/>
    <s v="IA - Sioux"/>
    <n v="51041"/>
    <s v="Orange City Area Health System (FKA Orange City Hospital)"/>
    <s v="Critical Access Hospital"/>
    <s v="Orange City"/>
    <n v="9.8000000000000007"/>
    <n v="3.1"/>
    <n v="45"/>
    <n v="25"/>
    <m/>
    <m/>
    <n v="25"/>
    <n v="1.04"/>
    <n v="1500"/>
    <n v="816"/>
  </r>
  <r>
    <x v="319"/>
    <n v="161346"/>
    <s v="IA"/>
    <s v="IA - Sioux"/>
    <n v="51250"/>
    <s v="Sioux Center Health"/>
    <s v="Critical Access Hospital"/>
    <s v="Sioux Center"/>
    <n v="4.7"/>
    <n v="2.9"/>
    <n v="33"/>
    <n v="19"/>
    <m/>
    <m/>
    <n v="19"/>
    <n v="1.17"/>
    <n v="1501"/>
    <n v="474"/>
  </r>
  <r>
    <x v="319"/>
    <n v="161336"/>
    <s v="IA"/>
    <s v="IA - Sioux"/>
    <n v="51247"/>
    <s v="Hegg Memorial Health Center Avera"/>
    <s v="Critical Access Hospital"/>
    <s v="Rock Valley"/>
    <n v="3.2"/>
    <n v="3.1"/>
    <n v="12"/>
    <n v="25"/>
    <m/>
    <m/>
    <n v="25"/>
    <n v="1.23"/>
    <n v="1502"/>
    <n v="231"/>
  </r>
  <r>
    <x v="319"/>
    <n v="161311"/>
    <s v="IA"/>
    <s v="IA - Sioux"/>
    <n v="51023"/>
    <s v="Hawarden Regional Healthcare (FKA Hawarden Community Hospital)"/>
    <s v="Critical Access Hospital"/>
    <s v="Hawarden"/>
    <n v="2.7"/>
    <n v="2.8"/>
    <n v="22"/>
    <n v="25"/>
    <m/>
    <m/>
    <n v="25"/>
    <n v="0.93"/>
    <n v="1503"/>
    <n v="77"/>
  </r>
  <r>
    <x v="320"/>
    <n v="161333"/>
    <s v="IA"/>
    <s v="IA - Story"/>
    <n v="50201"/>
    <s v="Story County Medical Center (FKA Story County Hospital)"/>
    <s v="Critical Access Hospital"/>
    <s v="Nevada"/>
    <n v="6.4"/>
    <n v="2.5"/>
    <n v="20"/>
    <n v="17"/>
    <m/>
    <n v="0.59"/>
    <n v="17"/>
    <n v="1"/>
    <n v="1504"/>
    <n v="102"/>
  </r>
  <r>
    <x v="321"/>
    <n v="161365"/>
    <s v="IA"/>
    <s v="IA - Union"/>
    <n v="50801"/>
    <s v="Greater Regional Medical Center"/>
    <s v="Critical Access Hospital"/>
    <s v="Creston"/>
    <n v="9.4"/>
    <n v="3.1"/>
    <n v="64"/>
    <n v="25"/>
    <n v="4"/>
    <m/>
    <n v="25"/>
    <n v="1.42"/>
    <n v="1506"/>
    <n v="883"/>
  </r>
  <r>
    <x v="322"/>
    <n v="161337"/>
    <s v="IA"/>
    <s v="IA - Van Buren"/>
    <n v="52565"/>
    <s v="Van Buren County Hospital"/>
    <s v="Critical Access Hospital"/>
    <s v="Keosauqua"/>
    <n v="2.2000000000000002"/>
    <n v="3"/>
    <n v="13"/>
    <n v="25"/>
    <m/>
    <m/>
    <n v="25"/>
    <n v="1.04"/>
    <n v="1507"/>
    <n v="148"/>
  </r>
  <r>
    <x v="323"/>
    <n v="161344"/>
    <s v="IA"/>
    <s v="IA - Washington"/>
    <n v="52353"/>
    <s v="Washington County Hospital"/>
    <s v="Critical Access Hospital"/>
    <s v="Washington"/>
    <n v="7.3"/>
    <n v="2.8"/>
    <n v="42"/>
    <n v="25"/>
    <m/>
    <n v="0.84"/>
    <n v="25"/>
    <n v="1.1200000000000001"/>
    <n v="1509"/>
    <n v="426"/>
  </r>
  <r>
    <x v="324"/>
    <n v="161358"/>
    <s v="IA"/>
    <s v="IA - Wayne"/>
    <n v="50060"/>
    <s v="Wayne County Hospital"/>
    <s v="Critical Access Hospital"/>
    <s v="Corydon"/>
    <n v="6.9"/>
    <n v="2.1"/>
    <n v="25"/>
    <n v="25"/>
    <m/>
    <m/>
    <n v="25"/>
    <n v="1.22"/>
    <n v="1510"/>
    <n v="804"/>
  </r>
  <r>
    <x v="325"/>
    <n v="161371"/>
    <s v="IA"/>
    <s v="IA - Winneshiek"/>
    <n v="52101"/>
    <s v="Winneshiek Medical Center"/>
    <s v="Critical Access Hospital"/>
    <s v="Decorah"/>
    <n v="9.1"/>
    <n v="2.9"/>
    <n v="65"/>
    <n v="25"/>
    <m/>
    <m/>
    <n v="25"/>
    <n v="1.1599999999999999"/>
    <n v="1512"/>
    <n v="690"/>
  </r>
  <r>
    <x v="326"/>
    <n v="161301"/>
    <s v="IA"/>
    <s v="IA - Wright"/>
    <n v="50421"/>
    <s v="Iowa Specialty Hospital - Belmond"/>
    <s v="Critical Access Hospital"/>
    <s v="Belmond"/>
    <n v="3.7"/>
    <n v="1.7"/>
    <n v="15"/>
    <n v="22"/>
    <m/>
    <m/>
    <n v="22"/>
    <n v="1.1200000000000001"/>
    <n v="1515"/>
    <n v="381"/>
  </r>
  <r>
    <x v="326"/>
    <n v="161302"/>
    <s v="IA"/>
    <s v="IA - Wright"/>
    <n v="50525"/>
    <s v="Iowa Specialty Hospital - Clarion"/>
    <s v="Critical Access Hospital"/>
    <s v="Clarion"/>
    <n v="7.9"/>
    <n v="2.2999999999999998"/>
    <n v="52"/>
    <n v="25"/>
    <m/>
    <m/>
    <n v="25"/>
    <n v="1.78"/>
    <n v="1516"/>
    <n v="1181"/>
  </r>
  <r>
    <x v="327"/>
    <n v="171373"/>
    <s v="KS"/>
    <s v="KS - Allen"/>
    <n v="66749"/>
    <s v="Allen County Regional Hospital"/>
    <s v="Critical Access Hospital"/>
    <s v="Iola"/>
    <n v="8.6999999999999993"/>
    <n v="3"/>
    <n v="21"/>
    <n v="25"/>
    <m/>
    <m/>
    <n v="25"/>
    <n v="1.01"/>
    <n v="1517"/>
    <n v="536"/>
  </r>
  <r>
    <x v="328"/>
    <n v="171316"/>
    <s v="KS"/>
    <s v="KS - Anderson"/>
    <n v="66032"/>
    <s v="Anderson County Hospital"/>
    <s v="Critical Access Hospital"/>
    <s v="Garnett"/>
    <n v="4.7"/>
    <n v="3"/>
    <n v="24"/>
    <n v="12"/>
    <m/>
    <m/>
    <n v="12"/>
    <n v="0.95"/>
    <n v="1518"/>
    <n v="124"/>
  </r>
  <r>
    <x v="329"/>
    <n v="171382"/>
    <s v="KS"/>
    <s v="KS - Atchison"/>
    <n v="66002"/>
    <s v="Atchison Hospital"/>
    <s v="Critical Access Hospital"/>
    <s v="Atchison"/>
    <n v="9.1"/>
    <n v="2"/>
    <n v="60"/>
    <n v="25"/>
    <m/>
    <n v="1"/>
    <n v="25"/>
    <n v="1.2"/>
    <n v="1519"/>
    <n v="1099"/>
  </r>
  <r>
    <x v="330"/>
    <n v="171331"/>
    <s v="KS"/>
    <s v="KS - Barber"/>
    <n v="67070"/>
    <s v="Kiowa District Hospital"/>
    <s v="Critical Access Hospital"/>
    <s v="Kiowa"/>
    <n v="3.3"/>
    <n v="3.1"/>
    <n v="7"/>
    <n v="10"/>
    <m/>
    <m/>
    <n v="10"/>
    <n v="0.89"/>
    <n v="1520"/>
    <n v="65"/>
  </r>
  <r>
    <x v="330"/>
    <n v="171334"/>
    <s v="KS"/>
    <s v="KS - Barber"/>
    <n v="67104"/>
    <s v="Medicine Lodge Memorial Hospital"/>
    <s v="Critical Access Hospital"/>
    <s v="Medicine Lodge"/>
    <n v="16.600000000000001"/>
    <n v="3.1"/>
    <n v="10"/>
    <n v="22"/>
    <m/>
    <m/>
    <n v="22"/>
    <n v="0.93"/>
    <n v="5430"/>
    <n v="98"/>
  </r>
  <r>
    <x v="331"/>
    <n v="171333"/>
    <s v="KS"/>
    <s v="KS - Barton"/>
    <n v="67544"/>
    <s v="Clara Barton Hospital"/>
    <s v="Critical Access Hospital"/>
    <s v="Hoisington"/>
    <n v="8.9"/>
    <n v="3.4"/>
    <n v="20"/>
    <n v="18"/>
    <m/>
    <n v="0.33"/>
    <n v="18"/>
    <n v="1.01"/>
    <n v="1521"/>
    <n v="428"/>
  </r>
  <r>
    <x v="331"/>
    <n v="171301"/>
    <s v="KS"/>
    <s v="KS - Barton"/>
    <n v="67526"/>
    <s v="Ellinwood District Hospital"/>
    <s v="Critical Access Hospital"/>
    <s v="Ellinwood"/>
    <n v="6.3"/>
    <n v="3.1"/>
    <n v="8"/>
    <n v="25"/>
    <m/>
    <n v="0.33"/>
    <n v="25"/>
    <n v="0.95"/>
    <n v="5425"/>
    <n v="161"/>
  </r>
  <r>
    <x v="332"/>
    <n v="171341"/>
    <s v="KS"/>
    <s v="KS - Brown"/>
    <n v="66434"/>
    <s v="Hiawatha Community Hospital"/>
    <s v="Critical Access Hospital"/>
    <s v="Hiawatha"/>
    <n v="8.8000000000000007"/>
    <n v="2.4"/>
    <n v="22"/>
    <n v="25"/>
    <m/>
    <m/>
    <n v="25"/>
    <n v="1.01"/>
    <n v="1525"/>
    <n v="663"/>
  </r>
  <r>
    <x v="332"/>
    <s v="171320 (Closed)"/>
    <s v="KS"/>
    <s v="KS - Brown"/>
    <n v="66439"/>
    <s v="Horton Community Hospital (Closed)"/>
    <s v="Critical Access Hospital"/>
    <s v="Horton"/>
    <n v="1.9"/>
    <n v="1.5"/>
    <m/>
    <m/>
    <m/>
    <m/>
    <m/>
    <n v="0.95"/>
    <n v="6012"/>
    <n v="149"/>
  </r>
  <r>
    <x v="333"/>
    <n v="171318"/>
    <s v="KS"/>
    <s v="KS - Chautauqua"/>
    <n v="67361"/>
    <s v="Sedan City Hospital"/>
    <s v="Critical Access Hospital"/>
    <s v="Sedan"/>
    <n v="1.9"/>
    <n v="2.8"/>
    <n v="4"/>
    <n v="17"/>
    <m/>
    <m/>
    <n v="17"/>
    <n v="0.92"/>
    <n v="1528"/>
    <n v="141"/>
  </r>
  <r>
    <x v="334"/>
    <n v="171308"/>
    <s v="KS"/>
    <s v="KS - Cherokee"/>
    <n v="66725"/>
    <s v="Mercy Hospital Columbus (FKA Mercy Maude Norton Hospital and St Johns Maude Norton Memorial Hospital)"/>
    <s v="Critical Access Hospital"/>
    <s v="Columbus"/>
    <n v="1.3"/>
    <n v="1.9"/>
    <n v="12"/>
    <n v="10"/>
    <m/>
    <m/>
    <n v="10"/>
    <n v="0.98"/>
    <n v="6221"/>
    <n v="16"/>
  </r>
  <r>
    <x v="335"/>
    <n v="171310"/>
    <s v="KS"/>
    <s v="KS - Cheyenne"/>
    <n v="67756"/>
    <s v="Cheyenne County Hospital"/>
    <s v="Critical Access Hospital"/>
    <s v="Saint Francis"/>
    <n v="3.2"/>
    <n v="3"/>
    <n v="10"/>
    <n v="16"/>
    <m/>
    <m/>
    <n v="16"/>
    <n v="0.94"/>
    <n v="1529"/>
    <n v="129"/>
  </r>
  <r>
    <x v="336"/>
    <n v="171304"/>
    <s v="KS"/>
    <s v="KS - Clark"/>
    <n v="67831"/>
    <s v="Ashland Health Center"/>
    <s v="Critical Access Hospital"/>
    <s v="Ashland"/>
    <n v="16.2"/>
    <n v="2.5"/>
    <n v="6"/>
    <n v="25"/>
    <m/>
    <m/>
    <n v="25"/>
    <n v="1.03"/>
    <n v="1530"/>
    <n v="57"/>
  </r>
  <r>
    <x v="336"/>
    <n v="171368"/>
    <s v="KS"/>
    <s v="KS - Clark"/>
    <n v="67865"/>
    <s v="Minneola District Hospital"/>
    <s v="Critical Access Hospital"/>
    <s v="Minneola"/>
    <n v="3.9"/>
    <n v="3.1"/>
    <n v="9"/>
    <n v="14"/>
    <m/>
    <m/>
    <n v="14"/>
    <n v="0.92"/>
    <n v="6380"/>
    <n v="218"/>
  </r>
  <r>
    <x v="337"/>
    <n v="171371"/>
    <s v="KS"/>
    <s v="KS - Clay"/>
    <n v="67432"/>
    <s v="Clay County Medical Center"/>
    <s v="Critical Access Hospital"/>
    <s v="Clay Center"/>
    <n v="10.7"/>
    <n v="3.2"/>
    <n v="25"/>
    <n v="17"/>
    <m/>
    <m/>
    <n v="17"/>
    <n v="0.9"/>
    <n v="1531"/>
    <n v="628"/>
  </r>
  <r>
    <x v="338"/>
    <n v="171349"/>
    <s v="KS"/>
    <s v="KS - Cloud"/>
    <n v="66901"/>
    <s v="Cloud County Health Center"/>
    <s v="Critical Access Hospital"/>
    <s v="Concordia"/>
    <n v="5.7"/>
    <n v="3.6"/>
    <n v="13"/>
    <n v="22"/>
    <m/>
    <m/>
    <n v="22"/>
    <n v="0.96"/>
    <n v="1532"/>
    <n v="259"/>
  </r>
  <r>
    <x v="339"/>
    <n v="171385"/>
    <s v="KS"/>
    <s v="KS - Coffey"/>
    <n v="66839"/>
    <s v="Coffey County Hospital (AKA Coffey Health System)"/>
    <s v="Critical Access Hospital"/>
    <s v="Burlington"/>
    <n v="4.5999999999999996"/>
    <n v="3.1"/>
    <n v="21"/>
    <n v="25"/>
    <m/>
    <m/>
    <n v="25"/>
    <n v="1.1399999999999999"/>
    <n v="1533"/>
    <n v="371"/>
  </r>
  <r>
    <x v="340"/>
    <n v="171312"/>
    <s v="KS"/>
    <s v="KS - Comanche"/>
    <n v="67029"/>
    <s v="Comanche County Hospital"/>
    <s v="Critical Access Hospital"/>
    <s v="Coldwater"/>
    <n v="2.5"/>
    <n v="2.5"/>
    <n v="6"/>
    <n v="12"/>
    <m/>
    <m/>
    <n v="12"/>
    <n v="0.88"/>
    <n v="1534"/>
    <n v="55"/>
  </r>
  <r>
    <x v="341"/>
    <n v="171383"/>
    <s v="KS"/>
    <s v="KS - Cowley"/>
    <n v="67156"/>
    <s v="William Newton Hospital"/>
    <s v="Critical Access Hospital"/>
    <s v="Winfield"/>
    <n v="11.4"/>
    <n v="3.2"/>
    <n v="101"/>
    <n v="21"/>
    <n v="2"/>
    <n v="0.55000000000000004"/>
    <n v="21"/>
    <n v="1.1399999999999999"/>
    <n v="1536"/>
    <n v="1076"/>
  </r>
  <r>
    <x v="342"/>
    <n v="171376"/>
    <s v="KS"/>
    <s v="KS - Crawford"/>
    <n v="66743"/>
    <s v="Girard Medical Center"/>
    <s v="Critical Access Hospital"/>
    <s v="Girard"/>
    <n v="3.2"/>
    <n v="3"/>
    <n v="33"/>
    <n v="23"/>
    <m/>
    <n v="0.75"/>
    <n v="23"/>
    <n v="1.21"/>
    <n v="1537"/>
    <n v="256"/>
  </r>
  <r>
    <x v="343"/>
    <n v="171352"/>
    <s v="KS"/>
    <s v="KS - Decatur"/>
    <n v="67749"/>
    <s v="Decatur County Hospital (AKA Decatur Health Systems)"/>
    <s v="Critical Access Hospital"/>
    <s v="Oberlin"/>
    <n v="3.2"/>
    <n v="3.1"/>
    <n v="5"/>
    <n v="21"/>
    <m/>
    <m/>
    <n v="21"/>
    <n v="0.95"/>
    <n v="5429"/>
    <n v="123"/>
  </r>
  <r>
    <x v="344"/>
    <n v="171340"/>
    <s v="KS"/>
    <s v="KS - Dickinson"/>
    <n v="67449"/>
    <s v="Herington Municipal Hospital"/>
    <s v="Critical Access Hospital"/>
    <s v="Herington"/>
    <n v="3.8"/>
    <n v="3.3"/>
    <n v="11"/>
    <n v="15"/>
    <m/>
    <m/>
    <n v="15"/>
    <n v="0.88"/>
    <n v="1539"/>
    <n v="176"/>
  </r>
  <r>
    <x v="344"/>
    <n v="171381"/>
    <s v="KS"/>
    <s v="KS - Dickinson"/>
    <n v="67410"/>
    <s v="Memorial Hospital"/>
    <s v="Critical Access Hospital"/>
    <s v="Abilene"/>
    <n v="9.4"/>
    <n v="3.4"/>
    <n v="17"/>
    <n v="19"/>
    <m/>
    <m/>
    <n v="19"/>
    <n v="0.99"/>
    <n v="1540"/>
    <n v="430"/>
  </r>
  <r>
    <x v="345"/>
    <n v="171317"/>
    <s v="KS"/>
    <s v="KS - Edwards"/>
    <n v="67547"/>
    <s v="Edwards County Medical Center"/>
    <s v="Critical Access Hospital"/>
    <s v="Kinsley"/>
    <n v="5.3"/>
    <n v="3"/>
    <n v="11"/>
    <n v="12"/>
    <m/>
    <m/>
    <n v="12"/>
    <n v="1.1299999999999999"/>
    <n v="1542"/>
    <n v="82"/>
  </r>
  <r>
    <x v="346"/>
    <n v="171327"/>
    <s v="KS"/>
    <s v="KS - Ellsworth"/>
    <n v="67439"/>
    <s v="Ellsworth County Medical Center"/>
    <s v="Critical Access Hospital"/>
    <s v="Ellsworth"/>
    <n v="4.9000000000000004"/>
    <n v="3.1"/>
    <n v="16"/>
    <n v="18"/>
    <m/>
    <m/>
    <n v="18"/>
    <n v="0.9"/>
    <n v="1544"/>
    <n v="333"/>
  </r>
  <r>
    <x v="347"/>
    <n v="171367"/>
    <s v="KS"/>
    <s v="KS - Gove"/>
    <n v="67752"/>
    <s v="Gove County Medical Center"/>
    <s v="Critical Access Hospital"/>
    <s v="Quinter"/>
    <n v="5"/>
    <n v="3"/>
    <n v="8"/>
    <n v="21"/>
    <m/>
    <m/>
    <n v="21"/>
    <n v="1"/>
    <n v="1549"/>
    <n v="334"/>
  </r>
  <r>
    <x v="348"/>
    <n v="171325"/>
    <s v="KS"/>
    <s v="KS - Graham"/>
    <n v="67642"/>
    <s v="Graham County Hospital"/>
    <s v="Critical Access Hospital"/>
    <s v="Hill City"/>
    <n v="4"/>
    <n v="3.2"/>
    <n v="6"/>
    <n v="20"/>
    <m/>
    <m/>
    <n v="20"/>
    <n v="0.99"/>
    <n v="1550"/>
    <n v="212"/>
  </r>
  <r>
    <x v="349"/>
    <n v="171359"/>
    <s v="KS"/>
    <s v="KS - Greeley"/>
    <n v="67879"/>
    <s v="Greeley County Health Services"/>
    <s v="Critical Access Hospital"/>
    <s v="Tribune"/>
    <n v="4.7"/>
    <n v="2.7"/>
    <n v="10"/>
    <n v="18"/>
    <m/>
    <m/>
    <n v="18"/>
    <n v="0.94"/>
    <n v="1552"/>
    <n v="145"/>
  </r>
  <r>
    <x v="350"/>
    <n v="171339"/>
    <s v="KS"/>
    <s v="KS - Greenwood"/>
    <n v="67045"/>
    <s v="Greenwood County Hospital"/>
    <s v="Critical Access Hospital"/>
    <s v="Eureka"/>
    <n v="6.7"/>
    <n v="3.5"/>
    <n v="13"/>
    <n v="25"/>
    <m/>
    <m/>
    <n v="25"/>
    <n v="0.98"/>
    <n v="1553"/>
    <n v="300"/>
  </r>
  <r>
    <x v="351"/>
    <n v="171322"/>
    <s v="KS"/>
    <s v="KS - Hamilton"/>
    <n v="67878"/>
    <s v="Hamilton County Hospital"/>
    <s v="Critical Access Hospital"/>
    <s v="Syracuse"/>
    <n v="5.8"/>
    <n v="0.2"/>
    <n v="9"/>
    <n v="25"/>
    <m/>
    <m/>
    <n v="25"/>
    <n v="0.93"/>
    <n v="1554"/>
    <n v="23"/>
  </r>
  <r>
    <x v="352"/>
    <s v="171366 (Closed)"/>
    <s v="KS"/>
    <s v="KS - Harper"/>
    <n v="67058"/>
    <s v="Harper Campus (Closed)"/>
    <s v="Critical Access Hospital"/>
    <s v="Harper"/>
    <n v="9.8000000000000007"/>
    <n v="2.8"/>
    <m/>
    <m/>
    <m/>
    <m/>
    <m/>
    <m/>
    <n v="1555"/>
    <n v="112"/>
  </r>
  <r>
    <x v="352"/>
    <m/>
    <s v="KS"/>
    <s v="KS - Harper"/>
    <n v="67003"/>
    <s v="Hospital District 6 - Anthony Campus (Closed)"/>
    <s v="Critical Access Hospital"/>
    <s v="Anthony"/>
    <m/>
    <n v="2.6"/>
    <m/>
    <m/>
    <m/>
    <m/>
    <m/>
    <n v="0.92"/>
    <n v="5124"/>
    <m/>
  </r>
  <r>
    <x v="352"/>
    <n v="171346"/>
    <s v="KS"/>
    <s v="KS - Harper"/>
    <n v="67003"/>
    <s v="Patterson Health Center"/>
    <s v="Critical Access Hospital"/>
    <s v="Anthony"/>
    <n v="11.6"/>
    <m/>
    <n v="12"/>
    <n v="25"/>
    <m/>
    <m/>
    <n v="25"/>
    <m/>
    <n v="976231"/>
    <n v="270"/>
  </r>
  <r>
    <x v="353"/>
    <n v="171324"/>
    <s v="KS"/>
    <s v="KS - Haskell"/>
    <n v="67870"/>
    <s v="Satanta District Hospital"/>
    <s v="Critical Access Hospital"/>
    <s v="Satanta"/>
    <n v="2.2999999999999998"/>
    <n v="3.1"/>
    <n v="6"/>
    <n v="13"/>
    <m/>
    <m/>
    <n v="13"/>
    <n v="0.95"/>
    <n v="6059"/>
    <n v="79"/>
  </r>
  <r>
    <x v="354"/>
    <n v="171369"/>
    <s v="KS"/>
    <s v="KS - Hodgeman"/>
    <n v="67854"/>
    <s v="Hodgeman County Health Center"/>
    <s v="Critical Access Hospital"/>
    <s v="Jetmore"/>
    <n v="14.5"/>
    <n v="2.5"/>
    <n v="5"/>
    <n v="25"/>
    <m/>
    <m/>
    <n v="25"/>
    <n v="0.88"/>
    <n v="1557"/>
    <n v="118"/>
  </r>
  <r>
    <x v="355"/>
    <n v="171319"/>
    <s v="KS"/>
    <s v="KS - Jackson"/>
    <n v="66436"/>
    <s v="Holton Community Hospital"/>
    <s v="Critical Access Hospital"/>
    <s v="Holton"/>
    <n v="3.9"/>
    <n v="3.6"/>
    <n v="25"/>
    <n v="12"/>
    <m/>
    <n v="0.6"/>
    <n v="12"/>
    <n v="0.99"/>
    <n v="1558"/>
    <n v="159"/>
  </r>
  <r>
    <x v="356"/>
    <n v="171314"/>
    <s v="KS"/>
    <s v="KS - Jefferson"/>
    <n v="66097"/>
    <s v="FW Huston Medical Center (FKA Jefferson County Memorial Hospital)"/>
    <s v="Critical Access Hospital"/>
    <s v="Winchester"/>
    <n v="2.1"/>
    <n v="2.8"/>
    <n v="7"/>
    <n v="25"/>
    <m/>
    <n v="0.6"/>
    <n v="25"/>
    <n v="0.63"/>
    <n v="1559"/>
    <n v="3"/>
  </r>
  <r>
    <x v="357"/>
    <n v="171309"/>
    <s v="KS"/>
    <s v="KS - Jewell"/>
    <n v="66956"/>
    <s v="Jewell County Hospital"/>
    <s v="Critical Access Hospital"/>
    <s v="Mankato"/>
    <n v="18.3"/>
    <n v="2.7"/>
    <n v="5"/>
    <n v="24"/>
    <m/>
    <m/>
    <n v="24"/>
    <n v="0.85"/>
    <n v="1560"/>
    <n v="51"/>
  </r>
  <r>
    <x v="358"/>
    <n v="171313"/>
    <s v="KS"/>
    <s v="KS - Kearny"/>
    <n v="67860"/>
    <s v="Kearny County Hospital"/>
    <s v="Critical Access Hospital"/>
    <s v="Lakin"/>
    <n v="5.5"/>
    <n v="3.1"/>
    <n v="19"/>
    <n v="25"/>
    <m/>
    <n v="0.75"/>
    <n v="25"/>
    <n v="1.17"/>
    <n v="1570"/>
    <n v="488"/>
  </r>
  <r>
    <x v="359"/>
    <n v="171378"/>
    <s v="KS"/>
    <s v="KS - Kingman"/>
    <n v="67068"/>
    <s v="Kingman Community Hospital"/>
    <s v="Critical Access Hospital"/>
    <s v="Kingman"/>
    <n v="4.5999999999999996"/>
    <n v="3.1"/>
    <n v="23"/>
    <n v="25"/>
    <m/>
    <m/>
    <n v="25"/>
    <n v="0.99"/>
    <n v="1571"/>
    <n v="261"/>
  </r>
  <r>
    <x v="360"/>
    <n v="171332"/>
    <s v="KS"/>
    <s v="KS - Kiowa"/>
    <n v="67054"/>
    <s v="Kiowa County Memorial Hospital"/>
    <s v="Critical Access Hospital"/>
    <s v="Greensburg"/>
    <n v="6.2"/>
    <n v="2.5"/>
    <n v="5"/>
    <n v="15"/>
    <m/>
    <m/>
    <n v="15"/>
    <n v="0.86"/>
    <n v="6372"/>
    <n v="58"/>
  </r>
  <r>
    <x v="361"/>
    <s v="171302 (Closed)"/>
    <s v="KS"/>
    <s v="KS - Labette"/>
    <n v="67356"/>
    <s v="Oswego Community Hospital (Closed)"/>
    <s v="Critical Access Hospital"/>
    <s v="Oswego"/>
    <n v="2.1"/>
    <n v="1.5"/>
    <m/>
    <m/>
    <m/>
    <n v="0.96"/>
    <m/>
    <n v="0.9"/>
    <n v="1572"/>
    <n v="17"/>
  </r>
  <r>
    <x v="362"/>
    <n v="171303"/>
    <s v="KS"/>
    <s v="KS - Lane"/>
    <n v="67839"/>
    <s v="Lane County Hospital"/>
    <s v="Critical Access Hospital"/>
    <s v="Dighton"/>
    <n v="15.5"/>
    <n v="2.6"/>
    <n v="6"/>
    <n v="25"/>
    <m/>
    <m/>
    <n v="25"/>
    <n v="0.89"/>
    <n v="5667"/>
    <n v="29"/>
  </r>
  <r>
    <x v="363"/>
    <n v="171360"/>
    <s v="KS"/>
    <s v="KS - Lincoln"/>
    <n v="67455"/>
    <s v="Lincoln County Hospital"/>
    <s v="Critical Access Hospital"/>
    <s v="Lincoln"/>
    <n v="4.5"/>
    <n v="3.3"/>
    <n v="11"/>
    <n v="10"/>
    <m/>
    <m/>
    <n v="10"/>
    <n v="0.98"/>
    <n v="5327"/>
    <n v="111"/>
  </r>
  <r>
    <x v="364"/>
    <n v="171326"/>
    <s v="KS"/>
    <s v="KS - Logan"/>
    <n v="67748"/>
    <s v="Logan County Hospital"/>
    <s v="Critical Access Hospital"/>
    <s v="Oakley"/>
    <n v="4.5999999999999996"/>
    <n v="2.8"/>
    <n v="9"/>
    <n v="25"/>
    <m/>
    <m/>
    <n v="25"/>
    <n v="1"/>
    <n v="5582"/>
    <n v="172"/>
  </r>
  <r>
    <x v="365"/>
    <n v="171384"/>
    <s v="KS"/>
    <s v="KS - Lyon"/>
    <n v="66801"/>
    <s v="Newman Regional Health"/>
    <s v="Critical Access Hospital"/>
    <s v="Emporia"/>
    <n v="18"/>
    <n v="2.6"/>
    <n v="79"/>
    <n v="21"/>
    <n v="6"/>
    <n v="1"/>
    <n v="21"/>
    <n v="1.29"/>
    <n v="1577"/>
    <n v="2028"/>
  </r>
  <r>
    <x v="366"/>
    <n v="171358"/>
    <s v="KS"/>
    <s v="KS - Mcpherson"/>
    <n v="67456"/>
    <s v="Lindsborg Community Hospital"/>
    <s v="Critical Access Hospital"/>
    <s v="Lindsborg"/>
    <n v="4.4000000000000004"/>
    <n v="3.2"/>
    <n v="13"/>
    <n v="23"/>
    <m/>
    <n v="0.54"/>
    <n v="23"/>
    <n v="0.94"/>
    <n v="1580"/>
    <n v="115"/>
  </r>
  <r>
    <x v="367"/>
    <n v="171356"/>
    <s v="KS"/>
    <s v="KS - Marion"/>
    <n v="66861"/>
    <s v="St Luke Hospital"/>
    <s v="Critical Access Hospital"/>
    <s v="Marion"/>
    <n v="2.7"/>
    <n v="2.5"/>
    <n v="23"/>
    <n v="10"/>
    <m/>
    <m/>
    <n v="10"/>
    <n v="0.93"/>
    <n v="1581"/>
    <n v="108"/>
  </r>
  <r>
    <x v="367"/>
    <n v="171357"/>
    <s v="KS"/>
    <s v="KS - Marion"/>
    <n v="67063"/>
    <s v="Hillsboro Community Hospital"/>
    <s v="Critical Access Hospital"/>
    <s v="Hillsboro"/>
    <n v="2.4"/>
    <n v="2.4"/>
    <n v="8"/>
    <n v="15"/>
    <m/>
    <m/>
    <n v="15"/>
    <n v="0.91"/>
    <n v="1582"/>
    <n v="128"/>
  </r>
  <r>
    <x v="368"/>
    <n v="171363"/>
    <s v="KS"/>
    <s v="KS - Marshall"/>
    <n v="66508"/>
    <s v="Community Memorial Healthcare"/>
    <s v="Critical Access Hospital"/>
    <s v="Marysville"/>
    <n v="10.199999999999999"/>
    <n v="3.4"/>
    <n v="27"/>
    <n v="23"/>
    <m/>
    <m/>
    <n v="23"/>
    <n v="0.94"/>
    <n v="5734"/>
    <n v="497"/>
  </r>
  <r>
    <x v="369"/>
    <n v="171321"/>
    <s v="KS"/>
    <s v="KS - Meade"/>
    <n v="67864"/>
    <s v="Artesian Valley Health System (FKA Meade District Hospital)"/>
    <s v="Critical Access Hospital"/>
    <s v="Meade"/>
    <n v="2.1"/>
    <n v="2"/>
    <n v="11"/>
    <n v="20"/>
    <m/>
    <m/>
    <n v="20"/>
    <n v="1.29"/>
    <n v="1583"/>
    <n v="192"/>
  </r>
  <r>
    <x v="370"/>
    <n v="171375"/>
    <s v="KS"/>
    <s v="KS - Mitchell"/>
    <n v="67420"/>
    <s v="Mitchell County Hospital Health Systems"/>
    <s v="Critical Access Hospital"/>
    <s v="Beloit"/>
    <n v="18"/>
    <n v="3.7"/>
    <n v="16"/>
    <n v="16"/>
    <n v="4"/>
    <m/>
    <n v="16"/>
    <n v="1.05"/>
    <n v="1585"/>
    <n v="883"/>
  </r>
  <r>
    <x v="371"/>
    <n v="171379"/>
    <s v="KS"/>
    <s v="KS - Morris"/>
    <n v="66846"/>
    <s v="Morris County Hospital"/>
    <s v="Critical Access Hospital"/>
    <s v="Council Grove"/>
    <n v="3.7"/>
    <n v="2.5"/>
    <n v="9"/>
    <n v="25"/>
    <m/>
    <m/>
    <n v="25"/>
    <n v="0.97"/>
    <n v="1588"/>
    <n v="260"/>
  </r>
  <r>
    <x v="372"/>
    <n v="171315"/>
    <s v="KS"/>
    <s v="KS - Nemaha"/>
    <n v="66538"/>
    <s v="Nemaha Valley Community Hospital"/>
    <s v="Critical Access Hospital"/>
    <s v="Seneca"/>
    <n v="5"/>
    <n v="2.7"/>
    <n v="15"/>
    <n v="24"/>
    <m/>
    <m/>
    <n v="24"/>
    <n v="1.03"/>
    <n v="1590"/>
    <n v="344"/>
  </r>
  <r>
    <x v="372"/>
    <n v="171338"/>
    <s v="KS"/>
    <s v="KS - Nemaha"/>
    <n v="66534"/>
    <s v="Sabetha Community Hospital"/>
    <s v="Critical Access Hospital"/>
    <s v="Sabetha"/>
    <n v="4.8"/>
    <n v="2.7"/>
    <n v="10"/>
    <n v="17"/>
    <m/>
    <m/>
    <n v="17"/>
    <n v="0.91"/>
    <n v="1591"/>
    <n v="235"/>
  </r>
  <r>
    <x v="373"/>
    <n v="171380"/>
    <s v="KS"/>
    <s v="KS - Neosho"/>
    <n v="66720"/>
    <s v="Neosho Memorial Regional Medical Center"/>
    <s v="Critical Access Hospital"/>
    <s v="Chanute"/>
    <n v="14.6"/>
    <n v="3.1"/>
    <n v="47"/>
    <n v="22"/>
    <n v="5"/>
    <m/>
    <n v="22"/>
    <n v="1.01"/>
    <n v="1592"/>
    <n v="1390"/>
  </r>
  <r>
    <x v="374"/>
    <n v="171336"/>
    <s v="KS"/>
    <s v="KS - Ness"/>
    <n v="67560"/>
    <s v="Ness County Hospital"/>
    <s v="Critical Access Hospital"/>
    <s v="Ness City"/>
    <n v="11.9"/>
    <n v="2.8"/>
    <n v="3"/>
    <n v="25"/>
    <m/>
    <m/>
    <n v="25"/>
    <n v="1.06"/>
    <n v="1593"/>
    <n v="119"/>
  </r>
  <r>
    <x v="374"/>
    <n v="171300"/>
    <s v="KS"/>
    <s v="KS - Ness"/>
    <n v="67572"/>
    <s v="Grisell Memorial Hospital"/>
    <s v="Critical Access Hospital"/>
    <s v="Ransom"/>
    <n v="1.7"/>
    <n v="3.2"/>
    <n v="4"/>
    <n v="12"/>
    <m/>
    <m/>
    <n v="12"/>
    <n v="0.9"/>
    <n v="1594"/>
    <n v="28"/>
  </r>
  <r>
    <x v="375"/>
    <n v="171348"/>
    <s v="KS"/>
    <s v="KS - Norton"/>
    <n v="67654"/>
    <s v="Norton County Hospital"/>
    <s v="Critical Access Hospital"/>
    <s v="Norton"/>
    <n v="3.2"/>
    <n v="2.4"/>
    <n v="24"/>
    <n v="25"/>
    <m/>
    <m/>
    <n v="25"/>
    <n v="0.95"/>
    <n v="1595"/>
    <n v="152"/>
  </r>
  <r>
    <x v="376"/>
    <n v="171364"/>
    <s v="KS"/>
    <s v="KS - Osborne"/>
    <n v="67473"/>
    <s v="Osborne County Memorial Hospital"/>
    <s v="Critical Access Hospital"/>
    <s v="Osborne"/>
    <n v="3.8"/>
    <n v="3"/>
    <n v="6"/>
    <n v="24"/>
    <m/>
    <m/>
    <n v="24"/>
    <n v="0.88"/>
    <n v="1596"/>
    <n v="157"/>
  </r>
  <r>
    <x v="377"/>
    <n v="171328"/>
    <s v="KS"/>
    <s v="KS - Ottawa"/>
    <n v="67467"/>
    <s v="Ottawa County Health Center"/>
    <s v="Critical Access Hospital"/>
    <s v="Minneapolis"/>
    <n v="16.399999999999999"/>
    <n v="3.4"/>
    <n v="4"/>
    <n v="25"/>
    <m/>
    <n v="0.78"/>
    <n v="25"/>
    <n v="0.95"/>
    <n v="1597"/>
    <n v="95"/>
  </r>
  <r>
    <x v="378"/>
    <n v="171345"/>
    <s v="KS"/>
    <s v="KS - Pawnee"/>
    <n v="67550"/>
    <s v="The University of Kansas Health System - Pawnee Valley Campus"/>
    <s v="Critical Access Hospital"/>
    <s v="Larned"/>
    <n v="5.0999999999999996"/>
    <n v="3.5"/>
    <n v="15"/>
    <n v="22"/>
    <m/>
    <m/>
    <n v="22"/>
    <n v="0.96"/>
    <n v="6373"/>
    <n v="95"/>
  </r>
  <r>
    <x v="379"/>
    <n v="171353"/>
    <s v="KS"/>
    <s v="KS - Phillips"/>
    <n v="67661"/>
    <s v="Phillips County Hospital"/>
    <s v="Critical Access Hospital"/>
    <s v="Phillipsburg"/>
    <n v="7"/>
    <n v="2.2999999999999998"/>
    <n v="15"/>
    <n v="25"/>
    <m/>
    <m/>
    <n v="25"/>
    <n v="0.88"/>
    <n v="1598"/>
    <n v="199"/>
  </r>
  <r>
    <x v="380"/>
    <n v="171354"/>
    <s v="KS"/>
    <s v="KS - Pottawatomie"/>
    <n v="66521"/>
    <s v="Community Hospital - Onaga"/>
    <s v="Critical Access Hospital"/>
    <s v="Onaga"/>
    <n v="7.1"/>
    <n v="1.9"/>
    <n v="30"/>
    <n v="25"/>
    <m/>
    <n v="0.3"/>
    <n v="25"/>
    <n v="0.98"/>
    <n v="1599"/>
    <n v="442"/>
  </r>
  <r>
    <x v="380"/>
    <n v="171337"/>
    <s v="KS"/>
    <s v="KS - Pottawatomie"/>
    <n v="66547"/>
    <s v="Wamego Health Center (FKA Wamego City Hospital)"/>
    <s v="Critical Access Hospital"/>
    <s v="Wamego"/>
    <n v="5.2"/>
    <n v="3.1"/>
    <n v="17"/>
    <n v="18"/>
    <m/>
    <n v="0.3"/>
    <n v="18"/>
    <n v="1.02"/>
    <n v="1600"/>
    <n v="162"/>
  </r>
  <r>
    <x v="380"/>
    <s v="171354*"/>
    <s v="KS"/>
    <s v="KS - Pottawatomie"/>
    <n v="66536"/>
    <s v="Community Hospital - St Marys Campus"/>
    <s v="Critical Access Hospital"/>
    <s v="Saint Marys"/>
    <m/>
    <m/>
    <m/>
    <m/>
    <m/>
    <m/>
    <m/>
    <m/>
    <n v="581824"/>
    <m/>
  </r>
  <r>
    <x v="381"/>
    <n v="171307"/>
    <s v="KS"/>
    <s v="KS - Rawlins"/>
    <n v="67730"/>
    <s v="Rawlins County Health Center"/>
    <s v="Critical Access Hospital"/>
    <s v="Atwood"/>
    <n v="3.6"/>
    <n v="2.2000000000000002"/>
    <n v="4"/>
    <n v="15"/>
    <m/>
    <m/>
    <n v="15"/>
    <n v="0.95"/>
    <n v="6152"/>
    <n v="145"/>
  </r>
  <r>
    <x v="382"/>
    <n v="171361"/>
    <s v="KS"/>
    <s v="KS - Republic"/>
    <n v="66935"/>
    <s v="Republic County Hospital"/>
    <s v="Critical Access Hospital"/>
    <s v="Belleville"/>
    <n v="15.5"/>
    <n v="3.2"/>
    <n v="7"/>
    <n v="25"/>
    <m/>
    <m/>
    <n v="25"/>
    <n v="1.04"/>
    <n v="1604"/>
    <n v="521"/>
  </r>
  <r>
    <x v="383"/>
    <n v="171330"/>
    <s v="KS"/>
    <s v="KS - Rice"/>
    <n v="67554"/>
    <s v="Rice Community Healthcare"/>
    <s v="Critical Access Hospital"/>
    <s v="Lyons"/>
    <n v="12.5"/>
    <n v="2.8"/>
    <n v="17"/>
    <n v="25"/>
    <m/>
    <m/>
    <n v="25"/>
    <n v="0.99"/>
    <n v="5646"/>
    <n v="309"/>
  </r>
  <r>
    <x v="384"/>
    <n v="171311"/>
    <s v="KS"/>
    <s v="KS - Rooks"/>
    <n v="67663"/>
    <s v="Rooks County Health Center"/>
    <s v="Critical Access Hospital"/>
    <s v="Plainville"/>
    <n v="5.4"/>
    <n v="3.1"/>
    <n v="21"/>
    <n v="16"/>
    <m/>
    <m/>
    <n v="16"/>
    <n v="1.28"/>
    <n v="5220"/>
    <n v="307"/>
  </r>
  <r>
    <x v="385"/>
    <n v="171342"/>
    <s v="KS"/>
    <s v="KS - Rush"/>
    <n v="67548"/>
    <s v="Rush County Memorial Hospital"/>
    <s v="Critical Access Hospital"/>
    <s v="La Crosse"/>
    <n v="19.8"/>
    <n v="2.8"/>
    <n v="4"/>
    <n v="16"/>
    <m/>
    <m/>
    <n v="16"/>
    <n v="1"/>
    <n v="6438"/>
    <n v="104"/>
  </r>
  <r>
    <x v="386"/>
    <n v="171350"/>
    <s v="KS"/>
    <s v="KS - Russell"/>
    <n v="67665"/>
    <s v="Russell Regional Hospital"/>
    <s v="Critical Access Hospital"/>
    <s v="Russell"/>
    <n v="6.5"/>
    <n v="2.7"/>
    <n v="14"/>
    <n v="20"/>
    <m/>
    <m/>
    <n v="20"/>
    <n v="1.05"/>
    <n v="1607"/>
    <n v="252"/>
  </r>
  <r>
    <x v="387"/>
    <n v="171372"/>
    <s v="KS"/>
    <s v="KS - Scott"/>
    <n v="67871"/>
    <s v="Scott County Hospital"/>
    <s v="Critical Access Hospital"/>
    <s v="Scott City"/>
    <n v="10.1"/>
    <n v="2.9"/>
    <n v="19"/>
    <n v="25"/>
    <m/>
    <m/>
    <n v="25"/>
    <n v="1.05"/>
    <n v="1610"/>
    <n v="354"/>
  </r>
  <r>
    <x v="388"/>
    <n v="171347"/>
    <s v="KS"/>
    <s v="KS - Sheridan"/>
    <n v="67740"/>
    <s v="Sheridan County Hospital"/>
    <s v="Critical Access Hospital"/>
    <s v="Hoxie"/>
    <n v="4.0999999999999996"/>
    <n v="3.2"/>
    <n v="8"/>
    <n v="18"/>
    <m/>
    <m/>
    <n v="18"/>
    <n v="1.03"/>
    <n v="1621"/>
    <n v="193"/>
  </r>
  <r>
    <x v="389"/>
    <n v="171370"/>
    <s v="KS"/>
    <s v="KS - Sherman"/>
    <n v="67735"/>
    <s v="Goodland Regional Medical Center"/>
    <s v="Critical Access Hospital"/>
    <s v="Goodland"/>
    <n v="5"/>
    <n v="2.6"/>
    <n v="30"/>
    <n v="21"/>
    <m/>
    <m/>
    <n v="21"/>
    <n v="0.95"/>
    <n v="1622"/>
    <n v="344"/>
  </r>
  <r>
    <x v="390"/>
    <n v="171377"/>
    <s v="KS"/>
    <s v="KS - Smith"/>
    <n v="66967"/>
    <s v="Smith County Memorial Hospital"/>
    <s v="Critical Access Hospital"/>
    <s v="Smith Center"/>
    <n v="5.2"/>
    <n v="2.4"/>
    <n v="14"/>
    <n v="16"/>
    <m/>
    <m/>
    <n v="16"/>
    <n v="0.89"/>
    <n v="1623"/>
    <n v="412"/>
  </r>
  <r>
    <x v="391"/>
    <n v="171323"/>
    <s v="KS"/>
    <s v="KS - Stafford"/>
    <n v="67578"/>
    <s v="Stafford County Hospital"/>
    <s v="Critical Access Hospital"/>
    <s v="Stafford"/>
    <n v="4.9000000000000004"/>
    <n v="2.5"/>
    <n v="9"/>
    <n v="25"/>
    <m/>
    <m/>
    <n v="25"/>
    <n v="0.94"/>
    <n v="5315"/>
    <n v="45"/>
  </r>
  <r>
    <x v="392"/>
    <n v="171343"/>
    <s v="KS"/>
    <s v="KS - Stanton"/>
    <n v="67855"/>
    <s v="Stanton County Hospital"/>
    <s v="Critical Access Hospital"/>
    <s v="Johnson"/>
    <n v="2.2999999999999998"/>
    <n v="2.5"/>
    <n v="6"/>
    <n v="16"/>
    <m/>
    <m/>
    <n v="16"/>
    <n v="1.02"/>
    <n v="5694"/>
    <n v="89"/>
  </r>
  <r>
    <x v="393"/>
    <n v="171335"/>
    <s v="KS"/>
    <s v="KS - Stevens"/>
    <n v="67951"/>
    <s v="Stevens County Hospital"/>
    <s v="Critical Access Hospital"/>
    <s v="Hugoton"/>
    <n v="3.3"/>
    <n v="1.7"/>
    <n v="6"/>
    <n v="17"/>
    <m/>
    <m/>
    <n v="17"/>
    <n v="0.94"/>
    <n v="5234"/>
    <n v="159"/>
  </r>
  <r>
    <x v="394"/>
    <n v="171329"/>
    <s v="KS"/>
    <s v="KS - Sumner"/>
    <n v="67022"/>
    <s v="Sumner County Hospital"/>
    <s v="Critical Access Hospital"/>
    <s v="Caldwell"/>
    <n v="7.9"/>
    <n v="3.9"/>
    <n v="8"/>
    <n v="25"/>
    <m/>
    <n v="0.27"/>
    <n v="25"/>
    <n v="0.99"/>
    <n v="6277"/>
    <n v="93"/>
  </r>
  <r>
    <x v="395"/>
    <n v="171362"/>
    <s v="KS"/>
    <s v="KS - Thomas"/>
    <n v="67701"/>
    <s v="Citizens Medical Center"/>
    <s v="Critical Access Hospital"/>
    <s v="Colby"/>
    <n v="10"/>
    <n v="3"/>
    <n v="44"/>
    <n v="21"/>
    <n v="1"/>
    <m/>
    <n v="21"/>
    <n v="1.05"/>
    <n v="5805"/>
    <n v="701"/>
  </r>
  <r>
    <x v="396"/>
    <n v="171355"/>
    <s v="KS"/>
    <s v="KS - Trego"/>
    <n v="67672"/>
    <s v="Trego County-Lemke Memorial Hospital"/>
    <s v="Critical Access Hospital"/>
    <s v="Wakeeney"/>
    <n v="10.7"/>
    <n v="3"/>
    <n v="9"/>
    <n v="25"/>
    <m/>
    <m/>
    <n v="25"/>
    <n v="0.89"/>
    <n v="1625"/>
    <n v="342"/>
  </r>
  <r>
    <x v="397"/>
    <n v="171351"/>
    <s v="KS"/>
    <s v="KS - Washington"/>
    <n v="66968"/>
    <s v="Washington County Hospital"/>
    <s v="Critical Access Hospital"/>
    <s v="Washington"/>
    <n v="4.7"/>
    <n v="2.9"/>
    <n v="4"/>
    <n v="25"/>
    <m/>
    <m/>
    <n v="25"/>
    <n v="0.95"/>
    <n v="1626"/>
    <n v="137"/>
  </r>
  <r>
    <x v="397"/>
    <n v="171365"/>
    <s v="KS"/>
    <s v="KS - Washington"/>
    <n v="66945"/>
    <s v="Hanover Hospital"/>
    <s v="Critical Access Hospital"/>
    <s v="Hanover"/>
    <n v="21.8"/>
    <n v="6.3"/>
    <n v="4"/>
    <n v="25"/>
    <m/>
    <m/>
    <n v="25"/>
    <n v="0.88"/>
    <n v="5417"/>
    <n v="97"/>
  </r>
  <r>
    <x v="398"/>
    <n v="171306"/>
    <s v="KS"/>
    <s v="KS - Wichita"/>
    <n v="67861"/>
    <s v="Wichita County Health Center"/>
    <s v="Critical Access Hospital"/>
    <s v="Leoti"/>
    <n v="16.100000000000001"/>
    <n v="2.7"/>
    <n v="6"/>
    <n v="25"/>
    <m/>
    <m/>
    <n v="25"/>
    <n v="0.98"/>
    <n v="1627"/>
    <n v="61"/>
  </r>
  <r>
    <x v="399"/>
    <n v="171374"/>
    <s v="KS"/>
    <s v="KS - Wilson"/>
    <n v="66736"/>
    <s v="Fredonia Regional Hospital"/>
    <s v="Critical Access Hospital"/>
    <s v="Fredonia"/>
    <n v="3.9"/>
    <n v="2.9"/>
    <n v="25"/>
    <n v="25"/>
    <m/>
    <m/>
    <n v="25"/>
    <n v="1.01"/>
    <n v="1629"/>
    <n v="272"/>
  </r>
  <r>
    <x v="399"/>
    <n v="171344"/>
    <s v="KS"/>
    <s v="KS - Wilson"/>
    <n v="66757"/>
    <s v="Wilson Medical Center"/>
    <s v="Critical Access Hospital"/>
    <s v="Neodesha"/>
    <n v="6.7"/>
    <n v="3.5"/>
    <n v="21"/>
    <n v="15"/>
    <m/>
    <m/>
    <n v="15"/>
    <n v="1.2"/>
    <n v="1628"/>
    <n v="195"/>
  </r>
  <r>
    <x v="400"/>
    <n v="181324"/>
    <s v="KY"/>
    <s v="KY - Allen"/>
    <n v="42164"/>
    <s v="The Medical Center at Scottsville"/>
    <s v="Critical Access Hospital"/>
    <s v="Scottsville"/>
    <n v="18.8"/>
    <n v="3.5"/>
    <n v="69"/>
    <n v="25"/>
    <m/>
    <n v="0.54"/>
    <n v="25"/>
    <n v="1"/>
    <n v="1633"/>
    <n v="318"/>
  </r>
  <r>
    <x v="401"/>
    <n v="181319"/>
    <s v="KY"/>
    <s v="KY - Breckinridge"/>
    <n v="40143"/>
    <s v="Breckinridge Health (FKA Breckinridge Memorial Hospital)"/>
    <s v="Critical Access Hospital"/>
    <s v="Hardinsburg"/>
    <n v="11.1"/>
    <n v="3.7"/>
    <n v="32"/>
    <n v="25"/>
    <m/>
    <m/>
    <n v="25"/>
    <n v="0.87"/>
    <n v="1642"/>
    <n v="578"/>
  </r>
  <r>
    <x v="402"/>
    <n v="181322"/>
    <s v="KY"/>
    <s v="KY - Caldwell"/>
    <n v="42445"/>
    <s v="Caldwell Medical Center"/>
    <s v="Critical Access Hospital"/>
    <s v="Princeton"/>
    <n v="6.6"/>
    <n v="3"/>
    <n v="28"/>
    <n v="25"/>
    <m/>
    <m/>
    <n v="25"/>
    <n v="0.89"/>
    <n v="1643"/>
    <n v="261"/>
  </r>
  <r>
    <x v="403"/>
    <n v="181310"/>
    <s v="KY"/>
    <s v="KY - Carroll"/>
    <n v="41008"/>
    <s v="Carroll County Memorial Hospital"/>
    <s v="Critical Access Hospital"/>
    <s v="Carrollton"/>
    <n v="4.2"/>
    <n v="3.4"/>
    <n v="38"/>
    <n v="25"/>
    <m/>
    <m/>
    <n v="25"/>
    <n v="0.99"/>
    <n v="1646"/>
    <n v="350"/>
  </r>
  <r>
    <x v="404"/>
    <n v="181309"/>
    <s v="KY"/>
    <s v="KY - Casey"/>
    <n v="42539"/>
    <s v="Casey County Hospital"/>
    <s v="Critical Access Hospital"/>
    <s v="Liberty"/>
    <n v="19.7"/>
    <n v="3.9"/>
    <n v="34"/>
    <n v="24"/>
    <m/>
    <m/>
    <n v="24"/>
    <n v="0.87"/>
    <n v="1647"/>
    <n v="586"/>
  </r>
  <r>
    <x v="405"/>
    <n v="181317"/>
    <s v="KY"/>
    <s v="KY - Cumberland"/>
    <n v="42717"/>
    <s v="Cumberland County Hospital"/>
    <s v="Critical Access Hospital"/>
    <s v="Burkesville"/>
    <n v="8"/>
    <n v="3.8"/>
    <n v="17"/>
    <n v="25"/>
    <m/>
    <m/>
    <n v="25"/>
    <n v="1"/>
    <n v="1653"/>
    <n v="433"/>
  </r>
  <r>
    <x v="406"/>
    <n v="181301"/>
    <s v="KY"/>
    <s v="KY - Estill"/>
    <n v="40336"/>
    <s v="Mercy Health - Marcum and Wallace Hospital"/>
    <s v="Critical Access Hospital"/>
    <s v="Irvine"/>
    <n v="13.2"/>
    <n v="2.8"/>
    <n v="431"/>
    <n v="25"/>
    <m/>
    <n v="0.48"/>
    <n v="25"/>
    <n v="1"/>
    <n v="1655"/>
    <n v="795"/>
  </r>
  <r>
    <x v="407"/>
    <n v="181332"/>
    <s v="KY"/>
    <s v="KY - Fleming"/>
    <n v="41041"/>
    <s v="Fleming County Hospital"/>
    <s v="Critical Access Hospital"/>
    <s v="Flemingsburg"/>
    <n v="5.9"/>
    <n v="3.8"/>
    <n v="38"/>
    <n v="52"/>
    <n v="3"/>
    <m/>
    <n v="52"/>
    <n v="1.17"/>
    <n v="1661"/>
    <n v="642"/>
  </r>
  <r>
    <x v="408"/>
    <n v="181305"/>
    <s v="KY"/>
    <s v="KY - Floyd"/>
    <n v="41649"/>
    <s v="ARH Our Lady of the Way (FKA St Joseph Martin)"/>
    <s v="Critical Access Hospital"/>
    <s v="Martin"/>
    <n v="7.8"/>
    <n v="5.0999999999999996"/>
    <n v="26"/>
    <n v="25"/>
    <m/>
    <m/>
    <n v="25"/>
    <n v="1.1200000000000001"/>
    <n v="1663"/>
    <n v="453"/>
  </r>
  <r>
    <x v="408"/>
    <n v="181331"/>
    <s v="KY"/>
    <s v="KY - Floyd"/>
    <n v="41647"/>
    <s v="McDowell ARH Hospital"/>
    <s v="Critical Access Hospital"/>
    <s v="McDowell"/>
    <n v="4.8"/>
    <n v="3"/>
    <n v="29"/>
    <n v="25"/>
    <n v="4"/>
    <m/>
    <n v="25"/>
    <n v="1.07"/>
    <n v="1664"/>
    <n v="287"/>
  </r>
  <r>
    <x v="409"/>
    <n v="181311"/>
    <s v="KY"/>
    <s v="KY - Grant"/>
    <n v="41097"/>
    <s v="St Elizabeth Grant"/>
    <s v="Critical Access Hospital"/>
    <s v="Williamstown"/>
    <n v="1.6"/>
    <n v="3.4"/>
    <n v="15"/>
    <n v="15"/>
    <m/>
    <n v="0.12"/>
    <n v="15"/>
    <n v="0.9"/>
    <n v="1667"/>
    <n v="167"/>
  </r>
  <r>
    <x v="410"/>
    <n v="181325"/>
    <s v="KY"/>
    <s v="KY - Green"/>
    <n v="42743"/>
    <s v="Jane Todd Crawford Hospital"/>
    <s v="Critical Access Hospital"/>
    <s v="Greensburg"/>
    <n v="19.7"/>
    <n v="3.8"/>
    <n v="24"/>
    <n v="25"/>
    <m/>
    <n v="0.7"/>
    <n v="25"/>
    <n v="0.92"/>
    <n v="1670"/>
    <n v="246"/>
  </r>
  <r>
    <x v="411"/>
    <n v="181314"/>
    <s v="KY"/>
    <s v="KY - Hart"/>
    <n v="42749"/>
    <s v="The Medical Center at Caverna (FKA Caverna Memorial Hospital)"/>
    <s v="Critical Access Hospital"/>
    <s v="Horse Cave"/>
    <n v="7.8"/>
    <n v="3.2"/>
    <n v="25"/>
    <n v="25"/>
    <m/>
    <m/>
    <n v="25"/>
    <n v="0.97"/>
    <n v="1675"/>
    <n v="183"/>
  </r>
  <r>
    <x v="412"/>
    <n v="181328"/>
    <s v="KY"/>
    <s v="KY - Knox"/>
    <n v="40906"/>
    <s v="Barbourville ARH Hospital (FKA Knox County Hospital)"/>
    <s v="Critical Access Hospital"/>
    <s v="Barbourville"/>
    <n v="8.5"/>
    <n v="3.8"/>
    <n v="43"/>
    <n v="25"/>
    <n v="6"/>
    <n v="0.35"/>
    <n v="25"/>
    <n v="1.04"/>
    <n v="1686"/>
    <n v="674"/>
  </r>
  <r>
    <x v="413"/>
    <n v="181316"/>
    <s v="KY"/>
    <s v="KY - Leslie"/>
    <n v="41749"/>
    <s v="Mary Breckinridge ARH Hospital"/>
    <s v="Critical Access Hospital"/>
    <s v="Hyden"/>
    <n v="10.9"/>
    <n v="2.4"/>
    <n v="20"/>
    <n v="25"/>
    <m/>
    <m/>
    <n v="25"/>
    <n v="1.1299999999999999"/>
    <n v="1689"/>
    <n v="243"/>
  </r>
  <r>
    <x v="414"/>
    <s v="181326 (Closed)"/>
    <s v="KY"/>
    <s v="KY - Letcher"/>
    <n v="41537"/>
    <s v="Jenkins Community Hospital (Closed 2009)"/>
    <s v="Critical Access Hospital"/>
    <s v="Jenkins"/>
    <n v="3"/>
    <n v="0.8"/>
    <m/>
    <m/>
    <m/>
    <m/>
    <m/>
    <m/>
    <n v="5198"/>
    <n v="411"/>
  </r>
  <r>
    <x v="415"/>
    <n v="181315"/>
    <s v="KY"/>
    <s v="KY - Lincoln"/>
    <n v="40484"/>
    <s v="Ephraim McDowell Fort Logan Hospital"/>
    <s v="Critical Access Hospital"/>
    <s v="Stanford"/>
    <n v="12.7"/>
    <n v="2.5"/>
    <n v="48"/>
    <n v="25"/>
    <m/>
    <n v="0.78"/>
    <n v="25"/>
    <n v="0.96"/>
    <n v="1691"/>
    <n v="878"/>
  </r>
  <r>
    <x v="416"/>
    <n v="181320"/>
    <s v="KY"/>
    <s v="KY - Livingston"/>
    <n v="42078"/>
    <s v="Livingston Hospital and Healthcare"/>
    <s v="Critical Access Hospital"/>
    <s v="Salem"/>
    <n v="8.3000000000000007"/>
    <n v="5.5"/>
    <n v="11"/>
    <n v="25"/>
    <m/>
    <n v="0.44"/>
    <n v="25"/>
    <n v="1.06"/>
    <n v="1692"/>
    <n v="544"/>
  </r>
  <r>
    <x v="417"/>
    <n v="181329"/>
    <s v="KY"/>
    <s v="KY - Madison"/>
    <n v="40403"/>
    <s v="Saint Joseph Berea"/>
    <s v="Critical Access Hospital"/>
    <s v="Berea"/>
    <n v="10.7"/>
    <n v="3.6"/>
    <n v="36"/>
    <n v="25"/>
    <n v="4"/>
    <n v="0.48"/>
    <n v="25"/>
    <n v="1.41"/>
    <n v="1696"/>
    <n v="705"/>
  </r>
  <r>
    <x v="418"/>
    <n v="181327"/>
    <s v="KY"/>
    <s v="KY - Marshall"/>
    <n v="42025"/>
    <s v="Marshall County Hospital"/>
    <s v="Critical Access Hospital"/>
    <s v="Benton"/>
    <n v="8"/>
    <n v="3.8"/>
    <n v="35"/>
    <n v="25"/>
    <n v="4"/>
    <m/>
    <n v="25"/>
    <n v="1.17"/>
    <n v="1699"/>
    <n v="654"/>
  </r>
  <r>
    <x v="419"/>
    <n v="181302"/>
    <s v="KY"/>
    <s v="KY - Mercer"/>
    <n v="40330"/>
    <s v="Ephraim McDowell James B Haggin Hospital"/>
    <s v="Critical Access Hospital"/>
    <s v="Harrodsburg"/>
    <n v="10.4"/>
    <n v="4.0999999999999996"/>
    <n v="37"/>
    <n v="25"/>
    <n v="4"/>
    <m/>
    <n v="25"/>
    <n v="1.06"/>
    <n v="1701"/>
    <n v="265"/>
  </r>
  <r>
    <x v="420"/>
    <n v="181307"/>
    <s v="KY"/>
    <s v="KY - Morgan"/>
    <n v="41472"/>
    <s v="Morgan County ARH Hospital"/>
    <s v="Critical Access Hospital"/>
    <s v="West Liberty"/>
    <n v="1.9"/>
    <n v="3.3"/>
    <n v="37"/>
    <n v="25"/>
    <m/>
    <m/>
    <n v="25"/>
    <n v="1.19"/>
    <n v="1704"/>
    <n v="98"/>
  </r>
  <r>
    <x v="421"/>
    <s v="181303 (Closed)"/>
    <s v="KY"/>
    <s v="KY - Nicholas"/>
    <n v="40311"/>
    <s v="Nicholas County Hospital (Closed May 2014)"/>
    <s v="Critical Access Hospital"/>
    <s v="Carlisle"/>
    <n v="4.2"/>
    <n v="2.9"/>
    <m/>
    <m/>
    <m/>
    <m/>
    <m/>
    <m/>
    <n v="1707"/>
    <n v="314"/>
  </r>
  <r>
    <x v="422"/>
    <n v="181323"/>
    <s v="KY"/>
    <s v="KY - Ohio"/>
    <n v="42347"/>
    <s v="Ohio County Healthcare"/>
    <s v="Critical Access Hospital"/>
    <s v="Hartford"/>
    <n v="8.6"/>
    <n v="3.9"/>
    <n v="70"/>
    <n v="25"/>
    <n v="4"/>
    <m/>
    <n v="25"/>
    <n v="1.1100000000000001"/>
    <n v="1708"/>
    <n v="651"/>
  </r>
  <r>
    <x v="423"/>
    <s v="181312 (Closed)"/>
    <s v="KY"/>
    <s v="KY - Owen"/>
    <n v="40359"/>
    <s v="St Elizabeth - Owen (FKA New Horizons Medical Center - Closed no longer offering inpatient services)"/>
    <s v="Critical Access Hospital"/>
    <s v="Owenton"/>
    <n v="1.6"/>
    <n v="3.8"/>
    <m/>
    <m/>
    <m/>
    <m/>
    <m/>
    <m/>
    <n v="1710"/>
    <n v="88"/>
  </r>
  <r>
    <x v="424"/>
    <n v="181330"/>
    <s v="KY"/>
    <s v="KY - Russell"/>
    <n v="42642"/>
    <s v="Russell County Hospital"/>
    <s v="Critical Access Hospital"/>
    <s v="Russell Springs"/>
    <n v="8.1"/>
    <n v="3.7"/>
    <n v="44"/>
    <n v="25"/>
    <n v="2"/>
    <m/>
    <n v="25"/>
    <n v="1"/>
    <n v="1717"/>
    <n v="482"/>
  </r>
  <r>
    <x v="425"/>
    <n v="181318"/>
    <s v="KY"/>
    <s v="KY - Simpson"/>
    <n v="42135"/>
    <s v="The Medical Center at Franklin"/>
    <s v="Critical Access Hospital"/>
    <s v="Franklin"/>
    <n v="18.7"/>
    <n v="3.7"/>
    <n v="42"/>
    <n v="25"/>
    <m/>
    <m/>
    <n v="25"/>
    <n v="0.91"/>
    <n v="1720"/>
    <n v="539"/>
  </r>
  <r>
    <x v="426"/>
    <n v="181304"/>
    <s v="KY"/>
    <s v="KY - Trigg"/>
    <n v="42211"/>
    <s v="Trigg County Hospital"/>
    <s v="Critical Access Hospital"/>
    <s v="Cadiz"/>
    <n v="10"/>
    <n v="2.8"/>
    <n v="21"/>
    <n v="25"/>
    <m/>
    <n v="0.46"/>
    <n v="25"/>
    <n v="0.89"/>
    <n v="1722"/>
    <n v="151"/>
  </r>
  <r>
    <x v="427"/>
    <n v="181306"/>
    <s v="KY"/>
    <s v="KY - Union"/>
    <n v="42437"/>
    <s v="Methodist Health - Morganfield (FKA Methodist Hospital - Union County)"/>
    <s v="Critical Access Hospital"/>
    <s v="Morganfield"/>
    <n v="11.6"/>
    <n v="1.3"/>
    <n v="18"/>
    <n v="25"/>
    <m/>
    <m/>
    <n v="25"/>
    <n v="0.93"/>
    <n v="1723"/>
    <n v="571"/>
  </r>
  <r>
    <x v="428"/>
    <n v="181321"/>
    <s v="KY"/>
    <s v="KY - Wayne"/>
    <n v="42633"/>
    <s v="Wayne County Hospital"/>
    <s v="Critical Access Hospital"/>
    <s v="Monticello"/>
    <n v="8.6"/>
    <n v="3.7"/>
    <n v="29"/>
    <n v="25"/>
    <m/>
    <m/>
    <n v="25"/>
    <n v="0.97"/>
    <n v="1726"/>
    <n v="371"/>
  </r>
  <r>
    <x v="429"/>
    <n v="181308"/>
    <s v="KY"/>
    <s v="KY - Woodford"/>
    <n v="40383"/>
    <s v="Bluegrass Community Hospital"/>
    <s v="Critical Access Hospital"/>
    <s v="Versailles"/>
    <n v="6.4"/>
    <n v="12.7"/>
    <n v="30"/>
    <n v="25"/>
    <m/>
    <n v="0.34"/>
    <n v="25"/>
    <n v="1.21"/>
    <n v="1727"/>
    <n v="183"/>
  </r>
  <r>
    <x v="430"/>
    <n v="191319"/>
    <s v="LA"/>
    <s v="LA - Acadia"/>
    <n v="70525"/>
    <s v="Acadia - St Landry Hospital"/>
    <s v="Critical Access Hospital"/>
    <s v="Church Point"/>
    <n v="10"/>
    <n v="4"/>
    <n v="13"/>
    <n v="15"/>
    <m/>
    <n v="0.2"/>
    <n v="15"/>
    <n v="1.1499999999999999"/>
    <n v="6068"/>
    <n v="33"/>
  </r>
  <r>
    <x v="431"/>
    <n v="191308"/>
    <s v="LA"/>
    <s v="LA - Ascension"/>
    <n v="70346"/>
    <s v="Prevost Memorial Hospital"/>
    <s v="Critical Access Hospital"/>
    <s v="Donaldsonville"/>
    <n v="0.3"/>
    <n v="3.1"/>
    <n v="14"/>
    <n v="25"/>
    <m/>
    <n v="0.24"/>
    <n v="25"/>
    <n v="0.8"/>
    <n v="6400"/>
    <n v="35"/>
  </r>
  <r>
    <x v="432"/>
    <n v="191303"/>
    <s v="LA"/>
    <s v="LA - Assumption"/>
    <n v="70390"/>
    <s v="Assumption Community Hospital"/>
    <s v="Critical Access Hospital"/>
    <s v="Napoleonville"/>
    <n v="0.3"/>
    <n v="2.8"/>
    <n v="11"/>
    <n v="15"/>
    <m/>
    <n v="0.24"/>
    <n v="15"/>
    <n v="1.07"/>
    <n v="1732"/>
    <n v="39"/>
  </r>
  <r>
    <x v="433"/>
    <n v="191311"/>
    <s v="LA"/>
    <s v="LA - Avoyelles"/>
    <n v="71322"/>
    <s v="Bunkie General Hospital (FKA Paces/Bunkie General Hospital)"/>
    <s v="Critical Access Hospital"/>
    <s v="Bunkie"/>
    <n v="6.4"/>
    <n v="2.7"/>
    <n v="18"/>
    <n v="25"/>
    <m/>
    <m/>
    <n v="25"/>
    <n v="0.91"/>
    <n v="1733"/>
    <n v="55"/>
  </r>
  <r>
    <x v="434"/>
    <n v="191320"/>
    <s v="LA"/>
    <s v="LA - Bienville"/>
    <n v="71001"/>
    <s v="Bienville Medical Center"/>
    <s v="Critical Access Hospital"/>
    <s v="Arcadia"/>
    <n v="5.3"/>
    <n v="5.3"/>
    <n v="7"/>
    <n v="21"/>
    <m/>
    <m/>
    <n v="21"/>
    <n v="0.91"/>
    <n v="1736"/>
    <n v="68"/>
  </r>
  <r>
    <x v="435"/>
    <n v="191304"/>
    <s v="LA"/>
    <s v="LA - Caddo"/>
    <n v="71082"/>
    <s v="North Caddo Medical Center"/>
    <s v="Critical Access Hospital"/>
    <s v="Vivian"/>
    <n v="9.3000000000000007"/>
    <n v="3.1"/>
    <n v="11"/>
    <n v="25"/>
    <m/>
    <n v="0.31"/>
    <n v="25"/>
    <n v="0.89"/>
    <n v="5407"/>
    <n v="736"/>
  </r>
  <r>
    <x v="436"/>
    <n v="191307"/>
    <s v="LA"/>
    <s v="LA - Calcasieu"/>
    <n v="70633"/>
    <s v="DeQuincy Memorial Hospital"/>
    <s v="Critical Access Hospital"/>
    <s v="Dequincy"/>
    <n v="4.8"/>
    <n v="0"/>
    <n v="11"/>
    <n v="19"/>
    <m/>
    <n v="0.32"/>
    <n v="19"/>
    <n v="1.07"/>
    <n v="5991"/>
    <n v="135"/>
  </r>
  <r>
    <x v="437"/>
    <n v="191318"/>
    <s v="LA"/>
    <s v="LA - Concordia"/>
    <n v="71334"/>
    <s v="Riverland Medical Center"/>
    <s v="Critical Access Hospital"/>
    <s v="Ferriday"/>
    <n v="10.8"/>
    <n v="3.1"/>
    <n v="24"/>
    <n v="25"/>
    <n v="5"/>
    <n v="0.42"/>
    <n v="25"/>
    <n v="0.89"/>
    <n v="5061"/>
    <n v="537"/>
  </r>
  <r>
    <x v="438"/>
    <n v="191317"/>
    <s v="LA"/>
    <s v="LA - Jackson"/>
    <n v="71251"/>
    <s v="Jackson Parish Hospital"/>
    <s v="Critical Access Hospital"/>
    <s v="Jonesboro"/>
    <n v="3"/>
    <n v="0"/>
    <n v="23"/>
    <n v="25"/>
    <m/>
    <m/>
    <n v="25"/>
    <n v="0.91"/>
    <n v="1768"/>
    <n v="228"/>
  </r>
  <r>
    <x v="439"/>
    <n v="191324"/>
    <s v="LA"/>
    <s v="LA - Lafourche"/>
    <n v="70394"/>
    <s v="Ochsner St Anne Hospital"/>
    <s v="Critical Access Hospital"/>
    <s v="Raceland"/>
    <n v="9.5"/>
    <n v="3.1"/>
    <n v="44"/>
    <n v="25"/>
    <n v="3"/>
    <n v="0.27"/>
    <n v="25"/>
    <n v="1.21"/>
    <n v="1783"/>
    <n v="1015"/>
  </r>
  <r>
    <x v="439"/>
    <n v="191325"/>
    <s v="LA"/>
    <s v="LA - Lafourche"/>
    <n v="70345"/>
    <s v="Lady of the Sea General Hospital"/>
    <s v="Critical Access Hospital"/>
    <s v="Cut Off"/>
    <n v="6.2"/>
    <n v="0"/>
    <n v="27"/>
    <n v="23"/>
    <n v="2"/>
    <n v="0.27"/>
    <n v="23"/>
    <n v="0.93"/>
    <n v="1784"/>
    <n v="471"/>
  </r>
  <r>
    <x v="440"/>
    <n v="191315"/>
    <s v="LA"/>
    <s v="LA - La Salle"/>
    <n v="71465"/>
    <s v="Hardtner Medical Center"/>
    <s v="Critical Access Hospital"/>
    <s v="Olla"/>
    <n v="8.4"/>
    <n v="3.6"/>
    <n v="20"/>
    <n v="25"/>
    <m/>
    <m/>
    <n v="25"/>
    <n v="1"/>
    <n v="1785"/>
    <n v="539"/>
  </r>
  <r>
    <x v="441"/>
    <n v="191314"/>
    <s v="LA"/>
    <s v="LA - Madison"/>
    <n v="71282"/>
    <s v="Madison Parish Hospital"/>
    <s v="Critical Access Hospital"/>
    <s v="Tallulah"/>
    <n v="2.8"/>
    <n v="6"/>
    <n v="11"/>
    <n v="25"/>
    <m/>
    <m/>
    <n v="25"/>
    <n v="0.88"/>
    <n v="5088"/>
    <n v="173"/>
  </r>
  <r>
    <x v="442"/>
    <n v="191316"/>
    <s v="LA"/>
    <s v="LA - Pointe Coupee"/>
    <n v="70760"/>
    <s v="Pointe Coupee General Hospital"/>
    <s v="Critical Access Hospital"/>
    <s v="New Roads"/>
    <n v="3.9"/>
    <n v="3"/>
    <n v="51"/>
    <n v="25"/>
    <m/>
    <n v="0.24"/>
    <n v="25"/>
    <n v="1.1100000000000001"/>
    <n v="1801"/>
    <n v="196"/>
  </r>
  <r>
    <x v="443"/>
    <n v="191312"/>
    <s v="LA"/>
    <s v="LA - Red River"/>
    <n v="71019"/>
    <s v="CHRISTUS Coushatta Health Care Center"/>
    <s v="Critical Access Hospital"/>
    <s v="Coushatta"/>
    <n v="11.6"/>
    <n v="3.7"/>
    <n v="19"/>
    <n v="25"/>
    <m/>
    <m/>
    <n v="25"/>
    <n v="1.04"/>
    <n v="5616"/>
    <n v="646"/>
  </r>
  <r>
    <x v="444"/>
    <n v="191323"/>
    <s v="LA"/>
    <s v="LA - Richland"/>
    <n v="71232"/>
    <s v="Delhi Hospital &amp; Clinic (FKA Richland Parish Hospital)"/>
    <s v="Critical Access Hospital"/>
    <s v="Delhi"/>
    <n v="4.5999999999999996"/>
    <n v="3.6"/>
    <n v="18"/>
    <n v="25"/>
    <m/>
    <m/>
    <n v="25"/>
    <n v="0.89"/>
    <n v="1806"/>
    <n v="240"/>
  </r>
  <r>
    <x v="445"/>
    <n v="191300"/>
    <s v="LA"/>
    <s v="LA - Saint Helena"/>
    <n v="70441"/>
    <s v="St Helena Parish Hospital"/>
    <s v="Critical Access Hospital"/>
    <s v="Greensburg"/>
    <n v="4.3"/>
    <n v="0.1"/>
    <n v="17"/>
    <n v="25"/>
    <m/>
    <n v="0.24"/>
    <n v="25"/>
    <n v="0.88"/>
    <n v="5178"/>
    <n v="66"/>
  </r>
  <r>
    <x v="446"/>
    <n v="191305"/>
    <s v="LA"/>
    <s v="LA - Saint James"/>
    <n v="70071"/>
    <s v="St James Parish Hospital"/>
    <s v="Critical Access Hospital"/>
    <s v="Lutcher"/>
    <n v="8.1999999999999993"/>
    <n v="3.7"/>
    <n v="41"/>
    <n v="25"/>
    <m/>
    <n v="0.15"/>
    <n v="25"/>
    <n v="1.0900000000000001"/>
    <n v="1810"/>
    <n v="365"/>
  </r>
  <r>
    <x v="447"/>
    <n v="191302"/>
    <s v="LA"/>
    <s v="LA - Saint Martin"/>
    <n v="70517"/>
    <s v="St Martin Hospital"/>
    <s v="Critical Access Hospital"/>
    <s v="Breaux Bridge"/>
    <n v="13.3"/>
    <n v="3.4"/>
    <n v="35"/>
    <n v="25"/>
    <m/>
    <n v="0.2"/>
    <n v="25"/>
    <n v="1.23"/>
    <n v="5786"/>
    <n v="232"/>
  </r>
  <r>
    <x v="448"/>
    <n v="191310"/>
    <s v="LA"/>
    <s v="LA - Saint Mary"/>
    <n v="70538"/>
    <s v="Franklin Foundation Hospital"/>
    <s v="Critical Access Hospital"/>
    <s v="Franklin"/>
    <n v="9.4"/>
    <n v="0"/>
    <n v="40"/>
    <n v="25"/>
    <n v="5"/>
    <n v="0.53"/>
    <n v="22"/>
    <n v="1.27"/>
    <n v="4960"/>
    <n v="443"/>
  </r>
  <r>
    <x v="449"/>
    <n v="191321"/>
    <s v="LA"/>
    <s v="LA - Tangipahoa"/>
    <n v="70443"/>
    <s v="Lallie Kemp Regional Medical Center (AKA LSU Health)"/>
    <s v="Critical Access Hospital"/>
    <s v="Independence"/>
    <n v="4.7"/>
    <n v="3.5"/>
    <n v="33"/>
    <n v="24"/>
    <n v="4"/>
    <n v="0.6"/>
    <n v="24"/>
    <n v="1.04"/>
    <n v="1823"/>
    <n v="473"/>
  </r>
  <r>
    <x v="449"/>
    <n v="191309"/>
    <s v="LA"/>
    <s v="LA - Tangipahoa"/>
    <n v="70422"/>
    <s v="Hood Memorial Hospital"/>
    <s v="Critical Access Hospital"/>
    <s v="Amite"/>
    <n v="15.1"/>
    <n v="3.2"/>
    <n v="32"/>
    <n v="25"/>
    <m/>
    <n v="0.6"/>
    <n v="25"/>
    <n v="0.87"/>
    <n v="4962"/>
    <n v="128"/>
  </r>
  <r>
    <x v="450"/>
    <n v="191326"/>
    <s v="LA"/>
    <s v="LA - Union"/>
    <n v="71222"/>
    <s v="Reeves Memorial Medical Center"/>
    <s v="Critical Access Hospital"/>
    <s v="Bernice"/>
    <n v="5.2"/>
    <n v="3.7"/>
    <n v="5"/>
    <n v="15"/>
    <m/>
    <n v="0.26"/>
    <n v="15"/>
    <n v="0.94"/>
    <n v="1828"/>
    <n v="135"/>
  </r>
  <r>
    <x v="450"/>
    <n v="191301"/>
    <s v="LA"/>
    <s v="LA - Union"/>
    <n v="71241"/>
    <s v="Union General Hospital"/>
    <s v="Critical Access Hospital"/>
    <s v="Farmerville"/>
    <n v="4.5999999999999996"/>
    <n v="3.3"/>
    <n v="18"/>
    <n v="20"/>
    <m/>
    <n v="0.26"/>
    <n v="20"/>
    <n v="0.93"/>
    <n v="5944"/>
    <n v="235"/>
  </r>
  <r>
    <x v="451"/>
    <n v="191322"/>
    <s v="LA"/>
    <s v="LA - Vermilion"/>
    <n v="70548"/>
    <s v="Abrom Kaplan Memorial Hospital"/>
    <s v="Critical Access Hospital"/>
    <s v="Kaplan"/>
    <n v="7.8"/>
    <n v="3.4"/>
    <n v="15"/>
    <n v="25"/>
    <m/>
    <n v="0.2"/>
    <n v="25"/>
    <n v="1.1499999999999999"/>
    <n v="1829"/>
    <n v="220"/>
  </r>
  <r>
    <x v="452"/>
    <n v="191313"/>
    <s v="LA"/>
    <s v="LA - Washington"/>
    <n v="70438"/>
    <s v="Riverside Medical Center"/>
    <s v="Critical Access Hospital"/>
    <s v="Franklinton"/>
    <n v="4.4000000000000004"/>
    <n v="0"/>
    <n v="45"/>
    <n v="25"/>
    <n v="5"/>
    <n v="0.67"/>
    <n v="25"/>
    <n v="1.19"/>
    <n v="5516"/>
    <n v="319"/>
  </r>
  <r>
    <x v="453"/>
    <n v="191306"/>
    <s v="LA"/>
    <s v="LA - West Feliciana"/>
    <n v="70775"/>
    <s v="West Feliciana Parish Hospital"/>
    <s v="Critical Access Hospital"/>
    <s v="Saint Francisville"/>
    <n v="1.8"/>
    <n v="3"/>
    <n v="22"/>
    <n v="25"/>
    <m/>
    <n v="0.24"/>
    <n v="25"/>
    <n v="1.24"/>
    <n v="1837"/>
    <n v="75"/>
  </r>
  <r>
    <x v="454"/>
    <n v="201308"/>
    <s v="ME"/>
    <s v="ME - Aroostook"/>
    <s v="04730"/>
    <s v="Houlton Regional Hospital"/>
    <s v="Critical Access Hospital"/>
    <s v="Houlton"/>
    <n v="17.3"/>
    <n v="3.5"/>
    <n v="66"/>
    <n v="25"/>
    <m/>
    <m/>
    <n v="25"/>
    <n v="1.06"/>
    <n v="1844"/>
    <n v="1101"/>
  </r>
  <r>
    <x v="455"/>
    <n v="201310"/>
    <s v="ME"/>
    <s v="ME - Cumberland"/>
    <s v="04009"/>
    <s v="Bridgton Hospital"/>
    <s v="Critical Access Hospital"/>
    <s v="Bridgton"/>
    <n v="10"/>
    <n v="3.1"/>
    <n v="48"/>
    <n v="25"/>
    <m/>
    <n v="0.4"/>
    <n v="25"/>
    <n v="1.23"/>
    <n v="1845"/>
    <n v="645"/>
  </r>
  <r>
    <x v="456"/>
    <n v="201300"/>
    <s v="ME"/>
    <s v="ME - Hancock"/>
    <s v="04614"/>
    <s v="Northern Light Blue Hill Hospital"/>
    <s v="Critical Access Hospital"/>
    <s v="Blue Hill"/>
    <n v="8.6999999999999993"/>
    <n v="3.4"/>
    <n v="39"/>
    <n v="25"/>
    <m/>
    <m/>
    <n v="25"/>
    <n v="0.93"/>
    <n v="1851"/>
    <n v="390"/>
  </r>
  <r>
    <x v="456"/>
    <n v="201304"/>
    <s v="ME"/>
    <s v="ME - Hancock"/>
    <s v="04609"/>
    <s v="Mount Desert Island Hospital"/>
    <s v="Critical Access Hospital"/>
    <s v="Bar Harbor"/>
    <n v="9.8000000000000007"/>
    <n v="3.3"/>
    <n v="69"/>
    <n v="25"/>
    <m/>
    <m/>
    <n v="25"/>
    <n v="1.1599999999999999"/>
    <n v="1852"/>
    <n v="796"/>
  </r>
  <r>
    <x v="457"/>
    <s v="201302 (Closed)"/>
    <s v="ME"/>
    <s v="ME - Lincoln"/>
    <s v="04538"/>
    <s v="St Andrews Campus of LincolnHealth (Closed for Inpatient Services)"/>
    <s v="Critical Access Hospital"/>
    <s v="Boothbay Harbor"/>
    <n v="18.899999999999999"/>
    <n v="3"/>
    <m/>
    <m/>
    <m/>
    <m/>
    <m/>
    <n v="1.19"/>
    <n v="1857"/>
    <n v="1520"/>
  </r>
  <r>
    <x v="458"/>
    <n v="201315"/>
    <s v="ME"/>
    <s v="ME - Oxford"/>
    <s v="04268"/>
    <s v="Stephens Memorial Hospital"/>
    <s v="Critical Access Hospital"/>
    <s v="Norway"/>
    <n v="12.1"/>
    <n v="2"/>
    <n v="78"/>
    <n v="25"/>
    <n v="4"/>
    <m/>
    <n v="25"/>
    <n v="1.31"/>
    <n v="1859"/>
    <n v="1772"/>
  </r>
  <r>
    <x v="458"/>
    <n v="201306"/>
    <s v="ME"/>
    <s v="ME - Oxford"/>
    <s v="04276"/>
    <s v="Rumford Hospital"/>
    <s v="Critical Access Hospital"/>
    <s v="Rumford"/>
    <n v="9.6999999999999993"/>
    <n v="2.4"/>
    <n v="28"/>
    <n v="25"/>
    <m/>
    <m/>
    <n v="25"/>
    <n v="1.18"/>
    <n v="1860"/>
    <n v="816"/>
  </r>
  <r>
    <x v="459"/>
    <n v="201307"/>
    <s v="ME"/>
    <s v="ME - Penobscot"/>
    <s v="04462"/>
    <s v="Millinocket Regional Hospital"/>
    <s v="Critical Access Hospital"/>
    <s v="Millinocket"/>
    <n v="6.7"/>
    <n v="3.4"/>
    <n v="37"/>
    <n v="25"/>
    <m/>
    <n v="0.7"/>
    <n v="25"/>
    <n v="1.1299999999999999"/>
    <n v="1861"/>
    <n v="570"/>
  </r>
  <r>
    <x v="459"/>
    <n v="201303"/>
    <s v="ME"/>
    <s v="ME - Penobscot"/>
    <s v="04457"/>
    <s v="Penobscot Valley Hospital"/>
    <s v="Critical Access Hospital"/>
    <s v="Lincoln"/>
    <n v="3.8"/>
    <n v="3"/>
    <n v="30"/>
    <n v="25"/>
    <m/>
    <n v="0.7"/>
    <n v="25"/>
    <n v="1.04"/>
    <n v="1863"/>
    <n v="268"/>
  </r>
  <r>
    <x v="460"/>
    <n v="201301"/>
    <s v="ME"/>
    <s v="ME - Piscataquis"/>
    <s v="04442"/>
    <s v="Northern Light CA Dean Hospital"/>
    <s v="Critical Access Hospital"/>
    <s v="Greenville Junction"/>
    <n v="16.8"/>
    <n v="3"/>
    <n v="16"/>
    <n v="25"/>
    <m/>
    <m/>
    <n v="25"/>
    <n v="1"/>
    <n v="1865"/>
    <n v="120"/>
  </r>
  <r>
    <x v="460"/>
    <n v="201309"/>
    <s v="ME"/>
    <s v="ME - Piscataquis"/>
    <s v="04426"/>
    <s v="Northern Light Mayo Hospital (FKA Mayo Regional Hospital)"/>
    <s v="Critical Access Hospital"/>
    <s v="Dover Foxcroft"/>
    <n v="11.6"/>
    <n v="3.2"/>
    <n v="69"/>
    <n v="25"/>
    <m/>
    <m/>
    <n v="25"/>
    <n v="1.04"/>
    <n v="1866"/>
    <n v="1160"/>
  </r>
  <r>
    <x v="461"/>
    <n v="201313"/>
    <s v="ME"/>
    <s v="ME - Somerset"/>
    <s v="04967"/>
    <s v="Northern Light Sebasticook Valley Hospital"/>
    <s v="Critical Access Hospital"/>
    <s v="Pittsfield"/>
    <n v="9.8000000000000007"/>
    <n v="5.2"/>
    <n v="42"/>
    <n v="25"/>
    <m/>
    <m/>
    <n v="25"/>
    <n v="1.1100000000000001"/>
    <n v="1867"/>
    <n v="629"/>
  </r>
  <r>
    <x v="461"/>
    <n v="201314"/>
    <s v="ME"/>
    <s v="ME - Somerset"/>
    <s v="04976"/>
    <s v="Redington-Fairview General Hospital"/>
    <s v="Critical Access Hospital"/>
    <s v="Skowhegan"/>
    <n v="12.7"/>
    <n v="3.4"/>
    <n v="114"/>
    <n v="25"/>
    <n v="4"/>
    <m/>
    <n v="25"/>
    <n v="1.2"/>
    <n v="1868"/>
    <n v="1245"/>
  </r>
  <r>
    <x v="462"/>
    <n v="201312"/>
    <s v="ME"/>
    <s v="ME - Waldo"/>
    <s v="04915"/>
    <s v="Waldo County General Hospital"/>
    <s v="Critical Access Hospital"/>
    <s v="Belfast"/>
    <n v="17.899999999999999"/>
    <n v="3"/>
    <n v="104"/>
    <n v="25"/>
    <n v="4"/>
    <m/>
    <n v="25"/>
    <n v="1.29"/>
    <n v="1869"/>
    <n v="1249"/>
  </r>
  <r>
    <x v="463"/>
    <n v="201311"/>
    <s v="ME"/>
    <s v="ME - Washington"/>
    <s v="04654"/>
    <s v="Down East Community Hospital"/>
    <s v="Critical Access Hospital"/>
    <s v="Machias"/>
    <n v="9"/>
    <n v="3.2"/>
    <n v="55"/>
    <n v="25"/>
    <m/>
    <m/>
    <n v="25"/>
    <n v="1.2"/>
    <n v="1870"/>
    <n v="831"/>
  </r>
  <r>
    <x v="463"/>
    <n v="201305"/>
    <s v="ME"/>
    <s v="ME - Washington"/>
    <s v="04619"/>
    <s v="Calais Regional Hospital"/>
    <s v="Critical Access Hospital"/>
    <s v="Calais"/>
    <n v="8.8000000000000007"/>
    <n v="3.2"/>
    <n v="41"/>
    <n v="25"/>
    <m/>
    <m/>
    <n v="25"/>
    <n v="1.04"/>
    <n v="1871"/>
    <n v="497"/>
  </r>
  <r>
    <x v="464"/>
    <n v="221302"/>
    <s v="MA"/>
    <s v="MA - Berkshire"/>
    <s v="01230"/>
    <s v="Fairview Hospital"/>
    <s v="Critical Access Hospital"/>
    <s v="Great Barrington"/>
    <n v="7.9"/>
    <n v="3.2"/>
    <n v="82"/>
    <n v="24"/>
    <n v="4"/>
    <n v="0.68"/>
    <n v="24"/>
    <n v="1.32"/>
    <n v="1923"/>
    <n v="836"/>
  </r>
  <r>
    <x v="465"/>
    <n v="221300"/>
    <s v="MA"/>
    <s v="MA - Dukes"/>
    <s v="02557"/>
    <s v="Marthas Vineyard Hospital"/>
    <s v="Critical Access Hospital"/>
    <s v="Oak Bluffs"/>
    <n v="13.7"/>
    <n v="3.2"/>
    <n v="81"/>
    <n v="25"/>
    <m/>
    <n v="1"/>
    <n v="25"/>
    <n v="1.23"/>
    <n v="1930"/>
    <n v="981"/>
  </r>
  <r>
    <x v="466"/>
    <n v="221303"/>
    <s v="MA"/>
    <s v="MA - Worcester"/>
    <s v="01331"/>
    <s v="Athol Hospital (FKA Athol Memorial Hospital)"/>
    <s v="Critical Access Hospital"/>
    <s v="Athol"/>
    <n v="9.1999999999999993"/>
    <n v="2.4"/>
    <n v="41"/>
    <n v="25"/>
    <m/>
    <n v="0.3"/>
    <n v="25"/>
    <n v="1.06"/>
    <n v="1980"/>
    <n v="496"/>
  </r>
  <r>
    <x v="467"/>
    <n v="231308"/>
    <s v="MI"/>
    <s v="MI - Alger"/>
    <n v="49862"/>
    <s v="Munising Memorial Hospital"/>
    <s v="Critical Access Hospital"/>
    <s v="Munising"/>
    <n v="1.2"/>
    <n v="46.7"/>
    <n v="13"/>
    <n v="11"/>
    <m/>
    <m/>
    <n v="11"/>
    <n v="0.97"/>
    <n v="5046"/>
    <n v="86"/>
  </r>
  <r>
    <x v="468"/>
    <n v="231328"/>
    <s v="MI"/>
    <s v="MI - Allegan"/>
    <n v="49010"/>
    <s v="Allegan General Hospital"/>
    <s v="Critical Access Hospital"/>
    <s v="Allegan"/>
    <n v="6.2"/>
    <n v="3.4"/>
    <n v="56"/>
    <n v="25"/>
    <m/>
    <n v="1"/>
    <n v="25"/>
    <n v="1.19"/>
    <n v="1989"/>
    <n v="672"/>
  </r>
  <r>
    <x v="469"/>
    <n v="231305"/>
    <s v="MI"/>
    <s v="MI - Arenac"/>
    <n v="48658"/>
    <s v="Ascension Standish Hospital (FKA Ascension St Marys of Michigan Standish Hospital)"/>
    <s v="Critical Access Hospital"/>
    <s v="Standish"/>
    <n v="4.0999999999999996"/>
    <n v="2.4"/>
    <n v="28"/>
    <n v="25"/>
    <n v="5"/>
    <m/>
    <n v="25"/>
    <n v="1.1100000000000001"/>
    <n v="1991"/>
    <n v="595"/>
  </r>
  <r>
    <x v="470"/>
    <n v="231307"/>
    <s v="MI"/>
    <s v="MI - Baraga"/>
    <n v="49946"/>
    <s v="Baraga County Memorial Hospital"/>
    <s v="Critical Access Hospital"/>
    <s v="Lanse"/>
    <n v="4.5999999999999996"/>
    <n v="4.4000000000000004"/>
    <n v="22"/>
    <n v="24"/>
    <m/>
    <m/>
    <n v="15"/>
    <n v="1.06"/>
    <n v="6190"/>
    <n v="331"/>
  </r>
  <r>
    <x v="471"/>
    <m/>
    <s v="MI"/>
    <s v="MI - Barry"/>
    <n v="49058"/>
    <s v="Spectrum Health Pennock"/>
    <s v="Critical Access Hospital"/>
    <s v="Hastings"/>
    <n v="13.1"/>
    <n v="3.3"/>
    <n v="108"/>
    <n v="25"/>
    <n v="6"/>
    <m/>
    <n v="25"/>
    <n v="1.37"/>
    <n v="1992"/>
    <n v="1878"/>
  </r>
  <r>
    <x v="472"/>
    <n v="231300"/>
    <s v="MI"/>
    <s v="MI - Benzie"/>
    <n v="49635"/>
    <s v="Munson Healthcare Paul Oliver Memorial Hospital"/>
    <s v="Critical Access Hospital"/>
    <s v="Frankfort"/>
    <n v="0.1"/>
    <n v="5"/>
    <n v="20"/>
    <n v="8"/>
    <m/>
    <n v="0.83"/>
    <n v="8"/>
    <n v="0.79"/>
    <n v="1994"/>
    <n v="1"/>
  </r>
  <r>
    <x v="473"/>
    <n v="231315"/>
    <s v="MI"/>
    <s v="MI - Cass"/>
    <n v="49047"/>
    <s v="Ascension Borgess-Lee Hospital"/>
    <s v="Critical Access Hospital"/>
    <s v="Dowagiac"/>
    <n v="2.5"/>
    <n v="2.1"/>
    <n v="38"/>
    <n v="25"/>
    <m/>
    <n v="0.46"/>
    <n v="25"/>
    <n v="1.29"/>
    <n v="2001"/>
    <n v="303"/>
  </r>
  <r>
    <x v="474"/>
    <n v="231322"/>
    <s v="MI"/>
    <s v="MI - Charlevoix"/>
    <n v="49720"/>
    <s v="Munson Healthcare Charlevoix Hospital (FKA Charlevoix Area Hospital)"/>
    <s v="Critical Access Hospital"/>
    <s v="Charlevoix"/>
    <n v="6.2"/>
    <n v="2.1"/>
    <n v="59"/>
    <n v="25"/>
    <m/>
    <m/>
    <n v="25"/>
    <n v="1.66"/>
    <n v="5397"/>
    <n v="1096"/>
  </r>
  <r>
    <x v="475"/>
    <s v="231336 (Closed)"/>
    <s v="MI"/>
    <s v="MI - Cheboygan"/>
    <n v="49721"/>
    <s v="McLaren - Northern Michigan Cheboygan Campus (Closed - No Longer Offering Inpatient Services)"/>
    <s v="Critical Access Hospital"/>
    <s v="Cheboygan"/>
    <n v="8.4"/>
    <n v="2.2999999999999998"/>
    <m/>
    <m/>
    <m/>
    <m/>
    <m/>
    <m/>
    <n v="2002"/>
    <n v="1384"/>
  </r>
  <r>
    <x v="476"/>
    <n v="231326"/>
    <s v="MI"/>
    <s v="MI - Clinton"/>
    <n v="48879"/>
    <s v="Sparrow Clinton Hospital"/>
    <s v="Critical Access Hospital"/>
    <s v="Saint Johns"/>
    <n v="7.1"/>
    <n v="3.3"/>
    <n v="35"/>
    <n v="25"/>
    <n v="2"/>
    <n v="0.36"/>
    <n v="25"/>
    <n v="1.17"/>
    <n v="2005"/>
    <n v="787"/>
  </r>
  <r>
    <x v="477"/>
    <n v="231337"/>
    <s v="MI"/>
    <s v="MI - Delta"/>
    <n v="49829"/>
    <s v="OSF St Francis Hospital"/>
    <s v="Critical Access Hospital"/>
    <s v="Escanaba"/>
    <n v="9.6999999999999993"/>
    <n v="1.6"/>
    <n v="98"/>
    <n v="25"/>
    <n v="9"/>
    <n v="1"/>
    <n v="25"/>
    <n v="1.27"/>
    <n v="2007"/>
    <n v="2264"/>
  </r>
  <r>
    <x v="478"/>
    <n v="231327"/>
    <s v="MI"/>
    <s v="MI - Eaton"/>
    <n v="48813"/>
    <s v="Sparrow Eaton Hospital (FKA Hayes Green Beach Memorial Hospital)"/>
    <s v="Critical Access Hospital"/>
    <s v="Charlotte"/>
    <n v="5.2"/>
    <n v="1.6"/>
    <n v="56"/>
    <n v="25"/>
    <m/>
    <n v="0.36"/>
    <n v="25"/>
    <n v="1.07"/>
    <n v="2010"/>
    <n v="725"/>
  </r>
  <r>
    <x v="478"/>
    <n v="231324"/>
    <s v="MI"/>
    <s v="MI - Eaton"/>
    <n v="48827"/>
    <s v="Eaton Rapids Medical Center"/>
    <s v="Critical Access Hospital"/>
    <s v="Eaton Rapids"/>
    <n v="4.3"/>
    <n v="2.1"/>
    <n v="42"/>
    <n v="20"/>
    <m/>
    <n v="0.36"/>
    <n v="20"/>
    <n v="1.18"/>
    <n v="2011"/>
    <n v="367"/>
  </r>
  <r>
    <x v="479"/>
    <n v="231325"/>
    <s v="MI"/>
    <s v="MI - Gladwin"/>
    <n v="48624"/>
    <s v="MidMichigan Medical Center - Gladwin"/>
    <s v="Critical Access Hospital"/>
    <s v="Gladwin"/>
    <n v="3.1"/>
    <n v="2.5"/>
    <n v="43"/>
    <n v="25"/>
    <m/>
    <m/>
    <n v="25"/>
    <n v="1.1399999999999999"/>
    <n v="2016"/>
    <n v="442"/>
  </r>
  <r>
    <x v="480"/>
    <n v="231333"/>
    <s v="MI"/>
    <s v="MI - Gogebic"/>
    <n v="49938"/>
    <s v="Aspirus Ironwood Hospital"/>
    <s v="Critical Access Hospital"/>
    <s v="Ironwood"/>
    <n v="9"/>
    <n v="3.5"/>
    <n v="71"/>
    <n v="25"/>
    <n v="5"/>
    <m/>
    <n v="25"/>
    <n v="1.3"/>
    <n v="2017"/>
    <n v="868"/>
  </r>
  <r>
    <x v="481"/>
    <n v="231319"/>
    <s v="MI"/>
    <s v="MI - Houghton"/>
    <n v="49913"/>
    <s v="Aspirus Keweenaw Hospital"/>
    <s v="Critical Access Hospital"/>
    <s v="Laurium"/>
    <n v="8.9"/>
    <n v="2.8"/>
    <n v="63"/>
    <n v="25"/>
    <n v="5"/>
    <n v="0.5"/>
    <n v="25"/>
    <n v="1.41"/>
    <n v="5791"/>
    <n v="1125"/>
  </r>
  <r>
    <x v="482"/>
    <n v="231313"/>
    <s v="MI"/>
    <s v="MI - Huron"/>
    <n v="48441"/>
    <s v="Harbor Beach Community Hospital"/>
    <s v="Critical Access Hospital"/>
    <s v="Harbor Beach"/>
    <n v="1.2"/>
    <n v="2.7"/>
    <n v="11"/>
    <n v="15"/>
    <m/>
    <m/>
    <n v="15"/>
    <n v="1.2"/>
    <n v="2023"/>
    <n v="96"/>
  </r>
  <r>
    <x v="482"/>
    <n v="231310"/>
    <s v="MI"/>
    <s v="MI - Huron"/>
    <n v="48755"/>
    <s v="Scheurer Hospital"/>
    <s v="Critical Access Hospital"/>
    <s v="Pigeon"/>
    <n v="5.9"/>
    <n v="2.7"/>
    <n v="38"/>
    <n v="25"/>
    <m/>
    <m/>
    <n v="25"/>
    <n v="1.27"/>
    <n v="5381"/>
    <n v="305"/>
  </r>
  <r>
    <x v="483"/>
    <n v="231331"/>
    <s v="MI"/>
    <s v="MI - Ionia"/>
    <n v="48846"/>
    <s v="Sparrow Ionia Hospital (AKA Sparrow Ionia County Memorial Hospital)"/>
    <s v="Critical Access Hospital"/>
    <s v="Ionia"/>
    <n v="6.3"/>
    <n v="3"/>
    <n v="50"/>
    <n v="22"/>
    <n v="2"/>
    <n v="0.41"/>
    <n v="22"/>
    <n v="1.23"/>
    <n v="2026"/>
    <n v="779"/>
  </r>
  <r>
    <x v="484"/>
    <n v="231318"/>
    <s v="MI"/>
    <s v="MI - Iron"/>
    <n v="49935"/>
    <s v="Aspirus Iron River Hospital"/>
    <s v="Critical Access Hospital"/>
    <s v="Iron River"/>
    <n v="6.2"/>
    <n v="3.4"/>
    <n v="47"/>
    <n v="25"/>
    <n v="3"/>
    <m/>
    <n v="25"/>
    <n v="1.27"/>
    <n v="2028"/>
    <n v="597"/>
  </r>
  <r>
    <x v="485"/>
    <n v="231301"/>
    <s v="MI"/>
    <s v="MI - Kalkaska"/>
    <n v="49646"/>
    <s v="Kalkaska Memorial Health Center"/>
    <s v="Critical Access Hospital"/>
    <s v="Kalkaska"/>
    <n v="1.5"/>
    <n v="2.6"/>
    <n v="41"/>
    <n v="8"/>
    <m/>
    <n v="0.83"/>
    <n v="8"/>
    <n v="0.94"/>
    <n v="5823"/>
    <n v="161"/>
  </r>
  <r>
    <x v="486"/>
    <n v="231334"/>
    <s v="MI"/>
    <s v="MI - Lenawee"/>
    <n v="49286"/>
    <s v="ProMedica Herrick Hospital (Closing Late August 2020)"/>
    <s v="Critical Access Hospital"/>
    <s v="Tecumseh"/>
    <n v="0.5"/>
    <n v="2.2000000000000002"/>
    <n v="18"/>
    <n v="25"/>
    <m/>
    <n v="0.63"/>
    <n v="25"/>
    <n v="1.07"/>
    <n v="2039"/>
    <n v="85"/>
  </r>
  <r>
    <x v="487"/>
    <n v="231304"/>
    <s v="MI"/>
    <s v="MI - Luce"/>
    <n v="49868"/>
    <s v="Helen Newberry Joy Hospital"/>
    <s v="Critical Access Hospital"/>
    <s v="Newberry"/>
    <n v="4.8"/>
    <n v="3"/>
    <n v="27"/>
    <n v="25"/>
    <m/>
    <m/>
    <n v="25"/>
    <n v="1.08"/>
    <n v="4950"/>
    <n v="325"/>
  </r>
  <r>
    <x v="488"/>
    <n v="231306"/>
    <s v="MI"/>
    <s v="MI - Mackinac"/>
    <n v="49781"/>
    <s v="Mackinac Straits Health System"/>
    <s v="Critical Access Hospital"/>
    <s v="Saint Ignace"/>
    <n v="5.9"/>
    <n v="2.8"/>
    <n v="34"/>
    <n v="15"/>
    <m/>
    <m/>
    <n v="15"/>
    <n v="0.95"/>
    <n v="5043"/>
    <n v="254"/>
  </r>
  <r>
    <x v="489"/>
    <n v="231321"/>
    <s v="MI"/>
    <s v="MI - Marquette"/>
    <n v="49849"/>
    <s v="UP Health System - Bell"/>
    <s v="Critical Access Hospital"/>
    <s v="Ishpeming"/>
    <n v="5.9"/>
    <n v="2.2000000000000002"/>
    <n v="65"/>
    <n v="25"/>
    <m/>
    <n v="0.78"/>
    <n v="25"/>
    <n v="1.29"/>
    <n v="4943"/>
    <n v="972"/>
  </r>
  <r>
    <x v="490"/>
    <n v="231317"/>
    <s v="MI"/>
    <s v="MI - Montcalm"/>
    <n v="48850"/>
    <s v="Spectrum Health Kelsey Hospital"/>
    <s v="Critical Access Hospital"/>
    <s v="Lakeview"/>
    <n v="2.4"/>
    <n v="1"/>
    <n v="22"/>
    <n v="12"/>
    <m/>
    <n v="0.41"/>
    <n v="12"/>
    <n v="0.73"/>
    <n v="2037"/>
    <n v="1"/>
  </r>
  <r>
    <x v="491"/>
    <n v="231338"/>
    <s v="MI"/>
    <s v="MI - Newaygo"/>
    <n v="49412"/>
    <s v="Spectrum Health Gerber Memorial"/>
    <s v="Critical Access Hospital"/>
    <s v="Fremont"/>
    <n v="11.1"/>
    <n v="2"/>
    <n v="108"/>
    <n v="25"/>
    <n v="9"/>
    <m/>
    <n v="25"/>
    <n v="1.33"/>
    <n v="2058"/>
    <n v="2048"/>
  </r>
  <r>
    <x v="492"/>
    <n v="231320"/>
    <s v="MI"/>
    <s v="MI - Oceana"/>
    <n v="49455"/>
    <s v="Mercy Health Lakeshore Campus"/>
    <s v="Critical Access Hospital"/>
    <s v="Shelby"/>
    <n v="2.6"/>
    <n v="4"/>
    <n v="36"/>
    <n v="24"/>
    <m/>
    <m/>
    <n v="24"/>
    <n v="1.22"/>
    <n v="5171"/>
    <n v="317"/>
  </r>
  <r>
    <x v="493"/>
    <n v="231309"/>
    <s v="MI"/>
    <s v="MI - Ontonagon"/>
    <n v="49953"/>
    <s v="Aspirus Ontonagon Hospital"/>
    <s v="Critical Access Hospital"/>
    <s v="Ontonagon"/>
    <n v="1.4"/>
    <n v="2.9"/>
    <n v="13"/>
    <n v="25"/>
    <m/>
    <m/>
    <n v="25"/>
    <n v="1.23"/>
    <n v="5177"/>
    <n v="156"/>
  </r>
  <r>
    <x v="494"/>
    <n v="231323"/>
    <s v="MI"/>
    <s v="MI - Osceola"/>
    <n v="49677"/>
    <s v="Spectrum Health Reed City Hospital"/>
    <s v="Critical Access Hospital"/>
    <s v="Reed City"/>
    <n v="4.2"/>
    <n v="2.4"/>
    <n v="50"/>
    <n v="25"/>
    <n v="4"/>
    <m/>
    <n v="25"/>
    <n v="1.19"/>
    <n v="2071"/>
    <n v="162"/>
  </r>
  <r>
    <x v="495"/>
    <n v="231314"/>
    <s v="MI"/>
    <s v="MI - Sanilac"/>
    <n v="48471"/>
    <s v="McKenzie Memorial Hospital"/>
    <s v="Critical Access Hospital"/>
    <s v="Sandusky"/>
    <n v="2.8"/>
    <n v="3.1"/>
    <n v="33"/>
    <n v="25"/>
    <m/>
    <m/>
    <n v="25"/>
    <n v="1.1100000000000001"/>
    <n v="2086"/>
    <n v="124"/>
  </r>
  <r>
    <x v="495"/>
    <n v="231311"/>
    <s v="MI"/>
    <s v="MI - Sanilac"/>
    <n v="48427"/>
    <s v="Deckerville Community Hospital"/>
    <s v="Critical Access Hospital"/>
    <s v="Deckerville"/>
    <n v="0.9"/>
    <n v="2.6"/>
    <n v="11"/>
    <n v="15"/>
    <m/>
    <m/>
    <n v="15"/>
    <n v="1.36"/>
    <n v="2087"/>
    <n v="49"/>
  </r>
  <r>
    <x v="495"/>
    <n v="231330"/>
    <s v="MI"/>
    <s v="MI - Sanilac"/>
    <n v="48453"/>
    <s v="Marlette Regional Hospital"/>
    <s v="Critical Access Hospital"/>
    <s v="Marlette"/>
    <n v="6"/>
    <n v="3.2"/>
    <n v="38"/>
    <n v="25"/>
    <m/>
    <m/>
    <n v="25"/>
    <n v="1.08"/>
    <n v="2088"/>
    <n v="281"/>
  </r>
  <r>
    <x v="496"/>
    <n v="231303"/>
    <s v="MI"/>
    <s v="MI - Schoolcraft"/>
    <n v="49854"/>
    <s v="Schoolcraft Memorial Hospital"/>
    <s v="Critical Access Hospital"/>
    <s v="Manistique"/>
    <n v="4.7"/>
    <n v="2.9"/>
    <n v="42"/>
    <n v="12"/>
    <m/>
    <m/>
    <n v="12"/>
    <n v="1.17"/>
    <n v="2089"/>
    <n v="394"/>
  </r>
  <r>
    <x v="497"/>
    <n v="231312"/>
    <s v="MI"/>
    <s v="MI - Shiawassee"/>
    <n v="48817"/>
    <s v="Sheridan Community Hospital"/>
    <s v="Critical Access Hospital"/>
    <s v="Sheridan"/>
    <n v="1.9"/>
    <n v="7.2"/>
    <n v="11"/>
    <n v="22"/>
    <m/>
    <n v="0.36"/>
    <n v="22"/>
    <n v="1.21"/>
    <n v="5650"/>
    <n v="103"/>
  </r>
  <r>
    <x v="498"/>
    <n v="231316"/>
    <s v="MI"/>
    <s v="MI - Tuscola"/>
    <n v="48726"/>
    <s v="Hills &amp; Dales General Hospital"/>
    <s v="Critical Access Hospital"/>
    <s v="Cass City"/>
    <n v="5.4"/>
    <n v="2.8"/>
    <n v="35"/>
    <n v="25"/>
    <m/>
    <m/>
    <n v="25"/>
    <n v="1.08"/>
    <n v="2091"/>
    <n v="330"/>
  </r>
  <r>
    <x v="498"/>
    <n v="231329"/>
    <s v="MI"/>
    <s v="MI - Tuscola"/>
    <n v="48723"/>
    <s v="McLaren Caro Region (FKA Caro Community Hospital)"/>
    <s v="Critical Access Hospital"/>
    <s v="Caro"/>
    <n v="0.4"/>
    <n v="1.9"/>
    <n v="38"/>
    <n v="25"/>
    <m/>
    <m/>
    <n v="25"/>
    <n v="1.03"/>
    <n v="2092"/>
    <n v="75"/>
  </r>
  <r>
    <x v="499"/>
    <n v="231332"/>
    <s v="MI"/>
    <s v="MI - Van Buren"/>
    <n v="49079"/>
    <s v="Bronson LakeView Hospital"/>
    <s v="Critical Access Hospital"/>
    <s v="Paw Paw"/>
    <n v="3.8"/>
    <n v="3.2"/>
    <n v="52"/>
    <n v="25"/>
    <m/>
    <m/>
    <n v="25"/>
    <n v="1.19"/>
    <n v="2093"/>
    <n v="530"/>
  </r>
  <r>
    <x v="500"/>
    <n v="241305"/>
    <s v="MN"/>
    <s v="MN - Aitkin"/>
    <n v="56431"/>
    <s v="Riverwood Healthcare Center Aitkin Hospital"/>
    <s v="Critical Access Hospital"/>
    <s v="Aitkin"/>
    <n v="9.4"/>
    <n v="3.7"/>
    <n v="45"/>
    <n v="25"/>
    <n v="4"/>
    <m/>
    <n v="25"/>
    <n v="1.31"/>
    <n v="2118"/>
    <n v="1050"/>
  </r>
  <r>
    <x v="501"/>
    <n v="241321"/>
    <s v="MN"/>
    <s v="MN - Big Stone"/>
    <n v="56240"/>
    <s v="Essentia Health - Holy Trinity Hospital"/>
    <s v="Critical Access Hospital"/>
    <s v="Graceville"/>
    <n v="1.1000000000000001"/>
    <n v="2.1"/>
    <n v="8"/>
    <n v="15"/>
    <m/>
    <m/>
    <n v="15"/>
    <n v="1.18"/>
    <n v="2124"/>
    <n v="75"/>
  </r>
  <r>
    <x v="501"/>
    <n v="241342"/>
    <s v="MN"/>
    <s v="MN - Big Stone"/>
    <n v="56278"/>
    <s v="Ortonville Area Health Services"/>
    <s v="Critical Access Hospital"/>
    <s v="Ortonville"/>
    <n v="3.7"/>
    <n v="2.5"/>
    <n v="17"/>
    <n v="25"/>
    <m/>
    <m/>
    <n v="25"/>
    <n v="0.97"/>
    <n v="2125"/>
    <n v="325"/>
  </r>
  <r>
    <x v="502"/>
    <s v="241352 (Closed)"/>
    <s v="MN"/>
    <s v="MN - Brown"/>
    <n v="56087"/>
    <s v="Mayo Clinic Hospital - Springfield (Closed)"/>
    <s v="Critical Access Hospital"/>
    <s v="Springfield"/>
    <n v="3.4"/>
    <n v="2.9"/>
    <m/>
    <m/>
    <m/>
    <n v="0.63"/>
    <m/>
    <n v="0.95"/>
    <n v="2127"/>
    <n v="116"/>
  </r>
  <r>
    <x v="502"/>
    <n v="241327"/>
    <s v="MN"/>
    <s v="MN - Brown"/>
    <n v="56085"/>
    <s v="Sleepy Eye Medical Center (FKA Sleepy Eye Municipal Hospital)"/>
    <s v="Critical Access Hospital"/>
    <s v="Sleepy Eye"/>
    <n v="3.3"/>
    <n v="2.9"/>
    <n v="12"/>
    <n v="16"/>
    <m/>
    <n v="0.63"/>
    <n v="16"/>
    <n v="0.95"/>
    <n v="2128"/>
    <n v="312"/>
  </r>
  <r>
    <x v="502"/>
    <n v="241378"/>
    <s v="MN"/>
    <s v="MN - Brown"/>
    <n v="56073"/>
    <s v="New Ulm Medical Center"/>
    <s v="Critical Access Hospital"/>
    <s v="New Ulm"/>
    <n v="10.4"/>
    <n v="2.7"/>
    <n v="109"/>
    <n v="24"/>
    <m/>
    <n v="0.63"/>
    <n v="24"/>
    <n v="1.4"/>
    <n v="2129"/>
    <n v="1697"/>
  </r>
  <r>
    <x v="503"/>
    <n v="241364"/>
    <s v="MN"/>
    <s v="MN - Carlton"/>
    <n v="55720"/>
    <s v="Cloquet Community Memorial Hospital"/>
    <s v="Critical Access Hospital"/>
    <s v="Cloquet"/>
    <n v="8"/>
    <n v="3.3"/>
    <n v="50"/>
    <n v="22"/>
    <m/>
    <n v="0.2"/>
    <n v="22"/>
    <n v="1.26"/>
    <n v="2130"/>
    <n v="816"/>
  </r>
  <r>
    <x v="503"/>
    <n v="241350"/>
    <s v="MN"/>
    <s v="MN - Carlton"/>
    <n v="55767"/>
    <s v="Mercy Hospital &amp; Health Care Center"/>
    <s v="Critical Access Hospital"/>
    <s v="Moose Lake"/>
    <n v="5.9"/>
    <n v="2.9"/>
    <n v="27"/>
    <n v="25"/>
    <n v="2"/>
    <n v="0.2"/>
    <n v="25"/>
    <n v="1.1499999999999999"/>
    <n v="2131"/>
    <n v="463"/>
  </r>
  <r>
    <x v="504"/>
    <n v="241358"/>
    <s v="MN"/>
    <s v="MN - Cass"/>
    <n v="56633"/>
    <s v="Cass Lake Indian Health Service Unit (AKA Cass Lake Hospital)"/>
    <s v="Critical Access Hospital"/>
    <s v="Cass Lake"/>
    <n v="0"/>
    <n v="2"/>
    <n v="30"/>
    <n v="5"/>
    <m/>
    <m/>
    <n v="5"/>
    <n v="0.78"/>
    <n v="2133"/>
    <n v="1"/>
  </r>
  <r>
    <x v="505"/>
    <n v="241325"/>
    <s v="MN"/>
    <s v="MN - Chippewa"/>
    <n v="56265"/>
    <s v="CCM Health (FKA Chippewa County Montevideo Hospital)"/>
    <s v="Critical Access Hospital"/>
    <s v="Montevideo"/>
    <n v="5.7"/>
    <n v="2.5"/>
    <n v="32"/>
    <n v="25"/>
    <m/>
    <m/>
    <n v="25"/>
    <n v="1.1399999999999999"/>
    <n v="2134"/>
    <n v="651"/>
  </r>
  <r>
    <x v="506"/>
    <n v="241328"/>
    <s v="MN"/>
    <s v="MN - Clearwater"/>
    <n v="56621"/>
    <s v="Sanford Bagley Medical Center"/>
    <s v="Critical Access Hospital"/>
    <s v="Bagley"/>
    <n v="2.2999999999999998"/>
    <n v="3.7"/>
    <n v="9"/>
    <n v="25"/>
    <m/>
    <m/>
    <n v="25"/>
    <n v="0.99"/>
    <n v="5392"/>
    <n v="60"/>
  </r>
  <r>
    <x v="507"/>
    <n v="241317"/>
    <s v="MN"/>
    <s v="MN - Cook"/>
    <n v="55604"/>
    <s v="North Shore Health (FKA Cook County North Shore Hospital)"/>
    <s v="Critical Access Hospital"/>
    <s v="Grand Marais"/>
    <n v="3.3"/>
    <n v="2.5"/>
    <n v="11"/>
    <n v="16"/>
    <m/>
    <m/>
    <n v="16"/>
    <n v="0.88"/>
    <n v="5585"/>
    <n v="94"/>
  </r>
  <r>
    <x v="508"/>
    <n v="241302"/>
    <s v="MN"/>
    <s v="MN - Cottonwood"/>
    <n v="56183"/>
    <s v="Sanford Westbrook Medical Center"/>
    <s v="Critical Access Hospital"/>
    <s v="Westbrook"/>
    <n v="0.9"/>
    <n v="2.6"/>
    <n v="8"/>
    <n v="8"/>
    <m/>
    <m/>
    <n v="8"/>
    <n v="0.92"/>
    <n v="2136"/>
    <n v="76"/>
  </r>
  <r>
    <x v="508"/>
    <n v="241332"/>
    <s v="MN"/>
    <s v="MN - Cottonwood"/>
    <n v="56101"/>
    <s v="Windom Area Health (AKA Windom Area Hospital)"/>
    <s v="Critical Access Hospital"/>
    <s v="Windom"/>
    <n v="3.2"/>
    <n v="2.7"/>
    <n v="24"/>
    <n v="18"/>
    <m/>
    <m/>
    <n v="18"/>
    <n v="1.21"/>
    <n v="2137"/>
    <n v="350"/>
  </r>
  <r>
    <x v="509"/>
    <n v="241353"/>
    <s v="MN"/>
    <s v="MN - Crow Wing"/>
    <n v="56441"/>
    <s v="Cuyuna Regional Medical Center - Crosby"/>
    <s v="Critical Access Hospital"/>
    <s v="Crosby"/>
    <n v="11"/>
    <n v="2.5"/>
    <n v="96"/>
    <n v="25"/>
    <n v="6"/>
    <n v="0.55000000000000004"/>
    <n v="25"/>
    <n v="1.51"/>
    <n v="2138"/>
    <n v="1596"/>
  </r>
  <r>
    <x v="510"/>
    <n v="241369"/>
    <s v="MN"/>
    <s v="MN - Faribault"/>
    <n v="56013"/>
    <s v="United Hospital District"/>
    <s v="Critical Access Hospital"/>
    <s v="Blue Earth"/>
    <n v="8.5"/>
    <n v="3.1"/>
    <n v="37"/>
    <n v="24"/>
    <n v="4"/>
    <m/>
    <n v="24"/>
    <n v="1.1399999999999999"/>
    <n v="2143"/>
    <n v="555"/>
  </r>
  <r>
    <x v="511"/>
    <n v="241346"/>
    <s v="MN"/>
    <s v="MN - Goodhue"/>
    <n v="55009"/>
    <s v="Mayo Clinic Hospital - Cannon Falls"/>
    <s v="Critical Access Hospital"/>
    <s v="Cannon Falls"/>
    <n v="9.1"/>
    <n v="2.8"/>
    <n v="19"/>
    <n v="15"/>
    <m/>
    <n v="0.67"/>
    <n v="15"/>
    <n v="1.26"/>
    <n v="2146"/>
    <n v="224"/>
  </r>
  <r>
    <x v="512"/>
    <n v="241379"/>
    <s v="MN"/>
    <s v="MN - Grant"/>
    <n v="56531"/>
    <s v="Prairie Ridge Hospital and Health Services"/>
    <s v="Critical Access Hospital"/>
    <s v="Elbow Lake"/>
    <n v="1.4"/>
    <n v="2.7"/>
    <n v="14"/>
    <n v="10"/>
    <m/>
    <m/>
    <n v="10"/>
    <n v="0.99"/>
    <n v="2147"/>
    <n v="89"/>
  </r>
  <r>
    <x v="513"/>
    <n v="241380"/>
    <s v="MN"/>
    <s v="MN - Hubbard"/>
    <n v="56470"/>
    <s v="CHI St Josephs Health (FKA St Josephs Area Health Services)"/>
    <s v="Critical Access Hospital"/>
    <s v="Park Rapids"/>
    <n v="11.4"/>
    <n v="3.5"/>
    <n v="28"/>
    <n v="25"/>
    <m/>
    <m/>
    <n v="25"/>
    <n v="1.4"/>
    <n v="2157"/>
    <n v="1187"/>
  </r>
  <r>
    <x v="514"/>
    <n v="241360"/>
    <s v="MN"/>
    <s v="MN - Itasca"/>
    <n v="56636"/>
    <s v="Essentia Health - Deer River"/>
    <s v="Critical Access Hospital"/>
    <s v="Deer River"/>
    <n v="3.2"/>
    <n v="2.2999999999999998"/>
    <n v="34"/>
    <n v="20"/>
    <m/>
    <n v="0.47"/>
    <n v="20"/>
    <n v="1.1299999999999999"/>
    <n v="2161"/>
    <n v="392"/>
  </r>
  <r>
    <x v="514"/>
    <n v="241316"/>
    <s v="MN"/>
    <s v="MN - Itasca"/>
    <n v="56628"/>
    <s v="Bigfork Valley Hospital"/>
    <s v="Critical Access Hospital"/>
    <s v="Bigfork"/>
    <n v="2.7"/>
    <n v="2.1"/>
    <n v="18"/>
    <n v="20"/>
    <m/>
    <n v="0.47"/>
    <n v="20"/>
    <n v="1.3"/>
    <n v="2160"/>
    <n v="265"/>
  </r>
  <r>
    <x v="515"/>
    <n v="241315"/>
    <s v="MN"/>
    <s v="MN - Jackson"/>
    <n v="56143"/>
    <s v="Sanford Jackson Medical Center"/>
    <s v="Critical Access Hospital"/>
    <s v="Jackson"/>
    <n v="2.4"/>
    <n v="2.8"/>
    <n v="19"/>
    <n v="14"/>
    <m/>
    <m/>
    <n v="14"/>
    <n v="1.04"/>
    <n v="2162"/>
    <n v="148"/>
  </r>
  <r>
    <x v="516"/>
    <n v="241367"/>
    <s v="MN"/>
    <s v="MN - Kanabec"/>
    <n v="55051"/>
    <s v="Welia Health - Mora Hospital (FKA FirstLight Health System)"/>
    <s v="Critical Access Hospital"/>
    <s v="Mora"/>
    <n v="8.4"/>
    <n v="3.4"/>
    <n v="88"/>
    <n v="25"/>
    <n v="4"/>
    <m/>
    <n v="25"/>
    <n v="1.18"/>
    <n v="2163"/>
    <n v="1199"/>
  </r>
  <r>
    <x v="517"/>
    <n v="241336"/>
    <s v="MN"/>
    <s v="MN - Kittson"/>
    <n v="56728"/>
    <s v="Kittson Memorial Healthcare Center"/>
    <s v="Critical Access Hospital"/>
    <s v="Hallock"/>
    <n v="1.2"/>
    <n v="3.5"/>
    <n v="10"/>
    <n v="15"/>
    <m/>
    <m/>
    <n v="15"/>
    <n v="0.89"/>
    <n v="2165"/>
    <n v="89"/>
  </r>
  <r>
    <x v="518"/>
    <n v="241322"/>
    <s v="MN"/>
    <s v="MN - Koochiching"/>
    <n v="56649"/>
    <s v="Rainy Lake Medical Center"/>
    <s v="Critical Access Hospital"/>
    <s v="International Falls"/>
    <n v="6.6"/>
    <n v="3.2"/>
    <n v="17"/>
    <n v="18"/>
    <m/>
    <m/>
    <n v="18"/>
    <n v="1.07"/>
    <n v="2166"/>
    <n v="377"/>
  </r>
  <r>
    <x v="519"/>
    <n v="241372"/>
    <s v="MN"/>
    <s v="MN - Lac Qui Parle"/>
    <n v="56256"/>
    <s v="Madison Healthcare Services (AKA Madison Hospital)"/>
    <s v="Critical Access Hospital"/>
    <s v="Madison"/>
    <n v="3.9"/>
    <n v="3.2"/>
    <n v="10"/>
    <n v="12"/>
    <m/>
    <m/>
    <n v="12"/>
    <n v="0.89"/>
    <n v="2167"/>
    <n v="186"/>
  </r>
  <r>
    <x v="519"/>
    <n v="241314"/>
    <s v="MN"/>
    <s v="MN - Lac Qui Parle"/>
    <n v="56232"/>
    <s v="Johnson Memorial Hospital"/>
    <s v="Critical Access Hospital"/>
    <s v="Dawson"/>
    <n v="2.8"/>
    <n v="3.1"/>
    <n v="15"/>
    <n v="20"/>
    <m/>
    <m/>
    <n v="20"/>
    <n v="0.99"/>
    <n v="2168"/>
    <n v="161"/>
  </r>
  <r>
    <x v="520"/>
    <n v="241308"/>
    <s v="MN"/>
    <s v="MN - Lake"/>
    <n v="55616"/>
    <s v="Lake View Hospital"/>
    <s v="Critical Access Hospital"/>
    <s v="Two Harbors"/>
    <n v="6.6"/>
    <n v="3.4"/>
    <n v="19"/>
    <n v="16"/>
    <m/>
    <n v="0.2"/>
    <n v="16"/>
    <n v="0.96"/>
    <n v="2169"/>
    <n v="122"/>
  </r>
  <r>
    <x v="521"/>
    <n v="241301"/>
    <s v="MN"/>
    <s v="MN - Lake Of The Woods"/>
    <n v="56623"/>
    <s v="CHI Lakewood Health Center"/>
    <s v="Critical Access Hospital"/>
    <s v="Baudette"/>
    <n v="3.1"/>
    <n v="2.9"/>
    <n v="8"/>
    <n v="15"/>
    <m/>
    <m/>
    <n v="15"/>
    <n v="0.92"/>
    <n v="2170"/>
    <n v="106"/>
  </r>
  <r>
    <x v="522"/>
    <n v="241375"/>
    <s v="MN"/>
    <s v="MN - Le Sueur"/>
    <n v="56058"/>
    <s v="Ridgeview Le Sueur Medical Center (FKA Minnesota Valley Health Center)"/>
    <s v="Critical Access Hospital"/>
    <s v="Le Sueur"/>
    <n v="1.8"/>
    <n v="2.1"/>
    <n v="6"/>
    <n v="9"/>
    <m/>
    <n v="7.0000000000000007E-2"/>
    <n v="9"/>
    <n v="0.97"/>
    <n v="2171"/>
    <n v="38"/>
  </r>
  <r>
    <x v="523"/>
    <n v="241339"/>
    <s v="MN"/>
    <s v="MN - Lincoln"/>
    <n v="56136"/>
    <s v="Hendricks Community Hospital"/>
    <s v="Critical Access Hospital"/>
    <s v="Hendricks"/>
    <n v="1.9"/>
    <n v="2.8"/>
    <n v="9"/>
    <n v="24"/>
    <m/>
    <m/>
    <n v="24"/>
    <n v="1"/>
    <n v="2172"/>
    <n v="67"/>
  </r>
  <r>
    <x v="523"/>
    <n v="241348"/>
    <s v="MN"/>
    <s v="MN - Lincoln"/>
    <n v="56178"/>
    <s v="Avera Tyler Hospital"/>
    <s v="Critical Access Hospital"/>
    <s v="Tyler"/>
    <n v="1.6"/>
    <n v="3.2"/>
    <n v="8"/>
    <n v="21"/>
    <m/>
    <m/>
    <n v="20"/>
    <n v="1"/>
    <n v="2173"/>
    <n v="84"/>
  </r>
  <r>
    <x v="524"/>
    <n v="241359"/>
    <s v="MN"/>
    <s v="MN - Lyon"/>
    <n v="56258"/>
    <s v="Avera Marshall Regional Medical Center"/>
    <s v="Critical Access Hospital"/>
    <s v="Marshall"/>
    <n v="10.3"/>
    <n v="2.6"/>
    <n v="89"/>
    <n v="25"/>
    <m/>
    <n v="0.84"/>
    <n v="25"/>
    <n v="1.45"/>
    <n v="2174"/>
    <n v="1560"/>
  </r>
  <r>
    <x v="524"/>
    <n v="241303"/>
    <s v="MN"/>
    <s v="MN - Lyon"/>
    <n v="56175"/>
    <s v="Sanford Tracy Medical Center"/>
    <s v="Critical Access Hospital"/>
    <s v="Tracy"/>
    <n v="1.3"/>
    <n v="2.7"/>
    <n v="10"/>
    <n v="25"/>
    <m/>
    <n v="0.84"/>
    <n v="25"/>
    <n v="0.99"/>
    <n v="2175"/>
    <n v="114"/>
  </r>
  <r>
    <x v="525"/>
    <n v="241355"/>
    <s v="MN"/>
    <s v="MN - Mcleod"/>
    <n v="55336"/>
    <s v="Glencoe Regional Health Services"/>
    <s v="Critical Access Hospital"/>
    <s v="Glencoe"/>
    <n v="9.6"/>
    <n v="2.2999999999999998"/>
    <n v="38"/>
    <n v="25"/>
    <m/>
    <n v="0.52"/>
    <n v="25"/>
    <n v="1.32"/>
    <n v="2177"/>
    <n v="955"/>
  </r>
  <r>
    <x v="526"/>
    <n v="241300"/>
    <s v="MN"/>
    <s v="MN - Mahnomen"/>
    <n v="56557"/>
    <s v="Mahnomen Health Center"/>
    <s v="Critical Access Hospital"/>
    <s v="Mahnomen"/>
    <n v="1.5"/>
    <n v="3"/>
    <n v="8"/>
    <n v="10"/>
    <m/>
    <m/>
    <n v="10"/>
    <n v="0.96"/>
    <n v="2178"/>
    <n v="71"/>
  </r>
  <r>
    <x v="527"/>
    <n v="241337"/>
    <s v="MN"/>
    <s v="MN - Marshall"/>
    <n v="56762"/>
    <s v="North Valley Health Center"/>
    <s v="Critical Access Hospital"/>
    <s v="Warren"/>
    <n v="2.7"/>
    <n v="3"/>
    <n v="6"/>
    <n v="12"/>
    <m/>
    <m/>
    <n v="12"/>
    <n v="0.98"/>
    <n v="2179"/>
    <n v="145"/>
  </r>
  <r>
    <x v="528"/>
    <n v="241366"/>
    <s v="MN"/>
    <s v="MN - Meeker"/>
    <n v="55355"/>
    <s v="Meeker County Memorial Hospital"/>
    <s v="Critical Access Hospital"/>
    <s v="Litchfield"/>
    <n v="7"/>
    <n v="3.2"/>
    <n v="32"/>
    <n v="25"/>
    <m/>
    <m/>
    <n v="25"/>
    <n v="1.24"/>
    <n v="2181"/>
    <n v="735"/>
  </r>
  <r>
    <x v="529"/>
    <n v="241356"/>
    <s v="MN"/>
    <s v="MN - Mille Lacs"/>
    <n v="56359"/>
    <s v="Mille Lacs Health System"/>
    <s v="Critical Access Hospital"/>
    <s v="Onamia"/>
    <n v="6.7"/>
    <n v="3"/>
    <n v="29"/>
    <n v="28"/>
    <m/>
    <n v="7.0000000000000007E-2"/>
    <n v="28"/>
    <n v="1.05"/>
    <n v="2182"/>
    <n v="623"/>
  </r>
  <r>
    <x v="530"/>
    <n v="241370"/>
    <s v="MN"/>
    <s v="MN - Morrison"/>
    <n v="56345"/>
    <s v="CHI St Gabriel Health (FKA St Gabriels Hospital)"/>
    <s v="Critical Access Hospital"/>
    <s v="Little Falls"/>
    <n v="8.6"/>
    <n v="2.8"/>
    <n v="67"/>
    <n v="25"/>
    <m/>
    <m/>
    <n v="25"/>
    <n v="1.61"/>
    <n v="2184"/>
    <n v="1112"/>
  </r>
  <r>
    <x v="531"/>
    <n v="241319"/>
    <s v="MN"/>
    <s v="MN - Murray"/>
    <n v="56172"/>
    <s v="Murray County Medical Center"/>
    <s v="Critical Access Hospital"/>
    <s v="Slayton"/>
    <n v="3.4"/>
    <n v="3.2"/>
    <n v="24"/>
    <n v="20"/>
    <m/>
    <m/>
    <n v="20"/>
    <n v="1.29"/>
    <n v="2186"/>
    <n v="195"/>
  </r>
  <r>
    <x v="532"/>
    <n v="241334"/>
    <s v="MN"/>
    <s v="MN - Nicollet"/>
    <n v="56082"/>
    <s v="Rivers Edge Hospital &amp; Clinic"/>
    <s v="Critical Access Hospital"/>
    <s v="Saint Peter"/>
    <n v="8.1"/>
    <n v="2.9"/>
    <n v="37"/>
    <n v="17"/>
    <m/>
    <n v="0.84"/>
    <n v="17"/>
    <n v="2.13"/>
    <n v="2187"/>
    <n v="1036"/>
  </r>
  <r>
    <x v="533"/>
    <n v="241313"/>
    <s v="MN"/>
    <s v="MN - Norman"/>
    <n v="56510"/>
    <s v="Essentia Health - Ada (FKA Bridges Medical Center)"/>
    <s v="Critical Access Hospital"/>
    <s v="Ada"/>
    <n v="0.7"/>
    <n v="1.5"/>
    <n v="4"/>
    <n v="14"/>
    <m/>
    <m/>
    <n v="14"/>
    <n v="1"/>
    <n v="2189"/>
    <n v="41"/>
  </r>
  <r>
    <x v="534"/>
    <n v="241373"/>
    <s v="MN"/>
    <s v="MN - Otter Tail"/>
    <n v="56573"/>
    <s v="Perham Health (FKA Perham Memorial Hospital &amp; Home)"/>
    <s v="Critical Access Hospital"/>
    <s v="Perham"/>
    <n v="6.2"/>
    <n v="2.1"/>
    <n v="58"/>
    <n v="25"/>
    <m/>
    <n v="0.56999999999999995"/>
    <n v="25"/>
    <n v="1.03"/>
    <n v="2194"/>
    <n v="868"/>
  </r>
  <r>
    <x v="535"/>
    <n v="241381"/>
    <s v="MN"/>
    <s v="MN - Pennington"/>
    <n v="56701"/>
    <s v="Sanford Thief River Falls Medical Center"/>
    <s v="Critical Access Hospital"/>
    <s v="Thief River Falls"/>
    <n v="8.6"/>
    <n v="3.5"/>
    <n v="64"/>
    <n v="25"/>
    <m/>
    <m/>
    <n v="25"/>
    <n v="1.17"/>
    <n v="2195"/>
    <n v="1108"/>
  </r>
  <r>
    <x v="536"/>
    <n v="241309"/>
    <s v="MN"/>
    <s v="MN - Pine"/>
    <n v="55072"/>
    <s v="Essentia Health - Sandstone (FKA Pine Medical Center)"/>
    <s v="Critical Access Hospital"/>
    <s v="Sandstone"/>
    <n v="2.2999999999999998"/>
    <n v="2.8"/>
    <n v="19"/>
    <n v="9"/>
    <m/>
    <m/>
    <n v="9"/>
    <n v="1"/>
    <n v="2196"/>
    <n v="256"/>
  </r>
  <r>
    <x v="537"/>
    <n v="241374"/>
    <s v="MN"/>
    <s v="MN - Pipestone"/>
    <n v="56164"/>
    <s v="Pipestone County Medical Center &amp; Family Clinic Avera"/>
    <s v="Critical Access Hospital"/>
    <s v="Pipestone"/>
    <n v="2.9"/>
    <n v="2.2999999999999998"/>
    <n v="20"/>
    <n v="18"/>
    <m/>
    <m/>
    <n v="18"/>
    <n v="1.02"/>
    <n v="2198"/>
    <n v="466"/>
  </r>
  <r>
    <x v="538"/>
    <n v="241357"/>
    <s v="MN"/>
    <s v="MN - Polk"/>
    <n v="56542"/>
    <s v="Essentia Health - Fosston (FKA First Care Medical Services)"/>
    <s v="Critical Access Hospital"/>
    <s v="Fosston"/>
    <n v="4.3"/>
    <n v="2.6"/>
    <n v="19"/>
    <n v="24"/>
    <m/>
    <n v="0.73"/>
    <n v="24"/>
    <n v="1.1299999999999999"/>
    <n v="2199"/>
    <n v="446"/>
  </r>
  <r>
    <x v="538"/>
    <n v="241320"/>
    <s v="MN"/>
    <s v="MN - Polk"/>
    <n v="56716"/>
    <s v="Riverview Hospital (AKA RiverView Health)"/>
    <s v="Critical Access Hospital"/>
    <s v="Crookston"/>
    <n v="6.5"/>
    <n v="2.2999999999999998"/>
    <n v="42"/>
    <n v="30"/>
    <n v="5"/>
    <n v="0.73"/>
    <n v="30"/>
    <n v="2.08"/>
    <n v="2200"/>
    <n v="796"/>
  </r>
  <r>
    <x v="539"/>
    <n v="241376"/>
    <s v="MN"/>
    <s v="MN - Pope"/>
    <n v="56334"/>
    <s v="Glacial Ridge Hospital"/>
    <s v="Critical Access Hospital"/>
    <s v="Glenwood"/>
    <n v="7.7"/>
    <n v="3.8"/>
    <n v="31"/>
    <n v="19"/>
    <m/>
    <m/>
    <n v="19"/>
    <n v="1.2"/>
    <n v="2201"/>
    <n v="480"/>
  </r>
  <r>
    <x v="540"/>
    <n v="241351"/>
    <s v="MN"/>
    <s v="MN - Redwood"/>
    <n v="56283"/>
    <s v="Carris Health - Redwood Hospital (FKA Redwood Area Hospital)"/>
    <s v="Critical Access Hospital"/>
    <s v="Redwood Falls"/>
    <n v="4.8"/>
    <n v="1.3"/>
    <n v="29"/>
    <n v="25"/>
    <m/>
    <m/>
    <n v="25"/>
    <n v="1"/>
    <n v="2206"/>
    <n v="542"/>
  </r>
  <r>
    <x v="541"/>
    <n v="241306"/>
    <s v="MN"/>
    <s v="MN - Renville"/>
    <n v="56277"/>
    <s v="Olivia Hospital &amp; Clinic (FKA RC Hospital and Clinics)"/>
    <s v="Critical Access Hospital"/>
    <s v="Olivia"/>
    <n v="4.2"/>
    <n v="2.2000000000000002"/>
    <n v="20"/>
    <n v="16"/>
    <m/>
    <m/>
    <n v="16"/>
    <n v="1.1499999999999999"/>
    <n v="2207"/>
    <n v="394"/>
  </r>
  <r>
    <x v="542"/>
    <n v="241371"/>
    <s v="MN"/>
    <s v="MN - Rock"/>
    <n v="56156"/>
    <s v="Sanford Luverne Medical Center"/>
    <s v="Critical Access Hospital"/>
    <s v="Luverne"/>
    <n v="5.8"/>
    <n v="3.3"/>
    <n v="35"/>
    <n v="25"/>
    <m/>
    <m/>
    <n v="25"/>
    <n v="0.92"/>
    <n v="2210"/>
    <n v="377"/>
  </r>
  <r>
    <x v="543"/>
    <n v="241344"/>
    <s v="MN"/>
    <s v="MN - Roseau"/>
    <n v="56751"/>
    <s v="LifeCare Medical Center"/>
    <s v="Critical Access Hospital"/>
    <s v="Roseau"/>
    <n v="6.3"/>
    <n v="3.1"/>
    <n v="30"/>
    <n v="25"/>
    <m/>
    <m/>
    <n v="25"/>
    <n v="1.04"/>
    <n v="2211"/>
    <n v="504"/>
  </r>
  <r>
    <x v="544"/>
    <n v="241340"/>
    <s v="MN"/>
    <s v="MN - Saint Louis"/>
    <n v="55705"/>
    <s v="Essentia Health - Northern Pines (FKA White Community Hospital)"/>
    <s v="Critical Access Hospital"/>
    <s v="Aurora"/>
    <n v="2.2999999999999998"/>
    <n v="1.8"/>
    <n v="9"/>
    <n v="16"/>
    <m/>
    <n v="0.2"/>
    <n v="16"/>
    <n v="1.08"/>
    <n v="2212"/>
    <n v="171"/>
  </r>
  <r>
    <x v="544"/>
    <n v="241318"/>
    <s v="MN"/>
    <s v="MN - Saint Louis"/>
    <n v="55731"/>
    <s v="Ely Bloomenson Community Hospital"/>
    <s v="Critical Access Hospital"/>
    <s v="Ely"/>
    <n v="2.6"/>
    <n v="2.5"/>
    <n v="8"/>
    <n v="16"/>
    <m/>
    <n v="0.2"/>
    <n v="16"/>
    <n v="0.98"/>
    <n v="2217"/>
    <n v="261"/>
  </r>
  <r>
    <x v="544"/>
    <n v="241312"/>
    <s v="MN"/>
    <s v="MN - Saint Louis"/>
    <n v="55723"/>
    <s v="Cook Hospital"/>
    <s v="Critical Access Hospital"/>
    <s v="Cook"/>
    <n v="1.9"/>
    <n v="1.8"/>
    <n v="15"/>
    <n v="14"/>
    <m/>
    <n v="0.2"/>
    <n v="14"/>
    <n v="0.99"/>
    <n v="2218"/>
    <n v="132"/>
  </r>
  <r>
    <x v="545"/>
    <n v="241361"/>
    <s v="MN"/>
    <s v="MN - Scott"/>
    <n v="56071"/>
    <s v="Mayo Clinic Hospital - New Prague (FKA Queen of Peace Hospital)"/>
    <s v="Critical Access Hospital"/>
    <s v="New Prague"/>
    <n v="10.6"/>
    <n v="3"/>
    <n v="56"/>
    <n v="20"/>
    <m/>
    <n v="7.0000000000000007E-2"/>
    <n v="20"/>
    <n v="1.24"/>
    <n v="2221"/>
    <n v="607"/>
  </r>
  <r>
    <x v="546"/>
    <n v="241311"/>
    <s v="MN"/>
    <s v="MN - Sibley"/>
    <n v="55307"/>
    <s v="Ridgeview Sibley Medical Center"/>
    <s v="Critical Access Hospital"/>
    <s v="Arlington"/>
    <n v="2.4"/>
    <n v="2.4"/>
    <n v="17"/>
    <n v="16"/>
    <m/>
    <m/>
    <n v="16"/>
    <n v="1.01"/>
    <n v="2222"/>
    <n v="122"/>
  </r>
  <r>
    <x v="547"/>
    <n v="241368"/>
    <s v="MN"/>
    <s v="MN - Stearns"/>
    <n v="56378"/>
    <s v="CentraCare - Sauk Centre"/>
    <s v="Critical Access Hospital"/>
    <s v="Sauk Centre"/>
    <n v="5.6"/>
    <n v="2.5"/>
    <n v="16"/>
    <n v="24"/>
    <m/>
    <n v="0.76"/>
    <n v="24"/>
    <n v="1.0900000000000001"/>
    <n v="2225"/>
    <n v="414"/>
  </r>
  <r>
    <x v="547"/>
    <n v="241330"/>
    <s v="MN"/>
    <s v="MN - Stearns"/>
    <n v="56352"/>
    <s v="CentraCare - Melrose"/>
    <s v="Critical Access Hospital"/>
    <s v="Melrose"/>
    <n v="6.4"/>
    <n v="2.7"/>
    <n v="22"/>
    <n v="14"/>
    <m/>
    <n v="0.76"/>
    <n v="14"/>
    <n v="1.04"/>
    <n v="2226"/>
    <n v="413"/>
  </r>
  <r>
    <x v="547"/>
    <s v="241331 (Closed)"/>
    <s v="MN"/>
    <s v="MN - Stearns"/>
    <n v="56307"/>
    <s v="CHI Albany Area Health (Closed)"/>
    <s v="Critical Access Hospital"/>
    <s v="Albany"/>
    <n v="2.2999999999999998"/>
    <n v="2.9"/>
    <m/>
    <m/>
    <m/>
    <n v="0.76"/>
    <m/>
    <m/>
    <n v="2227"/>
    <n v="145"/>
  </r>
  <r>
    <x v="547"/>
    <n v="241349"/>
    <s v="MN"/>
    <s v="MN - Stearns"/>
    <n v="56362"/>
    <s v="CentraCare - Paynesville"/>
    <s v="Critical Access Hospital"/>
    <s v="Paynesville"/>
    <n v="6.9"/>
    <n v="2.4"/>
    <n v="30"/>
    <n v="25"/>
    <m/>
    <n v="0.76"/>
    <n v="25"/>
    <n v="1.06"/>
    <n v="2228"/>
    <n v="269"/>
  </r>
  <r>
    <x v="548"/>
    <n v="241363"/>
    <s v="MN"/>
    <s v="MN - Stevens"/>
    <n v="56267"/>
    <s v="Stevens Community Medical Center - Morris"/>
    <s v="Critical Access Hospital"/>
    <s v="Morris"/>
    <n v="6.9"/>
    <n v="2.9"/>
    <n v="31"/>
    <n v="25"/>
    <m/>
    <m/>
    <n v="25"/>
    <n v="0.98"/>
    <n v="2230"/>
    <n v="834"/>
  </r>
  <r>
    <x v="549"/>
    <n v="241365"/>
    <s v="MN"/>
    <s v="MN - Swift"/>
    <n v="56215"/>
    <s v="Swift County Benson Hospital"/>
    <s v="Critical Access Hospital"/>
    <s v="Benson"/>
    <n v="2.2000000000000002"/>
    <n v="2.4"/>
    <n v="11"/>
    <n v="18"/>
    <m/>
    <m/>
    <n v="18"/>
    <n v="1.22"/>
    <n v="2231"/>
    <n v="178"/>
  </r>
  <r>
    <x v="549"/>
    <n v="241341"/>
    <s v="MN"/>
    <s v="MN - Swift"/>
    <n v="56208"/>
    <s v="Appleton Area Health Services"/>
    <s v="Critical Access Hospital"/>
    <s v="Appleton"/>
    <n v="3.3"/>
    <n v="2.9"/>
    <n v="6"/>
    <n v="15"/>
    <m/>
    <m/>
    <n v="15"/>
    <n v="1.07"/>
    <n v="5095"/>
    <n v="96"/>
  </r>
  <r>
    <x v="550"/>
    <n v="241326"/>
    <s v="MN"/>
    <s v="MN - Todd"/>
    <n v="56347"/>
    <s v="CentraCare - Long Prairie"/>
    <s v="Critical Access Hospital"/>
    <s v="Long Prairie"/>
    <n v="7.3"/>
    <n v="3.2"/>
    <n v="20"/>
    <n v="14"/>
    <m/>
    <m/>
    <n v="14"/>
    <n v="1.04"/>
    <n v="2233"/>
    <n v="407"/>
  </r>
  <r>
    <x v="551"/>
    <n v="241304"/>
    <s v="MN"/>
    <s v="MN - Traverse"/>
    <n v="56296"/>
    <s v="Sanford Wheaton Medical Center"/>
    <s v="Critical Access Hospital"/>
    <s v="Wheaton"/>
    <n v="1.5"/>
    <n v="2.1"/>
    <n v="8"/>
    <n v="15"/>
    <m/>
    <m/>
    <n v="15"/>
    <n v="1.04"/>
    <n v="2234"/>
    <n v="73"/>
  </r>
  <r>
    <x v="552"/>
    <n v="241338"/>
    <s v="MN"/>
    <s v="MN - Wabasha"/>
    <n v="55041"/>
    <s v="Mayo Clinic Hospital - Lake City"/>
    <s v="Critical Access Hospital"/>
    <s v="Lake City"/>
    <n v="6.6"/>
    <n v="2.8"/>
    <n v="25"/>
    <n v="18"/>
    <m/>
    <n v="0.83"/>
    <n v="18"/>
    <n v="1.3"/>
    <n v="2235"/>
    <n v="131"/>
  </r>
  <r>
    <x v="552"/>
    <n v="241335"/>
    <s v="MN"/>
    <s v="MN - Wabasha"/>
    <n v="55981"/>
    <s v="Saint Elizabeths Medical Center"/>
    <s v="Critical Access Hospital"/>
    <s v="Wabasha"/>
    <n v="3.6"/>
    <n v="2.2999999999999998"/>
    <n v="17"/>
    <n v="14"/>
    <m/>
    <n v="0.83"/>
    <n v="14"/>
    <n v="1.1499999999999999"/>
    <n v="2236"/>
    <n v="184"/>
  </r>
  <r>
    <x v="553"/>
    <n v="241329"/>
    <s v="MN"/>
    <s v="MN - Wadena"/>
    <n v="56479"/>
    <s v="Lakewood Health System"/>
    <s v="Critical Access Hospital"/>
    <s v="Staples"/>
    <n v="11.1"/>
    <n v="2.7"/>
    <n v="67"/>
    <n v="25"/>
    <n v="3"/>
    <m/>
    <n v="25"/>
    <n v="1.17"/>
    <n v="2232"/>
    <n v="1282"/>
  </r>
  <r>
    <x v="553"/>
    <n v="241354"/>
    <s v="MN"/>
    <s v="MN - Wadena"/>
    <n v="56482"/>
    <s v="Tri-County Health Care"/>
    <s v="Critical Access Hospital"/>
    <s v="Wadena"/>
    <n v="6.5"/>
    <n v="2.8"/>
    <n v="51"/>
    <n v="25"/>
    <n v="2"/>
    <m/>
    <n v="25"/>
    <n v="1.24"/>
    <n v="2237"/>
    <n v="768"/>
  </r>
  <r>
    <x v="554"/>
    <n v="241345"/>
    <s v="MN"/>
    <s v="MN - Waseca"/>
    <n v="56093"/>
    <s v="Mayo Clinic Hospital - Waseca"/>
    <s v="Critical Access Hospital"/>
    <s v="Waseca"/>
    <n v="6.8"/>
    <n v="3.6"/>
    <n v="22"/>
    <n v="15"/>
    <m/>
    <m/>
    <n v="15"/>
    <n v="0.99"/>
    <n v="2238"/>
    <n v="102"/>
  </r>
  <r>
    <x v="555"/>
    <n v="241333"/>
    <s v="MN"/>
    <s v="MN - Watonwan"/>
    <n v="56081"/>
    <s v="Mayo Clinic Hospital - St James"/>
    <s v="Critical Access Hospital"/>
    <s v="Saint James"/>
    <n v="6"/>
    <n v="2.6"/>
    <n v="19"/>
    <n v="25"/>
    <m/>
    <m/>
    <n v="25"/>
    <n v="0.96"/>
    <n v="2241"/>
    <n v="109"/>
  </r>
  <r>
    <x v="555"/>
    <n v="241323"/>
    <s v="MN"/>
    <s v="MN - Watonwan"/>
    <n v="56062"/>
    <s v="Madelia Community Hospital"/>
    <s v="Critical Access Hospital"/>
    <s v="Madelia"/>
    <n v="3.4"/>
    <n v="3.6"/>
    <n v="20"/>
    <n v="25"/>
    <m/>
    <m/>
    <n v="25"/>
    <n v="0.92"/>
    <n v="2242"/>
    <n v="88"/>
  </r>
  <r>
    <x v="556"/>
    <n v="241377"/>
    <s v="MN"/>
    <s v="MN - Wilkin"/>
    <n v="56520"/>
    <s v="CHI St Francis Hospital (AKA CHI St Francis Health)"/>
    <s v="Critical Access Hospital"/>
    <s v="Breckenridge"/>
    <n v="6.9"/>
    <n v="3.3"/>
    <n v="19"/>
    <n v="25"/>
    <m/>
    <n v="1"/>
    <n v="25"/>
    <n v="1.1000000000000001"/>
    <n v="2243"/>
    <n v="443"/>
  </r>
  <r>
    <x v="557"/>
    <n v="241362"/>
    <s v="MN"/>
    <s v="MN - Wright"/>
    <n v="55362"/>
    <s v="CentraCare - Monticello"/>
    <s v="Critical Access Hospital"/>
    <s v="Monticello"/>
    <n v="12"/>
    <n v="2.5"/>
    <n v="51"/>
    <n v="25"/>
    <n v="3"/>
    <n v="7.0000000000000007E-2"/>
    <n v="25"/>
    <n v="1.25"/>
    <n v="2246"/>
    <n v="856"/>
  </r>
  <r>
    <x v="558"/>
    <n v="241343"/>
    <s v="MN"/>
    <s v="MN - Yellow Medicine"/>
    <n v="56241"/>
    <s v="Avera Granite Falls Health Center (FKA Granite Falls Health)"/>
    <s v="Critical Access Hospital"/>
    <s v="Granite Falls"/>
    <n v="4"/>
    <n v="2.6"/>
    <n v="19"/>
    <n v="25"/>
    <m/>
    <m/>
    <n v="25"/>
    <n v="0.95"/>
    <n v="2247"/>
    <n v="311"/>
  </r>
  <r>
    <x v="558"/>
    <n v="241347"/>
    <s v="MN"/>
    <s v="MN - Yellow Medicine"/>
    <n v="56220"/>
    <s v="Sanford Canby Medical Center"/>
    <s v="Critical Access Hospital"/>
    <s v="Canby"/>
    <n v="4.5999999999999996"/>
    <n v="3.2"/>
    <n v="16"/>
    <n v="22"/>
    <m/>
    <m/>
    <n v="22"/>
    <n v="0.95"/>
    <n v="2248"/>
    <n v="166"/>
  </r>
  <r>
    <x v="559"/>
    <n v="251336"/>
    <s v="MS"/>
    <s v="MS - Attala"/>
    <n v="39090"/>
    <s v="Baptist Memorial Hospital - Attala (FKA Montfort Jones Memorial Hospital)"/>
    <s v="Critical Access Hospital"/>
    <s v="Kosciusko"/>
    <n v="9.1"/>
    <n v="1.9"/>
    <n v="22"/>
    <n v="25"/>
    <m/>
    <m/>
    <n v="25"/>
    <n v="0.94"/>
    <n v="2252"/>
    <n v="456"/>
  </r>
  <r>
    <x v="560"/>
    <n v="251331"/>
    <s v="MS"/>
    <s v="MS - Calhoun"/>
    <n v="38916"/>
    <s v="Baptist Memorial Hospital - Calhoun"/>
    <s v="Critical Access Hospital"/>
    <s v="Calhoun City"/>
    <n v="13.5"/>
    <n v="3.4"/>
    <n v="12"/>
    <n v="25"/>
    <m/>
    <m/>
    <n v="25"/>
    <n v="0.92"/>
    <n v="4808"/>
    <n v="302"/>
  </r>
  <r>
    <x v="561"/>
    <s v="251310 (Closed)"/>
    <s v="MS"/>
    <s v="MS - Choctaw"/>
    <n v="39735"/>
    <s v="Choctaw County Medical Center (Closed)"/>
    <s v="Critical Access Hospital"/>
    <s v="Ackerman"/>
    <n v="0.2"/>
    <n v="2.6"/>
    <m/>
    <m/>
    <m/>
    <m/>
    <m/>
    <m/>
    <n v="5134"/>
    <n v="39"/>
  </r>
  <r>
    <x v="561"/>
    <n v="251334"/>
    <s v="MS"/>
    <s v="MS - Choctaw"/>
    <n v="39735"/>
    <s v="Choctaw Regional Medical Center (FKA Pioneer Community Hospital of Choctaw)"/>
    <s v="Critical Access Hospital"/>
    <s v="Ackerman"/>
    <n v="6.9"/>
    <n v="3.2"/>
    <n v="24"/>
    <n v="15"/>
    <m/>
    <m/>
    <n v="15"/>
    <n v="1.01"/>
    <n v="551540"/>
    <n v="187"/>
  </r>
  <r>
    <x v="562"/>
    <n v="251320"/>
    <s v="MS"/>
    <s v="MS - Claiborne"/>
    <n v="39150"/>
    <s v="Claiborne County Medical Center (FKA Patients Choice Medical Center of Claiborne County)"/>
    <s v="Critical Access Hospital"/>
    <s v="Port Gibson"/>
    <n v="8"/>
    <n v="3.6"/>
    <n v="12"/>
    <n v="22"/>
    <m/>
    <m/>
    <n v="22"/>
    <n v="0.97"/>
    <n v="2255"/>
    <n v="366"/>
  </r>
  <r>
    <x v="563"/>
    <n v="251316"/>
    <s v="MS"/>
    <s v="MS - Clarke"/>
    <n v="39355"/>
    <s v="H C Watkins Memorial Hospital"/>
    <s v="Critical Access Hospital"/>
    <s v="Quitman"/>
    <n v="10.8"/>
    <n v="3.8"/>
    <n v="21"/>
    <n v="25"/>
    <m/>
    <n v="0.32"/>
    <n v="25"/>
    <n v="0.93"/>
    <n v="2256"/>
    <n v="166"/>
  </r>
  <r>
    <x v="564"/>
    <m/>
    <s v="MS"/>
    <s v="MS - Copiah"/>
    <n v="39083"/>
    <s v="Hardy Wilson Memorial Hospital CAH (Closed)"/>
    <s v="Critical Access Hospital"/>
    <s v="Hazlehurst"/>
    <n v="11.4"/>
    <n v="0.2"/>
    <m/>
    <m/>
    <m/>
    <n v="0.22"/>
    <m/>
    <m/>
    <n v="2259"/>
    <n v="808"/>
  </r>
  <r>
    <x v="564"/>
    <n v="251327"/>
    <s v="MS"/>
    <s v="MS - Copiah"/>
    <n v="39083"/>
    <s v="Copiah County Medical Center"/>
    <s v="Critical Access Hospital"/>
    <s v="Hazlehurst"/>
    <n v="15.1"/>
    <n v="3.8"/>
    <n v="23"/>
    <n v="25"/>
    <m/>
    <n v="0.22"/>
    <n v="25"/>
    <n v="0.88"/>
    <n v="917177"/>
    <n v="519"/>
  </r>
  <r>
    <x v="565"/>
    <n v="251325"/>
    <s v="MS"/>
    <s v="MS - Covington"/>
    <n v="39428"/>
    <s v="Covington County Hospital"/>
    <s v="Critical Access Hospital"/>
    <s v="Collins"/>
    <n v="14"/>
    <n v="3.3"/>
    <n v="29"/>
    <n v="25"/>
    <m/>
    <n v="0.59"/>
    <n v="25"/>
    <n v="0.91"/>
    <n v="2260"/>
    <n v="249"/>
  </r>
  <r>
    <x v="566"/>
    <n v="251330"/>
    <s v="MS"/>
    <s v="MS - Franklin"/>
    <n v="39653"/>
    <s v="Franklin County Memorial Hospital"/>
    <s v="Critical Access Hospital"/>
    <s v="Meadville"/>
    <n v="16.100000000000001"/>
    <n v="2.8"/>
    <n v="12"/>
    <n v="24"/>
    <m/>
    <m/>
    <n v="24"/>
    <n v="0.9"/>
    <n v="4807"/>
    <n v="132"/>
  </r>
  <r>
    <x v="567"/>
    <n v="251329"/>
    <s v="MS"/>
    <s v="MS - Greene"/>
    <n v="39451"/>
    <s v="Greene County Hospital"/>
    <s v="Critical Access Hospital"/>
    <s v="Leakesville"/>
    <n v="3.8"/>
    <n v="3"/>
    <n v="7"/>
    <n v="7"/>
    <m/>
    <m/>
    <n v="7"/>
    <n v="1.02"/>
    <n v="6019"/>
    <n v="34"/>
  </r>
  <r>
    <x v="568"/>
    <n v="251319"/>
    <s v="MS"/>
    <s v="MS - Holmes"/>
    <n v="39095"/>
    <s v="UMMC Holmes County"/>
    <s v="Critical Access Hospital"/>
    <s v="Lexington"/>
    <n v="7.1"/>
    <n v="3"/>
    <n v="18"/>
    <n v="25"/>
    <m/>
    <n v="0.22"/>
    <n v="25"/>
    <n v="0.96"/>
    <n v="2278"/>
    <n v="209"/>
  </r>
  <r>
    <x v="569"/>
    <s v="251311 (Closed)"/>
    <s v="MS"/>
    <s v="MS - Humphreys"/>
    <n v="39038"/>
    <s v="Patients Choice Medical Center of Humphreys County (Closed)"/>
    <s v="Critical Access Hospital"/>
    <s v="Belzoni"/>
    <n v="4.9000000000000004"/>
    <n v="2.8"/>
    <m/>
    <m/>
    <m/>
    <m/>
    <m/>
    <m/>
    <n v="5647"/>
    <n v="375"/>
  </r>
  <r>
    <x v="570"/>
    <n v="251326"/>
    <s v="MS"/>
    <s v="MS - Jefferson Davis"/>
    <n v="39474"/>
    <s v="Jefferson Davis Community Hospital"/>
    <s v="Critical Access Hospital"/>
    <s v="Prentiss"/>
    <n v="3.5"/>
    <n v="3.1"/>
    <n v="17"/>
    <n v="25"/>
    <m/>
    <m/>
    <n v="25"/>
    <n v="0.95"/>
    <n v="2282"/>
    <n v="97"/>
  </r>
  <r>
    <x v="571"/>
    <n v="251335"/>
    <s v="MS"/>
    <s v="MS - Kemper"/>
    <n v="39328"/>
    <s v="John C Stennis Memorial Hospital"/>
    <s v="Critical Access Hospital"/>
    <s v="Dekalb"/>
    <n v="10.1"/>
    <n v="2.8"/>
    <n v="18"/>
    <n v="25"/>
    <m/>
    <n v="0.32"/>
    <n v="25"/>
    <n v="0.85"/>
    <n v="550805"/>
    <n v="102"/>
  </r>
  <r>
    <x v="572"/>
    <n v="251305"/>
    <s v="MS"/>
    <s v="MS - Lawrence"/>
    <n v="39654"/>
    <s v="Lawrence County Hospital"/>
    <s v="Critical Access Hospital"/>
    <s v="Monticello"/>
    <n v="7.5"/>
    <n v="3.4"/>
    <n v="13"/>
    <n v="25"/>
    <m/>
    <m/>
    <n v="25"/>
    <n v="0.87"/>
    <n v="2289"/>
    <n v="322"/>
  </r>
  <r>
    <x v="573"/>
    <n v="251315"/>
    <s v="MS"/>
    <s v="MS - Leake"/>
    <n v="39051"/>
    <s v="Baptist Memorial Hospital - Leake"/>
    <s v="Critical Access Hospital"/>
    <s v="Carthage"/>
    <n v="16.5"/>
    <n v="3.6"/>
    <n v="20"/>
    <n v="25"/>
    <m/>
    <m/>
    <n v="25"/>
    <n v="0.93"/>
    <n v="6432"/>
    <n v="479"/>
  </r>
  <r>
    <x v="574"/>
    <n v="251302"/>
    <s v="MS"/>
    <s v="MS - Monroe"/>
    <n v="39730"/>
    <s v="Monroe Regional Hospital (FKA Pioneer Community Hospital of Aberdeen)"/>
    <s v="Critical Access Hospital"/>
    <s v="Aberdeen"/>
    <n v="13.3"/>
    <n v="5.8"/>
    <n v="33"/>
    <n v="25"/>
    <m/>
    <m/>
    <n v="25"/>
    <n v="1.06"/>
    <n v="5668"/>
    <n v="460"/>
  </r>
  <r>
    <x v="575"/>
    <n v="251312"/>
    <s v="MS"/>
    <s v="MS - Montgomery"/>
    <n v="38967"/>
    <s v="Tyler Holmes Memorial Hospital"/>
    <s v="Critical Access Hospital"/>
    <s v="Winona"/>
    <n v="11.3"/>
    <n v="3.4"/>
    <n v="12"/>
    <n v="25"/>
    <m/>
    <m/>
    <n v="25"/>
    <n v="0.9"/>
    <n v="2299"/>
    <n v="330"/>
  </r>
  <r>
    <x v="576"/>
    <n v="251322"/>
    <s v="MS"/>
    <s v="MS - Neshoba"/>
    <n v="39365"/>
    <s v="Laird Hospital"/>
    <s v="Critical Access Hospital"/>
    <s v="Union"/>
    <n v="14.6"/>
    <n v="3"/>
    <n v="34"/>
    <n v="25"/>
    <m/>
    <m/>
    <n v="25"/>
    <n v="0.88"/>
    <n v="2325"/>
    <n v="214"/>
  </r>
  <r>
    <x v="577"/>
    <s v="251332 (Closed)"/>
    <s v="MS"/>
    <s v="MS - Newton"/>
    <n v="39345"/>
    <s v="Pioneer Community Hospital of Newton (Closed December 1 2015)"/>
    <s v="Critical Access Hospital"/>
    <s v="Newton"/>
    <n v="8.4"/>
    <n v="3"/>
    <m/>
    <m/>
    <m/>
    <m/>
    <m/>
    <m/>
    <n v="2302"/>
    <n v="404"/>
  </r>
  <r>
    <x v="578"/>
    <n v="251307"/>
    <s v="MS"/>
    <s v="MS - Noxubee"/>
    <n v="39341"/>
    <s v="Noxubee General Hospital"/>
    <s v="Critical Access Hospital"/>
    <s v="Macon"/>
    <n v="8.5"/>
    <n v="3.3"/>
    <n v="16"/>
    <n v="25"/>
    <m/>
    <m/>
    <n v="25"/>
    <n v="0.9"/>
    <n v="6006"/>
    <n v="357"/>
  </r>
  <r>
    <x v="579"/>
    <n v="251333"/>
    <s v="MS"/>
    <s v="MS - Pearl River"/>
    <n v="39470"/>
    <s v="Pearl River County Hospital"/>
    <s v="Critical Access Hospital"/>
    <s v="Poplarville"/>
    <n v="8.8000000000000007"/>
    <n v="2.9"/>
    <n v="15"/>
    <n v="24"/>
    <m/>
    <n v="0.56999999999999995"/>
    <n v="24"/>
    <n v="0.93"/>
    <n v="2306"/>
    <n v="79"/>
  </r>
  <r>
    <x v="580"/>
    <n v="251306"/>
    <s v="MS"/>
    <s v="MS - Perry"/>
    <n v="39476"/>
    <s v="Perry County General Hospital"/>
    <s v="Critical Access Hospital"/>
    <s v="Richton"/>
    <n v="4.0999999999999996"/>
    <n v="2.4"/>
    <n v="9"/>
    <n v="22"/>
    <m/>
    <n v="0.59"/>
    <n v="22"/>
    <n v="0.9"/>
    <n v="5127"/>
    <n v="59"/>
  </r>
  <r>
    <x v="581"/>
    <n v="251308"/>
    <s v="MS"/>
    <s v="MS - Pontotoc"/>
    <n v="38863"/>
    <s v="North Mississippi Medical Center - Pontotoc"/>
    <s v="Critical Access Hospital"/>
    <s v="Pontotoc"/>
    <n v="14.9"/>
    <n v="2.5"/>
    <n v="19"/>
    <n v="25"/>
    <m/>
    <n v="0.89"/>
    <n v="25"/>
    <n v="0.95"/>
    <n v="2309"/>
    <n v="146"/>
  </r>
  <r>
    <x v="582"/>
    <s v="251314 (Closed)"/>
    <s v="MS"/>
    <s v="MS - Quitman"/>
    <n v="38646"/>
    <s v="Quitman County Hospital LLC (Closed September 29 2016)"/>
    <s v="Critical Access Hospital"/>
    <s v="Marks"/>
    <n v="4"/>
    <n v="3.1"/>
    <m/>
    <m/>
    <m/>
    <m/>
    <m/>
    <m/>
    <n v="5317"/>
    <n v="229"/>
  </r>
  <r>
    <x v="583"/>
    <n v="251300"/>
    <s v="MS"/>
    <s v="MS - Scott"/>
    <n v="39074"/>
    <s v="Lackey Memorial Hospital"/>
    <s v="Critical Access Hospital"/>
    <s v="Forest"/>
    <n v="11.3"/>
    <n v="2.7"/>
    <n v="42"/>
    <n v="25"/>
    <m/>
    <m/>
    <n v="25"/>
    <n v="1.08"/>
    <n v="2313"/>
    <n v="383"/>
  </r>
  <r>
    <x v="583"/>
    <n v="251323"/>
    <s v="MS"/>
    <s v="MS - Scott"/>
    <n v="39117"/>
    <s v="Scott Regional Hospital (AKA Scott Regional Medical Center)"/>
    <s v="Critical Access Hospital"/>
    <s v="Morton"/>
    <n v="9.9"/>
    <n v="3.3"/>
    <n v="16"/>
    <n v="25"/>
    <m/>
    <m/>
    <n v="25"/>
    <n v="0.82"/>
    <n v="2314"/>
    <n v="137"/>
  </r>
  <r>
    <x v="584"/>
    <n v="251317"/>
    <s v="MS"/>
    <s v="MS - Simpson"/>
    <n v="39114"/>
    <s v="Simpson General Hospital"/>
    <s v="Critical Access Hospital"/>
    <s v="Mendenhall"/>
    <n v="8.6"/>
    <n v="3.4"/>
    <n v="13"/>
    <n v="25"/>
    <m/>
    <n v="0.22"/>
    <n v="25"/>
    <n v="1"/>
    <n v="2316"/>
    <n v="304"/>
  </r>
  <r>
    <x v="585"/>
    <m/>
    <s v="MS"/>
    <s v="MS - Stone"/>
    <n v="39577"/>
    <s v="Memorial Hospital at Stone County (FKA Stone County Hospital)"/>
    <s v="Critical Access Hospital"/>
    <s v="Wiggins"/>
    <n v="13.5"/>
    <n v="3.3"/>
    <n v="23"/>
    <n v="25"/>
    <m/>
    <n v="0.35"/>
    <n v="25"/>
    <n v="1.01"/>
    <n v="2318"/>
    <n v="287"/>
  </r>
  <r>
    <x v="586"/>
    <n v="251318"/>
    <s v="MS"/>
    <s v="MS - Sunflower"/>
    <n v="38771"/>
    <s v="North Sunflower Medical Center"/>
    <s v="Critical Access Hospital"/>
    <s v="Ruleville"/>
    <n v="17.399999999999999"/>
    <n v="3.6"/>
    <n v="39"/>
    <n v="25"/>
    <m/>
    <n v="0.59"/>
    <n v="25"/>
    <n v="1.01"/>
    <n v="2319"/>
    <n v="497"/>
  </r>
  <r>
    <x v="587"/>
    <n v="251304"/>
    <s v="MS"/>
    <s v="MS - Tallahatchie"/>
    <n v="38921"/>
    <s v="Tallahatchie General Hospital (AKA Tallahatchie Critical Access Hospital)"/>
    <s v="Critical Access Hospital"/>
    <s v="Charleston"/>
    <n v="12.9"/>
    <n v="2.7"/>
    <n v="24"/>
    <n v="9"/>
    <m/>
    <m/>
    <n v="9"/>
    <n v="1.02"/>
    <n v="5037"/>
    <n v="105"/>
  </r>
  <r>
    <x v="588"/>
    <n v="251337"/>
    <s v="MS"/>
    <s v="MS - Tippah"/>
    <n v="38663"/>
    <s v="Tippah County Hospital"/>
    <s v="Critical Access Hospital"/>
    <s v="Ripley"/>
    <n v="10.6"/>
    <n v="3.2"/>
    <n v="29"/>
    <n v="25"/>
    <m/>
    <m/>
    <n v="25"/>
    <n v="1.02"/>
    <n v="2322"/>
    <n v="500"/>
  </r>
  <r>
    <x v="589"/>
    <n v="251324"/>
    <s v="MS"/>
    <s v="MS - Walthall"/>
    <n v="39667"/>
    <s v="Walthall General Hospital"/>
    <s v="Critical Access Hospital"/>
    <s v="Tylertown"/>
    <n v="4"/>
    <n v="3.1"/>
    <n v="9"/>
    <n v="25"/>
    <m/>
    <m/>
    <n v="25"/>
    <n v="0.99"/>
    <n v="2326"/>
    <n v="106"/>
  </r>
  <r>
    <x v="590"/>
    <n v="251309"/>
    <s v="MS"/>
    <s v="MS - Wilkinson"/>
    <n v="39631"/>
    <s v="Field Health System (FKA Field Memorial Community Hospital)"/>
    <s v="Critical Access Hospital"/>
    <s v="Centreville"/>
    <n v="9"/>
    <n v="3.6"/>
    <n v="17"/>
    <n v="16"/>
    <m/>
    <m/>
    <n v="16"/>
    <n v="1.08"/>
    <n v="2331"/>
    <n v="305"/>
  </r>
  <r>
    <x v="591"/>
    <n v="251313"/>
    <s v="MS"/>
    <s v="MS - Yazoo"/>
    <n v="39194"/>
    <s v="Baptist Memorial Hospital - Yazoo (FKA Kings Daughters Hospital)"/>
    <s v="Critical Access Hospital"/>
    <s v="Yazoo City"/>
    <n v="11.6"/>
    <n v="3.9"/>
    <n v="29"/>
    <n v="25"/>
    <m/>
    <n v="0.22"/>
    <n v="25"/>
    <n v="0.92"/>
    <n v="5644"/>
    <n v="417"/>
  </r>
  <r>
    <x v="592"/>
    <n v="261303"/>
    <s v="MO"/>
    <s v="MO - Atchison"/>
    <n v="64446"/>
    <s v="Community Hospital Fairfax"/>
    <s v="Critical Access Hospital"/>
    <s v="Fairfax"/>
    <n v="5.5"/>
    <n v="3"/>
    <n v="18"/>
    <n v="16"/>
    <m/>
    <m/>
    <n v="16"/>
    <n v="0.91"/>
    <n v="2335"/>
    <n v="399"/>
  </r>
  <r>
    <x v="593"/>
    <n v="261317"/>
    <s v="MO"/>
    <s v="MO - Barry"/>
    <n v="65625"/>
    <s v="Mercy Hospital Cassville (FKA St Johns Cassville)"/>
    <s v="Critical Access Hospital"/>
    <s v="Cassville"/>
    <n v="2.9"/>
    <n v="3.1"/>
    <n v="27"/>
    <n v="18"/>
    <m/>
    <m/>
    <n v="18"/>
    <n v="1.07"/>
    <n v="2337"/>
    <n v="236"/>
  </r>
  <r>
    <x v="593"/>
    <n v="261329"/>
    <s v="MO"/>
    <s v="MO - Barry"/>
    <n v="65708"/>
    <s v="Cox Monett Hospital"/>
    <s v="Critical Access Hospital"/>
    <s v="Monett"/>
    <n v="7.4"/>
    <n v="2.5"/>
    <n v="46"/>
    <n v="25"/>
    <m/>
    <m/>
    <n v="25"/>
    <n v="1.17"/>
    <n v="2338"/>
    <n v="784"/>
  </r>
  <r>
    <x v="594"/>
    <n v="261325"/>
    <s v="MO"/>
    <s v="MO - Barton"/>
    <n v="64759"/>
    <s v="Cox Barton County Hospital (FKA Barton County Memorial Hospital)"/>
    <s v="Critical Access Hospital"/>
    <s v="Lamar"/>
    <n v="6.4"/>
    <n v="3.3"/>
    <n v="28"/>
    <n v="25"/>
    <m/>
    <m/>
    <n v="25"/>
    <n v="1.18"/>
    <n v="2339"/>
    <n v="390"/>
  </r>
  <r>
    <x v="595"/>
    <n v="261332"/>
    <s v="MO"/>
    <s v="MO - Carroll"/>
    <n v="64633"/>
    <s v="Carroll County Memorial Hospital"/>
    <s v="Critical Access Hospital"/>
    <s v="Carrollton"/>
    <n v="4.5999999999999996"/>
    <n v="2.7"/>
    <n v="26"/>
    <n v="21"/>
    <m/>
    <m/>
    <n v="21"/>
    <n v="0.98"/>
    <n v="2352"/>
    <n v="232"/>
  </r>
  <r>
    <x v="596"/>
    <n v="261324"/>
    <s v="MO"/>
    <s v="MO - Cass"/>
    <n v="64701"/>
    <s v="Cass Regional Medical Center"/>
    <s v="Critical Access Hospital"/>
    <s v="Harrisonville"/>
    <n v="7.9"/>
    <n v="3.2"/>
    <n v="65"/>
    <n v="25"/>
    <n v="4"/>
    <n v="0.1"/>
    <n v="25"/>
    <n v="1.26"/>
    <n v="2353"/>
    <n v="939"/>
  </r>
  <r>
    <x v="597"/>
    <n v="261323"/>
    <s v="MO"/>
    <s v="MO - Cedar"/>
    <n v="64744"/>
    <s v="Cedar County Memorial Hospital"/>
    <s v="Critical Access Hospital"/>
    <s v="El Dorado Springs"/>
    <n v="4.7"/>
    <n v="3.4"/>
    <n v="18"/>
    <n v="25"/>
    <m/>
    <m/>
    <n v="25"/>
    <n v="0.93"/>
    <n v="4948"/>
    <n v="182"/>
  </r>
  <r>
    <x v="598"/>
    <n v="261322"/>
    <s v="MO"/>
    <s v="MO - Clay"/>
    <n v="64024"/>
    <s v="Excelsior Springs Hospital"/>
    <s v="Critical Access Hospital"/>
    <s v="Excelsior Springs"/>
    <n v="3.6"/>
    <n v="2.6"/>
    <n v="48"/>
    <n v="25"/>
    <m/>
    <n v="0.1"/>
    <n v="25"/>
    <n v="1.19"/>
    <n v="5079"/>
    <n v="187"/>
  </r>
  <r>
    <x v="599"/>
    <n v="261318"/>
    <s v="MO"/>
    <s v="MO - Dent"/>
    <n v="65560"/>
    <s v="Salem Memorial District Hospital"/>
    <s v="Critical Access Hospital"/>
    <s v="Salem"/>
    <n v="9.9"/>
    <n v="3.4"/>
    <n v="36"/>
    <n v="25"/>
    <m/>
    <m/>
    <n v="25"/>
    <n v="0.98"/>
    <n v="2361"/>
    <n v="758"/>
  </r>
  <r>
    <x v="600"/>
    <n v="261337"/>
    <s v="MO"/>
    <s v="MO - Franklin"/>
    <n v="63080"/>
    <s v="Missouri Baptist Sullivan Hospital"/>
    <s v="Critical Access Hospital"/>
    <s v="Sullivan"/>
    <n v="13.1"/>
    <n v="2.9"/>
    <n v="47"/>
    <n v="25"/>
    <m/>
    <n v="0.08"/>
    <n v="25"/>
    <n v="1.25"/>
    <n v="2364"/>
    <n v="1602"/>
  </r>
  <r>
    <x v="601"/>
    <n v="261314"/>
    <s v="MO"/>
    <s v="MO - Gasconade"/>
    <n v="65041"/>
    <s v="Hermann Area District Hospital"/>
    <s v="Critical Access Hospital"/>
    <s v="Hermann"/>
    <n v="9.8000000000000007"/>
    <n v="3.3"/>
    <n v="22"/>
    <n v="24"/>
    <m/>
    <m/>
    <n v="24"/>
    <n v="1.04"/>
    <n v="2365"/>
    <n v="246"/>
  </r>
  <r>
    <x v="602"/>
    <n v="261328"/>
    <s v="MO"/>
    <s v="MO - Gentry"/>
    <n v="64402"/>
    <s v="Mosaic Medical Center - Albany (FKA Northwest Medical Center)"/>
    <s v="Critical Access Hospital"/>
    <s v="Albany"/>
    <n v="5.7"/>
    <n v="2"/>
    <n v="11"/>
    <n v="25"/>
    <m/>
    <m/>
    <n v="25"/>
    <n v="0.9"/>
    <n v="2366"/>
    <n v="432"/>
  </r>
  <r>
    <x v="603"/>
    <n v="261309"/>
    <s v="MO"/>
    <s v="MO - Grundy"/>
    <n v="64683"/>
    <s v="Wright Memorial Hospital"/>
    <s v="Critical Access Hospital"/>
    <s v="Trenton"/>
    <n v="7.8"/>
    <n v="3.5"/>
    <n v="16"/>
    <n v="21"/>
    <m/>
    <m/>
    <n v="21"/>
    <n v="1.23"/>
    <n v="2370"/>
    <n v="306"/>
  </r>
  <r>
    <x v="604"/>
    <n v="261312"/>
    <s v="MO"/>
    <s v="MO - Harrison"/>
    <n v="64424"/>
    <s v="Harrison County Community Hospital"/>
    <s v="Critical Access Hospital"/>
    <s v="Bethany"/>
    <n v="6.4"/>
    <n v="3.2"/>
    <n v="22"/>
    <n v="14"/>
    <m/>
    <m/>
    <n v="14"/>
    <n v="0.93"/>
    <n v="2371"/>
    <n v="219"/>
  </r>
  <r>
    <x v="605"/>
    <n v="261335"/>
    <s v="MO"/>
    <s v="MO - Howell"/>
    <n v="65548"/>
    <s v="Mercy St Francis Hospital"/>
    <s v="Critical Access Hospital"/>
    <s v="Mountain View"/>
    <n v="2.7"/>
    <n v="3"/>
    <n v="18"/>
    <n v="25"/>
    <m/>
    <n v="0.86"/>
    <n v="25"/>
    <n v="1.18"/>
    <n v="2374"/>
    <n v="223"/>
  </r>
  <r>
    <x v="606"/>
    <n v="261336"/>
    <s v="MO"/>
    <s v="MO - Iron"/>
    <n v="63663"/>
    <s v="Iron County Medical Center (FKA Iron County Hospital)"/>
    <s v="Critical Access Hospital"/>
    <s v="Pilot Knob"/>
    <n v="4"/>
    <n v="2.8"/>
    <n v="23"/>
    <n v="15"/>
    <m/>
    <m/>
    <n v="15"/>
    <n v="1.01"/>
    <n v="6305"/>
    <n v="149"/>
  </r>
  <r>
    <x v="607"/>
    <n v="261338"/>
    <s v="MO"/>
    <s v="MO - Jasper"/>
    <n v="64836"/>
    <s v="Mercy Hospital Carthage (FKA Mercy Mccune-Brooks Hospital)"/>
    <s v="Critical Access Hospital"/>
    <s v="Carthage"/>
    <n v="13.9"/>
    <n v="3"/>
    <n v="50"/>
    <n v="25"/>
    <m/>
    <n v="0.47"/>
    <n v="25"/>
    <n v="1.36"/>
    <n v="2388"/>
    <n v="496"/>
  </r>
  <r>
    <x v="608"/>
    <n v="261320"/>
    <s v="MO"/>
    <s v="MO - Lafayette"/>
    <n v="64067"/>
    <s v="Lafayette Regional Health Center"/>
    <s v="Critical Access Hospital"/>
    <s v="Lexington"/>
    <n v="7"/>
    <n v="4.5"/>
    <n v="34"/>
    <n v="25"/>
    <n v="2"/>
    <n v="0.1"/>
    <n v="25"/>
    <n v="1.1499999999999999"/>
    <n v="2394"/>
    <n v="775"/>
  </r>
  <r>
    <x v="609"/>
    <n v="261316"/>
    <s v="MO"/>
    <s v="MO - Lawrence"/>
    <n v="65605"/>
    <s v="Mercy Hospital Aurora (FKA St Johns Hospital Aurora)"/>
    <s v="Critical Access Hospital"/>
    <s v="Aurora"/>
    <n v="4.9000000000000004"/>
    <n v="3.4"/>
    <n v="24"/>
    <n v="25"/>
    <m/>
    <m/>
    <n v="25"/>
    <n v="1.05"/>
    <n v="2395"/>
    <n v="499"/>
  </r>
  <r>
    <x v="610"/>
    <n v="261319"/>
    <s v="MO"/>
    <s v="MO - Lincoln"/>
    <n v="63379"/>
    <s v="Mercy Hospital Lincoln (FKA Lincoln County Medical Center)"/>
    <s v="Critical Access Hospital"/>
    <s v="Troy"/>
    <n v="8.8000000000000007"/>
    <n v="3.5"/>
    <n v="58"/>
    <n v="25"/>
    <n v="4"/>
    <n v="0.08"/>
    <n v="25"/>
    <n v="1.17"/>
    <n v="2396"/>
    <n v="569"/>
  </r>
  <r>
    <x v="611"/>
    <n v="261307"/>
    <s v="MO"/>
    <s v="MO - Linn"/>
    <n v="64628"/>
    <s v="Pershing Memorial Hospital"/>
    <s v="Critical Access Hospital"/>
    <s v="Brookfield"/>
    <n v="3.1"/>
    <n v="2.7"/>
    <n v="28"/>
    <n v="25"/>
    <m/>
    <m/>
    <n v="25"/>
    <n v="0.95"/>
    <n v="2397"/>
    <n v="191"/>
  </r>
  <r>
    <x v="612"/>
    <n v="261321"/>
    <s v="MO"/>
    <s v="MO - Livingston"/>
    <n v="64601"/>
    <s v="Hedrick Medical Center"/>
    <s v="Critical Access Hospital"/>
    <s v="Chillicothe"/>
    <n v="14.7"/>
    <n v="2.9"/>
    <n v="63"/>
    <n v="25"/>
    <m/>
    <m/>
    <n v="25"/>
    <n v="1.2"/>
    <n v="2398"/>
    <n v="1194"/>
  </r>
  <r>
    <x v="613"/>
    <n v="261313"/>
    <s v="MO"/>
    <s v="MO - Macon"/>
    <n v="63552"/>
    <s v="Samaritan Memorial Hospital"/>
    <s v="Critical Access Hospital"/>
    <s v="Macon"/>
    <n v="10.9"/>
    <n v="3.6"/>
    <n v="53"/>
    <n v="25"/>
    <m/>
    <m/>
    <n v="25"/>
    <n v="0.91"/>
    <n v="5757"/>
    <n v="565"/>
  </r>
  <r>
    <x v="614"/>
    <n v="261302"/>
    <s v="MO"/>
    <s v="MO - Madison"/>
    <n v="63645"/>
    <s v="Madison Medical Center"/>
    <s v="Critical Access Hospital"/>
    <s v="Fredericktown"/>
    <n v="5.9"/>
    <n v="2.4"/>
    <n v="37"/>
    <n v="25"/>
    <m/>
    <m/>
    <n v="25"/>
    <n v="0.86"/>
    <n v="4998"/>
    <n v="203"/>
  </r>
  <r>
    <x v="615"/>
    <n v="261331"/>
    <s v="MO"/>
    <s v="MO - Newton"/>
    <n v="64850"/>
    <s v="Freeman Neosho Hospital"/>
    <s v="Critical Access Hospital"/>
    <s v="Neosho"/>
    <n v="8.8000000000000007"/>
    <n v="3.2"/>
    <n v="31"/>
    <n v="25"/>
    <m/>
    <n v="0.47"/>
    <n v="25"/>
    <n v="1.17"/>
    <n v="2401"/>
    <n v="718"/>
  </r>
  <r>
    <x v="616"/>
    <n v="261311"/>
    <s v="MO"/>
    <s v="MO - Perry"/>
    <n v="63775"/>
    <s v="Perry County Memorial Hospital"/>
    <s v="Critical Access Hospital"/>
    <s v="Perryville"/>
    <n v="15.6"/>
    <n v="3.1"/>
    <n v="58"/>
    <n v="25"/>
    <m/>
    <m/>
    <n v="25"/>
    <n v="1.22"/>
    <n v="2404"/>
    <n v="1506"/>
  </r>
  <r>
    <x v="617"/>
    <n v="261333"/>
    <s v="MO"/>
    <s v="MO - Pike"/>
    <n v="63353"/>
    <s v="Pike County Memorial Hospital"/>
    <s v="Critical Access Hospital"/>
    <s v="Louisiana"/>
    <n v="4.4000000000000004"/>
    <n v="3.4"/>
    <n v="36"/>
    <n v="25"/>
    <m/>
    <m/>
    <n v="25"/>
    <n v="1.06"/>
    <n v="2407"/>
    <n v="212"/>
  </r>
  <r>
    <x v="618"/>
    <n v="261305"/>
    <s v="MO"/>
    <s v="MO - Putnam"/>
    <n v="63565"/>
    <s v="Putnam County Memorial Hospital"/>
    <s v="Critical Access Hospital"/>
    <s v="Unionville"/>
    <n v="4.3"/>
    <n v="2.8"/>
    <n v="10"/>
    <n v="15"/>
    <m/>
    <m/>
    <n v="15"/>
    <n v="0.93"/>
    <n v="2410"/>
    <n v="160"/>
  </r>
  <r>
    <x v="619"/>
    <n v="261327"/>
    <s v="MO"/>
    <s v="MO - Ray"/>
    <n v="64085"/>
    <s v="Ray County Memorial Hospital"/>
    <s v="Critical Access Hospital"/>
    <s v="Richmond"/>
    <n v="8.4"/>
    <n v="2.9"/>
    <n v="35"/>
    <n v="25"/>
    <m/>
    <n v="0.1"/>
    <n v="25"/>
    <n v="0.97"/>
    <n v="2412"/>
    <n v="597"/>
  </r>
  <r>
    <x v="620"/>
    <s v="261339 (Closed)"/>
    <s v="MO"/>
    <s v="MO - Reynolds"/>
    <n v="63638"/>
    <s v="SoutheastHEALTH of Reynolds County (Closed March 2016)"/>
    <s v="Critical Access Hospital"/>
    <s v="Ellington"/>
    <n v="0.7"/>
    <n v="0.6"/>
    <m/>
    <m/>
    <m/>
    <m/>
    <m/>
    <m/>
    <n v="2413"/>
    <n v="95"/>
  </r>
  <r>
    <x v="621"/>
    <n v="261301"/>
    <s v="MO"/>
    <s v="MO - Saint Clair"/>
    <n v="64724"/>
    <s v="Ellett Memorial Hospital"/>
    <s v="Critical Access Hospital"/>
    <s v="Appleton"/>
    <n v="1.6"/>
    <n v="3.4"/>
    <n v="7"/>
    <n v="25"/>
    <m/>
    <m/>
    <n v="12"/>
    <n v="0.94"/>
    <n v="5118"/>
    <n v="93"/>
  </r>
  <r>
    <x v="622"/>
    <n v="261330"/>
    <s v="MO"/>
    <s v="MO - Sainte Genevieve"/>
    <n v="63670"/>
    <s v="Ste Genevieve County Memorial Hospital"/>
    <s v="Critical Access Hospital"/>
    <s v="Sainte Genevieve"/>
    <n v="10.4"/>
    <n v="2.9"/>
    <n v="67"/>
    <n v="25"/>
    <m/>
    <m/>
    <n v="25"/>
    <n v="1.18"/>
    <n v="2420"/>
    <n v="736"/>
  </r>
  <r>
    <x v="623"/>
    <n v="261315"/>
    <s v="MO"/>
    <s v="MO - Saint Francois"/>
    <n v="63628"/>
    <s v="Parkland Health Center - Bonne Terre"/>
    <s v="Critical Access Hospital"/>
    <s v="Bonne Terre"/>
    <n v="0.1"/>
    <n v="1.2"/>
    <n v="11"/>
    <n v="3"/>
    <m/>
    <m/>
    <n v="3"/>
    <n v="1.22"/>
    <n v="5193"/>
    <n v="15"/>
  </r>
  <r>
    <x v="624"/>
    <s v="261334 (Closed)"/>
    <s v="MO"/>
    <s v="MO - Saline"/>
    <n v="65351"/>
    <s v="I-70 Community Hospital (Closed)"/>
    <s v="Critical Access Hospital"/>
    <s v="Sweet Springs"/>
    <n v="2.7"/>
    <n v="4.9000000000000004"/>
    <m/>
    <m/>
    <m/>
    <n v="0.79"/>
    <m/>
    <n v="0.9"/>
    <n v="5119"/>
    <n v="59"/>
  </r>
  <r>
    <x v="625"/>
    <n v="261310"/>
    <s v="MO"/>
    <s v="MO - Scotland"/>
    <n v="63555"/>
    <s v="Scotland County Hospital"/>
    <s v="Critical Access Hospital"/>
    <s v="Memphis"/>
    <n v="8.6"/>
    <n v="3.1"/>
    <n v="29"/>
    <n v="25"/>
    <m/>
    <m/>
    <n v="25"/>
    <n v="0.99"/>
    <n v="2434"/>
    <n v="490"/>
  </r>
  <r>
    <x v="626"/>
    <n v="261306"/>
    <s v="MO"/>
    <s v="MO - Sullivan"/>
    <n v="63556"/>
    <s v="Sullivan County Memorial Hospital"/>
    <s v="Critical Access Hospital"/>
    <s v="Milan"/>
    <n v="9.5"/>
    <n v="2.7"/>
    <n v="10"/>
    <n v="16"/>
    <m/>
    <m/>
    <n v="16"/>
    <n v="0.86"/>
    <n v="2436"/>
    <n v="132"/>
  </r>
  <r>
    <x v="627"/>
    <n v="261308"/>
    <s v="MO"/>
    <s v="MO - Washington"/>
    <n v="63664"/>
    <s v="Washington County Memorial Hospital"/>
    <s v="Critical Access Hospital"/>
    <s v="Potosi"/>
    <n v="11"/>
    <n v="3.2"/>
    <n v="57"/>
    <n v="25"/>
    <m/>
    <m/>
    <n v="25"/>
    <n v="0.9"/>
    <n v="2440"/>
    <n v="647"/>
  </r>
  <r>
    <x v="628"/>
    <n v="271318"/>
    <s v="MT"/>
    <s v="MT - Beaverhead"/>
    <n v="59725"/>
    <s v="Barrett Hospital &amp; HealthCare (FKA Barrett Memorial Hospital)"/>
    <s v="Critical Access Hospital"/>
    <s v="Dillon"/>
    <n v="6.1"/>
    <n v="3.2"/>
    <n v="39"/>
    <n v="18"/>
    <m/>
    <m/>
    <n v="18"/>
    <n v="1.2"/>
    <n v="2446"/>
    <n v="532"/>
  </r>
  <r>
    <x v="629"/>
    <n v="271338"/>
    <s v="MT"/>
    <s v="MT - Big Horn"/>
    <n v="59034"/>
    <s v="Big Horn County Memorial Hospital"/>
    <s v="Critical Access Hospital"/>
    <s v="Hardin"/>
    <n v="4.9000000000000004"/>
    <n v="2.4"/>
    <n v="20"/>
    <n v="25"/>
    <m/>
    <m/>
    <n v="25"/>
    <n v="0.92"/>
    <n v="2447"/>
    <n v="115"/>
  </r>
  <r>
    <x v="629"/>
    <n v="271339"/>
    <s v="MT"/>
    <s v="MT - Big Horn"/>
    <n v="59022"/>
    <s v="Crow Service Unit (AKA Crow/Northern Cheyenne Hospital)"/>
    <s v="Critical Access Hospital"/>
    <s v="Crow Agency"/>
    <n v="2.6"/>
    <n v="3.5"/>
    <n v="32"/>
    <n v="24"/>
    <m/>
    <m/>
    <n v="24"/>
    <n v="0.93"/>
    <n v="2448"/>
    <n v="271"/>
  </r>
  <r>
    <x v="630"/>
    <n v="271315"/>
    <s v="MT"/>
    <s v="MT - Blaine"/>
    <n v="59526"/>
    <s v="Fort Belknap Service Unit (AKA Fort Belknap Hospital)"/>
    <s v="Critical Access Hospital"/>
    <s v="Harlem"/>
    <n v="0.1"/>
    <n v="1.2"/>
    <n v="17"/>
    <n v="6"/>
    <m/>
    <m/>
    <n v="6"/>
    <n v="0.78"/>
    <n v="542056"/>
    <n v="15"/>
  </r>
  <r>
    <x v="631"/>
    <n v="271333"/>
    <s v="MT"/>
    <s v="MT - Broadwater"/>
    <n v="59644"/>
    <s v="Broadwater Health Center"/>
    <s v="Critical Access Hospital"/>
    <s v="Townsend"/>
    <n v="20.7"/>
    <n v="2.4"/>
    <n v="12"/>
    <n v="25"/>
    <m/>
    <m/>
    <n v="25"/>
    <n v="0.98"/>
    <n v="5575"/>
    <n v="53"/>
  </r>
  <r>
    <x v="632"/>
    <n v="271326"/>
    <s v="MT"/>
    <s v="MT - Carbon"/>
    <n v="59068"/>
    <s v="Beartooth Billings Clinic"/>
    <s v="Critical Access Hospital"/>
    <s v="Red Lodge"/>
    <n v="5.6"/>
    <n v="3.4"/>
    <n v="9"/>
    <n v="10"/>
    <m/>
    <n v="0.5"/>
    <n v="10"/>
    <n v="0.98"/>
    <n v="6214"/>
    <n v="169"/>
  </r>
  <r>
    <x v="633"/>
    <n v="271302"/>
    <s v="MT"/>
    <s v="MT - Carter"/>
    <n v="59324"/>
    <s v="Dahl Memorial Healthcare"/>
    <s v="Critical Access Hospital"/>
    <s v="Ekalaka"/>
    <n v="15.8"/>
    <n v="3.4"/>
    <n v="5"/>
    <n v="25"/>
    <m/>
    <m/>
    <n v="25"/>
    <n v="0.94"/>
    <n v="2449"/>
    <n v="13"/>
  </r>
  <r>
    <x v="634"/>
    <n v="271304"/>
    <s v="MT"/>
    <s v="MT - Chouteau"/>
    <n v="59442"/>
    <s v="Missouri River Medical Center"/>
    <s v="Critical Access Hospital"/>
    <s v="Fort Benton"/>
    <n v="18.100000000000001"/>
    <n v="2.5"/>
    <n v="5"/>
    <n v="25"/>
    <m/>
    <m/>
    <n v="25"/>
    <n v="0.79"/>
    <n v="2452"/>
    <n v="14"/>
  </r>
  <r>
    <x v="634"/>
    <n v="271311"/>
    <s v="MT"/>
    <s v="MT - Chouteau"/>
    <n v="59520"/>
    <s v="Big Sandy Medical Center"/>
    <s v="Critical Access Hospital"/>
    <s v="Big Sandy"/>
    <n v="0.9"/>
    <n v="2.5"/>
    <n v="2"/>
    <n v="8"/>
    <m/>
    <m/>
    <n v="8"/>
    <n v="0.84"/>
    <n v="6086"/>
    <n v="18"/>
  </r>
  <r>
    <x v="635"/>
    <n v="271347"/>
    <s v="MT"/>
    <s v="MT - Custer"/>
    <n v="59301"/>
    <s v="Holy Rosary Healthcare"/>
    <s v="Critical Access Hospital"/>
    <s v="Miles City"/>
    <n v="14"/>
    <n v="2"/>
    <n v="54"/>
    <n v="25"/>
    <n v="4"/>
    <m/>
    <n v="25"/>
    <n v="1.43"/>
    <n v="2453"/>
    <n v="1468"/>
  </r>
  <r>
    <x v="636"/>
    <n v="271342"/>
    <s v="MT"/>
    <s v="MT - Daniels"/>
    <n v="59263"/>
    <s v="Daniels Memorial Healthcare Center"/>
    <s v="Critical Access Hospital"/>
    <s v="Scobey"/>
    <n v="20.8"/>
    <n v="2.9"/>
    <n v="4"/>
    <n v="25"/>
    <m/>
    <m/>
    <n v="25"/>
    <n v="0.89"/>
    <n v="2454"/>
    <n v="54"/>
  </r>
  <r>
    <x v="637"/>
    <n v="271332"/>
    <s v="MT"/>
    <s v="MT - Dawson"/>
    <n v="59330"/>
    <s v="Glendive Medical Center"/>
    <s v="Critical Access Hospital"/>
    <s v="Glendive"/>
    <n v="7.6"/>
    <n v="2.6"/>
    <n v="34"/>
    <n v="25"/>
    <n v="3"/>
    <m/>
    <n v="25"/>
    <n v="1.1299999999999999"/>
    <n v="2455"/>
    <n v="421"/>
  </r>
  <r>
    <x v="638"/>
    <n v="271335"/>
    <s v="MT"/>
    <s v="MT - Deer Lodge"/>
    <n v="59711"/>
    <s v="Community Hospital of Anaconda"/>
    <s v="Critical Access Hospital"/>
    <s v="Anaconda"/>
    <n v="13.9"/>
    <n v="3"/>
    <n v="51"/>
    <n v="25"/>
    <m/>
    <m/>
    <n v="25"/>
    <n v="1.39"/>
    <n v="2456"/>
    <n v="1134"/>
  </r>
  <r>
    <x v="639"/>
    <n v="271301"/>
    <s v="MT"/>
    <s v="MT - Fallon"/>
    <n v="59313"/>
    <s v="Fallon Medical Complex"/>
    <s v="Critical Access Hospital"/>
    <s v="Baker"/>
    <n v="14.9"/>
    <n v="2.2999999999999998"/>
    <n v="8"/>
    <n v="25"/>
    <m/>
    <m/>
    <n v="25"/>
    <n v="0.87"/>
    <n v="5766"/>
    <n v="109"/>
  </r>
  <r>
    <x v="640"/>
    <n v="271345"/>
    <s v="MT"/>
    <s v="MT - Fergus"/>
    <n v="59457"/>
    <s v="Central Montana Medical Center"/>
    <s v="Critical Access Hospital"/>
    <s v="Lewistown"/>
    <n v="9.1999999999999993"/>
    <n v="3.1"/>
    <n v="43"/>
    <n v="23"/>
    <m/>
    <m/>
    <n v="23"/>
    <n v="1.1200000000000001"/>
    <n v="2457"/>
    <n v="594"/>
  </r>
  <r>
    <x v="641"/>
    <n v="271336"/>
    <s v="MT"/>
    <s v="MT - Flathead"/>
    <n v="59937"/>
    <s v="North Valley Hospital"/>
    <s v="Critical Access Hospital"/>
    <s v="Whitefish"/>
    <n v="12.8"/>
    <n v="2.9"/>
    <n v="90"/>
    <n v="25"/>
    <n v="4"/>
    <n v="0.37"/>
    <n v="25"/>
    <n v="1.44"/>
    <n v="2458"/>
    <n v="1540"/>
  </r>
  <r>
    <x v="642"/>
    <n v="271389"/>
    <s v="MT"/>
    <s v="MT - Gallatin"/>
    <n v="59716"/>
    <s v="Bozeman Health Big Sky Medical Center"/>
    <s v="Critical Access Hospital"/>
    <s v="Big Sky"/>
    <n v="0.2"/>
    <n v="2.1"/>
    <n v="6"/>
    <n v="4"/>
    <m/>
    <n v="0.95"/>
    <n v="4"/>
    <n v="0.99"/>
    <n v="842946"/>
    <n v="49"/>
  </r>
  <r>
    <x v="643"/>
    <n v="271310"/>
    <s v="MT"/>
    <s v="MT - Garfield"/>
    <n v="59337"/>
    <s v="Garfield County Health Center"/>
    <s v="Critical Access Hospital"/>
    <s v="Jordan"/>
    <n v="0"/>
    <n v="2.2999999999999998"/>
    <n v="3"/>
    <n v="4"/>
    <m/>
    <m/>
    <n v="4"/>
    <n v="0.74"/>
    <n v="2462"/>
    <n v="4"/>
  </r>
  <r>
    <x v="644"/>
    <n v="271337"/>
    <s v="MT"/>
    <s v="MT - Glacier"/>
    <n v="59427"/>
    <s v="Northern Rockies Medical Center"/>
    <s v="Critical Access Hospital"/>
    <s v="Cut Bank"/>
    <n v="2.2000000000000002"/>
    <n v="2.7"/>
    <n v="19"/>
    <n v="20"/>
    <m/>
    <m/>
    <n v="20"/>
    <n v="0.88"/>
    <n v="2464"/>
    <n v="123"/>
  </r>
  <r>
    <x v="645"/>
    <n v="271303"/>
    <s v="MT"/>
    <s v="MT - Granite"/>
    <n v="59858"/>
    <s v="Granite County Medical Center"/>
    <s v="Critical Access Hospital"/>
    <s v="Philipsburg"/>
    <n v="21"/>
    <n v="2.7"/>
    <n v="4"/>
    <n v="25"/>
    <m/>
    <m/>
    <n v="25"/>
    <n v="0.95"/>
    <n v="5880"/>
    <n v="18"/>
  </r>
  <r>
    <x v="646"/>
    <n v="271325"/>
    <s v="MT"/>
    <s v="MT - Lake"/>
    <n v="59864"/>
    <s v="St Luke Community Hospital"/>
    <s v="Critical Access Hospital"/>
    <s v="Ronan"/>
    <n v="11.3"/>
    <n v="3.3"/>
    <n v="47"/>
    <n v="25"/>
    <m/>
    <m/>
    <n v="25"/>
    <n v="0.93"/>
    <n v="2466"/>
    <n v="750"/>
  </r>
  <r>
    <x v="646"/>
    <n v="271343"/>
    <s v="MT"/>
    <s v="MT - Lake"/>
    <n v="59860"/>
    <s v="Providence St Joseph Medical Center"/>
    <s v="Critical Access Hospital"/>
    <s v="Polson"/>
    <n v="6.2"/>
    <n v="3"/>
    <n v="34"/>
    <n v="22"/>
    <m/>
    <m/>
    <n v="22"/>
    <n v="1.39"/>
    <n v="2467"/>
    <n v="665"/>
  </r>
  <r>
    <x v="647"/>
    <n v="271334"/>
    <s v="MT"/>
    <s v="MT - Liberty"/>
    <n v="59522"/>
    <s v="Liberty Medical Center (FKA Liberty County Hospital)"/>
    <s v="Critical Access Hospital"/>
    <s v="Chester"/>
    <n v="21.1"/>
    <n v="2.4"/>
    <n v="5"/>
    <n v="25"/>
    <m/>
    <m/>
    <n v="25"/>
    <n v="0.94"/>
    <n v="2470"/>
    <n v="49"/>
  </r>
  <r>
    <x v="648"/>
    <n v="271320"/>
    <s v="MT"/>
    <s v="MT - Lincoln"/>
    <n v="59923"/>
    <s v="Cabinet Peaks Medical Center (FKA St Johns Lutheran Hospital)"/>
    <s v="Critical Access Hospital"/>
    <s v="Libby"/>
    <n v="6.8"/>
    <n v="2.2000000000000002"/>
    <n v="46"/>
    <n v="25"/>
    <m/>
    <m/>
    <n v="25"/>
    <n v="1.1299999999999999"/>
    <n v="2471"/>
    <n v="960"/>
  </r>
  <r>
    <x v="649"/>
    <n v="271305"/>
    <s v="MT"/>
    <s v="MT - Mccone"/>
    <n v="59215"/>
    <s v="McCone County Health Center"/>
    <s v="Critical Access Hospital"/>
    <s v="Circle"/>
    <n v="16.100000000000001"/>
    <n v="2.5"/>
    <n v="2"/>
    <n v="30"/>
    <m/>
    <m/>
    <n v="25"/>
    <n v="0.92"/>
    <n v="2472"/>
    <n v="33"/>
  </r>
  <r>
    <x v="650"/>
    <n v="271319"/>
    <s v="MT"/>
    <s v="MT - Madison"/>
    <n v="59749"/>
    <s v="Ruby Valley Medical Center"/>
    <s v="Critical Access Hospital"/>
    <s v="Sheridan"/>
    <n v="2.2999999999999998"/>
    <n v="3.6"/>
    <n v="7"/>
    <n v="10"/>
    <m/>
    <m/>
    <n v="10"/>
    <n v="0.85"/>
    <n v="2473"/>
    <n v="99"/>
  </r>
  <r>
    <x v="650"/>
    <n v="271329"/>
    <s v="MT"/>
    <s v="MT - Madison"/>
    <n v="59729"/>
    <s v="Madison Valley Hospital"/>
    <s v="Critical Access Hospital"/>
    <s v="Ennis"/>
    <n v="3.3"/>
    <n v="3"/>
    <n v="10"/>
    <n v="10"/>
    <m/>
    <m/>
    <n v="10"/>
    <n v="1"/>
    <n v="5410"/>
    <n v="114"/>
  </r>
  <r>
    <x v="651"/>
    <n v="271306"/>
    <s v="MT"/>
    <s v="MT - Meagher"/>
    <n v="59645"/>
    <s v="Mountainview Medical Center"/>
    <s v="Critical Access Hospital"/>
    <s v="White Sulphur Springs"/>
    <n v="17.3"/>
    <n v="2.2999999999999998"/>
    <n v="7"/>
    <n v="25"/>
    <m/>
    <m/>
    <n v="25"/>
    <n v="0.88"/>
    <n v="2474"/>
    <n v="66"/>
  </r>
  <r>
    <x v="652"/>
    <n v="271331"/>
    <s v="MT"/>
    <s v="MT - Mineral"/>
    <n v="59872"/>
    <s v="Mineral Community Hospital"/>
    <s v="Critical Access Hospital"/>
    <s v="Superior"/>
    <n v="15.7"/>
    <n v="1.6"/>
    <n v="6"/>
    <n v="24"/>
    <m/>
    <m/>
    <n v="24"/>
    <n v="0.9"/>
    <n v="6136"/>
    <n v="144"/>
  </r>
  <r>
    <x v="653"/>
    <n v="271346"/>
    <s v="MT"/>
    <s v="MT - Musselshell"/>
    <n v="59072"/>
    <s v="Roundup Memorial Healthcare"/>
    <s v="Critical Access Hospital"/>
    <s v="Roundup"/>
    <n v="21.1"/>
    <n v="2.8"/>
    <n v="15"/>
    <n v="25"/>
    <m/>
    <m/>
    <n v="25"/>
    <n v="0.97"/>
    <n v="2477"/>
    <n v="80"/>
  </r>
  <r>
    <x v="654"/>
    <n v="271317"/>
    <s v="MT"/>
    <s v="MT - Park"/>
    <n v="59047"/>
    <s v="Livingston HealthCare"/>
    <s v="Critical Access Hospital"/>
    <s v="Livingston"/>
    <n v="10.8"/>
    <n v="3.6"/>
    <n v="53"/>
    <n v="25"/>
    <n v="4"/>
    <m/>
    <n v="25"/>
    <n v="1.1200000000000001"/>
    <n v="2478"/>
    <n v="931"/>
  </r>
  <r>
    <x v="655"/>
    <n v="271312"/>
    <s v="MT"/>
    <s v="MT - Phillips"/>
    <n v="59538"/>
    <s v="Phillips County Hospital"/>
    <s v="Critical Access Hospital"/>
    <s v="Malta"/>
    <n v="1.5"/>
    <n v="2.7"/>
    <n v="6"/>
    <n v="6"/>
    <m/>
    <m/>
    <n v="6"/>
    <n v="0.83"/>
    <n v="5504"/>
    <n v="145"/>
  </r>
  <r>
    <x v="656"/>
    <n v="271324"/>
    <s v="MT"/>
    <s v="MT - Pondera"/>
    <n v="59425"/>
    <s v="Pondera Medical Center"/>
    <s v="Critical Access Hospital"/>
    <s v="Conrad"/>
    <n v="2.7"/>
    <n v="2.7"/>
    <n v="9"/>
    <n v="20"/>
    <m/>
    <m/>
    <n v="20"/>
    <n v="0.96"/>
    <n v="2479"/>
    <n v="63"/>
  </r>
  <r>
    <x v="657"/>
    <n v="271314"/>
    <s v="MT"/>
    <s v="MT - Powell"/>
    <n v="59722"/>
    <s v="Deer Lodge Medical Center (FKA Powell County Medical Center)"/>
    <s v="Critical Access Hospital"/>
    <s v="Deer Lodge"/>
    <n v="3.1"/>
    <n v="3"/>
    <n v="13"/>
    <n v="16"/>
    <m/>
    <m/>
    <n v="16"/>
    <n v="0.93"/>
    <n v="6424"/>
    <n v="170"/>
  </r>
  <r>
    <x v="658"/>
    <n v="271309"/>
    <s v="MT"/>
    <s v="MT - Prairie"/>
    <n v="59349"/>
    <s v="Prairie Community Hospital"/>
    <s v="Critical Access Hospital"/>
    <s v="Terry"/>
    <n v="20.8"/>
    <n v="2.2000000000000002"/>
    <n v="2"/>
    <n v="22"/>
    <m/>
    <m/>
    <n v="22"/>
    <n v="0.85"/>
    <n v="2480"/>
    <n v="14"/>
  </r>
  <r>
    <x v="659"/>
    <n v="271340"/>
    <s v="MT"/>
    <s v="MT - Ravalli"/>
    <n v="59840"/>
    <s v="Marcus Daly Memorial Hospital - CAH"/>
    <s v="Critical Access Hospital"/>
    <s v="Hamilton"/>
    <n v="14.2"/>
    <n v="2.7"/>
    <n v="76"/>
    <n v="25"/>
    <n v="5"/>
    <m/>
    <n v="25"/>
    <n v="1.27"/>
    <n v="2481"/>
    <n v="1517"/>
  </r>
  <r>
    <x v="660"/>
    <n v="271344"/>
    <s v="MT"/>
    <s v="MT - Richland"/>
    <n v="59270"/>
    <s v="Sidney Health Center"/>
    <s v="Critical Access Hospital"/>
    <s v="Sidney"/>
    <n v="12.7"/>
    <n v="2.7"/>
    <n v="53"/>
    <n v="25"/>
    <m/>
    <m/>
    <n v="25"/>
    <n v="1.1399999999999999"/>
    <n v="2482"/>
    <n v="1301"/>
  </r>
  <r>
    <x v="661"/>
    <n v="271341"/>
    <s v="MT"/>
    <s v="MT - Roosevelt"/>
    <n v="59201"/>
    <s v="Trinity Hospital"/>
    <s v="Critical Access Hospital"/>
    <s v="Wolf Point"/>
    <n v="3"/>
    <n v="2.5"/>
    <n v="16"/>
    <n v="22"/>
    <m/>
    <m/>
    <n v="22"/>
    <n v="0.94"/>
    <n v="2483"/>
    <n v="305"/>
  </r>
  <r>
    <x v="661"/>
    <n v="271308"/>
    <s v="MT"/>
    <s v="MT - Roosevelt"/>
    <n v="59218"/>
    <s v="Roosevelt Medical Center"/>
    <s v="Critical Access Hospital"/>
    <s v="Culbertson"/>
    <n v="21.9"/>
    <n v="2.8"/>
    <n v="3"/>
    <n v="33"/>
    <m/>
    <m/>
    <n v="33"/>
    <n v="0.98"/>
    <n v="2484"/>
    <n v="35"/>
  </r>
  <r>
    <x v="661"/>
    <n v="271300"/>
    <s v="MT"/>
    <s v="MT - Roosevelt"/>
    <n v="59255"/>
    <s v="Poplar Community Hospital"/>
    <s v="Critical Access Hospital"/>
    <s v="Poplar"/>
    <n v="4.8"/>
    <n v="2.2000000000000002"/>
    <n v="8"/>
    <n v="20"/>
    <m/>
    <m/>
    <n v="20"/>
    <n v="0.91"/>
    <n v="2485"/>
    <n v="129"/>
  </r>
  <r>
    <x v="662"/>
    <n v="271327"/>
    <s v="MT"/>
    <s v="MT - Rosebud"/>
    <n v="59327"/>
    <s v="Rosebud Community Hospital"/>
    <s v="Critical Access Hospital"/>
    <s v="Forsyth"/>
    <n v="8.6"/>
    <n v="2.7"/>
    <n v="5"/>
    <n v="25"/>
    <n v="1"/>
    <m/>
    <n v="25"/>
    <n v="0.94"/>
    <n v="6418"/>
    <n v="105"/>
  </r>
  <r>
    <x v="663"/>
    <n v="271323"/>
    <s v="MT"/>
    <s v="MT - Sanders"/>
    <n v="59859"/>
    <s v="Clark Fork Valley Hospital"/>
    <s v="Critical Access Hospital"/>
    <s v="Plains"/>
    <n v="5"/>
    <n v="2.8"/>
    <n v="20"/>
    <n v="16"/>
    <m/>
    <m/>
    <n v="16"/>
    <n v="1.03"/>
    <n v="2486"/>
    <n v="420"/>
  </r>
  <r>
    <x v="664"/>
    <n v="271322"/>
    <s v="MT"/>
    <s v="MT - Sheridan"/>
    <n v="59254"/>
    <s v="Sheridan Memorial Hospital Association"/>
    <s v="Critical Access Hospital"/>
    <s v="Plentywood"/>
    <n v="4.3"/>
    <n v="3.1"/>
    <n v="11"/>
    <n v="19"/>
    <m/>
    <m/>
    <n v="19"/>
    <n v="1.01"/>
    <n v="2487"/>
    <n v="118"/>
  </r>
  <r>
    <x v="665"/>
    <n v="271330"/>
    <s v="MT"/>
    <s v="MT - Stillwater"/>
    <n v="59019"/>
    <s v="Stillwater Billings Clinic"/>
    <s v="Critical Access Hospital"/>
    <s v="Columbus"/>
    <n v="3.6"/>
    <n v="3.9"/>
    <n v="6"/>
    <n v="10"/>
    <m/>
    <n v="0.5"/>
    <n v="10"/>
    <n v="0.94"/>
    <n v="2489"/>
    <n v="107"/>
  </r>
  <r>
    <x v="666"/>
    <n v="271313"/>
    <s v="MT"/>
    <s v="MT - Sweet Grass"/>
    <n v="59011"/>
    <s v="Pioneer Medical Center"/>
    <s v="Critical Access Hospital"/>
    <s v="Big Timber"/>
    <n v="20.5"/>
    <n v="3.1"/>
    <n v="6"/>
    <n v="25"/>
    <m/>
    <m/>
    <n v="25"/>
    <n v="0.87"/>
    <n v="2490"/>
    <n v="102"/>
  </r>
  <r>
    <x v="667"/>
    <n v="271307"/>
    <s v="MT"/>
    <s v="MT - Teton"/>
    <n v="59422"/>
    <s v="Benefis Teton Medical Center"/>
    <s v="Critical Access Hospital"/>
    <s v="Choteau"/>
    <n v="22.5"/>
    <n v="2.6"/>
    <n v="8"/>
    <n v="25"/>
    <m/>
    <m/>
    <n v="25"/>
    <n v="0.93"/>
    <n v="2491"/>
    <n v="43"/>
  </r>
  <r>
    <x v="668"/>
    <n v="271328"/>
    <s v="MT"/>
    <s v="MT - Toole"/>
    <n v="59474"/>
    <s v="Marias Medical Center"/>
    <s v="Critical Access Hospital"/>
    <s v="Shelby"/>
    <n v="3.3"/>
    <n v="2.1"/>
    <n v="18"/>
    <n v="21"/>
    <m/>
    <m/>
    <n v="21"/>
    <n v="0.87"/>
    <n v="2492"/>
    <n v="246"/>
  </r>
  <r>
    <x v="669"/>
    <n v="271316"/>
    <s v="MT"/>
    <s v="MT - Valley"/>
    <n v="59230"/>
    <s v="Frances Mahon Deaconess Hospital"/>
    <s v="Critical Access Hospital"/>
    <s v="Glasgow"/>
    <n v="4.3"/>
    <n v="2.2000000000000002"/>
    <n v="28"/>
    <n v="25"/>
    <m/>
    <m/>
    <n v="25"/>
    <n v="1.29"/>
    <n v="2493"/>
    <n v="496"/>
  </r>
  <r>
    <x v="670"/>
    <n v="271321"/>
    <s v="MT"/>
    <s v="MT - Wheatland"/>
    <n v="59036"/>
    <s v="Wheatland Memorial Healthcare"/>
    <s v="Critical Access Hospital"/>
    <s v="Harlowton"/>
    <n v="19.399999999999999"/>
    <n v="1.9"/>
    <n v="7"/>
    <n v="25"/>
    <m/>
    <m/>
    <n v="25"/>
    <n v="0.83"/>
    <n v="2494"/>
    <n v="24"/>
  </r>
  <r>
    <x v="671"/>
    <n v="281326"/>
    <s v="NE"/>
    <s v="NE - Antelope"/>
    <n v="68756"/>
    <s v="Antelope Memorial Hospital"/>
    <s v="Critical Access Hospital"/>
    <s v="Neligh"/>
    <n v="2.7"/>
    <n v="2.7"/>
    <n v="9"/>
    <n v="23"/>
    <m/>
    <m/>
    <n v="23"/>
    <n v="0.97"/>
    <n v="2499"/>
    <n v="158"/>
  </r>
  <r>
    <x v="672"/>
    <n v="281334"/>
    <s v="NE"/>
    <s v="NE - Boone"/>
    <n v="68620"/>
    <s v="Boone County Health Center"/>
    <s v="Critical Access Hospital"/>
    <s v="Albion"/>
    <n v="8.6999999999999993"/>
    <n v="3.2"/>
    <n v="25"/>
    <n v="25"/>
    <m/>
    <m/>
    <n v="25"/>
    <n v="1.02"/>
    <n v="2500"/>
    <n v="583"/>
  </r>
  <r>
    <x v="673"/>
    <n v="281360"/>
    <s v="NE"/>
    <s v="NE - Box Butte"/>
    <n v="69301"/>
    <s v="Box Butte General Hospital"/>
    <s v="Critical Access Hospital"/>
    <s v="Alliance"/>
    <n v="8.3000000000000007"/>
    <n v="2.6"/>
    <n v="36"/>
    <n v="25"/>
    <m/>
    <m/>
    <n v="25"/>
    <n v="1.27"/>
    <n v="2501"/>
    <n v="628"/>
  </r>
  <r>
    <x v="674"/>
    <n v="281303"/>
    <s v="NE"/>
    <s v="NE - Boyd"/>
    <n v="68746"/>
    <s v="Niobrara Valley Hospital"/>
    <s v="Critical Access Hospital"/>
    <s v="Lynch"/>
    <n v="0.8"/>
    <n v="3.4"/>
    <n v="5"/>
    <n v="15"/>
    <m/>
    <m/>
    <n v="15"/>
    <n v="0.8"/>
    <n v="2502"/>
    <n v="19"/>
  </r>
  <r>
    <x v="675"/>
    <n v="281325"/>
    <s v="NE"/>
    <s v="NE - Brown"/>
    <n v="69210"/>
    <s v="Brown County Hospital"/>
    <s v="Critical Access Hospital"/>
    <s v="Ainsworth"/>
    <n v="3.1"/>
    <n v="2.8"/>
    <n v="8"/>
    <n v="23"/>
    <m/>
    <m/>
    <n v="23"/>
    <n v="0.95"/>
    <n v="2503"/>
    <n v="34"/>
  </r>
  <r>
    <x v="676"/>
    <n v="281321"/>
    <s v="NE"/>
    <s v="NE - Burt"/>
    <n v="68045"/>
    <s v="MercyOne Oakland Medical Center (FKA Oakland Mercy Hospital)"/>
    <s v="Critical Access Hospital"/>
    <s v="Oakland"/>
    <n v="0.8"/>
    <n v="4.7"/>
    <n v="9"/>
    <n v="16"/>
    <m/>
    <m/>
    <n v="16"/>
    <n v="0.91"/>
    <n v="2505"/>
    <n v="60"/>
  </r>
  <r>
    <x v="677"/>
    <n v="281332"/>
    <s v="NE"/>
    <s v="NE - Butler"/>
    <n v="68632"/>
    <s v="Butler County Health Care Center"/>
    <s v="Critical Access Hospital"/>
    <s v="David City"/>
    <n v="4.0999999999999996"/>
    <n v="2.8"/>
    <n v="9"/>
    <n v="20"/>
    <m/>
    <m/>
    <n v="20"/>
    <n v="1.21"/>
    <n v="2506"/>
    <n v="277"/>
  </r>
  <r>
    <x v="678"/>
    <n v="281351"/>
    <s v="NE"/>
    <s v="NE - Chase"/>
    <n v="69033"/>
    <s v="Chase County Community Hospital"/>
    <s v="Critical Access Hospital"/>
    <s v="Imperial"/>
    <n v="1.5"/>
    <n v="2.1"/>
    <n v="11"/>
    <n v="20"/>
    <m/>
    <m/>
    <n v="20"/>
    <n v="1.1599999999999999"/>
    <n v="2507"/>
    <n v="86"/>
  </r>
  <r>
    <x v="679"/>
    <n v="281344"/>
    <s v="NE"/>
    <s v="NE - Cherry"/>
    <n v="69201"/>
    <s v="Cherry County Hospital"/>
    <s v="Critical Access Hospital"/>
    <s v="Valentine"/>
    <n v="4.3"/>
    <n v="2.9"/>
    <n v="20"/>
    <n v="25"/>
    <m/>
    <m/>
    <n v="25"/>
    <n v="1.1000000000000001"/>
    <n v="2508"/>
    <n v="387"/>
  </r>
  <r>
    <x v="680"/>
    <n v="281357"/>
    <s v="NE"/>
    <s v="NE - Cheyenne"/>
    <n v="69162"/>
    <s v="Sidney Regional Medical Center (FKA Memorial Health Center)"/>
    <s v="Critical Access Hospital"/>
    <s v="Sidney"/>
    <n v="5.4"/>
    <n v="1.8"/>
    <n v="43"/>
    <n v="19"/>
    <n v="4"/>
    <m/>
    <n v="19"/>
    <n v="1.68"/>
    <n v="2509"/>
    <n v="534"/>
  </r>
  <r>
    <x v="681"/>
    <n v="281323"/>
    <s v="NE"/>
    <s v="NE - Colfax"/>
    <n v="68661"/>
    <s v="CHI Health Schuyler (FKA Alegent Health Memorial Hospital)"/>
    <s v="Critical Access Hospital"/>
    <s v="Schuyler"/>
    <n v="1"/>
    <n v="1.5"/>
    <n v="8"/>
    <n v="25"/>
    <m/>
    <m/>
    <n v="25"/>
    <n v="1.1499999999999999"/>
    <n v="2510"/>
    <n v="140"/>
  </r>
  <r>
    <x v="682"/>
    <n v="281322"/>
    <s v="NE"/>
    <s v="NE - Cuming"/>
    <n v="68788"/>
    <s v="St Francis Memorial Hospital"/>
    <s v="Critical Access Hospital"/>
    <s v="West Point"/>
    <n v="5.0999999999999996"/>
    <n v="3.6"/>
    <n v="17"/>
    <n v="25"/>
    <m/>
    <m/>
    <n v="25"/>
    <n v="1.06"/>
    <n v="2511"/>
    <n v="350"/>
  </r>
  <r>
    <x v="683"/>
    <n v="281335"/>
    <s v="NE"/>
    <s v="NE - Custer"/>
    <n v="68825"/>
    <s v="Callaway District Hospital"/>
    <s v="Critical Access Hospital"/>
    <s v="Callaway"/>
    <n v="1.4"/>
    <n v="2.5"/>
    <n v="7"/>
    <n v="12"/>
    <m/>
    <m/>
    <n v="12"/>
    <n v="0.86"/>
    <n v="2512"/>
    <n v="163"/>
  </r>
  <r>
    <x v="683"/>
    <n v="281365"/>
    <s v="NE"/>
    <s v="NE - Custer"/>
    <n v="68822"/>
    <s v="Jennie M Melham Memorial Medical Center"/>
    <s v="Critical Access Hospital"/>
    <s v="Broken Bow"/>
    <n v="2.2999999999999998"/>
    <n v="3"/>
    <n v="17"/>
    <n v="23"/>
    <m/>
    <m/>
    <n v="23"/>
    <n v="0.92"/>
    <n v="2513"/>
    <n v="236"/>
  </r>
  <r>
    <x v="684"/>
    <n v="281341"/>
    <s v="NE"/>
    <s v="NE - Dawes"/>
    <n v="69337"/>
    <s v="Chadron Community Hospital and Health Services"/>
    <s v="Critical Access Hospital"/>
    <s v="Chadron"/>
    <n v="4.5"/>
    <n v="4.4000000000000004"/>
    <n v="23"/>
    <n v="25"/>
    <m/>
    <m/>
    <n v="25"/>
    <n v="0.98"/>
    <n v="2514"/>
    <n v="383"/>
  </r>
  <r>
    <x v="685"/>
    <n v="281361"/>
    <s v="NE"/>
    <s v="NE - Dawson"/>
    <n v="68850"/>
    <s v="Lexington Regional Health Center"/>
    <s v="Critical Access Hospital"/>
    <s v="Lexington"/>
    <n v="6.8"/>
    <n v="2.7"/>
    <n v="30"/>
    <n v="25"/>
    <m/>
    <n v="0.37"/>
    <n v="25"/>
    <n v="1.1200000000000001"/>
    <n v="2515"/>
    <n v="462"/>
  </r>
  <r>
    <x v="685"/>
    <n v="281327"/>
    <s v="NE"/>
    <s v="NE - Dawson"/>
    <n v="69130"/>
    <s v="Cozad Community Hospital"/>
    <s v="Critical Access Hospital"/>
    <s v="Cozad"/>
    <n v="3.3"/>
    <n v="3.6"/>
    <n v="13"/>
    <n v="20"/>
    <m/>
    <n v="0.37"/>
    <n v="20"/>
    <n v="0.95"/>
    <n v="2516"/>
    <n v="190"/>
  </r>
  <r>
    <x v="685"/>
    <n v="281313"/>
    <s v="NE"/>
    <s v="NE - Dawson"/>
    <n v="69138"/>
    <s v="Gothenburg Memorial Hospital"/>
    <s v="Critical Access Hospital"/>
    <s v="Gothenburg"/>
    <n v="2.2999999999999998"/>
    <n v="2.4"/>
    <n v="16"/>
    <n v="12"/>
    <m/>
    <n v="0.37"/>
    <n v="12"/>
    <n v="1.07"/>
    <n v="2517"/>
    <n v="176"/>
  </r>
  <r>
    <x v="686"/>
    <n v="281340"/>
    <s v="NE"/>
    <s v="NE - Dundy"/>
    <n v="69021"/>
    <s v="Dundy County Hospital"/>
    <s v="Critical Access Hospital"/>
    <s v="Benkelman"/>
    <n v="1.7"/>
    <n v="3"/>
    <n v="6"/>
    <n v="14"/>
    <m/>
    <m/>
    <n v="14"/>
    <n v="0.97"/>
    <n v="2529"/>
    <n v="99"/>
  </r>
  <r>
    <x v="687"/>
    <n v="281301"/>
    <s v="NE"/>
    <s v="NE - Fillmore"/>
    <n v="68361"/>
    <s v="Fillmore County Hospital"/>
    <s v="Critical Access Hospital"/>
    <s v="Geneva"/>
    <n v="4.2"/>
    <n v="2.5"/>
    <n v="22"/>
    <n v="20"/>
    <m/>
    <m/>
    <n v="20"/>
    <n v="1.23"/>
    <n v="2530"/>
    <n v="331"/>
  </r>
  <r>
    <x v="688"/>
    <n v="281311"/>
    <s v="NE"/>
    <s v="NE - Franklin"/>
    <n v="68939"/>
    <s v="Franklin County Memorial Hospital"/>
    <s v="Critical Access Hospital"/>
    <s v="Franklin"/>
    <n v="0.6"/>
    <n v="2.4"/>
    <n v="7"/>
    <n v="14"/>
    <m/>
    <m/>
    <n v="14"/>
    <n v="0.88"/>
    <n v="2531"/>
    <n v="22"/>
  </r>
  <r>
    <x v="689"/>
    <n v="281348"/>
    <s v="NE"/>
    <s v="NE - Furnas"/>
    <n v="69022"/>
    <s v="Tri Valley Health System (FKA Tri Valley Health Center)"/>
    <s v="Critical Access Hospital"/>
    <s v="Cambridge"/>
    <n v="5.3"/>
    <n v="1"/>
    <n v="19"/>
    <n v="20"/>
    <m/>
    <m/>
    <n v="20"/>
    <n v="0.96"/>
    <n v="2532"/>
    <n v="536"/>
  </r>
  <r>
    <x v="690"/>
    <n v="281364"/>
    <s v="NE"/>
    <s v="NE - Gage"/>
    <n v="68310"/>
    <s v="Beatrice Community Hospital &amp; Health Center"/>
    <s v="Critical Access Hospital"/>
    <s v="Beatrice"/>
    <n v="10.9"/>
    <n v="3.6"/>
    <n v="69"/>
    <n v="25"/>
    <n v="3"/>
    <n v="0.6"/>
    <n v="25"/>
    <n v="1.26"/>
    <n v="2533"/>
    <n v="926"/>
  </r>
  <r>
    <x v="691"/>
    <n v="281310"/>
    <s v="NE"/>
    <s v="NE - Garden"/>
    <n v="69154"/>
    <s v="Regional West Garden County (FKA Garden County Health Services)"/>
    <s v="Critical Access Hospital"/>
    <s v="Oshkosh"/>
    <n v="0.7"/>
    <n v="1.9"/>
    <n v="2"/>
    <n v="10"/>
    <m/>
    <m/>
    <n v="10"/>
    <n v="0.88"/>
    <n v="2534"/>
    <n v="71"/>
  </r>
  <r>
    <x v="692"/>
    <n v="281320"/>
    <s v="NE"/>
    <s v="NE - Hamilton"/>
    <n v="68818"/>
    <s v="Memorial Community Health"/>
    <s v="Critical Access Hospital"/>
    <s v="Aurora"/>
    <n v="3.8"/>
    <n v="3"/>
    <n v="24"/>
    <n v="14"/>
    <m/>
    <m/>
    <n v="14"/>
    <n v="1.19"/>
    <n v="2536"/>
    <n v="246"/>
  </r>
  <r>
    <x v="693"/>
    <n v="281300"/>
    <s v="NE"/>
    <s v="NE - Harlan"/>
    <n v="68920"/>
    <s v="Harlan County Health System"/>
    <s v="Critical Access Hospital"/>
    <s v="Alma"/>
    <n v="2.1"/>
    <n v="2.5"/>
    <n v="9"/>
    <n v="19"/>
    <m/>
    <m/>
    <n v="19"/>
    <n v="0.97"/>
    <n v="2537"/>
    <n v="52"/>
  </r>
  <r>
    <x v="694"/>
    <n v="281329"/>
    <s v="NE"/>
    <s v="NE - Holt"/>
    <n v="68763"/>
    <s v="Avera St Anthonys Hospital"/>
    <s v="Critical Access Hospital"/>
    <s v="O' Neill"/>
    <n v="9.8000000000000007"/>
    <n v="3.7"/>
    <n v="42"/>
    <n v="25"/>
    <m/>
    <m/>
    <n v="25"/>
    <n v="1.1499999999999999"/>
    <n v="2538"/>
    <n v="782"/>
  </r>
  <r>
    <x v="694"/>
    <n v="281343"/>
    <s v="NE"/>
    <s v="NE - Holt"/>
    <n v="68713"/>
    <s v="West Holt Memorial Hospital"/>
    <s v="Critical Access Hospital"/>
    <s v="Atkinson"/>
    <n v="1.8"/>
    <n v="3.4"/>
    <n v="12"/>
    <n v="17"/>
    <m/>
    <m/>
    <n v="17"/>
    <n v="0.89"/>
    <n v="2539"/>
    <n v="109"/>
  </r>
  <r>
    <x v="695"/>
    <n v="281338"/>
    <s v="NE"/>
    <s v="NE - Howard"/>
    <n v="68873"/>
    <s v="Howard County Medical Center"/>
    <s v="Critical Access Hospital"/>
    <s v="Saint Paul"/>
    <n v="2.4"/>
    <n v="2.6"/>
    <n v="15"/>
    <n v="16"/>
    <m/>
    <n v="0.75"/>
    <n v="16"/>
    <n v="0.87"/>
    <n v="2540"/>
    <n v="191"/>
  </r>
  <r>
    <x v="696"/>
    <n v="281319"/>
    <s v="NE"/>
    <s v="NE - Jefferson"/>
    <n v="68352"/>
    <s v="Jefferson Community Health &amp; Life"/>
    <s v="Critical Access Hospital"/>
    <s v="Fairbury"/>
    <n v="2.4"/>
    <n v="2.6"/>
    <n v="11"/>
    <n v="17"/>
    <m/>
    <m/>
    <n v="17"/>
    <n v="1.07"/>
    <n v="2541"/>
    <n v="144"/>
  </r>
  <r>
    <x v="697"/>
    <n v="281350"/>
    <s v="NE"/>
    <s v="NE - Johnson"/>
    <n v="68450"/>
    <s v="Johnson County Hospital"/>
    <s v="Critical Access Hospital"/>
    <s v="Tecumseh"/>
    <n v="3.5"/>
    <n v="2.8"/>
    <n v="11"/>
    <n v="18"/>
    <m/>
    <m/>
    <n v="18"/>
    <n v="1.05"/>
    <n v="2542"/>
    <n v="180"/>
  </r>
  <r>
    <x v="698"/>
    <n v="281306"/>
    <s v="NE"/>
    <s v="NE - Kearney"/>
    <n v="68959"/>
    <s v="Kearney County Health Services Hospital"/>
    <s v="Critical Access Hospital"/>
    <s v="Minden"/>
    <n v="2"/>
    <n v="2.2999999999999998"/>
    <n v="9"/>
    <n v="10"/>
    <m/>
    <n v="0.49"/>
    <n v="10"/>
    <n v="0.92"/>
    <n v="2543"/>
    <n v="81"/>
  </r>
  <r>
    <x v="699"/>
    <n v="281355"/>
    <s v="NE"/>
    <s v="NE - Keith"/>
    <n v="69153"/>
    <s v="Ogallala Community Hospital"/>
    <s v="Critical Access Hospital"/>
    <s v="Ogallala"/>
    <n v="2.2000000000000002"/>
    <n v="2.5"/>
    <n v="22"/>
    <n v="18"/>
    <m/>
    <m/>
    <n v="18"/>
    <n v="1.1100000000000001"/>
    <n v="2544"/>
    <n v="237"/>
  </r>
  <r>
    <x v="700"/>
    <n v="281305"/>
    <s v="NE"/>
    <s v="NE - Kimball"/>
    <n v="69145"/>
    <s v="Kimball Health Services"/>
    <s v="Critical Access Hospital"/>
    <s v="Kimball"/>
    <n v="3.4"/>
    <n v="3.5"/>
    <n v="9"/>
    <n v="15"/>
    <m/>
    <m/>
    <n v="15"/>
    <n v="0.92"/>
    <n v="2545"/>
    <n v="136"/>
  </r>
  <r>
    <x v="701"/>
    <n v="281331"/>
    <s v="NE"/>
    <s v="NE - Knox"/>
    <n v="68729"/>
    <s v="Avera Creighton Hospital"/>
    <s v="Critical Access Hospital"/>
    <s v="Creighton"/>
    <n v="2.7"/>
    <n v="3.1"/>
    <n v="10"/>
    <n v="23"/>
    <m/>
    <m/>
    <n v="23"/>
    <n v="1.03"/>
    <n v="2546"/>
    <n v="82"/>
  </r>
  <r>
    <x v="702"/>
    <s v="281317 (Closed)"/>
    <s v="NE"/>
    <s v="NE - Madison"/>
    <n v="68781"/>
    <s v="Tilden Community Hospital (Closed)"/>
    <s v="Critical Access Hospital"/>
    <s v="Tilden"/>
    <n v="1.2"/>
    <n v="2.2999999999999998"/>
    <m/>
    <m/>
    <m/>
    <n v="0.79"/>
    <m/>
    <m/>
    <n v="2498"/>
    <n v="24"/>
  </r>
  <r>
    <x v="703"/>
    <n v="281328"/>
    <s v="NE"/>
    <s v="NE - Merrick"/>
    <n v="68826"/>
    <s v="Merrick Medical Center (FKA Litzenberg Memorial County Hospital)"/>
    <s v="Critical Access Hospital"/>
    <s v="Central City"/>
    <n v="3.3"/>
    <n v="2.8"/>
    <n v="12"/>
    <n v="20"/>
    <m/>
    <n v="0.75"/>
    <n v="20"/>
    <n v="1.02"/>
    <n v="2553"/>
    <n v="189"/>
  </r>
  <r>
    <x v="704"/>
    <n v="281318"/>
    <s v="NE"/>
    <s v="NE - Morrill"/>
    <n v="69336"/>
    <s v="Morrill County Community Hospital"/>
    <s v="Critical Access Hospital"/>
    <s v="Bridgeport"/>
    <n v="2"/>
    <n v="3.9"/>
    <n v="14"/>
    <n v="20"/>
    <m/>
    <m/>
    <n v="20"/>
    <n v="0.92"/>
    <n v="5751"/>
    <n v="136"/>
  </r>
  <r>
    <x v="705"/>
    <n v="281312"/>
    <s v="NE"/>
    <s v="NE - Nance"/>
    <n v="68640"/>
    <s v="Genoa Community Hospital"/>
    <s v="Critical Access Hospital"/>
    <s v="Genoa"/>
    <n v="1.6"/>
    <n v="3"/>
    <n v="4"/>
    <n v="19"/>
    <m/>
    <m/>
    <n v="19"/>
    <n v="0.83"/>
    <n v="6116"/>
    <n v="65"/>
  </r>
  <r>
    <x v="706"/>
    <n v="281324"/>
    <s v="NE"/>
    <s v="NE - Nemaha"/>
    <n v="68305"/>
    <s v="Nemaha County Hospital"/>
    <s v="Critical Access Hospital"/>
    <s v="Auburn"/>
    <n v="2.1"/>
    <n v="3.1"/>
    <n v="15"/>
    <n v="16"/>
    <m/>
    <m/>
    <n v="16"/>
    <n v="0.86"/>
    <n v="2554"/>
    <n v="110"/>
  </r>
  <r>
    <x v="707"/>
    <n v="281315"/>
    <s v="NE"/>
    <s v="NE - Nuckolls"/>
    <n v="68978"/>
    <s v="Brodstone Memorial Hospital"/>
    <s v="Critical Access Hospital"/>
    <s v="Superior"/>
    <n v="4.5999999999999996"/>
    <n v="2.9"/>
    <n v="14"/>
    <n v="25"/>
    <m/>
    <m/>
    <n v="25"/>
    <n v="1.05"/>
    <n v="2555"/>
    <n v="394"/>
  </r>
  <r>
    <x v="708"/>
    <n v="281309"/>
    <s v="NE"/>
    <s v="NE - Otoe"/>
    <n v="68446"/>
    <s v="Syracuse Area Health (FKA Community Memorial Hospital)"/>
    <s v="Critical Access Hospital"/>
    <s v="Syracuse"/>
    <n v="1"/>
    <n v="1.8"/>
    <n v="16"/>
    <n v="10"/>
    <m/>
    <m/>
    <n v="10"/>
    <n v="1.3"/>
    <n v="2556"/>
    <n v="158"/>
  </r>
  <r>
    <x v="708"/>
    <n v="281342"/>
    <s v="NE"/>
    <s v="NE - Otoe"/>
    <n v="68410"/>
    <s v="CHI Health St Marys (FKA St Marys Community Hospital)"/>
    <s v="Critical Access Hospital"/>
    <s v="Nebraska City"/>
    <n v="3"/>
    <n v="2.2000000000000002"/>
    <n v="30"/>
    <n v="18"/>
    <m/>
    <m/>
    <n v="18"/>
    <n v="0.96"/>
    <n v="2557"/>
    <n v="341"/>
  </r>
  <r>
    <x v="709"/>
    <n v="281302"/>
    <s v="NE"/>
    <s v="NE - Pawnee"/>
    <n v="68420"/>
    <s v="Pawnee County Memorial Hospital"/>
    <s v="Critical Access Hospital"/>
    <s v="Pawnee City"/>
    <n v="2"/>
    <n v="1.9"/>
    <n v="6"/>
    <n v="17"/>
    <m/>
    <m/>
    <n v="17"/>
    <n v="0.88"/>
    <n v="2558"/>
    <n v="82"/>
  </r>
  <r>
    <x v="710"/>
    <n v="281356"/>
    <s v="NE"/>
    <s v="NE - Perkins"/>
    <n v="69140"/>
    <s v="Perkins County Health Services"/>
    <s v="Critical Access Hospital"/>
    <s v="Grant"/>
    <n v="4.7"/>
    <n v="2.7"/>
    <n v="18"/>
    <n v="20"/>
    <m/>
    <m/>
    <n v="20"/>
    <n v="0.99"/>
    <n v="2559"/>
    <n v="291"/>
  </r>
  <r>
    <x v="711"/>
    <n v="281362"/>
    <s v="NE"/>
    <s v="NE - Phelps"/>
    <n v="68949"/>
    <s v="Phelps Memorial Health Center"/>
    <s v="Critical Access Hospital"/>
    <s v="Holdrege"/>
    <n v="9.6"/>
    <n v="4.0999999999999996"/>
    <n v="36"/>
    <n v="25"/>
    <m/>
    <m/>
    <n v="25"/>
    <n v="1.48"/>
    <n v="2560"/>
    <n v="866"/>
  </r>
  <r>
    <x v="712"/>
    <n v="281346"/>
    <s v="NE"/>
    <s v="NE - Pierce"/>
    <n v="68769"/>
    <s v="CHI Health Plainview (FKA Alegent Health Plainview Public Hospital)"/>
    <s v="Critical Access Hospital"/>
    <s v="Plainview"/>
    <n v="1.8"/>
    <n v="2"/>
    <n v="7"/>
    <n v="15"/>
    <m/>
    <n v="0.79"/>
    <n v="15"/>
    <n v="1.08"/>
    <n v="2561"/>
    <n v="145"/>
  </r>
  <r>
    <x v="712"/>
    <n v="281347"/>
    <s v="NE"/>
    <s v="NE - Pierce"/>
    <n v="68765"/>
    <s v="Osmond General Hospital"/>
    <s v="Critical Access Hospital"/>
    <s v="Osmond"/>
    <n v="5.0999999999999996"/>
    <n v="3"/>
    <n v="10"/>
    <n v="20"/>
    <m/>
    <n v="0.79"/>
    <n v="20"/>
    <n v="1"/>
    <n v="2562"/>
    <n v="112"/>
  </r>
  <r>
    <x v="713"/>
    <n v="281314"/>
    <s v="NE"/>
    <s v="NE - Polk"/>
    <n v="68651"/>
    <s v="Annie Jeffrey Memorial County Health Center"/>
    <s v="Critical Access Hospital"/>
    <s v="Osceola"/>
    <n v="1.1000000000000001"/>
    <n v="2.2999999999999998"/>
    <n v="6"/>
    <n v="16"/>
    <m/>
    <m/>
    <n v="16"/>
    <n v="0.91"/>
    <n v="2564"/>
    <n v="108"/>
  </r>
  <r>
    <x v="714"/>
    <n v="281363"/>
    <s v="NE"/>
    <s v="NE - Red Willow"/>
    <n v="69001"/>
    <s v="Community Hospital"/>
    <s v="Critical Access Hospital"/>
    <s v="McCook"/>
    <n v="9.4"/>
    <n v="3.3"/>
    <n v="39"/>
    <n v="25"/>
    <m/>
    <m/>
    <n v="25"/>
    <n v="1.1200000000000001"/>
    <n v="2565"/>
    <n v="840"/>
  </r>
  <r>
    <x v="715"/>
    <n v="281352"/>
    <s v="NE"/>
    <s v="NE - Richardson"/>
    <n v="68355"/>
    <s v="Community Medical Center"/>
    <s v="Critical Access Hospital"/>
    <s v="Falls City"/>
    <n v="6.9"/>
    <n v="3.1"/>
    <n v="24"/>
    <n v="24"/>
    <m/>
    <m/>
    <n v="24"/>
    <n v="1.21"/>
    <n v="2566"/>
    <n v="580"/>
  </r>
  <r>
    <x v="716"/>
    <n v="281333"/>
    <s v="NE"/>
    <s v="NE - Rock"/>
    <n v="68714"/>
    <s v="Rock County Hospital"/>
    <s v="Critical Access Hospital"/>
    <s v="Bassett"/>
    <n v="2.2000000000000002"/>
    <n v="2.7"/>
    <n v="11"/>
    <n v="24"/>
    <m/>
    <m/>
    <n v="24"/>
    <n v="0.79"/>
    <n v="2567"/>
    <n v="64"/>
  </r>
  <r>
    <x v="717"/>
    <n v="281330"/>
    <s v="NE"/>
    <s v="NE - Saline"/>
    <n v="68359"/>
    <s v="Friend Community Healthcare System (FKA Warren Memorial Hospital)"/>
    <s v="Critical Access Hospital"/>
    <s v="Friend"/>
    <n v="2.2000000000000002"/>
    <n v="2.2999999999999998"/>
    <n v="8"/>
    <n v="19"/>
    <m/>
    <m/>
    <n v="19"/>
    <n v="0.85"/>
    <n v="2568"/>
    <n v="14"/>
  </r>
  <r>
    <x v="717"/>
    <n v="281354"/>
    <s v="NE"/>
    <s v="NE - Saline"/>
    <n v="68333"/>
    <s v="Crete Area Medical Center"/>
    <s v="Critical Access Hospital"/>
    <s v="Crete"/>
    <n v="1.9"/>
    <n v="2.2999999999999998"/>
    <n v="27"/>
    <n v="24"/>
    <m/>
    <m/>
    <n v="24"/>
    <n v="1.1200000000000001"/>
    <n v="2569"/>
    <n v="238"/>
  </r>
  <r>
    <x v="718"/>
    <n v="281307"/>
    <s v="NE"/>
    <s v="NE - Saunders"/>
    <n v="68066"/>
    <s v="Saunders Medical Center"/>
    <s v="Critical Access Hospital"/>
    <s v="Wahoo"/>
    <n v="2.1"/>
    <n v="2.8"/>
    <n v="12"/>
    <n v="16"/>
    <m/>
    <n v="0.15"/>
    <n v="16"/>
    <n v="1.05"/>
    <n v="2571"/>
    <n v="121"/>
  </r>
  <r>
    <x v="719"/>
    <n v="281339"/>
    <s v="NE"/>
    <s v="NE - Seward"/>
    <n v="68434"/>
    <s v="Memorial Health Care Systems"/>
    <s v="Critical Access Hospital"/>
    <s v="Seward"/>
    <n v="8.4"/>
    <n v="2.6"/>
    <n v="24"/>
    <n v="24"/>
    <m/>
    <n v="0.47"/>
    <n v="24"/>
    <n v="0.88"/>
    <n v="2573"/>
    <n v="388"/>
  </r>
  <r>
    <x v="720"/>
    <n v="281358"/>
    <s v="NE"/>
    <s v="NE - Sheridan"/>
    <n v="69343"/>
    <s v="Gordon Memorial Hospital District"/>
    <s v="Critical Access Hospital"/>
    <s v="Gordon"/>
    <n v="4"/>
    <n v="3"/>
    <n v="5"/>
    <n v="25"/>
    <m/>
    <m/>
    <n v="25"/>
    <n v="1"/>
    <n v="2574"/>
    <n v="226"/>
  </r>
  <r>
    <x v="721"/>
    <n v="281304"/>
    <s v="NE"/>
    <s v="NE - Thayer"/>
    <n v="68370"/>
    <s v="Thayer County Health Services"/>
    <s v="Critical Access Hospital"/>
    <s v="Hebron"/>
    <n v="3.6"/>
    <n v="3.1"/>
    <n v="10"/>
    <n v="19"/>
    <m/>
    <m/>
    <n v="19"/>
    <n v="1.04"/>
    <n v="2575"/>
    <n v="220"/>
  </r>
  <r>
    <x v="722"/>
    <n v="281349"/>
    <s v="NE"/>
    <s v="NE - Thurston"/>
    <n v="68047"/>
    <s v="Pender Community Hospital"/>
    <s v="Critical Access Hospital"/>
    <s v="Pender"/>
    <n v="5.8"/>
    <n v="2.9"/>
    <n v="14"/>
    <n v="21"/>
    <m/>
    <m/>
    <n v="21"/>
    <n v="0.99"/>
    <n v="2577"/>
    <n v="395"/>
  </r>
  <r>
    <x v="723"/>
    <n v="281353"/>
    <s v="NE"/>
    <s v="NE - Valley"/>
    <n v="68862"/>
    <s v="Valley County Hospital (AKA Valley County Health System)"/>
    <s v="Critical Access Hospital"/>
    <s v="Ord"/>
    <n v="5.2"/>
    <n v="3"/>
    <n v="15"/>
    <n v="16"/>
    <m/>
    <m/>
    <n v="16"/>
    <n v="0.97"/>
    <n v="2578"/>
    <n v="194"/>
  </r>
  <r>
    <x v="724"/>
    <n v="281359"/>
    <s v="NE"/>
    <s v="NE - Washington"/>
    <n v="68008"/>
    <s v="Memorial Community Hospital"/>
    <s v="Critical Access Hospital"/>
    <s v="Blair"/>
    <n v="1.8"/>
    <n v="3"/>
    <n v="32"/>
    <n v="21"/>
    <m/>
    <n v="0.15"/>
    <n v="21"/>
    <n v="1.1000000000000001"/>
    <n v="2579"/>
    <n v="181"/>
  </r>
  <r>
    <x v="725"/>
    <n v="281345"/>
    <s v="NE"/>
    <s v="NE - Wayne"/>
    <n v="68787"/>
    <s v="Providence Medical Center"/>
    <s v="Critical Access Hospital"/>
    <s v="Wayne"/>
    <n v="4.0999999999999996"/>
    <n v="3.1"/>
    <n v="18"/>
    <n v="21"/>
    <m/>
    <m/>
    <n v="21"/>
    <n v="1.1100000000000001"/>
    <n v="2580"/>
    <n v="338"/>
  </r>
  <r>
    <x v="726"/>
    <n v="281316"/>
    <s v="NE"/>
    <s v="NE - Webster"/>
    <n v="68970"/>
    <s v="Webster County Community Hospital"/>
    <s v="Critical Access Hospital"/>
    <s v="Red Cloud"/>
    <n v="1.1000000000000001"/>
    <n v="2.5"/>
    <n v="8"/>
    <n v="13"/>
    <m/>
    <m/>
    <n v="13"/>
    <n v="0.99"/>
    <n v="2581"/>
    <n v="57"/>
  </r>
  <r>
    <x v="727"/>
    <n v="281308"/>
    <s v="NE"/>
    <s v="NE - York"/>
    <n v="68371"/>
    <s v="Henderson Health Care Services"/>
    <s v="Critical Access Hospital"/>
    <s v="Henderson"/>
    <n v="2"/>
    <n v="2.9"/>
    <n v="6"/>
    <n v="13"/>
    <m/>
    <m/>
    <n v="13"/>
    <n v="1.05"/>
    <n v="2582"/>
    <n v="110"/>
  </r>
  <r>
    <x v="727"/>
    <n v="281336"/>
    <s v="NE"/>
    <s v="NE - York"/>
    <n v="68467"/>
    <s v="York General Hospital"/>
    <s v="Critical Access Hospital"/>
    <s v="York"/>
    <n v="6.8"/>
    <n v="3"/>
    <n v="43"/>
    <n v="25"/>
    <m/>
    <m/>
    <n v="25"/>
    <n v="1.04"/>
    <n v="2583"/>
    <n v="773"/>
  </r>
  <r>
    <x v="728"/>
    <n v="291313"/>
    <s v="NV"/>
    <s v="NV - Churchill"/>
    <n v="89406"/>
    <s v="Banner Churchill Community Hospital"/>
    <s v="Critical Access Hospital"/>
    <s v="Fallon"/>
    <n v="12.4"/>
    <n v="3.2"/>
    <n v="57"/>
    <n v="25"/>
    <m/>
    <n v="1"/>
    <n v="25"/>
    <n v="1.32"/>
    <n v="2584"/>
    <n v="1427"/>
  </r>
  <r>
    <x v="729"/>
    <n v="291307"/>
    <s v="NV"/>
    <s v="NV - Clark"/>
    <n v="89027"/>
    <s v="Mesa View Regional Hospital"/>
    <s v="Critical Access Hospital"/>
    <s v="Mesquite"/>
    <n v="6.7"/>
    <n v="2.9"/>
    <n v="62"/>
    <n v="25"/>
    <n v="4"/>
    <n v="0.09"/>
    <n v="25"/>
    <n v="1.29"/>
    <n v="2598"/>
    <n v="744"/>
  </r>
  <r>
    <x v="729"/>
    <n v="291309"/>
    <s v="NV"/>
    <s v="NV - Clark"/>
    <n v="89005"/>
    <s v="Boulder City Hospital"/>
    <s v="Critical Access Hospital"/>
    <s v="Boulder City"/>
    <n v="9.9"/>
    <n v="2.4"/>
    <n v="56"/>
    <n v="25"/>
    <m/>
    <n v="0.09"/>
    <n v="25"/>
    <n v="1.05"/>
    <n v="2599"/>
    <n v="217"/>
  </r>
  <r>
    <x v="730"/>
    <n v="291306"/>
    <s v="NV"/>
    <s v="NV - Douglas"/>
    <n v="89410"/>
    <s v="Carson Valley Medical Center"/>
    <s v="Critical Access Hospital"/>
    <s v="Gardnerville"/>
    <n v="11.6"/>
    <n v="3.2"/>
    <n v="72"/>
    <n v="23"/>
    <m/>
    <n v="1"/>
    <n v="23"/>
    <n v="1.31"/>
    <n v="2600"/>
    <n v="1170"/>
  </r>
  <r>
    <x v="731"/>
    <s v="291305 (Closed)"/>
    <s v="NV"/>
    <s v="NV - Elko"/>
    <n v="89832"/>
    <s v="Owyhee PHS Indian Hospital (Closed)"/>
    <s v="Critical Access Hospital"/>
    <s v="Owyhee"/>
    <m/>
    <m/>
    <m/>
    <m/>
    <m/>
    <m/>
    <m/>
    <m/>
    <n v="542059"/>
    <m/>
  </r>
  <r>
    <x v="732"/>
    <n v="291308"/>
    <s v="NV"/>
    <s v="NV - Humboldt"/>
    <n v="89445"/>
    <s v="Humboldt General Hospital"/>
    <s v="Critical Access Hospital"/>
    <s v="Winnemucca"/>
    <n v="7.7"/>
    <n v="2.7"/>
    <n v="44"/>
    <n v="25"/>
    <n v="3"/>
    <n v="1"/>
    <n v="25"/>
    <n v="1.33"/>
    <n v="2602"/>
    <n v="882"/>
  </r>
  <r>
    <x v="733"/>
    <n v="291303"/>
    <s v="NV"/>
    <s v="NV - Lander"/>
    <n v="89820"/>
    <s v="Battle Mountain General Hospital"/>
    <s v="Critical Access Hospital"/>
    <s v="Battle Mountain"/>
    <n v="1.1000000000000001"/>
    <n v="3.8"/>
    <n v="14"/>
    <n v="5"/>
    <m/>
    <m/>
    <n v="5"/>
    <n v="1.03"/>
    <n v="6184"/>
    <n v="44"/>
  </r>
  <r>
    <x v="734"/>
    <n v="291312"/>
    <s v="NV"/>
    <s v="NV - Lincoln"/>
    <n v="89008"/>
    <s v="Grover C Dils Medical Center"/>
    <s v="Critical Access Hospital"/>
    <s v="Caliente"/>
    <n v="2.9"/>
    <n v="2.6"/>
    <n v="10"/>
    <n v="4"/>
    <m/>
    <m/>
    <n v="4"/>
    <n v="0.91"/>
    <n v="2603"/>
    <n v="143"/>
  </r>
  <r>
    <x v="735"/>
    <n v="291314"/>
    <s v="NV"/>
    <s v="NV - Lyon"/>
    <n v="89447"/>
    <s v="South Lyon Medical Center"/>
    <s v="Critical Access Hospital"/>
    <s v="Yerington"/>
    <n v="2.2999999999999998"/>
    <n v="2.7"/>
    <n v="22"/>
    <n v="14"/>
    <m/>
    <n v="1"/>
    <n v="14"/>
    <n v="1"/>
    <n v="2604"/>
    <n v="147"/>
  </r>
  <r>
    <x v="736"/>
    <n v="291300"/>
    <s v="NV"/>
    <s v="NV - Mineral"/>
    <n v="89415"/>
    <s v="Mt Grant General Hospital"/>
    <s v="Critical Access Hospital"/>
    <s v="Hawthorne"/>
    <n v="6.5"/>
    <n v="3.8"/>
    <n v="18"/>
    <n v="11"/>
    <m/>
    <m/>
    <n v="11"/>
    <n v="0.99"/>
    <n v="5695"/>
    <n v="267"/>
  </r>
  <r>
    <x v="737"/>
    <n v="291311"/>
    <s v="NV"/>
    <s v="NV - Nye"/>
    <n v="89048"/>
    <s v="Desert View Hospital"/>
    <s v="Critical Access Hospital"/>
    <s v="Pahrump"/>
    <n v="9.6999999999999993"/>
    <n v="2.6"/>
    <n v="104"/>
    <n v="25"/>
    <m/>
    <n v="0.69"/>
    <n v="25"/>
    <n v="1.01"/>
    <n v="2606"/>
    <n v="1358"/>
  </r>
  <r>
    <x v="738"/>
    <n v="291304"/>
    <s v="NV"/>
    <s v="NV - Pershing"/>
    <n v="89419"/>
    <s v="Pershing General Hospital"/>
    <s v="Critical Access Hospital"/>
    <s v="Lovelock"/>
    <n v="1.4"/>
    <n v="3.7"/>
    <n v="10"/>
    <n v="13"/>
    <m/>
    <m/>
    <n v="13"/>
    <n v="0.96"/>
    <n v="5408"/>
    <n v="45"/>
  </r>
  <r>
    <x v="739"/>
    <n v="291301"/>
    <s v="NV"/>
    <s v="NV - Washoe"/>
    <n v="89451"/>
    <s v="Incline Village Community Hospital"/>
    <s v="Critical Access Hospital"/>
    <s v="Incline Village"/>
    <n v="0"/>
    <n v="3.2"/>
    <n v="24"/>
    <n v="4"/>
    <m/>
    <n v="0.42"/>
    <n v="4"/>
    <n v="1.05"/>
    <n v="5069"/>
    <n v="5"/>
  </r>
  <r>
    <x v="740"/>
    <n v="291302"/>
    <s v="NV"/>
    <s v="NV - White Pine"/>
    <n v="89301"/>
    <s v="William Bee Ririe Hospital"/>
    <s v="Critical Access Hospital"/>
    <s v="Ely"/>
    <n v="4.5999999999999996"/>
    <n v="2.6"/>
    <n v="50"/>
    <n v="25"/>
    <m/>
    <m/>
    <n v="25"/>
    <n v="1.26"/>
    <n v="4974"/>
    <n v="521"/>
  </r>
  <r>
    <x v="741"/>
    <n v="301307"/>
    <s v="NH"/>
    <s v="NH - Carroll"/>
    <s v="03860"/>
    <s v="Memorial Hospital"/>
    <s v="Critical Access Hospital"/>
    <s v="North Conway"/>
    <n v="10.9"/>
    <n v="3"/>
    <n v="81"/>
    <n v="25"/>
    <n v="4"/>
    <m/>
    <n v="25"/>
    <n v="1.18"/>
    <n v="2615"/>
    <n v="1199"/>
  </r>
  <r>
    <x v="741"/>
    <n v="301312"/>
    <s v="NH"/>
    <s v="NH - Carroll"/>
    <s v="03894"/>
    <s v="Huggins Hospital"/>
    <s v="Critical Access Hospital"/>
    <s v="Wolfeboro"/>
    <n v="10.5"/>
    <n v="3.2"/>
    <n v="80"/>
    <n v="25"/>
    <n v="4"/>
    <m/>
    <n v="25"/>
    <n v="1.32"/>
    <n v="2616"/>
    <n v="699"/>
  </r>
  <r>
    <x v="742"/>
    <n v="301310"/>
    <s v="NH"/>
    <s v="NH - Coos"/>
    <s v="03570"/>
    <s v="Androscoggin Valley Hospital"/>
    <s v="Critical Access Hospital"/>
    <s v="Berlin"/>
    <n v="11.7"/>
    <n v="3.2"/>
    <n v="81"/>
    <n v="25"/>
    <m/>
    <n v="0.39"/>
    <n v="25"/>
    <n v="1.1200000000000001"/>
    <n v="2618"/>
    <n v="1002"/>
  </r>
  <r>
    <x v="742"/>
    <n v="301300"/>
    <s v="NH"/>
    <s v="NH - Coos"/>
    <s v="03576"/>
    <s v="Upper Connecticut Valley Hospital"/>
    <s v="Critical Access Hospital"/>
    <s v="Colebrook"/>
    <n v="3"/>
    <n v="3.5"/>
    <n v="18"/>
    <n v="16"/>
    <m/>
    <n v="0.39"/>
    <n v="16"/>
    <n v="0.99"/>
    <n v="2619"/>
    <n v="165"/>
  </r>
  <r>
    <x v="742"/>
    <n v="301303"/>
    <s v="NH"/>
    <s v="NH - Coos"/>
    <s v="03584"/>
    <s v="Weeks Medical Center"/>
    <s v="Critical Access Hospital"/>
    <s v="Lancaster"/>
    <n v="8.3000000000000007"/>
    <n v="3.2"/>
    <n v="44"/>
    <n v="25"/>
    <n v="3"/>
    <n v="0.39"/>
    <n v="25"/>
    <n v="1.1100000000000001"/>
    <n v="2620"/>
    <n v="602"/>
  </r>
  <r>
    <x v="743"/>
    <n v="301301"/>
    <s v="NH"/>
    <s v="NH - Grafton"/>
    <s v="03785"/>
    <s v="Cottage Hospital"/>
    <s v="Critical Access Hospital"/>
    <s v="Woodsville"/>
    <n v="11.1"/>
    <n v="3.1"/>
    <n v="54"/>
    <n v="25"/>
    <m/>
    <n v="0.54"/>
    <n v="25"/>
    <n v="1.18"/>
    <n v="2621"/>
    <n v="607"/>
  </r>
  <r>
    <x v="743"/>
    <n v="301302"/>
    <s v="NH"/>
    <s v="NH - Grafton"/>
    <s v="03561"/>
    <s v="Littleton Regional Healthcare"/>
    <s v="Critical Access Hospital"/>
    <s v="Littleton"/>
    <n v="13"/>
    <n v="2.7"/>
    <n v="104"/>
    <n v="25"/>
    <n v="4"/>
    <n v="0.54"/>
    <n v="25"/>
    <n v="1.4"/>
    <n v="2622"/>
    <n v="1475"/>
  </r>
  <r>
    <x v="743"/>
    <n v="301305"/>
    <s v="NH"/>
    <s v="NH - Grafton"/>
    <s v="03766"/>
    <s v="Alice Peck Day Memorial Hospital"/>
    <s v="Critical Access Hospital"/>
    <s v="Lebanon"/>
    <n v="13.4"/>
    <n v="2.5"/>
    <n v="76"/>
    <n v="24"/>
    <m/>
    <n v="0.54"/>
    <n v="24"/>
    <n v="1.96"/>
    <n v="2623"/>
    <n v="855"/>
  </r>
  <r>
    <x v="743"/>
    <n v="301311"/>
    <s v="NH"/>
    <s v="NH - Grafton"/>
    <s v="03264"/>
    <s v="Speare Memorial Hospital"/>
    <s v="Critical Access Hospital"/>
    <s v="Plymouth"/>
    <n v="12.5"/>
    <n v="3.1"/>
    <n v="86"/>
    <n v="25"/>
    <m/>
    <n v="0.54"/>
    <n v="25"/>
    <n v="1.22"/>
    <n v="2624"/>
    <n v="1230"/>
  </r>
  <r>
    <x v="744"/>
    <n v="301309"/>
    <s v="NH"/>
    <s v="NH - Hillsborough"/>
    <s v="03458"/>
    <s v="Monadnock Community Hospital"/>
    <s v="Critical Access Hospital"/>
    <s v="Peterborough"/>
    <n v="11.4"/>
    <n v="2.9"/>
    <n v="98"/>
    <n v="25"/>
    <m/>
    <n v="0.25"/>
    <n v="25"/>
    <n v="1.29"/>
    <n v="2630"/>
    <n v="1180"/>
  </r>
  <r>
    <x v="745"/>
    <n v="301306"/>
    <s v="NH"/>
    <s v="NH - Merrimack"/>
    <s v="03235"/>
    <s v="Franklin Regional Hospital"/>
    <s v="Critical Access Hospital"/>
    <s v="Franklin"/>
    <n v="10.199999999999999"/>
    <n v="3.4"/>
    <n v="20"/>
    <n v="25"/>
    <m/>
    <n v="0.74"/>
    <n v="25"/>
    <n v="1.2"/>
    <n v="2631"/>
    <n v="405"/>
  </r>
  <r>
    <x v="745"/>
    <n v="301304"/>
    <s v="NH"/>
    <s v="NH - Merrimack"/>
    <s v="03257"/>
    <s v="New London Hospital"/>
    <s v="Critical Access Hospital"/>
    <s v="New London"/>
    <n v="13.9"/>
    <n v="3.5"/>
    <n v="72"/>
    <n v="25"/>
    <m/>
    <n v="0.74"/>
    <n v="25"/>
    <n v="1.18"/>
    <n v="2632"/>
    <n v="759"/>
  </r>
  <r>
    <x v="746"/>
    <n v="301308"/>
    <s v="NH"/>
    <s v="NH - Sullivan"/>
    <s v="03743"/>
    <s v="Valley Regional Hospital"/>
    <s v="Critical Access Hospital"/>
    <s v="Claremont"/>
    <n v="10"/>
    <n v="3.1"/>
    <n v="52"/>
    <n v="25"/>
    <m/>
    <n v="0.54"/>
    <n v="25"/>
    <n v="1"/>
    <n v="2639"/>
    <n v="501"/>
  </r>
  <r>
    <x v="747"/>
    <n v="321308"/>
    <s v="NM"/>
    <s v="NM - Cibola"/>
    <n v="87020"/>
    <s v="Cibola General Hospital"/>
    <s v="Critical Access Hospital"/>
    <s v="Grants"/>
    <n v="6"/>
    <n v="2.6"/>
    <n v="43"/>
    <n v="25"/>
    <n v="4"/>
    <n v="1"/>
    <n v="25"/>
    <n v="1.1599999999999999"/>
    <n v="2714"/>
    <n v="808"/>
  </r>
  <r>
    <x v="748"/>
    <n v="321307"/>
    <s v="NM"/>
    <s v="NM - Colfax"/>
    <n v="87740"/>
    <s v="Miners Colfax Medical Center"/>
    <s v="Critical Access Hospital"/>
    <s v="Raton"/>
    <n v="6"/>
    <n v="3.6"/>
    <n v="42"/>
    <n v="25"/>
    <n v="4"/>
    <m/>
    <n v="25"/>
    <n v="1.18"/>
    <n v="2716"/>
    <n v="393"/>
  </r>
  <r>
    <x v="749"/>
    <n v="321305"/>
    <s v="NM"/>
    <s v="NM - Lea"/>
    <n v="88260"/>
    <s v="Nor Lea General Hospital"/>
    <s v="Critical Access Hospital"/>
    <s v="Lovington"/>
    <n v="4.3"/>
    <n v="2.4"/>
    <n v="77"/>
    <n v="25"/>
    <m/>
    <n v="0.54"/>
    <n v="25"/>
    <n v="1.1399999999999999"/>
    <n v="2724"/>
    <n v="439"/>
  </r>
  <r>
    <x v="750"/>
    <n v="321306"/>
    <s v="NM"/>
    <s v="NM - Lincoln"/>
    <n v="88345"/>
    <s v="Lincoln County Medical Center"/>
    <s v="Critical Access Hospital"/>
    <s v="Ruidoso"/>
    <n v="10"/>
    <n v="3.2"/>
    <n v="48"/>
    <n v="25"/>
    <n v="4"/>
    <n v="1"/>
    <n v="25"/>
    <n v="1.07"/>
    <n v="2726"/>
    <n v="1026"/>
  </r>
  <r>
    <x v="751"/>
    <n v="321309"/>
    <s v="NM"/>
    <s v="NM - Luna"/>
    <n v="88030"/>
    <s v="Mimbres Memorial Hospital"/>
    <s v="Critical Access Hospital"/>
    <s v="Deming"/>
    <n v="11.6"/>
    <n v="2.6"/>
    <n v="38"/>
    <n v="25"/>
    <n v="6"/>
    <n v="1"/>
    <n v="25"/>
    <n v="1.37"/>
    <n v="2728"/>
    <n v="1630"/>
  </r>
  <r>
    <x v="752"/>
    <n v="321300"/>
    <s v="NM"/>
    <s v="NM - Sierra"/>
    <n v="87901"/>
    <s v="Sierra Vista Hospital"/>
    <s v="Critical Access Hospital"/>
    <s v="Truth Or Consequences"/>
    <n v="4.0999999999999996"/>
    <n v="3.1"/>
    <n v="40"/>
    <n v="11"/>
    <m/>
    <m/>
    <n v="11"/>
    <n v="0.94"/>
    <n v="2744"/>
    <n v="338"/>
  </r>
  <r>
    <x v="753"/>
    <n v="321301"/>
    <s v="NM"/>
    <s v="NM - Socorro"/>
    <n v="87801"/>
    <s v="Socorro General Hospital"/>
    <s v="Critical Access Hospital"/>
    <s v="Socorro"/>
    <n v="4.0999999999999996"/>
    <n v="3.1"/>
    <n v="42"/>
    <n v="24"/>
    <m/>
    <m/>
    <n v="24"/>
    <n v="0.97"/>
    <n v="2745"/>
    <n v="338"/>
  </r>
  <r>
    <x v="754"/>
    <n v="321310"/>
    <s v="NM"/>
    <s v="NM - Taos"/>
    <n v="87571"/>
    <s v="Holy Cross Hospital"/>
    <s v="Critical Access Hospital"/>
    <s v="Taos"/>
    <n v="12.4"/>
    <n v="3.7"/>
    <n v="156"/>
    <n v="25"/>
    <n v="6"/>
    <n v="1"/>
    <n v="6"/>
    <n v="1.47"/>
    <n v="2746"/>
    <n v="1335"/>
  </r>
  <r>
    <x v="755"/>
    <n v="321302"/>
    <s v="NM"/>
    <s v="NM - Union"/>
    <n v="88410"/>
    <s v="Dr Dan C Trigg Memorial Hospital"/>
    <s v="Critical Access Hospital"/>
    <s v="Tucumcari"/>
    <n v="2.2999999999999998"/>
    <n v="3.3"/>
    <n v="17"/>
    <n v="25"/>
    <m/>
    <m/>
    <n v="25"/>
    <n v="1.06"/>
    <n v="2735"/>
    <n v="117"/>
  </r>
  <r>
    <x v="755"/>
    <n v="321304"/>
    <s v="NM"/>
    <s v="NM - Union"/>
    <n v="88415"/>
    <s v="Union County General Hospital"/>
    <s v="Critical Access Hospital"/>
    <s v="Clayton"/>
    <n v="2.1"/>
    <n v="3.4"/>
    <n v="6"/>
    <n v="25"/>
    <m/>
    <m/>
    <n v="25"/>
    <n v="1.05"/>
    <n v="2747"/>
    <n v="131"/>
  </r>
  <r>
    <x v="756"/>
    <n v="331301"/>
    <s v="NY"/>
    <s v="NY - Allegany"/>
    <n v="14727"/>
    <s v="Cuba Memorial Hospital"/>
    <s v="Critical Access Hospital"/>
    <s v="Cuba"/>
    <n v="6.2"/>
    <n v="8.6999999999999993"/>
    <n v="7"/>
    <n v="20"/>
    <m/>
    <m/>
    <n v="20"/>
    <n v="0.84"/>
    <n v="5587"/>
    <n v="32"/>
  </r>
  <r>
    <x v="757"/>
    <n v="331304"/>
    <s v="NY"/>
    <s v="NY - Delaware"/>
    <n v="12455"/>
    <s v="Margaretville Hospital (FKA Margaretville Memorial Hospital)"/>
    <s v="Critical Access Hospital"/>
    <s v="Margaretville"/>
    <n v="4.0999999999999996"/>
    <n v="3"/>
    <n v="66"/>
    <n v="15"/>
    <m/>
    <m/>
    <n v="15"/>
    <n v="0.9"/>
    <n v="2775"/>
    <n v="165"/>
  </r>
  <r>
    <x v="757"/>
    <n v="331312"/>
    <s v="NY"/>
    <s v="NY - Delaware"/>
    <n v="13856"/>
    <s v="UHS Delaware Valley Hospital"/>
    <s v="Critical Access Hospital"/>
    <s v="Walton"/>
    <n v="10.6"/>
    <n v="2.4"/>
    <n v="17"/>
    <n v="25"/>
    <m/>
    <m/>
    <n v="25"/>
    <n v="1.03"/>
    <n v="2776"/>
    <n v="309"/>
  </r>
  <r>
    <x v="757"/>
    <n v="331305"/>
    <s v="NY"/>
    <s v="NY - Delaware"/>
    <n v="13753"/>
    <s v="OConnor Hospital"/>
    <s v="Critical Access Hospital"/>
    <s v="Delhi"/>
    <n v="5.7"/>
    <n v="2.9"/>
    <n v="20"/>
    <n v="16"/>
    <m/>
    <m/>
    <n v="16"/>
    <n v="0.92"/>
    <n v="5167"/>
    <n v="162"/>
  </r>
  <r>
    <x v="758"/>
    <s v="331306 (Closed)"/>
    <s v="NY"/>
    <s v="NY - Essex"/>
    <n v="12883"/>
    <s v="Ticonderoga Campus (FKA Moses-Ludington Hospital Closed - No Longer Offering Inpatient Services)"/>
    <s v="Critical Access Hospital"/>
    <s v="Ticonderoga"/>
    <m/>
    <n v="2.1"/>
    <m/>
    <m/>
    <m/>
    <m/>
    <m/>
    <m/>
    <n v="2788"/>
    <m/>
  </r>
  <r>
    <x v="758"/>
    <n v="331302"/>
    <s v="NY"/>
    <s v="NY - Essex"/>
    <n v="12932"/>
    <s v="Elizabethtown Community Hospital"/>
    <s v="Critical Access Hospital"/>
    <s v="Elizabethtown"/>
    <n v="10.8"/>
    <n v="3.2"/>
    <n v="51"/>
    <n v="25"/>
    <m/>
    <m/>
    <n v="25"/>
    <n v="0.86"/>
    <n v="2789"/>
    <n v="354"/>
  </r>
  <r>
    <x v="759"/>
    <n v="331311"/>
    <s v="NY"/>
    <s v="NY - Herkimer"/>
    <n v="13365"/>
    <s v="Little Falls Hospital"/>
    <s v="Critical Access Hospital"/>
    <s v="Little Falls"/>
    <n v="15.3"/>
    <n v="4.5"/>
    <n v="35"/>
    <n v="25"/>
    <m/>
    <n v="0.36"/>
    <n v="25"/>
    <n v="0.92"/>
    <n v="2794"/>
    <n v="675"/>
  </r>
  <r>
    <x v="760"/>
    <n v="331309"/>
    <s v="NY"/>
    <s v="NY - Jefferson"/>
    <n v="13607"/>
    <s v="River Hospital"/>
    <s v="Critical Access Hospital"/>
    <s v="Alexandria Bay"/>
    <n v="4.5"/>
    <n v="3.9"/>
    <n v="35"/>
    <n v="24"/>
    <m/>
    <n v="0.62"/>
    <n v="24"/>
    <n v="0.9"/>
    <n v="2795"/>
    <n v="86"/>
  </r>
  <r>
    <x v="760"/>
    <n v="331318"/>
    <s v="NY"/>
    <s v="NY - Jefferson"/>
    <n v="13619"/>
    <s v="Carthage Area Hospital"/>
    <s v="Critical Access Hospital"/>
    <s v="Carthage"/>
    <n v="12.4"/>
    <n v="2.7"/>
    <n v="59"/>
    <n v="25"/>
    <m/>
    <n v="0.62"/>
    <n v="25"/>
    <n v="0.97"/>
    <n v="2797"/>
    <n v="917"/>
  </r>
  <r>
    <x v="761"/>
    <n v="331317"/>
    <s v="NY"/>
    <s v="NY - Lewis"/>
    <n v="13367"/>
    <s v="Lewis County General Hospital"/>
    <s v="Critical Access Hospital"/>
    <s v="Lowville"/>
    <n v="11.6"/>
    <n v="3"/>
    <n v="99"/>
    <n v="25"/>
    <n v="6"/>
    <m/>
    <n v="25"/>
    <n v="1.1499999999999999"/>
    <n v="2812"/>
    <n v="1030"/>
  </r>
  <r>
    <x v="762"/>
    <n v="331316"/>
    <s v="NY"/>
    <s v="NY - Madison"/>
    <n v="13346"/>
    <s v="Community Memorial Hospital"/>
    <s v="Critical Access Hospital"/>
    <s v="Hamilton"/>
    <n v="13.9"/>
    <n v="2.5"/>
    <n v="85"/>
    <n v="25"/>
    <m/>
    <n v="0.31"/>
    <n v="25"/>
    <n v="1.69"/>
    <n v="2814"/>
    <n v="1209"/>
  </r>
  <r>
    <x v="763"/>
    <n v="331319"/>
    <s v="NY"/>
    <s v="NY - Orleans"/>
    <n v="14103"/>
    <s v="Orleans Community Health - Medina Memorial Hospital"/>
    <s v="Critical Access Hospital"/>
    <s v="Medina"/>
    <n v="7.6"/>
    <n v="4.3"/>
    <n v="58"/>
    <n v="25"/>
    <m/>
    <n v="0.28999999999999998"/>
    <n v="25"/>
    <n v="1.17"/>
    <n v="2871"/>
    <n v="291"/>
  </r>
  <r>
    <x v="764"/>
    <n v="331315"/>
    <s v="NY"/>
    <s v="NY - Saint Lawrence"/>
    <n v="13642"/>
    <s v="Gouverneur Hospital (FKA Edward John Noble Hospital of Gouverneur)"/>
    <s v="Critical Access Hospital"/>
    <s v="Gouverneur"/>
    <n v="11.7"/>
    <n v="3.6"/>
    <n v="32"/>
    <n v="25"/>
    <m/>
    <n v="0.37"/>
    <n v="25"/>
    <n v="1.02"/>
    <n v="2891"/>
    <n v="589"/>
  </r>
  <r>
    <x v="764"/>
    <n v="331307"/>
    <s v="NY"/>
    <s v="NY - Saint Lawrence"/>
    <n v="13690"/>
    <s v="Clifton - Fine Hospital"/>
    <s v="Critical Access Hospital"/>
    <s v="Star Lake"/>
    <n v="15"/>
    <n v="3.3"/>
    <n v="6"/>
    <n v="20"/>
    <m/>
    <n v="0.37"/>
    <n v="20"/>
    <n v="0.98"/>
    <n v="5168"/>
    <n v="40"/>
  </r>
  <r>
    <x v="765"/>
    <n v="331320"/>
    <s v="NY"/>
    <s v="NY - Schoharie"/>
    <n v="12043"/>
    <s v="Cobleskill Regional Hospital"/>
    <s v="Critical Access Hospital"/>
    <s v="Cobleskill"/>
    <n v="10.8"/>
    <n v="10.1"/>
    <n v="37"/>
    <n v="40"/>
    <m/>
    <n v="0.2"/>
    <n v="40"/>
    <n v="0.95"/>
    <n v="2898"/>
    <n v="426"/>
  </r>
  <r>
    <x v="766"/>
    <n v="331313"/>
    <s v="NY"/>
    <s v="NY - Schuyler"/>
    <n v="14865"/>
    <s v="Schuyler Hospital"/>
    <s v="Critical Access Hospital"/>
    <s v="Montour Falls"/>
    <n v="9.9"/>
    <n v="3.8"/>
    <n v="30"/>
    <n v="25"/>
    <m/>
    <m/>
    <n v="25"/>
    <n v="0.95"/>
    <n v="2899"/>
    <n v="483"/>
  </r>
  <r>
    <x v="767"/>
    <n v="331303"/>
    <s v="NY"/>
    <s v="NY - Sullivan"/>
    <n v="12723"/>
    <s v="Garnet Health Medical Center - Catskill (FKA Catskill Regional Medical Center - Grover M Hermann Hospital)"/>
    <s v="Critical Access Hospital"/>
    <s v="Callicoon"/>
    <n v="3.2"/>
    <n v="1.7"/>
    <n v="12"/>
    <n v="15"/>
    <m/>
    <m/>
    <n v="15"/>
    <n v="0.85"/>
    <n v="5166"/>
    <n v="37"/>
  </r>
  <r>
    <x v="768"/>
    <n v="331310"/>
    <s v="NY"/>
    <s v="NY - Ulster"/>
    <n v="12428"/>
    <s v="Ellenville Regional Hospital"/>
    <s v="Critical Access Hospital"/>
    <s v="Ellenville"/>
    <n v="12.9"/>
    <n v="2.8"/>
    <n v="40"/>
    <n v="15"/>
    <m/>
    <n v="0.46"/>
    <n v="15"/>
    <n v="0.89"/>
    <n v="5821"/>
    <n v="208"/>
  </r>
  <r>
    <x v="769"/>
    <n v="331314"/>
    <s v="NY"/>
    <s v="NY - Yates"/>
    <n v="14527"/>
    <s v="Soldiers &amp; Sailors Memorial Hospital"/>
    <s v="Critical Access Hospital"/>
    <s v="Penn Yan"/>
    <n v="5.8"/>
    <n v="2.9"/>
    <n v="24"/>
    <n v="25"/>
    <m/>
    <n v="0.28999999999999998"/>
    <n v="25"/>
    <n v="1.03"/>
    <n v="2935"/>
    <n v="375"/>
  </r>
  <r>
    <x v="770"/>
    <n v="341320"/>
    <s v="NC"/>
    <s v="NC - Alleghany"/>
    <n v="28675"/>
    <s v="Alleghany Memorial Hospital (AKA Allegheny Health)"/>
    <s v="Critical Access Hospital"/>
    <s v="Sparta"/>
    <n v="2.2000000000000002"/>
    <n v="3.6"/>
    <n v="22"/>
    <n v="25"/>
    <m/>
    <m/>
    <n v="25"/>
    <n v="0.91"/>
    <n v="2937"/>
    <n v="210"/>
  </r>
  <r>
    <x v="771"/>
    <n v="341325"/>
    <s v="NC"/>
    <s v="NC - Ashe"/>
    <n v="28640"/>
    <s v="Ashe Memorial Hospital"/>
    <s v="Critical Access Hospital"/>
    <s v="Jefferson"/>
    <n v="11.7"/>
    <n v="3.2"/>
    <n v="61"/>
    <n v="25"/>
    <m/>
    <m/>
    <n v="25"/>
    <n v="1.07"/>
    <n v="2939"/>
    <n v="1245"/>
  </r>
  <r>
    <x v="772"/>
    <n v="341323"/>
    <s v="NC"/>
    <s v="NC - Avery"/>
    <n v="28646"/>
    <s v="Charles A Cannon Jr Memorial Hospital (AKA Cannon Memorial Hospital)"/>
    <s v="Critical Access Hospital"/>
    <s v="Linville"/>
    <n v="4.5999999999999996"/>
    <n v="2.8"/>
    <n v="49"/>
    <n v="21"/>
    <m/>
    <m/>
    <n v="21"/>
    <n v="1.1100000000000001"/>
    <n v="2940"/>
    <n v="415"/>
  </r>
  <r>
    <x v="773"/>
    <s v="341310 (Closed)"/>
    <s v="NC"/>
    <s v="NC - Beaufort"/>
    <n v="27810"/>
    <s v="Vidant Pungo Hospital (FKA Pungo District Hospital - Closed)"/>
    <s v="Critical Access Hospital"/>
    <s v="Belhaven"/>
    <n v="2"/>
    <n v="1.6"/>
    <m/>
    <m/>
    <m/>
    <n v="0.84"/>
    <m/>
    <m/>
    <n v="2941"/>
    <n v="259"/>
  </r>
  <r>
    <x v="774"/>
    <n v="341304"/>
    <s v="NC"/>
    <s v="NC - Bertie"/>
    <n v="27983"/>
    <s v="Vidant Bertie Hospital (FKA Bertie Memorial Hospital)"/>
    <s v="Critical Access Hospital"/>
    <s v="Windsor"/>
    <n v="4"/>
    <n v="3.3"/>
    <n v="28"/>
    <n v="6"/>
    <m/>
    <m/>
    <n v="6"/>
    <n v="1.05"/>
    <n v="2943"/>
    <n v="393"/>
  </r>
  <r>
    <x v="775"/>
    <n v="341315"/>
    <s v="NC"/>
    <s v="NC - Bladen"/>
    <n v="28337"/>
    <s v="Cape Fear Valley - Bladen County Hospital"/>
    <s v="Critical Access Hospital"/>
    <s v="Elizabethtown"/>
    <n v="8.6"/>
    <n v="2.8"/>
    <n v="46"/>
    <n v="25"/>
    <n v="4"/>
    <m/>
    <n v="25"/>
    <n v="1.1100000000000001"/>
    <n v="2944"/>
    <n v="581"/>
  </r>
  <r>
    <x v="776"/>
    <n v="341327"/>
    <s v="NC"/>
    <s v="NC - Brunswick"/>
    <n v="28461"/>
    <s v="J Arthur Dosher Memorial Hospital"/>
    <s v="Critical Access Hospital"/>
    <s v="Southport"/>
    <n v="5.9"/>
    <n v="2.5"/>
    <n v="72"/>
    <n v="25"/>
    <m/>
    <n v="0.25"/>
    <n v="25"/>
    <n v="1.41"/>
    <n v="4829"/>
    <n v="756"/>
  </r>
  <r>
    <x v="777"/>
    <n v="341311"/>
    <s v="NC"/>
    <s v="NC - Chatham"/>
    <n v="27344"/>
    <s v="Chatham Hospital"/>
    <s v="Critical Access Hospital"/>
    <s v="Siler City"/>
    <n v="12.3"/>
    <n v="3"/>
    <n v="54"/>
    <n v="25"/>
    <n v="4"/>
    <n v="0.41"/>
    <n v="25"/>
    <n v="1.1299999999999999"/>
    <n v="2956"/>
    <n v="697"/>
  </r>
  <r>
    <x v="778"/>
    <n v="341328"/>
    <s v="NC"/>
    <s v="NC - Cherokee"/>
    <n v="28906"/>
    <s v="Erlanger Western Carolina Hospital (FKA Murphy Medical Center)"/>
    <s v="Critical Access Hospital"/>
    <s v="Murphy"/>
    <n v="16.5"/>
    <n v="3.3"/>
    <n v="93"/>
    <n v="25"/>
    <m/>
    <m/>
    <n v="25"/>
    <n v="1.45"/>
    <n v="2957"/>
    <n v="1738"/>
  </r>
  <r>
    <x v="779"/>
    <n v="341318"/>
    <s v="NC"/>
    <s v="NC - Chowan"/>
    <n v="27932"/>
    <s v="Vidant Chowan Hospital (FKA Chowan Hospital)"/>
    <s v="Critical Access Hospital"/>
    <s v="Edenton"/>
    <n v="14.1"/>
    <n v="2.8"/>
    <n v="77"/>
    <n v="25"/>
    <n v="4"/>
    <m/>
    <n v="25"/>
    <n v="1.33"/>
    <n v="2958"/>
    <n v="1541"/>
  </r>
  <r>
    <x v="780"/>
    <n v="341324"/>
    <s v="NC"/>
    <s v="NC - Dare"/>
    <n v="27959"/>
    <s v="The Outer Banks Hospital"/>
    <s v="Critical Access Hospital"/>
    <s v="Nags Head"/>
    <n v="6.7"/>
    <n v="1.4"/>
    <n v="93"/>
    <n v="21"/>
    <m/>
    <n v="1"/>
    <n v="21"/>
    <n v="1.35"/>
    <n v="2965"/>
    <n v="1158"/>
  </r>
  <r>
    <x v="781"/>
    <s v="341302 (Closed)"/>
    <s v="NC"/>
    <s v="NC - Halifax"/>
    <n v="27874"/>
    <s v="Our Community Hospital (Closed)"/>
    <s v="Critical Access Hospital"/>
    <s v="Scotland Neck"/>
    <n v="1.6"/>
    <n v="2"/>
    <m/>
    <m/>
    <m/>
    <n v="0.98"/>
    <m/>
    <m/>
    <n v="6358"/>
    <n v="3"/>
  </r>
  <r>
    <x v="782"/>
    <n v="341326"/>
    <s v="NC"/>
    <s v="NC - Macon"/>
    <n v="28734"/>
    <s v="Angel Medical Center"/>
    <s v="Critical Access Hospital"/>
    <s v="Franklin"/>
    <n v="17.3"/>
    <n v="3.4"/>
    <n v="67"/>
    <n v="25"/>
    <n v="5"/>
    <m/>
    <n v="25"/>
    <n v="1.26"/>
    <n v="2999"/>
    <n v="1671"/>
  </r>
  <r>
    <x v="782"/>
    <n v="341316"/>
    <s v="NC"/>
    <s v="NC - Macon"/>
    <n v="28741"/>
    <s v="Highlands-Cashiers Hospital"/>
    <s v="Critical Access Hospital"/>
    <s v="Highlands"/>
    <n v="8.6"/>
    <n v="0.9"/>
    <n v="26"/>
    <n v="24"/>
    <m/>
    <m/>
    <n v="24"/>
    <n v="1.06"/>
    <n v="3000"/>
    <n v="230"/>
  </r>
  <r>
    <x v="783"/>
    <n v="341329"/>
    <s v="NC"/>
    <s v="NC - Mitchell"/>
    <n v="28777"/>
    <s v="Blue Ridge Regional Hospital"/>
    <s v="Critical Access Hospital"/>
    <s v="Spruce Pine"/>
    <n v="13.1"/>
    <n v="1.1000000000000001"/>
    <n v="75"/>
    <n v="25"/>
    <m/>
    <m/>
    <n v="25"/>
    <n v="1.1599999999999999"/>
    <n v="3009"/>
    <n v="1220"/>
  </r>
  <r>
    <x v="784"/>
    <n v="341303"/>
    <s v="NC"/>
    <s v="NC - Montgomery"/>
    <n v="27371"/>
    <s v="FirstHealth Montgomery Memorial Hospital"/>
    <s v="Critical Access Hospital"/>
    <s v="Troy"/>
    <n v="1.9"/>
    <n v="1.3"/>
    <n v="16"/>
    <n v="3"/>
    <m/>
    <m/>
    <n v="3"/>
    <n v="1.19"/>
    <n v="3010"/>
    <n v="184"/>
  </r>
  <r>
    <x v="785"/>
    <n v="341307"/>
    <s v="NC"/>
    <s v="NC - Pender"/>
    <n v="28425"/>
    <s v="Pender Memorial Hospital"/>
    <s v="Critical Access Hospital"/>
    <s v="Burgaw"/>
    <n v="11.5"/>
    <n v="3.5"/>
    <n v="17"/>
    <n v="25"/>
    <m/>
    <n v="0.93"/>
    <n v="25"/>
    <n v="1"/>
    <n v="3017"/>
    <n v="356"/>
  </r>
  <r>
    <x v="786"/>
    <n v="341322"/>
    <s v="NC"/>
    <s v="NC - Polk"/>
    <n v="28722"/>
    <s v="St Lukes Hospital"/>
    <s v="Critical Access Hospital"/>
    <s v="Columbus"/>
    <n v="12.8"/>
    <n v="3.2"/>
    <n v="52"/>
    <n v="25"/>
    <n v="6"/>
    <m/>
    <n v="25"/>
    <n v="1.46"/>
    <n v="3020"/>
    <n v="1283"/>
  </r>
  <r>
    <x v="787"/>
    <n v="341317"/>
    <s v="NC"/>
    <s v="NC - Stokes"/>
    <n v="27016"/>
    <s v="LifeBrite Community Hospital of Stokes (FKA Pioneer Community Hospital of Stokes)"/>
    <s v="Critical Access Hospital"/>
    <s v="Danbury"/>
    <n v="5"/>
    <n v="3.4"/>
    <n v="16"/>
    <n v="25"/>
    <m/>
    <n v="0.4"/>
    <n v="25"/>
    <n v="0.97"/>
    <n v="3032"/>
    <n v="194"/>
  </r>
  <r>
    <x v="788"/>
    <n v="341305"/>
    <s v="NC"/>
    <s v="NC - Swain"/>
    <n v="28713"/>
    <s v="Swain Community Hospital (FKA Swain County Hospital/Medwest Swain)"/>
    <s v="Critical Access Hospital"/>
    <s v="Bryson City"/>
    <n v="9.8000000000000007"/>
    <n v="3.2"/>
    <n v="23"/>
    <n v="24"/>
    <m/>
    <n v="0.78"/>
    <n v="24"/>
    <n v="0.94"/>
    <n v="6153"/>
    <n v="141"/>
  </r>
  <r>
    <x v="789"/>
    <n v="341319"/>
    <s v="NC"/>
    <s v="NC - Transylvania"/>
    <n v="28712"/>
    <s v="Transylvania Regional Hospital"/>
    <s v="Critical Access Hospital"/>
    <s v="Brevard"/>
    <n v="14.6"/>
    <n v="1"/>
    <n v="84"/>
    <n v="25"/>
    <n v="4"/>
    <n v="1"/>
    <n v="25"/>
    <n v="1.24"/>
    <n v="3036"/>
    <n v="1510"/>
  </r>
  <r>
    <x v="790"/>
    <n v="341314"/>
    <s v="NC"/>
    <s v="NC - Washington"/>
    <n v="27962"/>
    <s v="Washington Regional Medical Center (FKA Washington County Hospital)"/>
    <s v="Critical Access Hospital"/>
    <s v="Plymouth"/>
    <n v="1.9"/>
    <n v="3"/>
    <n v="28"/>
    <n v="33"/>
    <m/>
    <m/>
    <n v="33"/>
    <n v="0.88"/>
    <n v="3043"/>
    <n v="111"/>
  </r>
  <r>
    <x v="791"/>
    <s v="341321 (Closed)"/>
    <s v="NC"/>
    <s v="NC - Watauga"/>
    <n v="28605"/>
    <s v="Blowing Rock Rehabilitation &amp; Davant Extended Care Center (FKA Blowing Rock Hospital - Hospital Inpatient Services - Closed October 2013)"/>
    <s v="Critical Access Hospital"/>
    <s v="Blowing Rock"/>
    <n v="13.2"/>
    <n v="11.3"/>
    <m/>
    <m/>
    <m/>
    <n v="0.92"/>
    <m/>
    <m/>
    <n v="3044"/>
    <n v="167"/>
  </r>
  <r>
    <x v="792"/>
    <s v="341308 (Closed)"/>
    <s v="NC"/>
    <s v="NC - Yadkin"/>
    <n v="27055"/>
    <s v="Yadkin Valley Community Hospital (Closed)"/>
    <s v="Critical Access Hospital"/>
    <s v="Yadkinville"/>
    <n v="4.8"/>
    <n v="3.1"/>
    <m/>
    <m/>
    <m/>
    <n v="0.4"/>
    <m/>
    <m/>
    <n v="3049"/>
    <n v="130"/>
  </r>
  <r>
    <x v="793"/>
    <n v="351330"/>
    <s v="ND"/>
    <s v="ND - Adams"/>
    <n v="58639"/>
    <s v="West River Health Services"/>
    <s v="Critical Access Hospital"/>
    <s v="Hettinger"/>
    <n v="6.8"/>
    <n v="3.6"/>
    <n v="29"/>
    <n v="25"/>
    <m/>
    <m/>
    <n v="25"/>
    <n v="0.93"/>
    <n v="3050"/>
    <n v="468"/>
  </r>
  <r>
    <x v="794"/>
    <n v="351324"/>
    <s v="ND"/>
    <s v="ND - Barnes"/>
    <n v="58072"/>
    <s v="CHI Mercy Health of Valley City"/>
    <s v="Critical Access Hospital"/>
    <s v="Valley City"/>
    <n v="8.1"/>
    <n v="3.1"/>
    <n v="12"/>
    <n v="25"/>
    <m/>
    <m/>
    <n v="25"/>
    <n v="1.2"/>
    <n v="5064"/>
    <n v="225"/>
  </r>
  <r>
    <x v="795"/>
    <n v="351307"/>
    <s v="ND"/>
    <s v="ND - Bottineau"/>
    <n v="58318"/>
    <s v="St Andrews Health Center"/>
    <s v="Critical Access Hospital"/>
    <s v="Bottineau"/>
    <n v="15.1"/>
    <n v="2.8"/>
    <n v="13"/>
    <n v="25"/>
    <m/>
    <m/>
    <n v="25"/>
    <n v="0.91"/>
    <n v="3051"/>
    <n v="104"/>
  </r>
  <r>
    <x v="796"/>
    <n v="351313"/>
    <s v="ND"/>
    <s v="ND - Bowman"/>
    <n v="58623"/>
    <s v="Southwest Healthcare Services Hospital"/>
    <s v="Critical Access Hospital"/>
    <s v="Bowman"/>
    <n v="3.1"/>
    <n v="2.7"/>
    <n v="5"/>
    <n v="23"/>
    <m/>
    <m/>
    <n v="23"/>
    <n v="0.92"/>
    <n v="4924"/>
    <n v="107"/>
  </r>
  <r>
    <x v="797"/>
    <n v="351323"/>
    <s v="ND"/>
    <s v="ND - Cavalier"/>
    <n v="58249"/>
    <s v="Cavalier County Memorial Hospital"/>
    <s v="Critical Access Hospital"/>
    <s v="Langdon"/>
    <n v="1.3"/>
    <n v="3.2"/>
    <n v="11"/>
    <n v="20"/>
    <m/>
    <m/>
    <n v="20"/>
    <n v="0.84"/>
    <n v="5426"/>
    <n v="83"/>
  </r>
  <r>
    <x v="798"/>
    <n v="351315"/>
    <s v="ND"/>
    <s v="ND - Dickey"/>
    <n v="58474"/>
    <s v="CHI Oakes Hospital"/>
    <s v="Critical Access Hospital"/>
    <s v="Oakes"/>
    <n v="4.4000000000000004"/>
    <n v="3.1"/>
    <n v="16"/>
    <n v="20"/>
    <m/>
    <m/>
    <n v="20"/>
    <n v="1.04"/>
    <n v="5855"/>
    <n v="215"/>
  </r>
  <r>
    <x v="799"/>
    <n v="351325"/>
    <s v="ND"/>
    <s v="ND - Divide"/>
    <n v="58730"/>
    <s v="St Lukes Medical Center"/>
    <s v="Critical Access Hospital"/>
    <s v="Crosby"/>
    <n v="3.9"/>
    <n v="3.2"/>
    <n v="4"/>
    <n v="15"/>
    <m/>
    <m/>
    <n v="15"/>
    <n v="0.94"/>
    <n v="5990"/>
    <n v="59"/>
  </r>
  <r>
    <x v="800"/>
    <n v="351328"/>
    <s v="ND"/>
    <s v="ND - Emmons"/>
    <n v="58552"/>
    <s v="Linton Hospital - CAH"/>
    <s v="Critical Access Hospital"/>
    <s v="Linton"/>
    <n v="1.4"/>
    <n v="3.3"/>
    <n v="12"/>
    <n v="14"/>
    <m/>
    <m/>
    <n v="14"/>
    <n v="1.02"/>
    <n v="3056"/>
    <n v="107"/>
  </r>
  <r>
    <x v="801"/>
    <n v="351318"/>
    <s v="ND"/>
    <s v="ND - Foster"/>
    <n v="58421"/>
    <s v="CHI St Alexius Health Carrington Medical Center (FKA Carrington Health Center)"/>
    <s v="Critical Access Hospital"/>
    <s v="Carrington"/>
    <n v="3.3"/>
    <n v="2.8"/>
    <n v="10"/>
    <n v="25"/>
    <m/>
    <m/>
    <n v="25"/>
    <n v="0.94"/>
    <n v="3057"/>
    <n v="220"/>
  </r>
  <r>
    <x v="802"/>
    <n v="351312"/>
    <s v="ND"/>
    <s v="ND - Grand Forks"/>
    <n v="58267"/>
    <s v="Northwood Deaconess Health Center"/>
    <s v="Critical Access Hospital"/>
    <s v="Northwood"/>
    <n v="4.0999999999999996"/>
    <n v="3"/>
    <n v="9"/>
    <n v="12"/>
    <m/>
    <n v="0.73"/>
    <n v="12"/>
    <n v="0.9"/>
    <n v="3058"/>
    <n v="42"/>
  </r>
  <r>
    <x v="803"/>
    <n v="351314"/>
    <s v="ND"/>
    <s v="ND - Grant"/>
    <n v="58533"/>
    <s v="Jacobson Memorial Hospital &amp; Care Center"/>
    <s v="Critical Access Hospital"/>
    <s v="Elgin"/>
    <n v="24.9"/>
    <n v="3"/>
    <n v="16"/>
    <n v="30"/>
    <m/>
    <m/>
    <n v="30"/>
    <n v="0.97"/>
    <n v="3060"/>
    <n v="113"/>
  </r>
  <r>
    <x v="804"/>
    <n v="351306"/>
    <s v="ND"/>
    <s v="ND - Griggs"/>
    <n v="58425"/>
    <s v="Cooperstown Medical Center"/>
    <s v="Critical Access Hospital"/>
    <s v="Cooperstown"/>
    <n v="2.1"/>
    <n v="3.4"/>
    <n v="7"/>
    <n v="18"/>
    <m/>
    <m/>
    <n v="18"/>
    <n v="0.94"/>
    <n v="6196"/>
    <n v="46"/>
  </r>
  <r>
    <x v="805"/>
    <n v="351321"/>
    <s v="ND"/>
    <s v="ND - Mcintosh"/>
    <n v="58495"/>
    <s v="South Central Health (FKA Wishek Community Hospital)"/>
    <s v="Critical Access Hospital"/>
    <s v="Wishek"/>
    <n v="2.6"/>
    <n v="3"/>
    <n v="7"/>
    <n v="24"/>
    <m/>
    <m/>
    <n v="24"/>
    <n v="0.91"/>
    <n v="3061"/>
    <n v="182"/>
  </r>
  <r>
    <x v="805"/>
    <n v="351322"/>
    <s v="ND"/>
    <s v="ND - Mcintosh"/>
    <n v="58413"/>
    <s v="Ashley Medical Center"/>
    <s v="Critical Access Hospital"/>
    <s v="Ashley"/>
    <n v="2.8"/>
    <n v="2.7"/>
    <n v="5"/>
    <n v="20"/>
    <m/>
    <m/>
    <n v="20"/>
    <n v="0.9"/>
    <n v="5360"/>
    <n v="74"/>
  </r>
  <r>
    <x v="806"/>
    <n v="351302"/>
    <s v="ND"/>
    <s v="ND - Mckenzie"/>
    <n v="58854"/>
    <s v="McKenzie County Healthcare System"/>
    <s v="Critical Access Hospital"/>
    <s v="Watford City"/>
    <n v="2.5"/>
    <n v="2.6"/>
    <n v="25"/>
    <n v="24"/>
    <m/>
    <m/>
    <n v="24"/>
    <n v="0.88"/>
    <n v="3062"/>
    <n v="105"/>
  </r>
  <r>
    <x v="807"/>
    <n v="351304"/>
    <s v="ND"/>
    <s v="ND - Mclean"/>
    <n v="58575"/>
    <s v="CHI St Alexius Health Turtle Lake Hospital"/>
    <s v="Critical Access Hospital"/>
    <s v="Turtle Lake"/>
    <n v="17.2"/>
    <n v="3.2"/>
    <n v="11"/>
    <n v="25"/>
    <m/>
    <m/>
    <n v="25"/>
    <n v="0.96"/>
    <n v="6328"/>
    <n v="21"/>
  </r>
  <r>
    <x v="807"/>
    <n v="351303"/>
    <s v="ND"/>
    <s v="ND - Mclean"/>
    <n v="58540"/>
    <s v="CHI St Alexius Health Garrison Hospital"/>
    <s v="Critical Access Hospital"/>
    <s v="Garrison"/>
    <n v="12.2"/>
    <n v="2.8"/>
    <n v="8"/>
    <n v="22"/>
    <m/>
    <m/>
    <n v="22"/>
    <n v="0.99"/>
    <n v="5552"/>
    <n v="122"/>
  </r>
  <r>
    <x v="808"/>
    <n v="351310"/>
    <s v="ND"/>
    <s v="ND - Mercer"/>
    <n v="58545"/>
    <s v="Sakakawea Medical Center"/>
    <s v="Critical Access Hospital"/>
    <s v="Hazen"/>
    <n v="3.9"/>
    <n v="3.2"/>
    <n v="28"/>
    <n v="13"/>
    <m/>
    <m/>
    <n v="13"/>
    <n v="0.92"/>
    <n v="6120"/>
    <n v="153"/>
  </r>
  <r>
    <x v="809"/>
    <n v="351301"/>
    <s v="ND"/>
    <s v="ND - Mountrail"/>
    <n v="58784"/>
    <s v="Mountrail County Medical Center"/>
    <s v="Critical Access Hospital"/>
    <s v="Stanley"/>
    <n v="1.6"/>
    <n v="2.8"/>
    <n v="14"/>
    <n v="11"/>
    <m/>
    <m/>
    <n v="11"/>
    <n v="1.2"/>
    <n v="3063"/>
    <n v="28"/>
  </r>
  <r>
    <x v="810"/>
    <n v="351308"/>
    <s v="ND"/>
    <s v="ND - Nelson"/>
    <n v="58254"/>
    <s v="Nelson County Health System Hospital"/>
    <s v="Critical Access Hospital"/>
    <s v="McVille"/>
    <n v="2.7"/>
    <n v="3.4"/>
    <n v="5"/>
    <n v="19"/>
    <m/>
    <m/>
    <n v="19"/>
    <n v="0.83"/>
    <n v="5648"/>
    <n v="56"/>
  </r>
  <r>
    <x v="811"/>
    <n v="351319"/>
    <s v="ND"/>
    <s v="ND - Pembina"/>
    <n v="58220"/>
    <s v="Pembina County Memorial Hospital"/>
    <s v="Critical Access Hospital"/>
    <s v="Cavalier"/>
    <n v="2.1"/>
    <n v="2.9"/>
    <n v="7"/>
    <n v="20"/>
    <m/>
    <m/>
    <n v="20"/>
    <n v="0.88"/>
    <n v="3064"/>
    <n v="211"/>
  </r>
  <r>
    <x v="812"/>
    <n v="351332"/>
    <s v="ND"/>
    <s v="ND - Pierce"/>
    <n v="58368"/>
    <s v="Heart of America Medical Center"/>
    <s v="Critical Access Hospital"/>
    <s v="Rugby"/>
    <n v="7.4"/>
    <n v="2.5"/>
    <n v="33"/>
    <n v="25"/>
    <m/>
    <m/>
    <n v="25"/>
    <n v="0.92"/>
    <n v="3065"/>
    <n v="292"/>
  </r>
  <r>
    <x v="813"/>
    <n v="351333"/>
    <s v="ND"/>
    <s v="ND - Ramsey"/>
    <n v="58301"/>
    <s v="CHI St Alexius Health Devils Lake Hospital (FKA Mercy Hospital)"/>
    <s v="Critical Access Hospital"/>
    <s v="Devils Lake"/>
    <n v="8.6999999999999993"/>
    <n v="2.5"/>
    <n v="16"/>
    <n v="25"/>
    <m/>
    <m/>
    <n v="25"/>
    <n v="1.17"/>
    <n v="5764"/>
    <n v="723"/>
  </r>
  <r>
    <x v="814"/>
    <n v="351311"/>
    <s v="ND"/>
    <s v="ND - Ransom"/>
    <n v="58054"/>
    <s v="CHI Lisbon Health"/>
    <s v="Critical Access Hospital"/>
    <s v="Lisbon"/>
    <n v="9.6999999999999993"/>
    <n v="3.2"/>
    <n v="8"/>
    <n v="25"/>
    <m/>
    <m/>
    <n v="25"/>
    <n v="1.1100000000000001"/>
    <n v="5541"/>
    <n v="175"/>
  </r>
  <r>
    <x v="815"/>
    <n v="351316"/>
    <s v="ND"/>
    <s v="ND - Rolette"/>
    <n v="58367"/>
    <s v="Presentation Medical Center"/>
    <s v="Critical Access Hospital"/>
    <s v="Rolla"/>
    <n v="6.4"/>
    <n v="2.6"/>
    <n v="8"/>
    <n v="25"/>
    <m/>
    <m/>
    <n v="25"/>
    <n v="0.84"/>
    <n v="3066"/>
    <n v="70"/>
  </r>
  <r>
    <x v="816"/>
    <n v="351336"/>
    <s v="ND"/>
    <s v="ND - Stark"/>
    <n v="58601"/>
    <s v="CHI St Alexius Health Dickinson Medical Center (FKA St Josephs Hospital &amp; Health Center - Critical Access)"/>
    <s v="Critical Access Hospital"/>
    <s v="Dickinson"/>
    <n v="12.4"/>
    <n v="2.6"/>
    <n v="75"/>
    <n v="25"/>
    <n v="4"/>
    <n v="0.96"/>
    <n v="25"/>
    <n v="1.18"/>
    <n v="3069"/>
    <n v="1754"/>
  </r>
  <r>
    <x v="816"/>
    <s v="351317 (Closed)"/>
    <s v="ND"/>
    <s v="ND - Stark"/>
    <n v="58652"/>
    <s v="Richardton Health Center (Closed Inpatient Services)"/>
    <s v="Critical Access Hospital"/>
    <s v="Richardton"/>
    <n v="16.600000000000001"/>
    <n v="264.5"/>
    <m/>
    <m/>
    <m/>
    <n v="0.96"/>
    <m/>
    <m/>
    <n v="6410"/>
    <n v="1"/>
  </r>
  <r>
    <x v="817"/>
    <n v="351335"/>
    <s v="ND"/>
    <s v="ND - Stutsman"/>
    <n v="58401"/>
    <s v="Jamestown Regional Medical Center"/>
    <s v="Critical Access Hospital"/>
    <s v="Jamestown"/>
    <n v="7.7"/>
    <n v="2.8"/>
    <n v="52"/>
    <n v="25"/>
    <n v="6"/>
    <n v="1"/>
    <n v="25"/>
    <n v="1.37"/>
    <n v="3070"/>
    <n v="1036"/>
  </r>
  <r>
    <x v="818"/>
    <n v="351331"/>
    <s v="ND"/>
    <s v="ND - Towner"/>
    <n v="58324"/>
    <s v="Towner County Medical Center"/>
    <s v="Critical Access Hospital"/>
    <s v="Cando"/>
    <n v="3.2"/>
    <n v="2.2000000000000002"/>
    <n v="11"/>
    <n v="20"/>
    <m/>
    <m/>
    <n v="20"/>
    <n v="0.84"/>
    <n v="6311"/>
    <n v="119"/>
  </r>
  <r>
    <x v="819"/>
    <n v="351329"/>
    <s v="ND"/>
    <s v="ND - Traill"/>
    <n v="58045"/>
    <s v="Sanford Hillsboro Medical Center"/>
    <s v="Critical Access Hospital"/>
    <s v="Hillsboro"/>
    <n v="4.4000000000000004"/>
    <n v="2.8"/>
    <n v="4"/>
    <n v="16"/>
    <m/>
    <m/>
    <n v="16"/>
    <n v="0.94"/>
    <n v="3071"/>
    <n v="53"/>
  </r>
  <r>
    <x v="819"/>
    <n v="351309"/>
    <s v="ND"/>
    <s v="ND - Traill"/>
    <n v="58257"/>
    <s v="Sanford Mayville Medical Center"/>
    <s v="Critical Access Hospital"/>
    <s v="Mayville"/>
    <n v="3.4"/>
    <n v="2.4"/>
    <n v="8"/>
    <n v="25"/>
    <m/>
    <m/>
    <n v="25"/>
    <n v="0.99"/>
    <n v="3072"/>
    <n v="109"/>
  </r>
  <r>
    <x v="820"/>
    <n v="351320"/>
    <s v="ND"/>
    <s v="ND - Walsh"/>
    <n v="58237"/>
    <s v="Unity Medical Center"/>
    <s v="Critical Access Hospital"/>
    <s v="Grafton"/>
    <n v="4.2"/>
    <n v="2.8"/>
    <n v="16"/>
    <n v="14"/>
    <m/>
    <m/>
    <n v="14"/>
    <n v="0.98"/>
    <n v="3073"/>
    <n v="173"/>
  </r>
  <r>
    <x v="820"/>
    <n v="351326"/>
    <s v="ND"/>
    <s v="ND - Walsh"/>
    <n v="58270"/>
    <s v="First Care Health Center"/>
    <s v="Critical Access Hospital"/>
    <s v="Park River"/>
    <n v="6.8"/>
    <n v="3.4"/>
    <n v="6"/>
    <n v="14"/>
    <m/>
    <m/>
    <n v="14"/>
    <n v="0.92"/>
    <n v="5755"/>
    <n v="250"/>
  </r>
  <r>
    <x v="821"/>
    <n v="351305"/>
    <s v="ND"/>
    <s v="ND - Ward"/>
    <n v="58746"/>
    <s v="Trinity Kenmare Community Hospital"/>
    <s v="Critical Access Hospital"/>
    <s v="Kenmare"/>
    <n v="16.5"/>
    <n v="2.2000000000000002"/>
    <n v="4"/>
    <n v="25"/>
    <m/>
    <n v="0.98"/>
    <n v="25"/>
    <n v="1.05"/>
    <n v="5195"/>
    <n v="8"/>
  </r>
  <r>
    <x v="822"/>
    <n v="351327"/>
    <s v="ND"/>
    <s v="ND - Wells"/>
    <n v="58341"/>
    <s v="St Aloisius Medical Center"/>
    <s v="Critical Access Hospital"/>
    <s v="Harvey"/>
    <n v="5.4"/>
    <n v="2.9"/>
    <n v="16"/>
    <n v="25"/>
    <m/>
    <m/>
    <n v="25"/>
    <n v="0.86"/>
    <n v="3075"/>
    <n v="194"/>
  </r>
  <r>
    <x v="823"/>
    <n v="351300"/>
    <s v="ND"/>
    <s v="ND - Williams"/>
    <n v="58852"/>
    <s v="Tioga Medical Center"/>
    <s v="Critical Access Hospital"/>
    <s v="Tioga"/>
    <n v="5"/>
    <n v="3"/>
    <n v="7"/>
    <n v="25"/>
    <m/>
    <n v="0.82"/>
    <n v="25"/>
    <n v="0.86"/>
    <n v="3076"/>
    <n v="128"/>
  </r>
  <r>
    <x v="823"/>
    <n v="351334"/>
    <s v="ND"/>
    <s v="ND - Williams"/>
    <n v="58801"/>
    <s v="CHI St Alexius Health Williston Medical Center"/>
    <s v="Critical Access Hospital"/>
    <s v="Williston"/>
    <n v="9.9"/>
    <n v="2.2000000000000002"/>
    <n v="67"/>
    <n v="25"/>
    <m/>
    <n v="0.82"/>
    <n v="25"/>
    <n v="1.2"/>
    <n v="5463"/>
    <n v="1674"/>
  </r>
  <r>
    <x v="824"/>
    <n v="361326"/>
    <s v="OH"/>
    <s v="OH - Adams"/>
    <n v="45679"/>
    <s v="Adams County Regional Medical Center"/>
    <s v="Critical Access Hospital"/>
    <s v="Seaman"/>
    <n v="13.6"/>
    <n v="3.3"/>
    <n v="48"/>
    <n v="25"/>
    <m/>
    <m/>
    <n v="25"/>
    <n v="0.95"/>
    <n v="3078"/>
    <n v="863"/>
  </r>
  <r>
    <x v="825"/>
    <n v="361322"/>
    <s v="OH"/>
    <s v="OH - Allen"/>
    <n v="45817"/>
    <s v="Bluffton Hospital"/>
    <s v="Critical Access Hospital"/>
    <s v="Bluffton"/>
    <n v="1.3"/>
    <n v="2.1"/>
    <n v="22"/>
    <n v="25"/>
    <m/>
    <n v="0.47"/>
    <n v="25"/>
    <n v="0.98"/>
    <n v="3079"/>
    <n v="433"/>
  </r>
  <r>
    <x v="826"/>
    <n v="361307"/>
    <s v="OH"/>
    <s v="OH - Ashtabula"/>
    <n v="44041"/>
    <s v="University Hospitals Geneva Medical Center (FKA Memorial Hospital of Geneva)"/>
    <s v="Critical Access Hospital"/>
    <s v="Geneva"/>
    <n v="16.5"/>
    <n v="3.7"/>
    <n v="41"/>
    <n v="25"/>
    <n v="5"/>
    <n v="0.36"/>
    <n v="25"/>
    <n v="1.32"/>
    <n v="3086"/>
    <n v="1613"/>
  </r>
  <r>
    <x v="826"/>
    <n v="361308"/>
    <s v="OH"/>
    <s v="OH - Ashtabula"/>
    <n v="44030"/>
    <s v="University Hospitals Conneaut Medical Center"/>
    <s v="Critical Access Hospital"/>
    <s v="Conneaut"/>
    <n v="5.2"/>
    <n v="3.2"/>
    <n v="30"/>
    <n v="25"/>
    <n v="5"/>
    <n v="0.36"/>
    <n v="25"/>
    <n v="1.35"/>
    <n v="3087"/>
    <n v="598"/>
  </r>
  <r>
    <x v="827"/>
    <s v="361305 (Closed)"/>
    <s v="OH"/>
    <s v="OH - Athens"/>
    <n v="45764"/>
    <s v="OhioHealth Nelsonville (FKA Doctors Hospital of Nelsonville - Closed)"/>
    <s v="Critical Access Hospital"/>
    <s v="Nelsonville"/>
    <n v="4.5"/>
    <n v="2.7"/>
    <m/>
    <m/>
    <m/>
    <n v="0.8"/>
    <m/>
    <m/>
    <n v="3088"/>
    <n v="191"/>
  </r>
  <r>
    <x v="828"/>
    <n v="361321"/>
    <s v="OH"/>
    <s v="OH - Belmont"/>
    <n v="43713"/>
    <s v="Barnesville Hospital"/>
    <s v="Critical Access Hospital"/>
    <s v="Barnesville"/>
    <n v="5.7"/>
    <n v="3"/>
    <n v="35"/>
    <n v="25"/>
    <m/>
    <n v="0.47"/>
    <n v="25"/>
    <n v="1.03"/>
    <n v="3093"/>
    <n v="562"/>
  </r>
  <r>
    <x v="829"/>
    <n v="361312"/>
    <s v="OH"/>
    <s v="OH - Champaign"/>
    <n v="43078"/>
    <s v="Mercy Health - Urbana Hospital (FKA Mercy Memorial Hospital)"/>
    <s v="Critical Access Hospital"/>
    <s v="Urbana"/>
    <n v="8.1"/>
    <n v="3.1"/>
    <n v="23"/>
    <n v="25"/>
    <m/>
    <n v="1"/>
    <n v="25"/>
    <n v="1.1399999999999999"/>
    <n v="3101"/>
    <n v="909"/>
  </r>
  <r>
    <x v="830"/>
    <n v="361316"/>
    <s v="OH"/>
    <s v="OH - Crawford"/>
    <n v="44820"/>
    <s v="Bucyrus Hospital (FKA Bucyrus Community Hospital)"/>
    <s v="Critical Access Hospital"/>
    <s v="Bucyrus"/>
    <n v="8.4"/>
    <n v="3.4"/>
    <n v="82"/>
    <n v="25"/>
    <n v="6"/>
    <n v="0.54"/>
    <n v="25"/>
    <n v="1.39"/>
    <n v="3109"/>
    <n v="851"/>
  </r>
  <r>
    <x v="830"/>
    <n v="361325"/>
    <s v="OH"/>
    <s v="OH - Crawford"/>
    <n v="44833"/>
    <s v="Galion Hospital (FKA Galion Community Hospital)"/>
    <s v="Critical Access Hospital"/>
    <s v="Galion"/>
    <n v="11.5"/>
    <n v="2.8"/>
    <n v="68"/>
    <n v="25"/>
    <n v="3"/>
    <n v="0.54"/>
    <n v="25"/>
    <n v="1.31"/>
    <n v="3110"/>
    <n v="1510"/>
  </r>
  <r>
    <x v="831"/>
    <n v="361328"/>
    <s v="OH"/>
    <s v="OH - Defiance"/>
    <n v="43512"/>
    <s v="ProMedica Defiance Regional Hospital"/>
    <s v="Critical Access Hospital"/>
    <s v="Defiance"/>
    <n v="8.5"/>
    <n v="3.6"/>
    <n v="69"/>
    <n v="25"/>
    <n v="8"/>
    <n v="0.38"/>
    <n v="25"/>
    <n v="1.21"/>
    <n v="3131"/>
    <n v="1137"/>
  </r>
  <r>
    <x v="831"/>
    <n v="361301"/>
    <s v="OH"/>
    <s v="OH - Defiance"/>
    <n v="43526"/>
    <s v="Community Memorial Hospital"/>
    <s v="Critical Access Hospital"/>
    <s v="Hicksville"/>
    <n v="4.5999999999999996"/>
    <n v="2.5"/>
    <n v="34"/>
    <n v="25"/>
    <m/>
    <n v="0.38"/>
    <n v="25"/>
    <n v="1.1000000000000001"/>
    <n v="5724"/>
    <n v="495"/>
  </r>
  <r>
    <x v="832"/>
    <n v="361331"/>
    <s v="OH"/>
    <s v="OH - Fayette"/>
    <n v="43160"/>
    <s v="Fayette County Memorial Hospital"/>
    <s v="Critical Access Hospital"/>
    <s v="Washington Court House"/>
    <n v="9.8000000000000007"/>
    <n v="2.9"/>
    <n v="94"/>
    <n v="25"/>
    <m/>
    <n v="1"/>
    <n v="25"/>
    <n v="1.07"/>
    <n v="3135"/>
    <n v="871"/>
  </r>
  <r>
    <x v="833"/>
    <n v="361333"/>
    <s v="OH"/>
    <s v="OH - Fulton"/>
    <n v="43567"/>
    <s v="Fulton County Health Center"/>
    <s v="Critical Access Hospital"/>
    <s v="Wauseon"/>
    <n v="6.9"/>
    <n v="2.1"/>
    <n v="86"/>
    <n v="25"/>
    <n v="7"/>
    <n v="0.18"/>
    <n v="25"/>
    <n v="1.36"/>
    <n v="3146"/>
    <n v="1072"/>
  </r>
  <r>
    <x v="834"/>
    <n v="361315"/>
    <s v="OH"/>
    <s v="OH - Hardin"/>
    <n v="43326"/>
    <s v="OhioHealth Hardin Memorial Hospital"/>
    <s v="Critical Access Hospital"/>
    <s v="Kenton"/>
    <n v="3.7"/>
    <n v="3.2"/>
    <n v="37"/>
    <n v="25"/>
    <m/>
    <m/>
    <n v="25"/>
    <n v="0.96"/>
    <n v="3165"/>
    <n v="421"/>
  </r>
  <r>
    <x v="835"/>
    <n v="361311"/>
    <s v="OH"/>
    <s v="OH - Harrison"/>
    <n v="43907"/>
    <s v="Harrison Community Hospital"/>
    <s v="Critical Access Hospital"/>
    <s v="Cadiz"/>
    <n v="2.4"/>
    <n v="2.5"/>
    <n v="25"/>
    <n v="25"/>
    <m/>
    <m/>
    <n v="25"/>
    <n v="1.07"/>
    <n v="3164"/>
    <n v="89"/>
  </r>
  <r>
    <x v="836"/>
    <n v="361309"/>
    <s v="OH"/>
    <s v="OH - Henry"/>
    <n v="43545"/>
    <s v="Henry County Hospital"/>
    <s v="Critical Access Hospital"/>
    <s v="Napoleon"/>
    <n v="7.2"/>
    <n v="2.6"/>
    <n v="35"/>
    <n v="25"/>
    <n v="5"/>
    <m/>
    <n v="25"/>
    <n v="1.1399999999999999"/>
    <n v="3166"/>
    <n v="648"/>
  </r>
  <r>
    <x v="837"/>
    <n v="361332"/>
    <s v="OH"/>
    <s v="OH - Highland"/>
    <n v="45133"/>
    <s v="Highland District Hospital"/>
    <s v="Critical Access Hospital"/>
    <s v="Hillsboro"/>
    <n v="11.6"/>
    <n v="2"/>
    <n v="102"/>
    <n v="25"/>
    <m/>
    <m/>
    <n v="25"/>
    <n v="1.18"/>
    <n v="3167"/>
    <n v="1378"/>
  </r>
  <r>
    <x v="837"/>
    <n v="361304"/>
    <s v="OH"/>
    <s v="OH - Highland"/>
    <n v="45123"/>
    <s v="Adena Greenfield Medical Center"/>
    <s v="Critical Access Hospital"/>
    <s v="Greenfield"/>
    <n v="7.9"/>
    <n v="3.2"/>
    <n v="25"/>
    <n v="25"/>
    <m/>
    <m/>
    <n v="25"/>
    <n v="1.01"/>
    <n v="3168"/>
    <n v="96"/>
  </r>
  <r>
    <x v="838"/>
    <n v="361330"/>
    <s v="OH"/>
    <s v="OH - Hocking"/>
    <n v="43138"/>
    <s v="Hocking Valley Community Hospital"/>
    <s v="Critical Access Hospital"/>
    <s v="Logan"/>
    <n v="10.3"/>
    <n v="3.5"/>
    <n v="60"/>
    <n v="25"/>
    <m/>
    <n v="0.13"/>
    <n v="25"/>
    <n v="1.1399999999999999"/>
    <n v="3169"/>
    <n v="520"/>
  </r>
  <r>
    <x v="839"/>
    <n v="361310"/>
    <s v="OH"/>
    <s v="OH - Huron"/>
    <n v="44890"/>
    <s v="Mercy Health - Willard Hospital"/>
    <s v="Critical Access Hospital"/>
    <s v="Willard"/>
    <n v="6.2"/>
    <n v="3"/>
    <n v="26"/>
    <n v="20"/>
    <n v="2"/>
    <n v="0.48"/>
    <n v="20"/>
    <n v="1.19"/>
    <n v="3172"/>
    <n v="492"/>
  </r>
  <r>
    <x v="840"/>
    <n v="361320"/>
    <s v="OH"/>
    <s v="OH - Jackson"/>
    <n v="45640"/>
    <s v="Holzer Medical Center - Jackson"/>
    <s v="Critical Access Hospital"/>
    <s v="Jackson"/>
    <n v="7.5"/>
    <n v="2.8"/>
    <n v="27"/>
    <n v="24"/>
    <m/>
    <n v="1"/>
    <n v="24"/>
    <n v="1.1100000000000001"/>
    <n v="3173"/>
    <n v="516"/>
  </r>
  <r>
    <x v="841"/>
    <n v="361306"/>
    <s v="OH"/>
    <s v="OH - Lorain"/>
    <n v="44074"/>
    <s v="Mercy Health - Allen Hospital (FKA Mercy Allen Hospital)"/>
    <s v="Critical Access Hospital"/>
    <s v="Oberlin"/>
    <n v="14.7"/>
    <n v="2.7"/>
    <n v="21"/>
    <n v="25"/>
    <m/>
    <n v="0.22"/>
    <n v="25"/>
    <n v="1.19"/>
    <n v="3184"/>
    <n v="488"/>
  </r>
  <r>
    <x v="842"/>
    <n v="361303"/>
    <s v="OH"/>
    <s v="OH - Medina"/>
    <n v="44254"/>
    <s v="Akron General Lodi Hospital"/>
    <s v="Critical Access Hospital"/>
    <s v="Lodi"/>
    <n v="5.3"/>
    <n v="2.5"/>
    <n v="23"/>
    <n v="20"/>
    <m/>
    <n v="0.22"/>
    <n v="20"/>
    <n v="1.02"/>
    <n v="3201"/>
    <n v="42"/>
  </r>
  <r>
    <x v="843"/>
    <n v="361313"/>
    <s v="OH"/>
    <s v="OH - Morrow"/>
    <n v="43338"/>
    <s v="Morrow County Hospital"/>
    <s v="Critical Access Hospital"/>
    <s v="Mount Gilead"/>
    <n v="3.8"/>
    <n v="2.7"/>
    <n v="40"/>
    <n v="23"/>
    <n v="3"/>
    <n v="0.13"/>
    <n v="23"/>
    <n v="1.06"/>
    <n v="3211"/>
    <n v="402"/>
  </r>
  <r>
    <x v="844"/>
    <n v="361314"/>
    <s v="OH"/>
    <s v="OH - Ottawa"/>
    <n v="43452"/>
    <s v="Magruder Memorial Hospital"/>
    <s v="Critical Access Hospital"/>
    <s v="Port Clinton"/>
    <n v="3"/>
    <n v="2.9"/>
    <n v="52"/>
    <n v="25"/>
    <n v="4"/>
    <n v="0.18"/>
    <n v="25"/>
    <n v="1.29"/>
    <n v="3213"/>
    <n v="344"/>
  </r>
  <r>
    <x v="845"/>
    <n v="361300"/>
    <s v="OH"/>
    <s v="OH - Paulding"/>
    <n v="45879"/>
    <s v="Paulding County Hospital"/>
    <s v="Critical Access Hospital"/>
    <s v="Paulding"/>
    <n v="4.5999999999999996"/>
    <n v="3.1"/>
    <n v="18"/>
    <n v="25"/>
    <m/>
    <m/>
    <n v="25"/>
    <n v="0.98"/>
    <n v="3214"/>
    <n v="293"/>
  </r>
  <r>
    <x v="846"/>
    <n v="361334"/>
    <s v="OH"/>
    <s v="OH - Pike"/>
    <n v="45690"/>
    <s v="Adena Pike Medical Center"/>
    <s v="Critical Access Hospital"/>
    <s v="Waverly"/>
    <n v="7.2"/>
    <n v="2.5"/>
    <n v="19"/>
    <n v="25"/>
    <m/>
    <m/>
    <n v="25"/>
    <n v="1"/>
    <n v="3216"/>
    <n v="297"/>
  </r>
  <r>
    <x v="847"/>
    <n v="361324"/>
    <s v="OH"/>
    <s v="OH - Richland"/>
    <n v="44875"/>
    <s v="OhioHealth Shelby Hospital (FKA Medcentral Health System Shelby Hospital)"/>
    <s v="Critical Access Hospital"/>
    <s v="Shelby"/>
    <n v="9.3000000000000007"/>
    <n v="2.9"/>
    <n v="17"/>
    <n v="25"/>
    <m/>
    <m/>
    <n v="25"/>
    <n v="1.04"/>
    <n v="3219"/>
    <n v="442"/>
  </r>
  <r>
    <x v="848"/>
    <n v="361318"/>
    <s v="OH"/>
    <s v="OH - Seneca"/>
    <n v="44830"/>
    <s v="ProMedica Fostoria Community Hospital"/>
    <s v="Critical Access Hospital"/>
    <s v="Fostoria"/>
    <n v="3.1"/>
    <n v="2.6"/>
    <n v="36"/>
    <n v="25"/>
    <n v="4"/>
    <n v="0.57999999999999996"/>
    <n v="25"/>
    <n v="1.2"/>
    <n v="3162"/>
    <n v="442"/>
  </r>
  <r>
    <x v="849"/>
    <n v="361302"/>
    <s v="OH"/>
    <s v="OH - Tuscarawas"/>
    <n v="44621"/>
    <s v="Trinity Hospital Twin City"/>
    <s v="Critical Access Hospital"/>
    <s v="Dennison"/>
    <n v="1.2"/>
    <n v="2.5"/>
    <n v="32"/>
    <n v="25"/>
    <m/>
    <n v="0.73"/>
    <n v="25"/>
    <n v="1.1100000000000001"/>
    <n v="3241"/>
    <n v="113"/>
  </r>
  <r>
    <x v="850"/>
    <n v="361319"/>
    <s v="OH"/>
    <s v="OH - Washington"/>
    <n v="45750"/>
    <s v="Selby General Hospital Campus"/>
    <s v="Critical Access Hospital"/>
    <s v="Marietta"/>
    <n v="7.9"/>
    <n v="2.9"/>
    <n v="17"/>
    <n v="25"/>
    <m/>
    <n v="0.83"/>
    <n v="25"/>
    <n v="1.77"/>
    <n v="3246"/>
    <n v="852"/>
  </r>
  <r>
    <x v="851"/>
    <n v="361323"/>
    <s v="OH"/>
    <s v="OH - Wayne"/>
    <n v="44667"/>
    <s v="Aultman Orrville Hospital (FKA Dunlap Memorial Hospital)"/>
    <s v="Critical Access Hospital"/>
    <s v="Orrville"/>
    <n v="6.6"/>
    <n v="1.7"/>
    <n v="53"/>
    <n v="25"/>
    <m/>
    <n v="0.69"/>
    <n v="25"/>
    <n v="1.19"/>
    <n v="5232"/>
    <n v="1028"/>
  </r>
  <r>
    <x v="852"/>
    <n v="361327"/>
    <s v="OH"/>
    <s v="OH - Williams"/>
    <n v="43543"/>
    <s v="CHWC Montpelier Hospital (FKA Community Hospitals and Wellness Centers Montpelier Campus)"/>
    <s v="Critical Access Hospital"/>
    <s v="Montpelier"/>
    <n v="10.199999999999999"/>
    <n v="2.2999999999999998"/>
    <n v="9"/>
    <n v="25"/>
    <m/>
    <m/>
    <n v="25"/>
    <n v="0.9"/>
    <n v="6124"/>
    <n v="12"/>
  </r>
  <r>
    <x v="853"/>
    <n v="361329"/>
    <s v="OH"/>
    <s v="OH - Wyandot"/>
    <n v="43351"/>
    <s v="Wyandot Memorial Hospital"/>
    <s v="Critical Access Hospital"/>
    <s v="Upper Sandusky"/>
    <n v="10.5"/>
    <n v="3.4"/>
    <n v="58"/>
    <n v="24"/>
    <m/>
    <m/>
    <n v="24"/>
    <n v="1.1399999999999999"/>
    <n v="3250"/>
    <n v="742"/>
  </r>
  <r>
    <x v="854"/>
    <n v="371300"/>
    <s v="OK"/>
    <s v="OK - Atoka"/>
    <n v="74525"/>
    <s v="Atoka County Medical Center"/>
    <s v="Critical Access Hospital"/>
    <s v="Atoka"/>
    <n v="7.5"/>
    <n v="2.7"/>
    <n v="14"/>
    <n v="25"/>
    <m/>
    <m/>
    <n v="25"/>
    <n v="0.92"/>
    <n v="3252"/>
    <n v="323"/>
  </r>
  <r>
    <x v="855"/>
    <n v="371322"/>
    <s v="OK"/>
    <s v="OK - Beaver"/>
    <n v="73932"/>
    <s v="Beaver County Memorial Hospital"/>
    <s v="Critical Access Hospital"/>
    <s v="Beaver"/>
    <n v="1.8"/>
    <n v="3"/>
    <n v="1"/>
    <n v="24"/>
    <m/>
    <m/>
    <n v="24"/>
    <n v="0.94"/>
    <n v="3253"/>
    <n v="80"/>
  </r>
  <r>
    <x v="856"/>
    <n v="371302"/>
    <s v="OK"/>
    <s v="OK - Blaine"/>
    <n v="73772"/>
    <s v="Mercy Hospital Watonga (FKA Watonga Municipal Hospital)"/>
    <s v="Critical Access Hospital"/>
    <s v="Watonga"/>
    <n v="1.7"/>
    <n v="3.1"/>
    <n v="9"/>
    <n v="25"/>
    <m/>
    <m/>
    <n v="25"/>
    <n v="1.27"/>
    <n v="3256"/>
    <n v="112"/>
  </r>
  <r>
    <x v="856"/>
    <n v="371327"/>
    <s v="OK"/>
    <s v="OK - Blaine"/>
    <n v="73763"/>
    <s v="Okeene Municipal Hospital"/>
    <s v="Critical Access Hospital"/>
    <s v="Okeene"/>
    <n v="2.4"/>
    <n v="2.5"/>
    <n v="8"/>
    <n v="17"/>
    <m/>
    <m/>
    <n v="17"/>
    <n v="1.03"/>
    <n v="3257"/>
    <n v="101"/>
  </r>
  <r>
    <x v="857"/>
    <n v="371334"/>
    <s v="OK"/>
    <s v="OK - Caddo"/>
    <n v="73015"/>
    <s v="Carnegie Tri - County Municipal Hospital"/>
    <s v="Critical Access Hospital"/>
    <s v="Carnegie"/>
    <n v="9.1"/>
    <n v="3.2"/>
    <n v="7"/>
    <n v="17"/>
    <m/>
    <m/>
    <n v="17"/>
    <n v="0.86"/>
    <n v="3259"/>
    <n v="192"/>
  </r>
  <r>
    <x v="857"/>
    <n v="371314"/>
    <s v="OK"/>
    <s v="OK - Caddo"/>
    <n v="73005"/>
    <s v="The Physicians Hospital In Anadarko"/>
    <s v="Critical Access Hospital"/>
    <s v="Anadarko"/>
    <n v="17.8"/>
    <n v="2.9"/>
    <n v="26"/>
    <n v="25"/>
    <m/>
    <m/>
    <n v="25"/>
    <n v="0.98"/>
    <n v="3260"/>
    <n v="179"/>
  </r>
  <r>
    <x v="858"/>
    <n v="371310"/>
    <s v="OK"/>
    <s v="OK - Carter"/>
    <n v="73438"/>
    <s v="Mercy Hospital Healdton (FKA Healdton Mercy Hospital)"/>
    <s v="Critical Access Hospital"/>
    <s v="Healdton"/>
    <n v="6.1"/>
    <n v="3.2"/>
    <n v="6"/>
    <n v="22"/>
    <m/>
    <n v="0.77"/>
    <n v="22"/>
    <n v="0.92"/>
    <n v="3264"/>
    <n v="63"/>
  </r>
  <r>
    <x v="859"/>
    <n v="371307"/>
    <s v="OK"/>
    <s v="OK - Cimarron"/>
    <n v="73933"/>
    <s v="Cimarron Memorial Hospital"/>
    <s v="Critical Access Hospital"/>
    <s v="Boise City"/>
    <n v="2.6"/>
    <n v="3.4"/>
    <n v="3"/>
    <n v="25"/>
    <m/>
    <m/>
    <n v="25"/>
    <n v="0.89"/>
    <n v="3268"/>
    <n v="151"/>
  </r>
  <r>
    <x v="860"/>
    <n v="371319"/>
    <s v="OK"/>
    <s v="OK - Coal"/>
    <n v="74538"/>
    <s v="Coal County General Hospital (AKA Mary Hurley Hospital)"/>
    <s v="Critical Access Hospital"/>
    <s v="Coalgate"/>
    <n v="4.3"/>
    <n v="2.8"/>
    <n v="11"/>
    <n v="20"/>
    <m/>
    <m/>
    <n v="20"/>
    <n v="0.86"/>
    <n v="3271"/>
    <n v="297"/>
  </r>
  <r>
    <x v="861"/>
    <n v="371312"/>
    <s v="OK"/>
    <s v="OK - Creek"/>
    <n v="74066"/>
    <s v="St John Sapulpa"/>
    <s v="Critical Access Hospital"/>
    <s v="Sapulpa"/>
    <n v="15.2"/>
    <n v="1.6"/>
    <n v="23"/>
    <n v="25"/>
    <m/>
    <n v="0.19"/>
    <n v="25"/>
    <n v="1.1399999999999999"/>
    <n v="3277"/>
    <n v="290"/>
  </r>
  <r>
    <x v="861"/>
    <n v="371331"/>
    <s v="OK"/>
    <s v="OK - Creek"/>
    <n v="74030"/>
    <s v="Drumright Regional Hospital"/>
    <s v="Critical Access Hospital"/>
    <s v="Drumright"/>
    <n v="8.1999999999999993"/>
    <n v="3"/>
    <n v="7"/>
    <n v="15"/>
    <m/>
    <n v="0.19"/>
    <n v="15"/>
    <n v="0.82"/>
    <n v="3278"/>
    <n v="334"/>
  </r>
  <r>
    <x v="862"/>
    <n v="371323"/>
    <s v="OK"/>
    <s v="OK - Custer"/>
    <n v="73096"/>
    <s v="Weatherford Regional Hospital"/>
    <s v="Critical Access Hospital"/>
    <s v="Weatherford"/>
    <n v="5.0999999999999996"/>
    <n v="2.4"/>
    <n v="32"/>
    <n v="25"/>
    <m/>
    <n v="0.5"/>
    <n v="25"/>
    <n v="0.93"/>
    <n v="3279"/>
    <n v="508"/>
  </r>
  <r>
    <x v="863"/>
    <n v="371332"/>
    <s v="OK"/>
    <s v="OK - Dewey"/>
    <n v="73663"/>
    <s v="Seiling Municipal Hospital"/>
    <s v="Critical Access Hospital"/>
    <s v="Seiling"/>
    <n v="4.4000000000000004"/>
    <n v="2.9"/>
    <n v="7"/>
    <n v="18"/>
    <m/>
    <m/>
    <n v="18"/>
    <n v="0.93"/>
    <n v="3282"/>
    <n v="124"/>
  </r>
  <r>
    <x v="864"/>
    <n v="371336"/>
    <s v="OK"/>
    <s v="OK - Ellis"/>
    <n v="73858"/>
    <s v="Newman Memorial Hospital"/>
    <s v="Critical Access Hospital"/>
    <s v="Shattuck"/>
    <n v="2.2000000000000002"/>
    <n v="3.2"/>
    <n v="8"/>
    <n v="25"/>
    <m/>
    <n v="0.83"/>
    <n v="25"/>
    <n v="1.03"/>
    <n v="3283"/>
    <n v="134"/>
  </r>
  <r>
    <x v="865"/>
    <n v="371330"/>
    <s v="OK"/>
    <s v="OK - Greer"/>
    <n v="73554"/>
    <s v="Mangum Regional Medical Center (FKA Quartz Mountain Medical Center)"/>
    <s v="Critical Access Hospital"/>
    <s v="Mangum"/>
    <n v="4.5"/>
    <n v="2"/>
    <n v="9"/>
    <n v="18"/>
    <m/>
    <m/>
    <n v="18"/>
    <n v="0.96"/>
    <n v="3289"/>
    <n v="350"/>
  </r>
  <r>
    <x v="866"/>
    <n v="371338"/>
    <s v="OK"/>
    <s v="OK - Harmon"/>
    <n v="73550"/>
    <s v="Harmon Memorial Hospital"/>
    <s v="Critical Access Hospital"/>
    <s v="Hollis"/>
    <n v="5"/>
    <n v="2.2000000000000002"/>
    <n v="5"/>
    <n v="22"/>
    <m/>
    <m/>
    <n v="22"/>
    <n v="0.93"/>
    <n v="3290"/>
    <n v="337"/>
  </r>
  <r>
    <x v="867"/>
    <n v="371324"/>
    <s v="OK"/>
    <s v="OK - Harper"/>
    <n v="73834"/>
    <s v="Harper County Community Hospital"/>
    <s v="Critical Access Hospital"/>
    <s v="Buffalo"/>
    <n v="2.6"/>
    <n v="2.6"/>
    <n v="5"/>
    <n v="15"/>
    <m/>
    <m/>
    <n v="15"/>
    <n v="0.84"/>
    <n v="3291"/>
    <n v="178"/>
  </r>
  <r>
    <x v="868"/>
    <s v="371335 (Closed)"/>
    <s v="OK"/>
    <s v="OK - Haskell"/>
    <n v="74462"/>
    <s v="Haskell County Community Hospital (Closed - no longer offers inpatient services)"/>
    <s v="Critical Access Hospital"/>
    <s v="Stigler"/>
    <n v="4"/>
    <n v="2.4"/>
    <m/>
    <m/>
    <m/>
    <m/>
    <m/>
    <n v="0.92"/>
    <n v="3292"/>
    <n v="142"/>
  </r>
  <r>
    <x v="869"/>
    <n v="371321"/>
    <s v="OK"/>
    <s v="OK - Hughes"/>
    <n v="74848"/>
    <s v="Holdenville General Hospital"/>
    <s v="Critical Access Hospital"/>
    <s v="Holdenville"/>
    <n v="7.4"/>
    <n v="3.8"/>
    <n v="28"/>
    <n v="25"/>
    <m/>
    <m/>
    <n v="25"/>
    <n v="0.87"/>
    <n v="3293"/>
    <n v="288"/>
  </r>
  <r>
    <x v="870"/>
    <n v="371311"/>
    <s v="OK"/>
    <s v="OK - Jefferson"/>
    <n v="73573"/>
    <s v="Jefferson County Hospital"/>
    <s v="Critical Access Hospital"/>
    <s v="Waurika"/>
    <n v="2.8"/>
    <n v="2.7"/>
    <n v="6"/>
    <n v="25"/>
    <m/>
    <m/>
    <n v="25"/>
    <n v="0.96"/>
    <n v="3295"/>
    <n v="39"/>
  </r>
  <r>
    <x v="871"/>
    <n v="371304"/>
    <s v="OK"/>
    <s v="OK - Johnston"/>
    <n v="73460"/>
    <s v="Mercy Hospital Tishomingo (FKA Johnston Memorial Hospital)"/>
    <s v="Critical Access Hospital"/>
    <s v="Tishomingo"/>
    <n v="4.5"/>
    <n v="3.1"/>
    <n v="6"/>
    <n v="25"/>
    <m/>
    <m/>
    <n v="25"/>
    <n v="1.1299999999999999"/>
    <n v="3296"/>
    <n v="126"/>
  </r>
  <r>
    <x v="872"/>
    <n v="371313"/>
    <s v="OK"/>
    <s v="OK - Kingfisher"/>
    <n v="73750"/>
    <s v="Mercy Hospital Kingfisher"/>
    <s v="Critical Access Hospital"/>
    <s v="Kingfisher"/>
    <n v="5.4"/>
    <n v="3.6"/>
    <n v="23"/>
    <n v="25"/>
    <m/>
    <m/>
    <n v="25"/>
    <n v="1.1399999999999999"/>
    <n v="3299"/>
    <n v="228"/>
  </r>
  <r>
    <x v="873"/>
    <n v="371337"/>
    <s v="OK"/>
    <s v="OK - Le Flore"/>
    <n v="74953"/>
    <s v="Eastern Oklahoma Medical Center"/>
    <s v="Critical Access Hospital"/>
    <s v="Poteau"/>
    <n v="10.4"/>
    <n v="2.9"/>
    <n v="49"/>
    <n v="25"/>
    <n v="4"/>
    <m/>
    <n v="25"/>
    <n v="1.08"/>
    <n v="3303"/>
    <n v="621"/>
  </r>
  <r>
    <x v="874"/>
    <n v="371316"/>
    <s v="OK"/>
    <s v="OK - Lincoln"/>
    <n v="74079"/>
    <s v="Stroud Regional Medical Center"/>
    <s v="Critical Access Hospital"/>
    <s v="Stroud"/>
    <n v="21.5"/>
    <n v="3.3"/>
    <n v="13"/>
    <n v="25"/>
    <m/>
    <n v="0.12"/>
    <n v="25"/>
    <n v="1.04"/>
    <n v="3304"/>
    <n v="93"/>
  </r>
  <r>
    <x v="874"/>
    <n v="371301"/>
    <s v="OK"/>
    <s v="OK - Lincoln"/>
    <n v="74864"/>
    <s v="Prague Community Hospital"/>
    <s v="Critical Access Hospital"/>
    <s v="Prague"/>
    <n v="5.3"/>
    <n v="2.4"/>
    <n v="11"/>
    <n v="25"/>
    <m/>
    <n v="0.12"/>
    <n v="25"/>
    <n v="0.95"/>
    <n v="3305"/>
    <n v="49"/>
  </r>
  <r>
    <x v="875"/>
    <n v="371317"/>
    <s v="OK"/>
    <s v="OK - Logan"/>
    <n v="73044"/>
    <s v="Mercy Hospital Logan County"/>
    <s v="Critical Access Hospital"/>
    <s v="Guthrie"/>
    <n v="6.2"/>
    <n v="3.4"/>
    <n v="33"/>
    <n v="25"/>
    <m/>
    <n v="0.12"/>
    <n v="25"/>
    <n v="1.32"/>
    <n v="3306"/>
    <n v="308"/>
  </r>
  <r>
    <x v="876"/>
    <n v="371306"/>
    <s v="OK"/>
    <s v="OK - Love"/>
    <n v="73448"/>
    <s v="Mercy Health/Love County Hospital (AKA Love County Health Center)"/>
    <s v="Critical Access Hospital"/>
    <s v="Marietta"/>
    <n v="8.8000000000000007"/>
    <n v="3.4"/>
    <n v="6"/>
    <n v="25"/>
    <m/>
    <n v="0.77"/>
    <n v="25"/>
    <n v="0.88"/>
    <n v="3307"/>
    <n v="150"/>
  </r>
  <r>
    <x v="877"/>
    <n v="371342"/>
    <s v="OK"/>
    <s v="OK - Mccurtain"/>
    <n v="74745"/>
    <s v="McCurtain Memorial Hospital"/>
    <s v="Critical Access Hospital"/>
    <s v="Idabel"/>
    <n v="10.4"/>
    <n v="2.8"/>
    <n v="48"/>
    <n v="25"/>
    <m/>
    <m/>
    <n v="25"/>
    <n v="0.93"/>
    <n v="3309"/>
    <n v="884"/>
  </r>
  <r>
    <x v="878"/>
    <n v="371329"/>
    <s v="OK"/>
    <s v="OK - Major"/>
    <n v="73737"/>
    <s v="Fairview Regional Medical Center"/>
    <s v="Critical Access Hospital"/>
    <s v="Fairview"/>
    <n v="2.2000000000000002"/>
    <n v="3.5"/>
    <n v="8"/>
    <n v="25"/>
    <m/>
    <m/>
    <n v="25"/>
    <n v="1.01"/>
    <n v="3311"/>
    <n v="90"/>
  </r>
  <r>
    <x v="879"/>
    <n v="371326"/>
    <s v="OK"/>
    <s v="OK - Marshall"/>
    <n v="73446"/>
    <s v="AllianceHealth Madill (FKA Integris Marshall County Medical Center)"/>
    <s v="Critical Access Hospital"/>
    <s v="Madill"/>
    <n v="4.5999999999999996"/>
    <n v="2.1"/>
    <n v="23"/>
    <n v="21"/>
    <m/>
    <m/>
    <n v="21"/>
    <n v="0.93"/>
    <n v="3312"/>
    <n v="246"/>
  </r>
  <r>
    <x v="880"/>
    <n v="371328"/>
    <s v="OK"/>
    <s v="OK - Murray"/>
    <n v="73086"/>
    <s v="Arbuckle Memorial Hospital"/>
    <s v="Critical Access Hospital"/>
    <s v="Sulphur"/>
    <n v="16.399999999999999"/>
    <n v="3.4"/>
    <n v="26"/>
    <n v="25"/>
    <m/>
    <m/>
    <n v="25"/>
    <n v="0.85"/>
    <n v="3314"/>
    <n v="440"/>
  </r>
  <r>
    <x v="881"/>
    <n v="371305"/>
    <s v="OK"/>
    <s v="OK - Nowata"/>
    <n v="74048"/>
    <s v="Jane Phillips Nowata Health Center"/>
    <s v="Critical Access Hospital"/>
    <s v="Nowata"/>
    <n v="5.0999999999999996"/>
    <n v="2.2999999999999998"/>
    <n v="7"/>
    <n v="25"/>
    <m/>
    <m/>
    <n v="25"/>
    <n v="0.91"/>
    <n v="5677"/>
    <n v="100"/>
  </r>
  <r>
    <x v="882"/>
    <n v="371333"/>
    <s v="OK"/>
    <s v="OK - Okfuskee"/>
    <n v="74859"/>
    <s v="Creek Nation Community Hospital"/>
    <s v="Critical Access Hospital"/>
    <s v="Okemah"/>
    <n v="1.9"/>
    <n v="2.2000000000000002"/>
    <n v="23"/>
    <n v="25"/>
    <m/>
    <m/>
    <n v="25"/>
    <n v="0.9"/>
    <n v="3319"/>
    <n v="296"/>
  </r>
  <r>
    <x v="883"/>
    <n v="371318"/>
    <s v="OK"/>
    <s v="OK - Osage"/>
    <n v="74637"/>
    <s v="Fairfax Community Hospital"/>
    <s v="Critical Access Hospital"/>
    <s v="Fairfax"/>
    <n v="2.4"/>
    <n v="3.1"/>
    <n v="9"/>
    <n v="15"/>
    <m/>
    <m/>
    <n v="15"/>
    <n v="0.98"/>
    <n v="3342"/>
    <n v="33"/>
  </r>
  <r>
    <x v="883"/>
    <n v="371309"/>
    <s v="OK"/>
    <s v="OK - Osage"/>
    <n v="74056"/>
    <s v="Pawhuska Hospital"/>
    <s v="Critical Access Hospital"/>
    <s v="Pawhuska"/>
    <n v="12.9"/>
    <n v="2.8"/>
    <n v="17"/>
    <n v="25"/>
    <m/>
    <n v="0.19"/>
    <n v="25"/>
    <n v="0.89"/>
    <n v="3343"/>
    <n v="84"/>
  </r>
  <r>
    <x v="884"/>
    <n v="371320"/>
    <s v="OK"/>
    <s v="OK - Pawnee"/>
    <n v="74020"/>
    <s v="Cleveland Area Hospital"/>
    <s v="Critical Access Hospital"/>
    <s v="Cleveland"/>
    <n v="6.3"/>
    <n v="2.6"/>
    <n v="31"/>
    <n v="14"/>
    <m/>
    <n v="0.19"/>
    <n v="14"/>
    <n v="0.96"/>
    <n v="3345"/>
    <n v="77"/>
  </r>
  <r>
    <x v="885"/>
    <n v="371303"/>
    <s v="OK"/>
    <s v="OK - Roger Mills"/>
    <n v="73628"/>
    <s v="Roger Mills Memorial Hospital"/>
    <s v="Critical Access Hospital"/>
    <s v="Cheyenne"/>
    <n v="2.4"/>
    <n v="2.8"/>
    <n v="5"/>
    <n v="15"/>
    <m/>
    <m/>
    <n v="15"/>
    <n v="0.86"/>
    <n v="5287"/>
    <n v="104"/>
  </r>
  <r>
    <x v="886"/>
    <n v="371325"/>
    <s v="OK"/>
    <s v="OK - Washita"/>
    <n v="73632"/>
    <s v="Cordell Memorial Hospital"/>
    <s v="Critical Access Hospital"/>
    <s v="Cordell"/>
    <n v="2.7"/>
    <n v="2.8"/>
    <n v="6"/>
    <n v="14"/>
    <m/>
    <m/>
    <n v="14"/>
    <n v="0.99"/>
    <n v="3373"/>
    <n v="158"/>
  </r>
  <r>
    <x v="887"/>
    <n v="371341"/>
    <s v="OK"/>
    <s v="OK - Woods"/>
    <n v="73717"/>
    <s v="Share Medical Center"/>
    <s v="Critical Access Hospital"/>
    <s v="Alva"/>
    <n v="5.0999999999999996"/>
    <n v="2.5"/>
    <n v="16"/>
    <n v="25"/>
    <m/>
    <m/>
    <n v="25"/>
    <n v="0.97"/>
    <n v="3374"/>
    <n v="209"/>
  </r>
  <r>
    <x v="888"/>
    <n v="381315"/>
    <s v="OR"/>
    <s v="OR - Baker"/>
    <n v="97814"/>
    <s v="Saint Alphonsus Medical Center - Baker City"/>
    <s v="Critical Access Hospital"/>
    <s v="Baker City"/>
    <n v="6"/>
    <n v="2"/>
    <n v="35"/>
    <n v="21"/>
    <n v="2"/>
    <m/>
    <n v="21"/>
    <n v="1.28"/>
    <n v="3376"/>
    <n v="730"/>
  </r>
  <r>
    <x v="889"/>
    <n v="381303"/>
    <s v="OR"/>
    <s v="OR - Clatsop"/>
    <n v="97138"/>
    <s v="Providence Seaside Hospital"/>
    <s v="Critical Access Hospital"/>
    <s v="Seaside"/>
    <n v="8.1"/>
    <n v="2.9"/>
    <n v="74"/>
    <n v="23"/>
    <m/>
    <n v="0.56999999999999995"/>
    <n v="23"/>
    <n v="1.23"/>
    <n v="3381"/>
    <n v="727"/>
  </r>
  <r>
    <x v="889"/>
    <n v="381320"/>
    <s v="OR"/>
    <s v="OR - Clatsop"/>
    <n v="97103"/>
    <s v="Columbia Memorial Hospital"/>
    <s v="Critical Access Hospital"/>
    <s v="Astoria"/>
    <n v="13.7"/>
    <n v="3.2"/>
    <n v="133"/>
    <n v="25"/>
    <n v="4"/>
    <n v="0.56999999999999995"/>
    <n v="25"/>
    <n v="1.23"/>
    <n v="3382"/>
    <n v="1692"/>
  </r>
  <r>
    <x v="890"/>
    <n v="381312"/>
    <s v="OR"/>
    <s v="OR - Coos"/>
    <n v="97423"/>
    <s v="Coquille Valley Hospital"/>
    <s v="Critical Access Hospital"/>
    <s v="Coquille"/>
    <n v="7.7"/>
    <n v="3.2"/>
    <n v="14"/>
    <n v="17"/>
    <m/>
    <n v="0.65"/>
    <n v="17"/>
    <n v="1.07"/>
    <n v="3384"/>
    <n v="603"/>
  </r>
  <r>
    <x v="890"/>
    <n v="381304"/>
    <s v="OR"/>
    <s v="OR - Coos"/>
    <n v="97411"/>
    <s v="Southern Coos Hospital and Health Center"/>
    <s v="Critical Access Hospital"/>
    <s v="Bandon"/>
    <n v="5.3"/>
    <n v="3"/>
    <n v="31"/>
    <n v="19"/>
    <m/>
    <n v="0.65"/>
    <n v="19"/>
    <n v="1.1399999999999999"/>
    <n v="3385"/>
    <n v="258"/>
  </r>
  <r>
    <x v="891"/>
    <n v="381313"/>
    <s v="OR"/>
    <s v="OR - Crook"/>
    <n v="97754"/>
    <s v="St Charles Health System - Prineville (FKA Pioneer Memorial Hospital)"/>
    <s v="Critical Access Hospital"/>
    <s v="Prineville"/>
    <n v="7.4"/>
    <n v="3.2"/>
    <n v="51"/>
    <n v="16"/>
    <m/>
    <n v="1"/>
    <n v="16"/>
    <n v="1.24"/>
    <n v="3386"/>
    <n v="536"/>
  </r>
  <r>
    <x v="892"/>
    <n v="381322"/>
    <s v="OR"/>
    <s v="OR - Curry"/>
    <n v="97444"/>
    <s v="Curry General Hospital (AKA Curry Health Network)"/>
    <s v="Critical Access Hospital"/>
    <s v="Gold Beach"/>
    <n v="5"/>
    <n v="2.9"/>
    <n v="56"/>
    <n v="16"/>
    <m/>
    <n v="1"/>
    <n v="16"/>
    <n v="1.22"/>
    <n v="5995"/>
    <n v="464"/>
  </r>
  <r>
    <x v="893"/>
    <n v="381311"/>
    <s v="OR"/>
    <s v="OR - Douglas"/>
    <n v="97467"/>
    <s v="Lower Umpqua Hospital"/>
    <s v="Critical Access Hospital"/>
    <s v="Reedsport"/>
    <n v="4.8"/>
    <n v="3.1"/>
    <n v="32"/>
    <n v="16"/>
    <m/>
    <n v="0.81"/>
    <n v="16"/>
    <n v="1.21"/>
    <n v="3390"/>
    <n v="383"/>
  </r>
  <r>
    <x v="894"/>
    <n v="381305"/>
    <s v="OR"/>
    <s v="OR - Grant"/>
    <n v="97845"/>
    <s v="Blue Mountain Hospital District"/>
    <s v="Critical Access Hospital"/>
    <s v="John Day"/>
    <n v="5.6"/>
    <n v="3.1"/>
    <n v="18"/>
    <n v="14"/>
    <m/>
    <m/>
    <n v="14"/>
    <n v="0.99"/>
    <n v="3391"/>
    <n v="319"/>
  </r>
  <r>
    <x v="895"/>
    <n v="381307"/>
    <s v="OR"/>
    <s v="OR - Harney"/>
    <n v="97720"/>
    <s v="Harney District Hospital"/>
    <s v="Critical Access Hospital"/>
    <s v="Burns"/>
    <n v="4.7"/>
    <n v="2.9"/>
    <n v="31"/>
    <n v="19"/>
    <n v="2"/>
    <m/>
    <n v="19"/>
    <n v="1.05"/>
    <n v="3392"/>
    <n v="321"/>
  </r>
  <r>
    <x v="896"/>
    <n v="381318"/>
    <s v="OR"/>
    <s v="OR - Hood River"/>
    <n v="97031"/>
    <s v="Providence Hood River Memorial Hospital"/>
    <s v="Critical Access Hospital"/>
    <s v="Hood River"/>
    <n v="10.8"/>
    <n v="2.6"/>
    <n v="125"/>
    <n v="25"/>
    <m/>
    <n v="1"/>
    <n v="25"/>
    <n v="1.39"/>
    <n v="3393"/>
    <n v="1559"/>
  </r>
  <r>
    <x v="897"/>
    <n v="381324"/>
    <s v="OR"/>
    <s v="OR - Jefferson"/>
    <n v="97741"/>
    <s v="St Charles Health System - Madras"/>
    <s v="Critical Access Hospital"/>
    <s v="Madras"/>
    <n v="7.1"/>
    <n v="1.9"/>
    <n v="36"/>
    <n v="25"/>
    <m/>
    <m/>
    <n v="25"/>
    <n v="1.1399999999999999"/>
    <n v="3397"/>
    <n v="598"/>
  </r>
  <r>
    <x v="898"/>
    <n v="381309"/>
    <s v="OR"/>
    <s v="OR - Lake"/>
    <n v="97630"/>
    <s v="Lake District Hospital"/>
    <s v="Critical Access Hospital"/>
    <s v="Lakeview"/>
    <n v="7.5"/>
    <n v="2.5"/>
    <n v="18"/>
    <n v="24"/>
    <m/>
    <m/>
    <n v="24"/>
    <n v="0.92"/>
    <n v="3400"/>
    <n v="387"/>
  </r>
  <r>
    <x v="899"/>
    <n v="381301"/>
    <s v="OR"/>
    <s v="OR - Lane"/>
    <n v="97424"/>
    <s v="PeaceHealth Cottage Grove Community Medical Center (FKA Cottage Grove Community Hospital)"/>
    <s v="Critical Access Hospital"/>
    <s v="Cottage Grove"/>
    <n v="4"/>
    <n v="2.4"/>
    <n v="60"/>
    <n v="14"/>
    <m/>
    <n v="0.43"/>
    <n v="14"/>
    <n v="1.02"/>
    <n v="3402"/>
    <n v="320"/>
  </r>
  <r>
    <x v="899"/>
    <n v="381316"/>
    <s v="OR"/>
    <s v="OR - Lane"/>
    <n v="97439"/>
    <s v="PeaceHealth Peace Harbor Medical Center (FKA Peace Harbor Hospital)"/>
    <s v="Critical Access Hospital"/>
    <s v="Florence"/>
    <n v="9.6999999999999993"/>
    <n v="2.2999999999999998"/>
    <n v="90"/>
    <n v="21"/>
    <m/>
    <n v="0.43"/>
    <n v="21"/>
    <n v="1.23"/>
    <n v="3403"/>
    <n v="1097"/>
  </r>
  <r>
    <x v="900"/>
    <n v="381314"/>
    <s v="OR"/>
    <s v="OR - Lincoln"/>
    <n v="97365"/>
    <s v="Samaritan Pacific Communities Hospital"/>
    <s v="Critical Access Hospital"/>
    <s v="Newport"/>
    <n v="10.1"/>
    <n v="3.1"/>
    <n v="106"/>
    <n v="25"/>
    <m/>
    <n v="0.52"/>
    <n v="25"/>
    <n v="1.27"/>
    <n v="3406"/>
    <n v="1172"/>
  </r>
  <r>
    <x v="900"/>
    <n v="381302"/>
    <s v="OR"/>
    <s v="OR - Lincoln"/>
    <n v="97367"/>
    <s v="Samaritan North Lincoln Hospital"/>
    <s v="Critical Access Hospital"/>
    <s v="Lincoln City"/>
    <n v="8.9"/>
    <n v="3"/>
    <n v="65"/>
    <n v="25"/>
    <m/>
    <n v="0.52"/>
    <n v="25"/>
    <n v="1.2"/>
    <n v="3407"/>
    <n v="893"/>
  </r>
  <r>
    <x v="901"/>
    <n v="381323"/>
    <s v="OR"/>
    <s v="OR - Linn"/>
    <n v="97355"/>
    <s v="Samaritan Lebanon Community Hospital"/>
    <s v="Critical Access Hospital"/>
    <s v="Lebanon"/>
    <n v="15.6"/>
    <n v="3.6"/>
    <n v="126"/>
    <n v="25"/>
    <m/>
    <n v="0.52"/>
    <n v="25"/>
    <n v="1.3"/>
    <n v="3408"/>
    <n v="1524"/>
  </r>
  <r>
    <x v="902"/>
    <n v="381310"/>
    <s v="OR"/>
    <s v="OR - Morrow"/>
    <n v="97836"/>
    <s v="Pioneer Memorial Hospital"/>
    <s v="Critical Access Hospital"/>
    <s v="Heppner"/>
    <n v="6.1"/>
    <n v="2.9"/>
    <n v="20"/>
    <n v="21"/>
    <m/>
    <n v="0.46"/>
    <n v="21"/>
    <n v="0.96"/>
    <n v="3414"/>
    <n v="49"/>
  </r>
  <r>
    <x v="903"/>
    <n v="381308"/>
    <s v="OR"/>
    <s v="OR - Polk"/>
    <n v="97338"/>
    <s v="West Valley Hospital"/>
    <s v="Critical Access Hospital"/>
    <s v="Dallas"/>
    <n v="3.6"/>
    <n v="3.3"/>
    <n v="56"/>
    <n v="15"/>
    <m/>
    <n v="0.66"/>
    <n v="15"/>
    <n v="1.1499999999999999"/>
    <n v="3422"/>
    <n v="173"/>
  </r>
  <r>
    <x v="904"/>
    <n v="381317"/>
    <s v="OR"/>
    <s v="OR - Tillamook"/>
    <n v="97141"/>
    <s v="Adventist Health Tillamook (FKA Tillamook County General Hospital)"/>
    <s v="Critical Access Hospital"/>
    <s v="Tillamook"/>
    <n v="12.1"/>
    <n v="3.2"/>
    <n v="103"/>
    <n v="25"/>
    <n v="4"/>
    <m/>
    <n v="25"/>
    <n v="1.41"/>
    <n v="3423"/>
    <n v="1228"/>
  </r>
  <r>
    <x v="905"/>
    <n v="381325"/>
    <s v="OR"/>
    <s v="OR - Umatilla"/>
    <n v="97838"/>
    <s v="Good Shepherd Medical Center"/>
    <s v="Critical Access Hospital"/>
    <s v="Hermiston"/>
    <n v="12.1"/>
    <n v="2.5"/>
    <n v="99"/>
    <n v="25"/>
    <n v="3"/>
    <n v="0.46"/>
    <n v="25"/>
    <n v="1.42"/>
    <n v="3424"/>
    <n v="1558"/>
  </r>
  <r>
    <x v="905"/>
    <n v="381319"/>
    <s v="OR"/>
    <s v="OR - Umatilla"/>
    <n v="97801"/>
    <s v="St Anthony Hospital"/>
    <s v="Critical Access Hospital"/>
    <s v="Pendleton"/>
    <n v="10.5"/>
    <n v="3.7"/>
    <n v="69"/>
    <n v="25"/>
    <n v="5"/>
    <n v="0.46"/>
    <n v="25"/>
    <n v="1.43"/>
    <n v="5967"/>
    <n v="1076"/>
  </r>
  <r>
    <x v="906"/>
    <n v="381321"/>
    <s v="OR"/>
    <s v="OR - Union"/>
    <n v="97850"/>
    <s v="Grande Ronde Hospital"/>
    <s v="Critical Access Hospital"/>
    <s v="La Grande"/>
    <n v="11.2"/>
    <n v="2.7"/>
    <n v="97"/>
    <n v="25"/>
    <n v="4"/>
    <n v="1"/>
    <n v="25"/>
    <n v="1.45"/>
    <n v="3425"/>
    <n v="1602"/>
  </r>
  <r>
    <x v="907"/>
    <n v="381306"/>
    <s v="OR"/>
    <s v="OR - Wallowa"/>
    <n v="97828"/>
    <s v="Wallowa Memorial Hospital"/>
    <s v="Critical Access Hospital"/>
    <s v="Enterprise"/>
    <n v="6.6"/>
    <n v="2.7"/>
    <n v="21"/>
    <n v="23"/>
    <m/>
    <m/>
    <n v="23"/>
    <n v="1.0900000000000001"/>
    <n v="3426"/>
    <n v="471"/>
  </r>
  <r>
    <x v="908"/>
    <n v="391307"/>
    <s v="PA"/>
    <s v="PA - Blair"/>
    <n v="16686"/>
    <s v="Tyrone Regional Health (FKA Tyrone Hospital)"/>
    <s v="Critical Access Hospital"/>
    <s v="Tyrone"/>
    <n v="3.4"/>
    <n v="2.1"/>
    <n v="62"/>
    <n v="25"/>
    <n v="5"/>
    <n v="0.78"/>
    <n v="25"/>
    <n v="1.7"/>
    <n v="5963"/>
    <n v="547"/>
  </r>
  <r>
    <x v="909"/>
    <n v="391305"/>
    <s v="PA"/>
    <s v="PA - Bradford"/>
    <n v="16947"/>
    <s v="Guthrie Troy Community Hospital"/>
    <s v="Critical Access Hospital"/>
    <s v="Troy"/>
    <n v="17.600000000000001"/>
    <n v="3.6"/>
    <n v="33"/>
    <n v="25"/>
    <m/>
    <n v="0.76"/>
    <n v="25"/>
    <n v="1.06"/>
    <n v="3459"/>
    <n v="687"/>
  </r>
  <r>
    <x v="910"/>
    <n v="391304"/>
    <s v="PA"/>
    <s v="PA - Clinton"/>
    <n v="17764"/>
    <s v="Bucktail Medical Center"/>
    <s v="Critical Access Hospital"/>
    <s v="Renovo"/>
    <n v="1.9"/>
    <n v="3.9"/>
    <n v="4"/>
    <n v="16"/>
    <m/>
    <n v="0.71"/>
    <n v="16"/>
    <n v="0.83"/>
    <n v="5925"/>
    <n v="41"/>
  </r>
  <r>
    <x v="911"/>
    <n v="391314"/>
    <s v="PA"/>
    <s v="PA - Crawford"/>
    <n v="16354"/>
    <s v="Titusville Area Hospital"/>
    <s v="Critical Access Hospital"/>
    <s v="Titusville"/>
    <n v="13.2"/>
    <n v="3.7"/>
    <n v="61"/>
    <n v="25"/>
    <n v="4"/>
    <n v="0.75"/>
    <n v="25"/>
    <n v="1.07"/>
    <n v="3486"/>
    <n v="645"/>
  </r>
  <r>
    <x v="912"/>
    <n v="391315"/>
    <s v="PA"/>
    <s v="PA - Elk"/>
    <n v="15857"/>
    <s v="Penn Highlands Elk"/>
    <s v="Critical Access Hospital"/>
    <s v="Saint Marys"/>
    <n v="14.7"/>
    <n v="2.9"/>
    <n v="71"/>
    <n v="25"/>
    <m/>
    <n v="1"/>
    <n v="25"/>
    <n v="1.1100000000000001"/>
    <n v="3496"/>
    <n v="1352"/>
  </r>
  <r>
    <x v="913"/>
    <n v="391308"/>
    <s v="PA"/>
    <s v="PA - Erie"/>
    <n v="16407"/>
    <s v="Corry Memorial Hospital"/>
    <s v="Critical Access Hospital"/>
    <s v="Corry"/>
    <n v="6.5"/>
    <n v="3.3"/>
    <n v="111"/>
    <n v="20"/>
    <m/>
    <n v="0.44"/>
    <n v="20"/>
    <n v="1.1299999999999999"/>
    <n v="3498"/>
    <n v="369"/>
  </r>
  <r>
    <x v="914"/>
    <n v="391303"/>
    <s v="PA"/>
    <s v="PA - Fulton"/>
    <n v="17233"/>
    <s v="Fulton County Medical Center"/>
    <s v="Critical Access Hospital"/>
    <s v="Mc Connellsburg"/>
    <n v="7.1"/>
    <n v="4.0999999999999996"/>
    <n v="55"/>
    <n v="21"/>
    <m/>
    <m/>
    <n v="21"/>
    <n v="0.96"/>
    <n v="3506"/>
    <n v="498"/>
  </r>
  <r>
    <x v="915"/>
    <n v="391312"/>
    <s v="PA"/>
    <s v="PA - Jefferson"/>
    <n v="15825"/>
    <s v="Penn Highlands Brookville"/>
    <s v="Critical Access Hospital"/>
    <s v="Brookville"/>
    <n v="10.5"/>
    <n v="3.6"/>
    <n v="43"/>
    <n v="25"/>
    <m/>
    <m/>
    <n v="25"/>
    <n v="1.26"/>
    <n v="3510"/>
    <n v="541"/>
  </r>
  <r>
    <x v="916"/>
    <s v="391311 (Closed)"/>
    <s v="PA"/>
    <s v="PA - Lackawanna"/>
    <n v="18452"/>
    <s v="Mid - Valley Hospital (Closed Inpatient July 2014)"/>
    <s v="Critical Access Hospital"/>
    <s v="Peckville"/>
    <n v="6.4"/>
    <m/>
    <m/>
    <m/>
    <m/>
    <n v="0.21"/>
    <m/>
    <m/>
    <n v="3513"/>
    <n v="291"/>
  </r>
  <r>
    <x v="917"/>
    <n v="391300"/>
    <s v="PA"/>
    <s v="PA - Lycoming"/>
    <n v="17740"/>
    <s v="Geisinger Jersey Shore Hospital"/>
    <s v="Critical Access Hospital"/>
    <s v="Jersey Shore"/>
    <n v="4.5"/>
    <n v="2.4"/>
    <n v="106"/>
    <n v="25"/>
    <n v="4"/>
    <n v="0.69"/>
    <n v="25"/>
    <n v="1.04"/>
    <n v="3535"/>
    <n v="549"/>
  </r>
  <r>
    <x v="917"/>
    <n v="391301"/>
    <s v="PA"/>
    <s v="PA - Lycoming"/>
    <n v="17756"/>
    <s v="UPMC Muncy (FKA UPMC Susquehanna Muncy)"/>
    <s v="Critical Access Hospital"/>
    <s v="Muncy"/>
    <n v="11.7"/>
    <n v="2.8"/>
    <n v="38"/>
    <n v="20"/>
    <m/>
    <n v="0.69"/>
    <n v="20"/>
    <n v="1.18"/>
    <n v="3536"/>
    <n v="504"/>
  </r>
  <r>
    <x v="918"/>
    <n v="391313"/>
    <s v="PA"/>
    <s v="PA - Potter"/>
    <n v="16915"/>
    <s v="UPMC Cole"/>
    <s v="Critical Access Hospital"/>
    <s v="Coudersport"/>
    <n v="13.4"/>
    <n v="2.8"/>
    <n v="86"/>
    <n v="25"/>
    <n v="4"/>
    <m/>
    <n v="25"/>
    <n v="1.32"/>
    <n v="3578"/>
    <n v="1532"/>
  </r>
  <r>
    <x v="919"/>
    <n v="391302"/>
    <s v="PA"/>
    <s v="PA - Somerset"/>
    <n v="15552"/>
    <s v="Conemaugh Health System - Conemaugh Meyersdale Medical Center (FKA Meyersdale Community Hospital)"/>
    <s v="Critical Access Hospital"/>
    <s v="Meyersdale"/>
    <n v="4.2"/>
    <n v="8.6"/>
    <n v="12"/>
    <n v="20"/>
    <m/>
    <n v="0.44"/>
    <n v="20"/>
    <n v="1.02"/>
    <n v="4919"/>
    <n v="151"/>
  </r>
  <r>
    <x v="920"/>
    <n v="391306"/>
    <s v="PA"/>
    <s v="PA - Susquehanna"/>
    <n v="18801"/>
    <s v="Endless Mountains Health System (FKA Montrose General Hospital)"/>
    <s v="Critical Access Hospital"/>
    <s v="Montrose"/>
    <n v="7.5"/>
    <n v="1.1000000000000001"/>
    <n v="23"/>
    <n v="25"/>
    <m/>
    <m/>
    <n v="25"/>
    <n v="1.04"/>
    <n v="3585"/>
    <n v="727"/>
  </r>
  <r>
    <x v="920"/>
    <n v="391309"/>
    <s v="PA"/>
    <s v="PA - Susquehanna"/>
    <n v="18847"/>
    <s v="Barnes Kasson County Hospital"/>
    <s v="Critical Access Hospital"/>
    <s v="Susquehanna"/>
    <n v="7.6"/>
    <n v="15.4"/>
    <n v="17"/>
    <n v="25"/>
    <n v="4"/>
    <m/>
    <n v="25"/>
    <n v="0.87"/>
    <n v="6283"/>
    <n v="594"/>
  </r>
  <r>
    <x v="921"/>
    <n v="391316"/>
    <s v="PA"/>
    <s v="PA - Tioga"/>
    <n v="16901"/>
    <s v="UPMC Wellsboro (FKA UPMC Susquehanna Soldiers &amp; Sailors Memorial Hospital)"/>
    <s v="Critical Access Hospital"/>
    <s v="Wellsboro"/>
    <n v="15.4"/>
    <n v="3.6"/>
    <n v="92"/>
    <n v="25"/>
    <n v="6"/>
    <m/>
    <n v="25"/>
    <n v="1.43"/>
    <n v="3586"/>
    <n v="1570"/>
  </r>
  <r>
    <x v="922"/>
    <n v="421301"/>
    <s v="SC"/>
    <s v="SC - Abbeville"/>
    <n v="29620"/>
    <s v="Abbeville Area Medical Center"/>
    <s v="Critical Access Hospital"/>
    <s v="Abbeville"/>
    <n v="8"/>
    <n v="3.4"/>
    <n v="37"/>
    <n v="25"/>
    <n v="6"/>
    <m/>
    <n v="25"/>
    <n v="1.21"/>
    <n v="3612"/>
    <n v="465"/>
  </r>
  <r>
    <x v="923"/>
    <n v="421300"/>
    <s v="SC"/>
    <s v="SC - Allendale"/>
    <n v="29827"/>
    <s v="Allendale County Hospital"/>
    <s v="Critical Access Hospital"/>
    <s v="Fairfax"/>
    <n v="3.3"/>
    <n v="3"/>
    <n v="27"/>
    <n v="25"/>
    <m/>
    <m/>
    <n v="25"/>
    <n v="0.85"/>
    <n v="6189"/>
    <n v="90"/>
  </r>
  <r>
    <x v="924"/>
    <n v="421304"/>
    <s v="SC"/>
    <s v="SC - Edgefield"/>
    <n v="29824"/>
    <s v="Edgefield County Hospital"/>
    <s v="Critical Access Hospital"/>
    <s v="Edgefield"/>
    <n v="13.2"/>
    <n v="2.8"/>
    <n v="15"/>
    <n v="25"/>
    <m/>
    <n v="0.26"/>
    <n v="25"/>
    <n v="0.9"/>
    <n v="3632"/>
    <n v="98"/>
  </r>
  <r>
    <x v="925"/>
    <s v="421302 (Closed)"/>
    <s v="SC"/>
    <s v="SC - Fairfield"/>
    <n v="29180"/>
    <s v="Fairfield Memorial Hospital (Closed)"/>
    <s v="Critical Access Hospital"/>
    <s v="Winnsboro"/>
    <n v="0"/>
    <n v="3"/>
    <m/>
    <m/>
    <m/>
    <n v="0.28000000000000003"/>
    <m/>
    <m/>
    <n v="3633"/>
    <n v="1"/>
  </r>
  <r>
    <x v="926"/>
    <n v="421303"/>
    <s v="SC"/>
    <s v="SC - Williamsburg"/>
    <n v="29556"/>
    <s v="Williamsburg Regional Hospital"/>
    <s v="Critical Access Hospital"/>
    <s v="Kingstree"/>
    <n v="6.6"/>
    <n v="2.6"/>
    <n v="37"/>
    <n v="25"/>
    <n v="4"/>
    <m/>
    <n v="25"/>
    <n v="1.07"/>
    <n v="3670"/>
    <n v="609"/>
  </r>
  <r>
    <x v="927"/>
    <n v="431335"/>
    <s v="SD"/>
    <s v="SD - Beadle"/>
    <n v="57350"/>
    <s v="Huron Regional Medical Center"/>
    <s v="Critical Access Hospital"/>
    <s v="Huron"/>
    <n v="13.8"/>
    <n v="3.6"/>
    <n v="46"/>
    <n v="25"/>
    <n v="6"/>
    <n v="0.81"/>
    <n v="25"/>
    <n v="1.1000000000000001"/>
    <n v="3672"/>
    <n v="1295"/>
  </r>
  <r>
    <x v="928"/>
    <n v="431314"/>
    <s v="SD"/>
    <s v="SD - Bennett"/>
    <n v="57551"/>
    <s v="Bennett County Hospital"/>
    <s v="Critical Access Hospital"/>
    <s v="Martin"/>
    <n v="3.1"/>
    <n v="3"/>
    <n v="8"/>
    <n v="14"/>
    <m/>
    <m/>
    <n v="14"/>
    <n v="0.87"/>
    <n v="5155"/>
    <n v="80"/>
  </r>
  <r>
    <x v="929"/>
    <n v="431317"/>
    <s v="SD"/>
    <s v="SD - Bon Homme"/>
    <n v="57059"/>
    <s v="Landmann-Jungman Memorial Hospital Avera"/>
    <s v="Critical Access Hospital"/>
    <s v="Scotland"/>
    <n v="1.5"/>
    <n v="2.5"/>
    <n v="3"/>
    <n v="25"/>
    <m/>
    <m/>
    <n v="25"/>
    <n v="0.94"/>
    <n v="3673"/>
    <n v="51"/>
  </r>
  <r>
    <x v="929"/>
    <n v="431327"/>
    <s v="SD"/>
    <s v="SD - Bon Homme"/>
    <n v="57066"/>
    <s v="St Michaels Hospital Avera"/>
    <s v="Critical Access Hospital"/>
    <s v="Tyndall"/>
    <n v="5.0999999999999996"/>
    <n v="3"/>
    <n v="8"/>
    <n v="25"/>
    <m/>
    <m/>
    <n v="25"/>
    <n v="0.9"/>
    <n v="5720"/>
    <n v="145"/>
  </r>
  <r>
    <x v="930"/>
    <n v="431329"/>
    <s v="SD"/>
    <s v="SD - Brule"/>
    <n v="57325"/>
    <s v="Sanford Chamberlain Medical Center"/>
    <s v="Critical Access Hospital"/>
    <s v="Chamberlain"/>
    <n v="4.8"/>
    <n v="3"/>
    <n v="34"/>
    <n v="25"/>
    <m/>
    <m/>
    <n v="25"/>
    <n v="0.95"/>
    <n v="3677"/>
    <n v="303"/>
  </r>
  <r>
    <x v="931"/>
    <n v="431306"/>
    <s v="SD"/>
    <s v="SD - Charles Mix"/>
    <n v="57369"/>
    <s v="Platte Health Center Avera"/>
    <s v="Critical Access Hospital"/>
    <s v="Platte"/>
    <n v="2.9"/>
    <n v="2.7"/>
    <n v="8"/>
    <n v="17"/>
    <m/>
    <m/>
    <n v="17"/>
    <n v="1.03"/>
    <n v="3678"/>
    <n v="128"/>
  </r>
  <r>
    <x v="931"/>
    <n v="431315"/>
    <s v="SD"/>
    <s v="SD - Charles Mix"/>
    <n v="57380"/>
    <s v="Wagner Community Memorial Hospital Avera"/>
    <s v="Critical Access Hospital"/>
    <s v="Wagner"/>
    <n v="2.5"/>
    <n v="2.7"/>
    <n v="13"/>
    <n v="20"/>
    <m/>
    <m/>
    <n v="20"/>
    <n v="0.94"/>
    <n v="3679"/>
    <n v="133"/>
  </r>
  <r>
    <x v="932"/>
    <n v="431336"/>
    <s v="SD"/>
    <s v="SD - Clay"/>
    <n v="57069"/>
    <s v="Sanford Vermillion Medical Center"/>
    <s v="Critical Access Hospital"/>
    <s v="Vermillion"/>
    <n v="6.2"/>
    <n v="3.6"/>
    <n v="38"/>
    <n v="25"/>
    <m/>
    <n v="1"/>
    <n v="25"/>
    <n v="0.9"/>
    <n v="3680"/>
    <n v="299"/>
  </r>
  <r>
    <x v="933"/>
    <n v="431323"/>
    <s v="SD"/>
    <s v="SD - Custer"/>
    <n v="57730"/>
    <s v="Monument Health Custer Hospital (FKA Regional Health Custer Hospital)"/>
    <s v="Critical Access Hospital"/>
    <s v="Custer"/>
    <n v="3.6"/>
    <n v="3"/>
    <n v="16"/>
    <n v="11"/>
    <m/>
    <m/>
    <n v="11"/>
    <n v="1"/>
    <n v="3682"/>
    <n v="271"/>
  </r>
  <r>
    <x v="934"/>
    <n v="431311"/>
    <s v="SD"/>
    <s v="SD - Day"/>
    <n v="57274"/>
    <s v="Sanford Webster Medical Center"/>
    <s v="Critical Access Hospital"/>
    <s v="Webster"/>
    <n v="2.5"/>
    <n v="2.5"/>
    <n v="8"/>
    <n v="20"/>
    <m/>
    <m/>
    <n v="20"/>
    <n v="0.92"/>
    <n v="5058"/>
    <n v="143"/>
  </r>
  <r>
    <x v="935"/>
    <n v="431307"/>
    <s v="SD"/>
    <s v="SD - Deuel"/>
    <n v="57226"/>
    <s v="Sanford Clear Lake Medical Center"/>
    <s v="Critical Access Hospital"/>
    <s v="Clear Lake"/>
    <n v="3"/>
    <n v="2.9"/>
    <n v="5"/>
    <n v="10"/>
    <m/>
    <m/>
    <n v="10"/>
    <n v="0.91"/>
    <n v="5515"/>
    <n v="145"/>
  </r>
  <r>
    <x v="936"/>
    <n v="431305"/>
    <s v="SD"/>
    <s v="SD - Douglas"/>
    <n v="57313"/>
    <s v="Douglas County Memorial Hospital"/>
    <s v="Critical Access Hospital"/>
    <s v="Armour"/>
    <n v="2.2000000000000002"/>
    <n v="3.6"/>
    <n v="9"/>
    <n v="11"/>
    <m/>
    <m/>
    <n v="11"/>
    <n v="1"/>
    <n v="5953"/>
    <n v="135"/>
  </r>
  <r>
    <x v="937"/>
    <n v="431318"/>
    <s v="SD"/>
    <s v="SD - Edmunds"/>
    <n v="57428"/>
    <s v="Bowdle Hospital - Critical Access Hospital"/>
    <s v="Critical Access Hospital"/>
    <s v="Bowdle"/>
    <n v="2.7"/>
    <n v="2.4"/>
    <n v="4"/>
    <n v="12"/>
    <m/>
    <n v="0.56000000000000005"/>
    <n v="12"/>
    <n v="0.89"/>
    <n v="3685"/>
    <n v="154"/>
  </r>
  <r>
    <x v="938"/>
    <n v="431322"/>
    <s v="SD"/>
    <s v="SD - Fall River"/>
    <n v="57747"/>
    <s v="Fall River Hospital"/>
    <s v="Critical Access Hospital"/>
    <s v="Hot Springs"/>
    <n v="7"/>
    <n v="3"/>
    <n v="14"/>
    <n v="25"/>
    <m/>
    <m/>
    <n v="25"/>
    <n v="0.88"/>
    <n v="3686"/>
    <n v="185"/>
  </r>
  <r>
    <x v="939"/>
    <n v="431301"/>
    <s v="SD"/>
    <s v="SD - Faulk"/>
    <n v="57438"/>
    <s v="Faulkton Area Medical Center"/>
    <s v="Critical Access Hospital"/>
    <s v="Faulkton"/>
    <n v="3"/>
    <n v="2.4"/>
    <n v="5"/>
    <n v="12"/>
    <m/>
    <m/>
    <n v="12"/>
    <n v="0.98"/>
    <n v="5840"/>
    <n v="145"/>
  </r>
  <r>
    <x v="940"/>
    <n v="431326"/>
    <s v="SD"/>
    <s v="SD - Grant"/>
    <n v="57252"/>
    <s v="Milbank Area Hospital Avera"/>
    <s v="Critical Access Hospital"/>
    <s v="Milbank"/>
    <n v="3.8"/>
    <n v="2.6"/>
    <n v="15"/>
    <n v="25"/>
    <m/>
    <m/>
    <n v="25"/>
    <n v="1.0900000000000001"/>
    <n v="3687"/>
    <n v="387"/>
  </r>
  <r>
    <x v="941"/>
    <n v="431338"/>
    <s v="SD"/>
    <s v="SD - Gregory"/>
    <n v="57533"/>
    <s v="Avera Gregory Hospital"/>
    <s v="Critical Access Hospital"/>
    <s v="Gregory"/>
    <n v="6.2"/>
    <n v="2.7"/>
    <n v="10"/>
    <n v="25"/>
    <m/>
    <m/>
    <n v="25"/>
    <n v="1.05"/>
    <n v="3688"/>
    <n v="424"/>
  </r>
  <r>
    <x v="941"/>
    <n v="431309"/>
    <s v="SD"/>
    <s v="SD - Gregory"/>
    <n v="57523"/>
    <s v="Community Memorial Hospital"/>
    <s v="Critical Access Hospital"/>
    <s v="Burke"/>
    <n v="3.5"/>
    <n v="2.5"/>
    <n v="8"/>
    <n v="16"/>
    <m/>
    <m/>
    <n v="16"/>
    <n v="0.81"/>
    <n v="5680"/>
    <n v="115"/>
  </r>
  <r>
    <x v="942"/>
    <n v="431319"/>
    <s v="SD"/>
    <s v="SD - Haakon"/>
    <n v="57567"/>
    <s v="Philip Health Services"/>
    <s v="Critical Access Hospital"/>
    <s v="Philip"/>
    <n v="11.3"/>
    <n v="2.9"/>
    <n v="4"/>
    <n v="18"/>
    <m/>
    <m/>
    <n v="18"/>
    <n v="0.82"/>
    <n v="4913"/>
    <n v="186"/>
  </r>
  <r>
    <x v="943"/>
    <n v="431337"/>
    <s v="SD"/>
    <s v="SD - Hand"/>
    <n v="57362"/>
    <s v="Avera Hand County Memorial Hospital"/>
    <s v="Critical Access Hospital"/>
    <s v="Miller"/>
    <n v="2.9"/>
    <n v="2.8"/>
    <n v="6"/>
    <n v="25"/>
    <m/>
    <m/>
    <n v="25"/>
    <n v="0.89"/>
    <n v="3689"/>
    <n v="209"/>
  </r>
  <r>
    <x v="944"/>
    <n v="431330"/>
    <s v="SD"/>
    <s v="SD - Hutchinson"/>
    <n v="57366"/>
    <s v="Avera St Benedict Health Center"/>
    <s v="Critical Access Hospital"/>
    <s v="Parkston"/>
    <n v="6.6"/>
    <n v="2.8"/>
    <n v="9"/>
    <n v="25"/>
    <m/>
    <m/>
    <n v="25"/>
    <n v="0.95"/>
    <n v="3691"/>
    <n v="413"/>
  </r>
  <r>
    <x v="944"/>
    <n v="431313"/>
    <s v="SD"/>
    <s v="SD - Hutchinson"/>
    <n v="57029"/>
    <s v="Freeman Regional Health Services (AKA Freeman Medical Center)"/>
    <s v="Critical Access Hospital"/>
    <s v="Freeman"/>
    <n v="2.4"/>
    <n v="2.9"/>
    <n v="8"/>
    <n v="25"/>
    <m/>
    <m/>
    <n v="25"/>
    <n v="1.1299999999999999"/>
    <n v="6198"/>
    <n v="185"/>
  </r>
  <r>
    <x v="945"/>
    <n v="431324"/>
    <s v="SD"/>
    <s v="SD - Jerauld"/>
    <n v="57382"/>
    <s v="Avera Weskota Memorial Hospital"/>
    <s v="Critical Access Hospital"/>
    <s v="Wessington Springs"/>
    <n v="1.8"/>
    <n v="3.3"/>
    <n v="8"/>
    <n v="16"/>
    <m/>
    <n v="0.81"/>
    <n v="16"/>
    <n v="0.95"/>
    <n v="3692"/>
    <n v="57"/>
  </r>
  <r>
    <x v="946"/>
    <n v="431332"/>
    <s v="SD"/>
    <s v="SD - Kingsbury"/>
    <n v="57231"/>
    <s v="Avera De Smet Memorial Hospital"/>
    <s v="Critical Access Hospital"/>
    <s v="De Smet"/>
    <n v="0.6"/>
    <n v="2.6"/>
    <n v="9"/>
    <n v="6"/>
    <m/>
    <m/>
    <n v="6"/>
    <n v="0.97"/>
    <n v="3693"/>
    <n v="32"/>
  </r>
  <r>
    <x v="947"/>
    <n v="431300"/>
    <s v="SD"/>
    <s v="SD - Lake"/>
    <n v="57042"/>
    <s v="Madison Regional Health (FKA Madison Community Hospital)"/>
    <s v="Critical Access Hospital"/>
    <s v="Madison"/>
    <n v="9.6"/>
    <n v="2.8"/>
    <n v="22"/>
    <n v="22"/>
    <m/>
    <m/>
    <n v="22"/>
    <n v="0.95"/>
    <n v="3694"/>
    <n v="418"/>
  </r>
  <r>
    <x v="948"/>
    <n v="431320"/>
    <s v="SD"/>
    <s v="SD - Lawrence"/>
    <n v="57732"/>
    <s v="Monument Health Lead-Deadwood Hospital (FKA Regional Health Lead-Deadwood Hospital)"/>
    <s v="Critical Access Hospital"/>
    <s v="Deadwood"/>
    <n v="7.6"/>
    <n v="3.1"/>
    <n v="13"/>
    <n v="18"/>
    <n v="2"/>
    <n v="0.76"/>
    <n v="18"/>
    <n v="0.91"/>
    <n v="3696"/>
    <n v="186"/>
  </r>
  <r>
    <x v="949"/>
    <n v="431333"/>
    <s v="SD"/>
    <s v="SD - Lincoln"/>
    <n v="57013"/>
    <s v="Sanford Canton-Inwood Medical Center"/>
    <s v="Critical Access Hospital"/>
    <s v="Canton"/>
    <n v="3.6"/>
    <n v="2.7"/>
    <n v="13"/>
    <n v="11"/>
    <m/>
    <n v="0.4"/>
    <n v="11"/>
    <n v="1.02"/>
    <n v="5802"/>
    <n v="103"/>
  </r>
  <r>
    <x v="950"/>
    <n v="431308"/>
    <s v="SD"/>
    <s v="SD - Mcpherson"/>
    <n v="57437"/>
    <s v="Eureka Community Health Services Avera"/>
    <s v="Critical Access Hospital"/>
    <s v="Eureka"/>
    <n v="0.8"/>
    <n v="2.7"/>
    <n v="4"/>
    <n v="4"/>
    <m/>
    <m/>
    <n v="4"/>
    <n v="0.86"/>
    <n v="5513"/>
    <n v="67"/>
  </r>
  <r>
    <x v="951"/>
    <n v="431312"/>
    <s v="SD"/>
    <s v="SD - Marshall"/>
    <n v="57430"/>
    <s v="Marshall County Healthcare Center Avera"/>
    <s v="Critical Access Hospital"/>
    <s v="Britton"/>
    <n v="2.2999999999999998"/>
    <n v="3.1"/>
    <n v="5"/>
    <n v="20"/>
    <m/>
    <m/>
    <n v="20"/>
    <n v="0.87"/>
    <n v="6041"/>
    <n v="118"/>
  </r>
  <r>
    <x v="952"/>
    <n v="431321"/>
    <s v="SD"/>
    <s v="SD - Meade"/>
    <n v="57785"/>
    <s v="Monument Health Sturgis Hospital (FKA Regional Health Sturgis Hospital)"/>
    <s v="Critical Access Hospital"/>
    <s v="Sturgis"/>
    <n v="13.6"/>
    <n v="3"/>
    <n v="22"/>
    <n v="25"/>
    <n v="3"/>
    <n v="0.69"/>
    <n v="25"/>
    <n v="0.94"/>
    <n v="3699"/>
    <n v="341"/>
  </r>
  <r>
    <x v="953"/>
    <n v="431331"/>
    <s v="SD"/>
    <s v="SD - Minnehaha"/>
    <n v="57022"/>
    <s v="Avera Dells Area Hospital"/>
    <s v="Critical Access Hospital"/>
    <s v="Dell Rapids"/>
    <n v="2.2999999999999998"/>
    <n v="3.9"/>
    <n v="8"/>
    <n v="21"/>
    <m/>
    <n v="0.4"/>
    <n v="21"/>
    <n v="0.89"/>
    <n v="3705"/>
    <n v="118"/>
  </r>
  <r>
    <x v="954"/>
    <n v="431310"/>
    <s v="SD"/>
    <s v="SD - Moody"/>
    <n v="57028"/>
    <s v="Avera Flandreau Hospital"/>
    <s v="Critical Access Hospital"/>
    <s v="Flandreau"/>
    <n v="1.4"/>
    <n v="2.7"/>
    <n v="5"/>
    <n v="18"/>
    <m/>
    <m/>
    <n v="18"/>
    <n v="0.9"/>
    <n v="3706"/>
    <n v="126"/>
  </r>
  <r>
    <x v="955"/>
    <n v="431302"/>
    <s v="SD"/>
    <s v="SD - Potter"/>
    <n v="57442"/>
    <s v="Avera Gettysburg Hospital"/>
    <s v="Critical Access Hospital"/>
    <s v="Gettysburg"/>
    <n v="2.8"/>
    <n v="2.9"/>
    <n v="3"/>
    <n v="10"/>
    <m/>
    <m/>
    <n v="10"/>
    <n v="1.01"/>
    <n v="4982"/>
    <n v="105"/>
  </r>
  <r>
    <x v="956"/>
    <n v="431339"/>
    <s v="SD"/>
    <s v="SD - Roberts"/>
    <n v="57262"/>
    <s v="Coteau des Prairies Hospital and Clinic"/>
    <s v="Critical Access Hospital"/>
    <s v="Sisseton"/>
    <n v="4.7"/>
    <n v="3.3"/>
    <n v="24"/>
    <n v="25"/>
    <m/>
    <m/>
    <n v="25"/>
    <n v="0.97"/>
    <n v="6233"/>
    <n v="414"/>
  </r>
  <r>
    <x v="957"/>
    <n v="431316"/>
    <s v="SD"/>
    <s v="SD - Spink"/>
    <n v="57469"/>
    <s v="Community Memorial Hospital Avera"/>
    <s v="Critical Access Hospital"/>
    <s v="Redfield"/>
    <n v="4"/>
    <n v="3"/>
    <n v="9"/>
    <n v="23"/>
    <m/>
    <m/>
    <n v="23"/>
    <n v="0.95"/>
    <n v="3713"/>
    <n v="266"/>
  </r>
  <r>
    <x v="958"/>
    <n v="431334"/>
    <s v="SD"/>
    <s v="SD - Tripp"/>
    <n v="57580"/>
    <s v="Winner Regional Hospital"/>
    <s v="Critical Access Hospital"/>
    <s v="Winner"/>
    <n v="7.6"/>
    <n v="2.9"/>
    <n v="20"/>
    <n v="25"/>
    <m/>
    <m/>
    <n v="25"/>
    <n v="1.04"/>
    <n v="3715"/>
    <n v="551"/>
  </r>
  <r>
    <x v="959"/>
    <n v="431328"/>
    <s v="SD"/>
    <s v="SD - Turner"/>
    <n v="57070"/>
    <s v="Pioneer Memorial Hospital and Health Services"/>
    <s v="Critical Access Hospital"/>
    <s v="Viborg"/>
    <n v="1.6"/>
    <n v="2.2999999999999998"/>
    <n v="6"/>
    <n v="12"/>
    <m/>
    <n v="0.4"/>
    <n v="12"/>
    <n v="0.88"/>
    <n v="5942"/>
    <n v="69"/>
  </r>
  <r>
    <x v="960"/>
    <n v="431325"/>
    <s v="SD"/>
    <s v="SD - Walworth"/>
    <n v="57601"/>
    <s v="Mobridge Regional Hospital"/>
    <s v="Critical Access Hospital"/>
    <s v="Mobridge"/>
    <n v="6.3"/>
    <n v="2.6"/>
    <n v="19"/>
    <n v="25"/>
    <n v="4"/>
    <m/>
    <n v="25"/>
    <n v="0.93"/>
    <n v="3717"/>
    <n v="434"/>
  </r>
  <r>
    <x v="961"/>
    <n v="441316"/>
    <s v="TN"/>
    <s v="TN - Benton"/>
    <n v="38320"/>
    <s v="Camden General Hospital"/>
    <s v="Critical Access Hospital"/>
    <s v="Camden"/>
    <n v="3.5"/>
    <n v="2.4"/>
    <n v="23"/>
    <n v="25"/>
    <m/>
    <m/>
    <n v="25"/>
    <n v="1.27"/>
    <n v="3722"/>
    <n v="218"/>
  </r>
  <r>
    <x v="962"/>
    <n v="441306"/>
    <s v="TN"/>
    <s v="TN - Bledsoe"/>
    <n v="37367"/>
    <s v="Erlanger Bledsoe Hospital"/>
    <s v="Critical Access Hospital"/>
    <s v="Pikeville"/>
    <n v="5.6"/>
    <n v="2"/>
    <n v="51"/>
    <n v="25"/>
    <m/>
    <m/>
    <n v="25"/>
    <n v="1.02"/>
    <n v="6008"/>
    <n v="374"/>
  </r>
  <r>
    <x v="963"/>
    <n v="441311"/>
    <s v="TN"/>
    <s v="TN - Cheatham"/>
    <n v="37015"/>
    <s v="TriStar Ashland City Medical Center"/>
    <s v="Critical Access Hospital"/>
    <s v="Ashland City"/>
    <n v="5.8"/>
    <n v="1.7"/>
    <n v="19"/>
    <n v="12"/>
    <m/>
    <n v="0.26"/>
    <n v="12"/>
    <n v="0.94"/>
    <n v="3731"/>
    <n v="280"/>
  </r>
  <r>
    <x v="964"/>
    <m/>
    <s v="TN"/>
    <s v="TN - Clay"/>
    <n v="38551"/>
    <s v="Cumberland River Hospital"/>
    <s v="Critical Access Hospital"/>
    <s v="Celina"/>
    <n v="7.3"/>
    <n v="2.2999999999999998"/>
    <n v="6"/>
    <m/>
    <m/>
    <m/>
    <m/>
    <n v="1.1100000000000001"/>
    <n v="3733"/>
    <n v="280"/>
  </r>
  <r>
    <x v="965"/>
    <n v="441313"/>
    <s v="TN"/>
    <s v="TN - Hancock"/>
    <n v="37869"/>
    <s v="Hancock County Hospital (FKA Wellmont Hancock County Hospital)"/>
    <s v="Critical Access Hospital"/>
    <s v="Sneedville"/>
    <n v="1.9"/>
    <n v="2.8"/>
    <n v="12"/>
    <n v="10"/>
    <m/>
    <m/>
    <n v="10"/>
    <n v="1.01"/>
    <n v="3769"/>
    <n v="210"/>
  </r>
  <r>
    <x v="966"/>
    <n v="441320"/>
    <s v="TN"/>
    <s v="TN - Hardeman"/>
    <n v="38008"/>
    <s v="Bolivar General Hospital"/>
    <s v="Critical Access Hospital"/>
    <s v="Bolivar"/>
    <n v="1.4"/>
    <n v="2.6"/>
    <n v="36"/>
    <n v="25"/>
    <m/>
    <m/>
    <n v="25"/>
    <n v="1.07"/>
    <n v="3770"/>
    <n v="154"/>
  </r>
  <r>
    <x v="967"/>
    <n v="441300"/>
    <s v="TN"/>
    <s v="TN - Hickman"/>
    <n v="37033"/>
    <s v="Ascension Saint Thomas Hickman (FKA Hickman Community Health Services)"/>
    <s v="Critical Access Hospital"/>
    <s v="Centerville"/>
    <n v="1.7"/>
    <n v="3.8"/>
    <n v="19"/>
    <n v="25"/>
    <m/>
    <m/>
    <n v="25"/>
    <n v="1.2"/>
    <n v="3776"/>
    <n v="18"/>
  </r>
  <r>
    <x v="968"/>
    <n v="441322"/>
    <s v="TN"/>
    <s v="TN - Houston"/>
    <n v="37061"/>
    <s v="Houston County Community Hospital (FKA Patients Choice Medical Center of Erin)"/>
    <s v="Critical Access Hospital"/>
    <s v="Erin"/>
    <n v="3.7"/>
    <n v="5.0999999999999996"/>
    <n v="59"/>
    <n v="25"/>
    <m/>
    <m/>
    <n v="25"/>
    <n v="0.95"/>
    <n v="3777"/>
    <n v="205"/>
  </r>
  <r>
    <x v="969"/>
    <n v="441303"/>
    <s v="TN"/>
    <s v="TN - Humphreys"/>
    <n v="37185"/>
    <s v="Three Rivers Hospital"/>
    <s v="Critical Access Hospital"/>
    <s v="Waverly"/>
    <n v="6.2"/>
    <n v="3.7"/>
    <n v="38"/>
    <n v="25"/>
    <m/>
    <m/>
    <n v="25"/>
    <n v="0.83"/>
    <n v="5263"/>
    <n v="274"/>
  </r>
  <r>
    <x v="970"/>
    <n v="441304"/>
    <s v="TN"/>
    <s v="TN - Johnson"/>
    <n v="37683"/>
    <s v="Johnson County Community Hospital"/>
    <s v="Critical Access Hospital"/>
    <s v="Mountain City"/>
    <n v="0.2"/>
    <n v="2.2000000000000002"/>
    <n v="23"/>
    <n v="2"/>
    <m/>
    <m/>
    <n v="2"/>
    <n v="0.95"/>
    <n v="3779"/>
    <n v="29"/>
  </r>
  <r>
    <x v="971"/>
    <n v="441314"/>
    <s v="TN"/>
    <s v="TN - Lauderdale"/>
    <n v="38063"/>
    <s v="Lauderdale Community Hospital (FKA Baptist Memorial Hospital Lauderdale)"/>
    <s v="Critical Access Hospital"/>
    <s v="Ripley"/>
    <n v="4.2"/>
    <n v="3.9"/>
    <n v="40"/>
    <n v="25"/>
    <m/>
    <m/>
    <n v="25"/>
    <n v="0.91"/>
    <n v="3785"/>
    <n v="115"/>
  </r>
  <r>
    <x v="972"/>
    <n v="441305"/>
    <s v="TN"/>
    <s v="TN - Macon"/>
    <n v="37083"/>
    <s v="Macon County General Hospital (AKA Macon Community Hospital)"/>
    <s v="Critical Access Hospital"/>
    <s v="Lafayette"/>
    <n v="10"/>
    <n v="3.5"/>
    <n v="45"/>
    <n v="25"/>
    <m/>
    <n v="0.26"/>
    <n v="25"/>
    <n v="0.96"/>
    <n v="3792"/>
    <n v="783"/>
  </r>
  <r>
    <x v="973"/>
    <n v="441309"/>
    <s v="TN"/>
    <s v="TN - Marshall"/>
    <n v="37091"/>
    <s v="Marshall Medical Center"/>
    <s v="Critical Access Hospital"/>
    <s v="Lewisburg"/>
    <n v="1.9"/>
    <n v="3.2"/>
    <n v="30"/>
    <n v="25"/>
    <m/>
    <n v="1"/>
    <n v="25"/>
    <n v="1.07"/>
    <n v="3796"/>
    <n v="149"/>
  </r>
  <r>
    <x v="974"/>
    <s v="441315 (Closed)"/>
    <s v="TN"/>
    <s v="TN - Polk"/>
    <n v="37317"/>
    <s v="Copper Basin Medical Center (Closed Inpatient June 2017 and ED Oct 2017)"/>
    <s v="Critical Access Hospital"/>
    <s v="Copperhill"/>
    <n v="5.3"/>
    <n v="3.7"/>
    <m/>
    <m/>
    <m/>
    <n v="0.89"/>
    <m/>
    <m/>
    <n v="3803"/>
    <n v="465"/>
  </r>
  <r>
    <x v="975"/>
    <n v="441310"/>
    <s v="TN"/>
    <s v="TN - Rhea"/>
    <n v="37321"/>
    <s v="Rhea Medical Center"/>
    <s v="Critical Access Hospital"/>
    <s v="Dayton"/>
    <n v="7.9"/>
    <n v="2.8"/>
    <n v="80"/>
    <n v="25"/>
    <n v="3"/>
    <n v="1"/>
    <n v="25"/>
    <n v="1.17"/>
    <n v="3805"/>
    <n v="790"/>
  </r>
  <r>
    <x v="976"/>
    <n v="441307"/>
    <s v="TN"/>
    <s v="TN - Smith"/>
    <n v="37030"/>
    <s v="Riverview Regional Medical Center (FKA Riverview Regional Medical Center North)"/>
    <s v="Critical Access Hospital"/>
    <s v="Carthage"/>
    <n v="9.6"/>
    <n v="2.6"/>
    <n v="30"/>
    <n v="25"/>
    <n v="2"/>
    <n v="0.26"/>
    <n v="25"/>
    <n v="1.1499999999999999"/>
    <n v="3819"/>
    <n v="793"/>
  </r>
  <r>
    <x v="977"/>
    <n v="441301"/>
    <s v="TN"/>
    <s v="TN - Trousdale"/>
    <n v="37074"/>
    <s v="Trousdale Medical Center"/>
    <s v="Critical Access Hospital"/>
    <s v="Hartsville"/>
    <n v="2.7"/>
    <n v="3"/>
    <n v="14"/>
    <n v="23"/>
    <m/>
    <n v="0.26"/>
    <n v="23"/>
    <n v="1.01"/>
    <n v="3827"/>
    <n v="149"/>
  </r>
  <r>
    <x v="978"/>
    <n v="451372"/>
    <s v="TX"/>
    <s v="TX - Bailey"/>
    <n v="79347"/>
    <s v="Muleshoe Area Medical Center"/>
    <s v="Critical Access Hospital"/>
    <s v="Muleshoe"/>
    <n v="3.9"/>
    <n v="3.1"/>
    <n v="10"/>
    <n v="25"/>
    <m/>
    <m/>
    <n v="25"/>
    <n v="0.97"/>
    <n v="5596"/>
    <n v="162"/>
  </r>
  <r>
    <x v="979"/>
    <n v="451385"/>
    <s v="TX"/>
    <s v="TX - Bosque"/>
    <n v="76634"/>
    <s v="Goodall Witcher Healthcare Foundation"/>
    <s v="Critical Access Hospital"/>
    <s v="Clifton"/>
    <n v="8.4"/>
    <n v="3.5"/>
    <n v="26"/>
    <n v="25"/>
    <m/>
    <m/>
    <n v="25"/>
    <n v="1.02"/>
    <n v="3865"/>
    <n v="362"/>
  </r>
  <r>
    <x v="980"/>
    <n v="451311"/>
    <s v="TX"/>
    <s v="TX - Brazoria"/>
    <n v="77480"/>
    <s v="Sweeny Community Hospital"/>
    <s v="Critical Access Hospital"/>
    <s v="Sweeny"/>
    <n v="2.8"/>
    <n v="3"/>
    <n v="17"/>
    <n v="14"/>
    <m/>
    <n v="7.0000000000000007E-2"/>
    <n v="14"/>
    <n v="1.22"/>
    <n v="5661"/>
    <n v="216"/>
  </r>
  <r>
    <x v="981"/>
    <n v="451378"/>
    <s v="TX"/>
    <s v="TX - Brewster"/>
    <n v="79830"/>
    <s v="Big Bend Regional Medical Center"/>
    <s v="Critical Access Hospital"/>
    <s v="Alpine"/>
    <n v="7.4"/>
    <n v="2.8"/>
    <n v="22"/>
    <n v="25"/>
    <n v="3"/>
    <m/>
    <n v="25"/>
    <n v="1.1200000000000001"/>
    <n v="3873"/>
    <n v="635"/>
  </r>
  <r>
    <x v="982"/>
    <n v="451305"/>
    <s v="TX"/>
    <s v="TX - Burleson"/>
    <n v="77836"/>
    <s v="CHI St Joseph Health Burleson Hospital"/>
    <s v="Critical Access Hospital"/>
    <s v="Caldwell"/>
    <n v="5.4"/>
    <n v="3.6"/>
    <n v="8"/>
    <n v="15"/>
    <m/>
    <n v="0.39"/>
    <n v="15"/>
    <n v="1"/>
    <n v="3875"/>
    <n v="64"/>
  </r>
  <r>
    <x v="983"/>
    <n v="451365"/>
    <s v="TX"/>
    <s v="TX - Burnet"/>
    <n v="78611"/>
    <s v="Ascension Seton Highland Lakes"/>
    <s v="Critical Access Hospital"/>
    <s v="Burnet"/>
    <n v="7.4"/>
    <n v="2.4"/>
    <n v="75"/>
    <n v="25"/>
    <n v="4"/>
    <m/>
    <n v="25"/>
    <n v="1.32"/>
    <n v="3876"/>
    <n v="680"/>
  </r>
  <r>
    <x v="984"/>
    <n v="451371"/>
    <s v="TX"/>
    <s v="TX - Caldwell"/>
    <n v="78648"/>
    <s v="Ascension Seton Edgar B Davis (FKA Seton Edgar B Davis Hospital)"/>
    <s v="Critical Access Hospital"/>
    <s v="Luling"/>
    <n v="7"/>
    <n v="3.1"/>
    <n v="38"/>
    <n v="23"/>
    <m/>
    <n v="0.09"/>
    <n v="23"/>
    <n v="0.99"/>
    <n v="3877"/>
    <n v="600"/>
  </r>
  <r>
    <x v="985"/>
    <n v="451356"/>
    <s v="TX"/>
    <s v="TX - Calhoun"/>
    <n v="77979"/>
    <s v="Memorial Medical Center"/>
    <s v="Critical Access Hospital"/>
    <s v="Port Lavaca"/>
    <n v="9.5"/>
    <n v="3"/>
    <n v="41"/>
    <n v="25"/>
    <n v="6"/>
    <n v="1"/>
    <n v="25"/>
    <n v="1.04"/>
    <n v="3878"/>
    <n v="841"/>
  </r>
  <r>
    <x v="986"/>
    <n v="451367"/>
    <s v="TX"/>
    <s v="TX - Camp"/>
    <n v="75686"/>
    <s v="UT Health Pittsburg (FKA East Texas Medical Center - Pittsburg)"/>
    <s v="Critical Access Hospital"/>
    <s v="Pittsburg"/>
    <n v="8.1999999999999993"/>
    <n v="2.2999999999999998"/>
    <n v="25"/>
    <n v="25"/>
    <m/>
    <n v="0.61"/>
    <n v="25"/>
    <n v="1.07"/>
    <n v="3884"/>
    <n v="630"/>
  </r>
  <r>
    <x v="987"/>
    <s v="451302 (Closed)"/>
    <s v="TX"/>
    <s v="TX - Cass"/>
    <n v="75563"/>
    <s v="Good Shephard Medical Center - Linden (Closed April 30 2014)"/>
    <s v="Critical Access Hospital"/>
    <s v="Linden"/>
    <n v="3.4"/>
    <n v="2"/>
    <m/>
    <m/>
    <m/>
    <m/>
    <m/>
    <m/>
    <n v="3886"/>
    <n v="189"/>
  </r>
  <r>
    <x v="988"/>
    <n v="451350"/>
    <s v="TX"/>
    <s v="TX - Castro"/>
    <n v="79027"/>
    <s v="Plains Memorial Hospital (AKA Castro County Healthcare)"/>
    <s v="Critical Access Hospital"/>
    <s v="Dimmitt"/>
    <n v="4.2"/>
    <n v="3.7"/>
    <n v="10"/>
    <n v="17"/>
    <m/>
    <m/>
    <n v="17"/>
    <n v="0.92"/>
    <n v="3887"/>
    <n v="58"/>
  </r>
  <r>
    <x v="989"/>
    <n v="451320"/>
    <s v="TX"/>
    <s v="TX - Chambers"/>
    <n v="77514"/>
    <s v="Bayside Community Hospital"/>
    <s v="Critical Access Hospital"/>
    <s v="Anahuac"/>
    <n v="0.9"/>
    <n v="3.1"/>
    <n v="15"/>
    <n v="14"/>
    <m/>
    <n v="7.0000000000000007E-2"/>
    <n v="14"/>
    <n v="0.87"/>
    <n v="3888"/>
    <n v="104"/>
  </r>
  <r>
    <x v="989"/>
    <n v="451328"/>
    <s v="TX"/>
    <s v="TX - Chambers"/>
    <n v="77665"/>
    <s v="Riceland Healthcare (FKA Winnie Community Hospital)"/>
    <s v="Critical Access Hospital"/>
    <s v="Winnie"/>
    <n v="2.9"/>
    <n v="3.5"/>
    <n v="80"/>
    <n v="25"/>
    <m/>
    <n v="7.0000000000000007E-2"/>
    <n v="25"/>
    <n v="0.92"/>
    <n v="5352"/>
    <n v="226"/>
  </r>
  <r>
    <x v="990"/>
    <n v="451319"/>
    <s v="TX"/>
    <s v="TX - Cherokee"/>
    <n v="75766"/>
    <s v="CHRISTUS Mother Frances Hospital - Jacksonville"/>
    <s v="Critical Access Hospital"/>
    <s v="Jacksonville"/>
    <n v="10.5"/>
    <n v="3.4"/>
    <n v="37"/>
    <n v="23"/>
    <m/>
    <n v="0.52"/>
    <n v="23"/>
    <n v="1.1599999999999999"/>
    <n v="3889"/>
    <n v="646"/>
  </r>
  <r>
    <x v="991"/>
    <n v="451362"/>
    <s v="TX"/>
    <s v="TX - Clay"/>
    <n v="76365"/>
    <s v="Clay County Memorial Hospital"/>
    <s v="Critical Access Hospital"/>
    <s v="Henrietta"/>
    <n v="1.4"/>
    <n v="2.5"/>
    <n v="8"/>
    <n v="25"/>
    <m/>
    <n v="0.74"/>
    <n v="25"/>
    <n v="0.98"/>
    <n v="5722"/>
    <n v="142"/>
  </r>
  <r>
    <x v="992"/>
    <n v="451366"/>
    <s v="TX"/>
    <s v="TX - Cochran"/>
    <n v="79346"/>
    <s v="Cochran Memorial Hospital"/>
    <s v="Critical Access Hospital"/>
    <s v="Morton"/>
    <n v="0"/>
    <n v="3.6"/>
    <n v="1"/>
    <n v="18"/>
    <m/>
    <m/>
    <n v="18"/>
    <n v="0.83"/>
    <n v="6207"/>
    <n v="5"/>
  </r>
  <r>
    <x v="993"/>
    <n v="451347"/>
    <s v="TX"/>
    <s v="TX - Coleman"/>
    <n v="76834"/>
    <s v="Coleman County Medical Center"/>
    <s v="Critical Access Hospital"/>
    <s v="Coleman"/>
    <n v="8.4"/>
    <n v="3.1"/>
    <n v="7"/>
    <n v="25"/>
    <m/>
    <m/>
    <n v="25"/>
    <n v="0.86"/>
    <n v="3892"/>
    <n v="499"/>
  </r>
  <r>
    <x v="994"/>
    <n v="451355"/>
    <s v="TX"/>
    <s v="TX - Collingsworth"/>
    <n v="79095"/>
    <s v="Collingsworth General Hospital"/>
    <s v="Critical Access Hospital"/>
    <s v="Wellington"/>
    <n v="2.2000000000000002"/>
    <n v="2.9"/>
    <n v="5"/>
    <n v="13"/>
    <m/>
    <m/>
    <n v="13"/>
    <n v="0.98"/>
    <n v="3903"/>
    <n v="107"/>
  </r>
  <r>
    <x v="995"/>
    <n v="451312"/>
    <s v="TX"/>
    <s v="TX - Colorado"/>
    <n v="77434"/>
    <s v="Rice Medical Center"/>
    <s v="Critical Access Hospital"/>
    <s v="Eagle Lake"/>
    <n v="1.9"/>
    <n v="2.7"/>
    <n v="12"/>
    <n v="21"/>
    <m/>
    <m/>
    <n v="21"/>
    <n v="0.94"/>
    <n v="5285"/>
    <n v="169"/>
  </r>
  <r>
    <x v="996"/>
    <n v="451382"/>
    <s v="TX"/>
    <s v="TX - Comanche"/>
    <n v="76442"/>
    <s v="Comanche County Medical Center"/>
    <s v="Critical Access Hospital"/>
    <s v="Comanche"/>
    <n v="7.3"/>
    <n v="3.8"/>
    <n v="22"/>
    <n v="25"/>
    <m/>
    <m/>
    <n v="25"/>
    <n v="0.96"/>
    <n v="3906"/>
    <n v="580"/>
  </r>
  <r>
    <x v="997"/>
    <n v="451325"/>
    <s v="TX"/>
    <s v="TX - Concho"/>
    <n v="76837"/>
    <s v="Concho County Hospital"/>
    <s v="Critical Access Hospital"/>
    <s v="Eden"/>
    <n v="0.9"/>
    <n v="3.2"/>
    <n v="9"/>
    <n v="16"/>
    <m/>
    <m/>
    <n v="16"/>
    <n v="0.9"/>
    <n v="5114"/>
    <n v="58"/>
  </r>
  <r>
    <x v="998"/>
    <n v="451335"/>
    <s v="TX"/>
    <s v="TX - Cooke"/>
    <n v="76252"/>
    <s v="Muenster Memorial Hospital"/>
    <s v="Critical Access Hospital"/>
    <s v="Muenster"/>
    <n v="9.1999999999999993"/>
    <n v="3.1"/>
    <n v="9"/>
    <n v="18"/>
    <m/>
    <n v="0.67"/>
    <n v="18"/>
    <n v="0.89"/>
    <n v="5578"/>
    <n v="104"/>
  </r>
  <r>
    <x v="999"/>
    <n v="451379"/>
    <s v="TX"/>
    <s v="TX - Coryell"/>
    <n v="76528"/>
    <s v="Coryell Memorial Healthcare System"/>
    <s v="Critical Access Hospital"/>
    <s v="Gatesville"/>
    <n v="7"/>
    <n v="2.4"/>
    <n v="45"/>
    <n v="25"/>
    <n v="4"/>
    <n v="0.59"/>
    <n v="25"/>
    <n v="1.2"/>
    <n v="4847"/>
    <n v="771"/>
  </r>
  <r>
    <x v="1000"/>
    <n v="451353"/>
    <s v="TX"/>
    <s v="TX - Crane"/>
    <n v="79731"/>
    <s v="Crane County Hospital District"/>
    <s v="Critical Access Hospital"/>
    <s v="Crane"/>
    <n v="1.8"/>
    <n v="4"/>
    <n v="3"/>
    <n v="25"/>
    <m/>
    <m/>
    <n v="25"/>
    <n v="0.93"/>
    <n v="5683"/>
    <n v="70"/>
  </r>
  <r>
    <x v="1001"/>
    <n v="451345"/>
    <s v="TX"/>
    <s v="TX - Crosby"/>
    <n v="79322"/>
    <s v="Crosbyton Clinic Hospital"/>
    <s v="Critical Access Hospital"/>
    <s v="Crosbyton"/>
    <n v="1.8"/>
    <n v="3.5"/>
    <n v="5"/>
    <n v="25"/>
    <m/>
    <n v="0.28000000000000003"/>
    <n v="25"/>
    <n v="0.99"/>
    <n v="6349"/>
    <n v="116"/>
  </r>
  <r>
    <x v="1002"/>
    <n v="451338"/>
    <s v="TX"/>
    <s v="TX - Culberson"/>
    <n v="79855"/>
    <s v="Culberson Hospital"/>
    <s v="Critical Access Hospital"/>
    <s v="Van Horn"/>
    <n v="2.9"/>
    <n v="4.0999999999999996"/>
    <n v="8"/>
    <n v="14"/>
    <m/>
    <m/>
    <n v="14"/>
    <n v="0.95"/>
    <n v="4988"/>
    <n v="113"/>
  </r>
  <r>
    <x v="1003"/>
    <n v="451331"/>
    <s v="TX"/>
    <s v="TX - Dallam"/>
    <n v="79022"/>
    <s v="Coon Memorial Hospital"/>
    <s v="Critical Access Hospital"/>
    <s v="Dalhart"/>
    <n v="5.5"/>
    <n v="3.6"/>
    <n v="15"/>
    <n v="21"/>
    <m/>
    <m/>
    <n v="21"/>
    <n v="0.97"/>
    <n v="3908"/>
    <n v="343"/>
  </r>
  <r>
    <x v="1004"/>
    <n v="451370"/>
    <s v="TX"/>
    <s v="TX - Fannin"/>
    <n v="75418"/>
    <s v="TMC Bonham Hospital (FKA Red River Regional Hospital)"/>
    <s v="Critical Access Hospital"/>
    <s v="Bonham"/>
    <n v="12.4"/>
    <n v="3.4"/>
    <n v="21"/>
    <n v="25"/>
    <n v="2"/>
    <n v="1"/>
    <n v="25"/>
    <n v="1.07"/>
    <n v="3961"/>
    <n v="510"/>
  </r>
  <r>
    <x v="1005"/>
    <n v="451313"/>
    <s v="TX"/>
    <s v="TX - Fisher"/>
    <n v="79546"/>
    <s v="Fisher County Hospital District"/>
    <s v="Critical Access Hospital"/>
    <s v="Rotan"/>
    <n v="1.6"/>
    <n v="2.5"/>
    <n v="7"/>
    <n v="14"/>
    <m/>
    <m/>
    <n v="14"/>
    <n v="1"/>
    <n v="3963"/>
    <n v="45"/>
  </r>
  <r>
    <x v="1006"/>
    <n v="451337"/>
    <s v="TX"/>
    <s v="TX - Floyd"/>
    <n v="79241"/>
    <s v="W J Mangold Memorial Hospital"/>
    <s v="Critical Access Hospital"/>
    <s v="Lockney"/>
    <n v="3.2"/>
    <n v="3.6"/>
    <n v="11"/>
    <n v="25"/>
    <m/>
    <m/>
    <n v="25"/>
    <n v="0.99"/>
    <n v="3964"/>
    <n v="228"/>
  </r>
  <r>
    <x v="1007"/>
    <n v="451358"/>
    <s v="TX"/>
    <s v="TX - Gaines"/>
    <n v="79360"/>
    <s v="Memorial Hospital - Seminole"/>
    <s v="Critical Access Hospital"/>
    <s v="Seminole"/>
    <n v="9.6"/>
    <n v="3"/>
    <n v="18"/>
    <n v="25"/>
    <m/>
    <m/>
    <n v="25"/>
    <n v="0.99"/>
    <n v="5984"/>
    <n v="823"/>
  </r>
  <r>
    <x v="1008"/>
    <n v="451322"/>
    <s v="TX"/>
    <s v="TX - Grimes"/>
    <n v="77868"/>
    <s v="CHI St Joseph Health Grimes Hospital"/>
    <s v="Critical Access Hospital"/>
    <s v="Navasota"/>
    <n v="5.9"/>
    <n v="3.8"/>
    <n v="6"/>
    <n v="18"/>
    <m/>
    <m/>
    <n v="18"/>
    <n v="1.04"/>
    <n v="3984"/>
    <n v="40"/>
  </r>
  <r>
    <x v="1009"/>
    <n v="451392"/>
    <s v="TX"/>
    <s v="TX - Hamilton"/>
    <n v="76531"/>
    <s v="Hamilton General Hospital"/>
    <s v="Critical Access Hospital"/>
    <s v="Hamilton"/>
    <n v="7.5"/>
    <n v="3.5"/>
    <n v="27"/>
    <n v="25"/>
    <m/>
    <m/>
    <n v="25"/>
    <n v="1.02"/>
    <n v="3987"/>
    <n v="574"/>
  </r>
  <r>
    <x v="1010"/>
    <n v="451344"/>
    <s v="TX"/>
    <s v="TX - Hansford"/>
    <n v="79081"/>
    <s v="Hansford County Hospital District"/>
    <s v="Critical Access Hospital"/>
    <s v="Spearman"/>
    <n v="2.7"/>
    <n v="3.2"/>
    <n v="6"/>
    <n v="14"/>
    <m/>
    <m/>
    <n v="14"/>
    <n v="0.9"/>
    <n v="3988"/>
    <n v="74"/>
  </r>
  <r>
    <x v="1011"/>
    <s v="451326 (Closed)"/>
    <s v="TX"/>
    <s v="TX - Hardeman"/>
    <n v="79225"/>
    <s v="Chillicothe Hospital District (Closed)"/>
    <s v="Critical Access Hospital"/>
    <s v="Chillicothe"/>
    <n v="0.2"/>
    <n v="3.5"/>
    <m/>
    <m/>
    <m/>
    <m/>
    <m/>
    <n v="0.91"/>
    <n v="5654"/>
    <n v="15"/>
  </r>
  <r>
    <x v="1011"/>
    <n v="451352"/>
    <s v="TX"/>
    <s v="TX - Hardeman"/>
    <n v="79252"/>
    <s v="Hardeman County Memorial Hospital"/>
    <s v="Critical Access Hospital"/>
    <s v="Quanah"/>
    <n v="2.7"/>
    <n v="3.4"/>
    <n v="6"/>
    <n v="24"/>
    <m/>
    <m/>
    <n v="24"/>
    <n v="0.89"/>
    <n v="5625"/>
    <n v="135"/>
  </r>
  <r>
    <x v="1012"/>
    <n v="451341"/>
    <s v="TX"/>
    <s v="TX - Haskell"/>
    <n v="79521"/>
    <s v="Haskell Memorial Hospital"/>
    <s v="Critical Access Hospital"/>
    <s v="Haskell"/>
    <n v="2.2999999999999998"/>
    <n v="2.8"/>
    <n v="11"/>
    <n v="25"/>
    <m/>
    <m/>
    <n v="25"/>
    <n v="0.92"/>
    <n v="6078"/>
    <n v="129"/>
  </r>
  <r>
    <x v="1013"/>
    <n v="451395"/>
    <s v="TX"/>
    <s v="TX - Hill"/>
    <n v="76645"/>
    <s v="Hill Regional Hospital"/>
    <s v="Critical Access Hospital"/>
    <s v="Hillsboro"/>
    <n v="2.5"/>
    <n v="2.7"/>
    <n v="17"/>
    <n v="25"/>
    <m/>
    <m/>
    <n v="25"/>
    <n v="1.3"/>
    <n v="4040"/>
    <n v="817"/>
  </r>
  <r>
    <x v="1014"/>
    <n v="451393"/>
    <s v="TX"/>
    <s v="TX - Houston"/>
    <n v="75835"/>
    <s v="Crockett Medical Center"/>
    <s v="Critical Access Hospital"/>
    <s v="Crockett"/>
    <n v="1.5"/>
    <m/>
    <n v="20"/>
    <n v="25"/>
    <m/>
    <m/>
    <n v="25"/>
    <n v="0.81"/>
    <n v="972395"/>
    <n v="344"/>
  </r>
  <r>
    <x v="1015"/>
    <s v="451321 (Closed)"/>
    <s v="TX"/>
    <s v="TX - Hunt"/>
    <n v="75428"/>
    <s v="Hunt Regional Emergency Medical Center (FKA Hunt Regional Community Hospital - Closed Inpatient Services)"/>
    <s v="Critical Access Hospital"/>
    <s v="Commerce"/>
    <n v="3.2"/>
    <n v="2.1"/>
    <m/>
    <m/>
    <m/>
    <n v="0.03"/>
    <m/>
    <m/>
    <n v="4048"/>
    <n v="153"/>
  </r>
  <r>
    <x v="1016"/>
    <n v="451369"/>
    <s v="TX"/>
    <s v="TX - Hutchinson"/>
    <n v="79007"/>
    <s v="Golden Plains Community Hospital"/>
    <s v="Critical Access Hospital"/>
    <s v="Borger"/>
    <n v="6"/>
    <n v="3.2"/>
    <n v="24"/>
    <n v="25"/>
    <n v="4"/>
    <n v="1"/>
    <n v="25"/>
    <n v="1.23"/>
    <n v="4050"/>
    <n v="627"/>
  </r>
  <r>
    <x v="1017"/>
    <n v="451363"/>
    <s v="TX"/>
    <s v="TX - Jackson"/>
    <n v="77957"/>
    <s v="Jackson County Hospital"/>
    <s v="Critical Access Hospital"/>
    <s v="Edna"/>
    <n v="3.7"/>
    <n v="3"/>
    <n v="12"/>
    <n v="25"/>
    <m/>
    <m/>
    <n v="25"/>
    <n v="0.88"/>
    <n v="5686"/>
    <n v="194"/>
  </r>
  <r>
    <x v="1018"/>
    <n v="451364"/>
    <s v="TX"/>
    <s v="TX - Karnes"/>
    <n v="78119"/>
    <s v="Otto Kaiser Memorial Hospital"/>
    <s v="Critical Access Hospital"/>
    <s v="Kenedy"/>
    <n v="4"/>
    <n v="3.7"/>
    <n v="31"/>
    <n v="25"/>
    <m/>
    <m/>
    <n v="25"/>
    <n v="0.97"/>
    <n v="4062"/>
    <n v="152"/>
  </r>
  <r>
    <x v="1019"/>
    <n v="451306"/>
    <s v="TX"/>
    <s v="TX - Kimble"/>
    <n v="76849"/>
    <s v="Kimble Hospital"/>
    <s v="Critical Access Hospital"/>
    <s v="Junction"/>
    <n v="1.5"/>
    <n v="2.7"/>
    <n v="7"/>
    <n v="15"/>
    <m/>
    <m/>
    <n v="15"/>
    <n v="0.94"/>
    <n v="6228"/>
    <n v="78"/>
  </r>
  <r>
    <x v="1020"/>
    <n v="451323"/>
    <s v="TX"/>
    <s v="TX - Lampasas"/>
    <n v="76550"/>
    <s v="AdventHealth Rollins Brook (FKA Rollins Brook Community Hospital)"/>
    <s v="Critical Access Hospital"/>
    <s v="Lampasas"/>
    <n v="8.6999999999999993"/>
    <n v="3.6"/>
    <n v="14"/>
    <n v="25"/>
    <m/>
    <n v="0.59"/>
    <n v="25"/>
    <n v="0.94"/>
    <n v="4070"/>
    <n v="397"/>
  </r>
  <r>
    <x v="1021"/>
    <n v="451376"/>
    <s v="TX"/>
    <s v="TX - Lavaca"/>
    <n v="77964"/>
    <s v="Lavaca Medical Center"/>
    <s v="Critical Access Hospital"/>
    <s v="Hallettsville"/>
    <n v="6.2"/>
    <n v="3.8"/>
    <n v="20"/>
    <n v="25"/>
    <m/>
    <m/>
    <n v="25"/>
    <n v="0.94"/>
    <n v="4071"/>
    <n v="430"/>
  </r>
  <r>
    <x v="1021"/>
    <n v="451346"/>
    <s v="TX"/>
    <s v="TX - Lavaca"/>
    <n v="77995"/>
    <s v="Yoakum Community Hospital"/>
    <s v="Critical Access Hospital"/>
    <s v="Yoakum"/>
    <n v="6"/>
    <n v="3.3"/>
    <n v="29"/>
    <n v="25"/>
    <n v="3"/>
    <m/>
    <n v="25"/>
    <n v="0.99"/>
    <n v="3945"/>
    <n v="448"/>
  </r>
  <r>
    <x v="1022"/>
    <n v="451375"/>
    <s v="TX"/>
    <s v="TX - Liberty"/>
    <n v="77575"/>
    <s v="Liberty - Dayton Community Hospital (AKA Liberty Dayton Regional Medical Center)"/>
    <s v="Critical Access Hospital"/>
    <s v="Liberty"/>
    <n v="1"/>
    <n v="3.4"/>
    <n v="40"/>
    <n v="25"/>
    <m/>
    <n v="7.0000000000000007E-2"/>
    <n v="25"/>
    <n v="1.04"/>
    <n v="5236"/>
    <n v="90"/>
  </r>
  <r>
    <x v="1023"/>
    <n v="451303"/>
    <s v="TX"/>
    <s v="TX - Limestone"/>
    <n v="76642"/>
    <s v="Limestone Medical Center"/>
    <s v="Critical Access Hospital"/>
    <s v="Groesbeck"/>
    <n v="4.5999999999999996"/>
    <n v="3.1"/>
    <n v="40"/>
    <n v="20"/>
    <m/>
    <m/>
    <n v="20"/>
    <n v="0.97"/>
    <n v="4075"/>
    <n v="157"/>
  </r>
  <r>
    <x v="1024"/>
    <n v="451351"/>
    <s v="TX"/>
    <s v="TX - Lynn"/>
    <n v="79373"/>
    <s v="Lynn County Hospital"/>
    <s v="Critical Access Hospital"/>
    <s v="Tahoka"/>
    <n v="5.6"/>
    <n v="3.2"/>
    <n v="9"/>
    <n v="24"/>
    <m/>
    <n v="0.28000000000000003"/>
    <n v="24"/>
    <n v="0.96"/>
    <n v="5685"/>
    <n v="85"/>
  </r>
  <r>
    <x v="1025"/>
    <n v="451348"/>
    <s v="TX"/>
    <s v="TX - Mcculloch"/>
    <n v="76825"/>
    <s v="Heart of Texas Healthcare System (AKA Heart of Texas Memorial Hospital)"/>
    <s v="Critical Access Hospital"/>
    <s v="Brady"/>
    <n v="3.1"/>
    <n v="3.2"/>
    <n v="16"/>
    <n v="14"/>
    <m/>
    <m/>
    <n v="14"/>
    <n v="1.0900000000000001"/>
    <n v="4937"/>
    <n v="178"/>
  </r>
  <r>
    <x v="1026"/>
    <n v="451316"/>
    <s v="TX"/>
    <s v="TX - Madison"/>
    <n v="77864"/>
    <s v="CHI St Joseph Health Madison Hospital"/>
    <s v="Critical Access Hospital"/>
    <s v="Madisonville"/>
    <n v="8.9"/>
    <n v="3.1"/>
    <n v="11"/>
    <n v="15"/>
    <m/>
    <m/>
    <n v="15"/>
    <n v="0.95"/>
    <n v="4084"/>
    <n v="55"/>
  </r>
  <r>
    <x v="1027"/>
    <n v="451333"/>
    <s v="TX"/>
    <s v="TX - Martin"/>
    <n v="79782"/>
    <s v="Martin County Hospital"/>
    <s v="Critical Access Hospital"/>
    <s v="Stanton"/>
    <n v="4.4000000000000004"/>
    <n v="3"/>
    <n v="21"/>
    <n v="18"/>
    <m/>
    <n v="0.9"/>
    <n v="18"/>
    <n v="0.85"/>
    <n v="5581"/>
    <n v="120"/>
  </r>
  <r>
    <x v="1028"/>
    <n v="451332"/>
    <s v="TX"/>
    <s v="TX - Matagorda"/>
    <n v="77465"/>
    <s v="Palacios Community Medical Center"/>
    <s v="Critical Access Hospital"/>
    <s v="Palacios"/>
    <n v="1.3"/>
    <n v="2"/>
    <n v="9"/>
    <n v="17"/>
    <m/>
    <n v="0.88"/>
    <n v="17"/>
    <n v="0.87"/>
    <n v="6188"/>
    <n v="95"/>
  </r>
  <r>
    <x v="1029"/>
    <n v="451330"/>
    <s v="TX"/>
    <s v="TX - Medina"/>
    <n v="78861"/>
    <s v="Medina Regional Hospital"/>
    <s v="Critical Access Hospital"/>
    <s v="Hondo"/>
    <n v="7.2"/>
    <n v="2.5"/>
    <n v="57"/>
    <n v="25"/>
    <m/>
    <n v="0.19"/>
    <n v="25"/>
    <n v="0.87"/>
    <n v="4087"/>
    <n v="549"/>
  </r>
  <r>
    <x v="1030"/>
    <s v="451357 (Closed)"/>
    <s v="TX"/>
    <s v="TX - Milam"/>
    <n v="76567"/>
    <s v="Little River Healthcare - Rockdale Hospital (FKA Little River Healthcare - Richards Memorial Hospital - Closed)"/>
    <s v="Critical Access Hospital"/>
    <s v="Rockdale"/>
    <n v="2.9"/>
    <n v="7.7"/>
    <m/>
    <m/>
    <m/>
    <m/>
    <m/>
    <n v="1.1200000000000001"/>
    <n v="5340"/>
    <n v="182"/>
  </r>
  <r>
    <x v="1031"/>
    <n v="451342"/>
    <s v="TX"/>
    <s v="TX - Mitchell"/>
    <n v="79512"/>
    <s v="Mitchell County Hospital"/>
    <s v="Critical Access Hospital"/>
    <s v="Colorado City"/>
    <n v="6.6"/>
    <n v="3.6"/>
    <n v="7"/>
    <n v="25"/>
    <m/>
    <m/>
    <n v="25"/>
    <n v="1.1000000000000001"/>
    <n v="4091"/>
    <n v="372"/>
  </r>
  <r>
    <x v="1032"/>
    <n v="451386"/>
    <s v="TX"/>
    <s v="TX - Moore"/>
    <n v="79029"/>
    <s v="Moore County Hospital District"/>
    <s v="Critical Access Hospital"/>
    <s v="Dumas"/>
    <n v="8.6"/>
    <n v="2.9"/>
    <n v="46"/>
    <n v="19"/>
    <n v="3"/>
    <n v="1"/>
    <n v="19"/>
    <n v="1.2"/>
    <n v="4096"/>
    <n v="1285"/>
  </r>
  <r>
    <x v="1033"/>
    <n v="451359"/>
    <s v="TX"/>
    <s v="TX - Ochiltree"/>
    <n v="79070"/>
    <s v="Ochiltree General Hospital"/>
    <s v="Critical Access Hospital"/>
    <s v="Perryton"/>
    <n v="5.5"/>
    <n v="2.5"/>
    <n v="13"/>
    <n v="25"/>
    <m/>
    <m/>
    <n v="25"/>
    <n v="0.92"/>
    <n v="6089"/>
    <n v="554"/>
  </r>
  <r>
    <x v="1034"/>
    <n v="451300"/>
    <s v="TX"/>
    <s v="TX - Parmer"/>
    <n v="79035"/>
    <s v="Parmer Medical Center"/>
    <s v="Critical Access Hospital"/>
    <s v="Friona"/>
    <n v="3"/>
    <n v="3.3"/>
    <n v="8"/>
    <n v="25"/>
    <m/>
    <m/>
    <n v="25"/>
    <n v="0.97"/>
    <n v="5049"/>
    <n v="42"/>
  </r>
  <r>
    <x v="1035"/>
    <n v="451389"/>
    <s v="TX"/>
    <s v="TX - Pecos"/>
    <n v="79735"/>
    <s v="Pecos County Memorial Hospital (AKA Pecos County Memorial Hospital Health System)"/>
    <s v="Critical Access Hospital"/>
    <s v="Fort Stockton"/>
    <n v="5"/>
    <n v="3.1"/>
    <n v="21"/>
    <n v="25"/>
    <m/>
    <m/>
    <n v="25"/>
    <n v="1.04"/>
    <n v="4109"/>
    <n v="464"/>
  </r>
  <r>
    <x v="1035"/>
    <n v="451307"/>
    <s v="TX"/>
    <s v="TX - Pecos"/>
    <n v="79744"/>
    <s v="Iraan General Hospital District"/>
    <s v="Critical Access Hospital"/>
    <s v="Iraan"/>
    <n v="1.9"/>
    <n v="3.3"/>
    <n v="4"/>
    <n v="14"/>
    <m/>
    <m/>
    <n v="14"/>
    <n v="0.94"/>
    <n v="6046"/>
    <n v="26"/>
  </r>
  <r>
    <x v="1036"/>
    <n v="451301"/>
    <s v="TX"/>
    <s v="TX - Reagan"/>
    <n v="76932"/>
    <s v="Reagan Memorial Hospital"/>
    <s v="Critical Access Hospital"/>
    <s v="Big Lake"/>
    <n v="0.6"/>
    <n v="2.5"/>
    <n v="3"/>
    <n v="7"/>
    <m/>
    <m/>
    <n v="7"/>
    <n v="0.91"/>
    <n v="4116"/>
    <n v="13"/>
  </r>
  <r>
    <x v="1037"/>
    <n v="451377"/>
    <s v="TX"/>
    <s v="TX - Reeves"/>
    <n v="79772"/>
    <s v="Reeves County Hospital District"/>
    <s v="Critical Access Hospital"/>
    <s v="Pecos"/>
    <n v="8.1"/>
    <n v="3"/>
    <n v="19"/>
    <n v="25"/>
    <m/>
    <n v="1"/>
    <n v="25"/>
    <n v="0.92"/>
    <n v="4118"/>
    <n v="748"/>
  </r>
  <r>
    <x v="1038"/>
    <n v="451317"/>
    <s v="TX"/>
    <s v="TX - Refugio"/>
    <n v="78377"/>
    <s v="Refugio County Memorial Hospital"/>
    <s v="Critical Access Hospital"/>
    <s v="Refugio"/>
    <n v="1.7"/>
    <n v="3.2"/>
    <n v="22"/>
    <n v="20"/>
    <m/>
    <m/>
    <n v="20"/>
    <n v="0.9"/>
    <n v="5292"/>
    <n v="72"/>
  </r>
  <r>
    <x v="1039"/>
    <n v="451315"/>
    <s v="TX"/>
    <s v="TX - Runnels"/>
    <n v="79567"/>
    <s v="North Runnels Hospital"/>
    <s v="Critical Access Hospital"/>
    <s v="Winters"/>
    <n v="1.4"/>
    <n v="3.1"/>
    <n v="3"/>
    <n v="15"/>
    <m/>
    <m/>
    <n v="15"/>
    <n v="0.83"/>
    <n v="4120"/>
    <n v="101"/>
  </r>
  <r>
    <x v="1039"/>
    <n v="451310"/>
    <s v="TX"/>
    <s v="TX - Runnels"/>
    <n v="76821"/>
    <s v="Ballinger Memorial Hospital"/>
    <s v="Critical Access Hospital"/>
    <s v="Ballinger"/>
    <n v="4"/>
    <n v="3.4"/>
    <n v="14"/>
    <n v="16"/>
    <m/>
    <m/>
    <n v="16"/>
    <n v="0.92"/>
    <n v="6213"/>
    <n v="124"/>
  </r>
  <r>
    <x v="1040"/>
    <n v="451361"/>
    <s v="TX"/>
    <s v="TX - Sabine"/>
    <n v="75948"/>
    <s v="Sabine County Hospital"/>
    <s v="Critical Access Hospital"/>
    <s v="Hemphill"/>
    <n v="3.6"/>
    <n v="3"/>
    <n v="13"/>
    <n v="25"/>
    <m/>
    <m/>
    <n v="25"/>
    <n v="0.94"/>
    <n v="6369"/>
    <n v="234"/>
  </r>
  <r>
    <x v="1041"/>
    <n v="451360"/>
    <s v="TX"/>
    <s v="TX - San Augustine"/>
    <n v="75972"/>
    <s v="CHI St Lukes Health-Memorial San Augustine (FKA Memorial Medical Center - San Augustine)"/>
    <s v="Critical Access Hospital"/>
    <s v="San Augustine"/>
    <n v="1.8"/>
    <n v="2.6"/>
    <n v="11"/>
    <n v="9"/>
    <m/>
    <m/>
    <n v="9"/>
    <n v="1.1200000000000001"/>
    <n v="6376"/>
    <n v="234"/>
  </r>
  <r>
    <x v="1042"/>
    <n v="451304"/>
    <s v="TX"/>
    <s v="TX - Schleicher"/>
    <n v="76936"/>
    <s v="Schleicher County Medical Center"/>
    <s v="Critical Access Hospital"/>
    <s v="Eldorado"/>
    <n v="0.9"/>
    <n v="2.5"/>
    <n v="4"/>
    <n v="14"/>
    <m/>
    <m/>
    <n v="14"/>
    <n v="0.88"/>
    <n v="5146"/>
    <n v="52"/>
  </r>
  <r>
    <x v="1043"/>
    <n v="451384"/>
    <s v="TX"/>
    <s v="TX - Scurry"/>
    <n v="79549"/>
    <s v="Cogdell Memorial Hospital"/>
    <s v="Critical Access Hospital"/>
    <s v="Snyder"/>
    <n v="6.6"/>
    <n v="2.8"/>
    <n v="41"/>
    <n v="25"/>
    <m/>
    <n v="1"/>
    <n v="25"/>
    <n v="1.03"/>
    <n v="4123"/>
    <n v="693"/>
  </r>
  <r>
    <x v="1044"/>
    <n v="451318"/>
    <s v="TX"/>
    <s v="TX - Stonewall"/>
    <n v="79502"/>
    <s v="Stonewall Memorial Hospital"/>
    <s v="Critical Access Hospital"/>
    <s v="Aspermont"/>
    <n v="2"/>
    <n v="1.8"/>
    <n v="12"/>
    <n v="20"/>
    <m/>
    <m/>
    <n v="20"/>
    <n v="0.96"/>
    <n v="5184"/>
    <n v="101"/>
  </r>
  <r>
    <x v="1045"/>
    <n v="451324"/>
    <s v="TX"/>
    <s v="TX - Sutton"/>
    <n v="76950"/>
    <s v="Lillian M Hudspeth Memorial Hospital"/>
    <s v="Critical Access Hospital"/>
    <s v="Sonora"/>
    <n v="1.2"/>
    <n v="2.9"/>
    <n v="7"/>
    <n v="12"/>
    <m/>
    <m/>
    <n v="12"/>
    <n v="0.95"/>
    <n v="5597"/>
    <n v="101"/>
  </r>
  <r>
    <x v="1046"/>
    <n v="451349"/>
    <s v="TX"/>
    <s v="TX - Swisher"/>
    <n v="79088"/>
    <s v="Swisher Memorial Hospital"/>
    <s v="Critical Access Hospital"/>
    <s v="Tulia"/>
    <n v="4.4000000000000004"/>
    <n v="3.2"/>
    <n v="5"/>
    <n v="20"/>
    <m/>
    <m/>
    <n v="20"/>
    <n v="0.92"/>
    <n v="4132"/>
    <n v="211"/>
  </r>
  <r>
    <x v="1047"/>
    <n v="451339"/>
    <s v="TX"/>
    <s v="TX - Throckmorton"/>
    <n v="76483"/>
    <s v="Throckmorton County Hospital"/>
    <s v="Critical Access Hospital"/>
    <s v="Throckmorton"/>
    <n v="1.1000000000000001"/>
    <n v="2.7"/>
    <n v="5"/>
    <n v="14"/>
    <m/>
    <m/>
    <n v="14"/>
    <n v="0.95"/>
    <n v="5092"/>
    <n v="44"/>
  </r>
  <r>
    <x v="1048"/>
    <n v="451309"/>
    <s v="TX"/>
    <s v="TX - Upton"/>
    <n v="79752"/>
    <s v="McCamey Hospital"/>
    <s v="Critical Access Hospital"/>
    <s v="McCamey"/>
    <n v="1"/>
    <n v="2.7"/>
    <n v="7"/>
    <n v="11"/>
    <m/>
    <m/>
    <n v="11"/>
    <n v="1.04"/>
    <n v="4172"/>
    <n v="37"/>
  </r>
  <r>
    <x v="1048"/>
    <n v="451329"/>
    <s v="TX"/>
    <s v="TX - Upton"/>
    <n v="79778"/>
    <s v="Rankin County Hospital District (AKA Rankin Hospital)"/>
    <s v="Critical Access Hospital"/>
    <s v="Rankin"/>
    <n v="0.9"/>
    <n v="2.8"/>
    <n v="5"/>
    <n v="15"/>
    <m/>
    <m/>
    <n v="15"/>
    <n v="0.84"/>
    <n v="5676"/>
    <n v="39"/>
  </r>
  <r>
    <x v="1049"/>
    <n v="451387"/>
    <s v="TX"/>
    <s v="TX - Uvalde"/>
    <n v="78801"/>
    <s v="Uvalde Memorial Hospital"/>
    <s v="Critical Access Hospital"/>
    <s v="Uvalde"/>
    <n v="12"/>
    <n v="3.9"/>
    <n v="131"/>
    <n v="21"/>
    <n v="6"/>
    <n v="1"/>
    <n v="21"/>
    <n v="1.28"/>
    <n v="4173"/>
    <n v="1154"/>
  </r>
  <r>
    <x v="1050"/>
    <n v="451373"/>
    <s v="TX"/>
    <s v="TX - Ward"/>
    <n v="79756"/>
    <s v="Ward Memorial Hospital"/>
    <s v="Critical Access Hospital"/>
    <s v="Monahans"/>
    <n v="5.7"/>
    <n v="2.9"/>
    <n v="10"/>
    <n v="21"/>
    <m/>
    <m/>
    <n v="21"/>
    <n v="1.03"/>
    <n v="4179"/>
    <n v="395"/>
  </r>
  <r>
    <x v="1051"/>
    <n v="451334"/>
    <s v="TX"/>
    <s v="TX - Wheeler"/>
    <n v="79096"/>
    <s v="Parkview Hospital"/>
    <s v="Critical Access Hospital"/>
    <s v="Wheeler"/>
    <n v="1.6"/>
    <n v="2.7"/>
    <n v="6"/>
    <n v="16"/>
    <m/>
    <m/>
    <n v="16"/>
    <n v="0.85"/>
    <n v="4185"/>
    <n v="91"/>
  </r>
  <r>
    <x v="1051"/>
    <n v="451340"/>
    <s v="TX"/>
    <s v="TX - Wheeler"/>
    <n v="79079"/>
    <s v="Shamrock General Hospital"/>
    <s v="Critical Access Hospital"/>
    <s v="Shamrock"/>
    <n v="1.4"/>
    <n v="1.8"/>
    <n v="3"/>
    <n v="25"/>
    <m/>
    <m/>
    <n v="25"/>
    <n v="0.78"/>
    <n v="5968"/>
    <n v="101"/>
  </r>
  <r>
    <x v="1052"/>
    <n v="451343"/>
    <s v="TX"/>
    <s v="TX - Wichita"/>
    <n v="76360"/>
    <s v="Electra Memorial Hospital"/>
    <s v="Critical Access Hospital"/>
    <s v="Electra"/>
    <n v="5.9"/>
    <n v="3.2"/>
    <n v="15"/>
    <n v="19"/>
    <m/>
    <n v="0.74"/>
    <n v="19"/>
    <n v="0.88"/>
    <n v="4186"/>
    <n v="227"/>
  </r>
  <r>
    <x v="1053"/>
    <n v="451374"/>
    <s v="TX"/>
    <s v="TX - Williamson"/>
    <n v="76574"/>
    <s v="Baylor Scott &amp; White Medical Center - Taylor (FKA Johns Community Hospital)"/>
    <s v="Critical Access Hospital"/>
    <s v="Taylor"/>
    <n v="6.2"/>
    <n v="2.5"/>
    <n v="22"/>
    <n v="25"/>
    <m/>
    <n v="0.09"/>
    <n v="25"/>
    <n v="1"/>
    <n v="4191"/>
    <n v="315"/>
  </r>
  <r>
    <x v="1054"/>
    <n v="451314"/>
    <s v="TX"/>
    <s v="TX - Winkler"/>
    <n v="79745"/>
    <s v="Winkler County Memorial Hospital"/>
    <s v="Critical Access Hospital"/>
    <s v="Kermit"/>
    <n v="2.2999999999999998"/>
    <n v="2.6"/>
    <n v="14"/>
    <n v="19"/>
    <m/>
    <m/>
    <n v="19"/>
    <n v="0.86"/>
    <n v="6088"/>
    <n v="99"/>
  </r>
  <r>
    <x v="1055"/>
    <n v="451381"/>
    <s v="TX"/>
    <s v="TX - Wood"/>
    <n v="75494"/>
    <s v="CHRISTUS Mother Frances Hospital - Winnsboro"/>
    <s v="Critical Access Hospital"/>
    <s v="Winnsboro"/>
    <n v="6.3"/>
    <n v="3.1"/>
    <n v="27"/>
    <n v="23"/>
    <m/>
    <m/>
    <n v="23"/>
    <n v="1.1499999999999999"/>
    <n v="4198"/>
    <n v="306"/>
  </r>
  <r>
    <x v="1055"/>
    <n v="451380"/>
    <s v="TX"/>
    <s v="TX - Wood"/>
    <n v="75783"/>
    <s v="UT Health Quitman (FKA East Texas Medical Center - Quitman)"/>
    <s v="Critical Access Hospital"/>
    <s v="Quitman"/>
    <n v="9.1"/>
    <n v="1"/>
    <n v="18"/>
    <n v="25"/>
    <m/>
    <m/>
    <n v="25"/>
    <n v="1.23"/>
    <n v="4199"/>
    <n v="881"/>
  </r>
  <r>
    <x v="1056"/>
    <n v="451308"/>
    <s v="TX"/>
    <s v="TX - Yoakum"/>
    <n v="79323"/>
    <s v="Yoakum County Hospital"/>
    <s v="Critical Access Hospital"/>
    <s v="Denver City"/>
    <n v="3.2"/>
    <n v="2.2000000000000002"/>
    <n v="10"/>
    <n v="24"/>
    <m/>
    <m/>
    <n v="24"/>
    <n v="1.08"/>
    <n v="5091"/>
    <n v="365"/>
  </r>
  <r>
    <x v="1057"/>
    <n v="451354"/>
    <s v="TX"/>
    <s v="TX - Young"/>
    <n v="76374"/>
    <s v="Olney Hamilton Hospital"/>
    <s v="Critical Access Hospital"/>
    <s v="Olney"/>
    <n v="7.7"/>
    <n v="3.3"/>
    <n v="22"/>
    <n v="25"/>
    <m/>
    <m/>
    <n v="25"/>
    <n v="0.96"/>
    <n v="6027"/>
    <n v="282"/>
  </r>
  <r>
    <x v="1058"/>
    <n v="461335"/>
    <s v="UT"/>
    <s v="UT - Beaver"/>
    <n v="84713"/>
    <s v="Beaver Valley Hospital"/>
    <s v="Critical Access Hospital"/>
    <s v="Beaver"/>
    <n v="16.3"/>
    <n v="2.9"/>
    <n v="13"/>
    <n v="25"/>
    <m/>
    <m/>
    <n v="25"/>
    <n v="1.07"/>
    <n v="4201"/>
    <n v="221"/>
  </r>
  <r>
    <x v="1058"/>
    <n v="461305"/>
    <s v="UT"/>
    <s v="UT - Beaver"/>
    <n v="84751"/>
    <s v="Milford Valley Memorial Hospital"/>
    <s v="Critical Access Hospital"/>
    <s v="Milford"/>
    <n v="1"/>
    <n v="3.3"/>
    <n v="3"/>
    <n v="5"/>
    <m/>
    <m/>
    <n v="5"/>
    <n v="0.91"/>
    <n v="6375"/>
    <n v="23"/>
  </r>
  <r>
    <x v="1059"/>
    <n v="461333"/>
    <s v="UT"/>
    <s v="UT - Garfield"/>
    <n v="84759"/>
    <s v="Garfield Memorial Hospital"/>
    <s v="Critical Access Hospital"/>
    <s v="Panguitch"/>
    <n v="2.9"/>
    <n v="2.7"/>
    <n v="9"/>
    <n v="15"/>
    <m/>
    <m/>
    <n v="15"/>
    <n v="0.92"/>
    <n v="4210"/>
    <n v="265"/>
  </r>
  <r>
    <x v="1060"/>
    <n v="461302"/>
    <s v="UT"/>
    <s v="UT - Grand"/>
    <n v="84532"/>
    <s v="Moab Regional Hospital"/>
    <s v="Critical Access Hospital"/>
    <s v="Moab"/>
    <n v="6"/>
    <n v="2.8"/>
    <n v="40"/>
    <n v="17"/>
    <m/>
    <m/>
    <n v="17"/>
    <n v="1.25"/>
    <n v="5718"/>
    <n v="416"/>
  </r>
  <r>
    <x v="1061"/>
    <n v="461304"/>
    <s v="UT"/>
    <s v="UT - Juab"/>
    <n v="84648"/>
    <s v="Central Valley Medical Center - CAH"/>
    <s v="Critical Access Hospital"/>
    <s v="Nephi"/>
    <n v="10"/>
    <n v="3.5"/>
    <n v="34"/>
    <n v="25"/>
    <m/>
    <n v="0.38"/>
    <n v="25"/>
    <n v="1.21"/>
    <n v="4212"/>
    <n v="772"/>
  </r>
  <r>
    <x v="1062"/>
    <n v="461309"/>
    <s v="UT"/>
    <s v="UT - Kane"/>
    <n v="84741"/>
    <s v="Kane County Hospital"/>
    <s v="Critical Access Hospital"/>
    <s v="Kanab"/>
    <n v="13.5"/>
    <n v="3.6"/>
    <n v="12"/>
    <n v="25"/>
    <m/>
    <m/>
    <n v="25"/>
    <n v="1.08"/>
    <n v="4849"/>
    <n v="156"/>
  </r>
  <r>
    <x v="1063"/>
    <n v="461300"/>
    <s v="UT"/>
    <s v="UT - Millard"/>
    <n v="84624"/>
    <s v="Delta Community Hospital (FKA Delta Community Medical Center)"/>
    <s v="Critical Access Hospital"/>
    <s v="Delta"/>
    <n v="2.7"/>
    <n v="2.9"/>
    <n v="9"/>
    <n v="18"/>
    <m/>
    <m/>
    <n v="18"/>
    <n v="1.01"/>
    <n v="4213"/>
    <n v="245"/>
  </r>
  <r>
    <x v="1063"/>
    <n v="461301"/>
    <s v="UT"/>
    <s v="UT - Millard"/>
    <n v="84631"/>
    <s v="Fillmore Community Hospital (FKA Fillmore Community Medical Center)"/>
    <s v="Critical Access Hospital"/>
    <s v="Fillmore"/>
    <n v="11.4"/>
    <n v="3.1"/>
    <n v="6"/>
    <n v="19"/>
    <m/>
    <m/>
    <n v="19"/>
    <n v="1.06"/>
    <n v="4214"/>
    <n v="141"/>
  </r>
  <r>
    <x v="1064"/>
    <n v="461310"/>
    <s v="UT"/>
    <s v="UT - San Juan"/>
    <n v="84511"/>
    <s v="Blue Mountain Hospital"/>
    <s v="Critical Access Hospital"/>
    <s v="Blanding"/>
    <n v="3.3"/>
    <n v="2.7"/>
    <n v="17"/>
    <n v="11"/>
    <m/>
    <m/>
    <n v="11"/>
    <n v="1.2"/>
    <n v="4226"/>
    <n v="388"/>
  </r>
  <r>
    <x v="1064"/>
    <n v="461308"/>
    <s v="UT"/>
    <s v="UT - San Juan"/>
    <n v="84535"/>
    <s v="San Juan Hospital"/>
    <s v="Critical Access Hospital"/>
    <s v="Monticello"/>
    <n v="2.2000000000000002"/>
    <n v="2"/>
    <n v="16"/>
    <n v="21"/>
    <n v="1"/>
    <m/>
    <n v="21"/>
    <n v="1.34"/>
    <n v="4227"/>
    <n v="277"/>
  </r>
  <r>
    <x v="1065"/>
    <n v="461303"/>
    <s v="UT"/>
    <s v="UT - Sanpete"/>
    <n v="84647"/>
    <s v="Sanpete Valley Hospital"/>
    <s v="Critical Access Hospital"/>
    <s v="Mount Pleasant"/>
    <n v="3.9"/>
    <n v="2.2000000000000002"/>
    <n v="27"/>
    <n v="18"/>
    <m/>
    <m/>
    <n v="18"/>
    <n v="1.0900000000000001"/>
    <n v="4228"/>
    <n v="380"/>
  </r>
  <r>
    <x v="1065"/>
    <n v="461306"/>
    <s v="UT"/>
    <s v="UT - Sanpete"/>
    <n v="84634"/>
    <s v="Gunnison Valley Hospital"/>
    <s v="Critical Access Hospital"/>
    <s v="Gunnison"/>
    <n v="8.6"/>
    <n v="2.8"/>
    <n v="31"/>
    <n v="25"/>
    <m/>
    <m/>
    <n v="25"/>
    <n v="1.21"/>
    <n v="4229"/>
    <n v="706"/>
  </r>
  <r>
    <x v="1066"/>
    <n v="461307"/>
    <s v="UT"/>
    <s v="UT - Wasatch"/>
    <n v="84032"/>
    <s v="Heber Valley Hospital (FKA Heber Valley Medical Center)"/>
    <s v="Critical Access Hospital"/>
    <s v="Heber City"/>
    <n v="4.2"/>
    <n v="2"/>
    <n v="44"/>
    <n v="19"/>
    <m/>
    <n v="0.63"/>
    <n v="19"/>
    <n v="1.27"/>
    <n v="4239"/>
    <n v="587"/>
  </r>
  <r>
    <x v="1067"/>
    <n v="471307"/>
    <s v="VT"/>
    <s v="VT - Addison"/>
    <s v="05753"/>
    <s v="Porter Medical Center"/>
    <s v="Critical Access Hospital"/>
    <s v="Middlebury"/>
    <n v="14.8"/>
    <n v="3.2"/>
    <n v="119"/>
    <n v="25"/>
    <m/>
    <m/>
    <n v="25"/>
    <n v="1.25"/>
    <n v="4243"/>
    <n v="1575"/>
  </r>
  <r>
    <x v="1068"/>
    <n v="471303"/>
    <s v="VT"/>
    <s v="VT - Caledonia"/>
    <s v="05819"/>
    <s v="Northeastern Vermont Regional Hospital"/>
    <s v="Critical Access Hospital"/>
    <s v="St Johnsbury"/>
    <n v="17.8"/>
    <n v="3.6"/>
    <n v="114"/>
    <n v="25"/>
    <n v="4"/>
    <m/>
    <n v="25"/>
    <n v="1.3"/>
    <n v="4245"/>
    <n v="1794"/>
  </r>
  <r>
    <x v="1069"/>
    <n v="471305"/>
    <s v="VT"/>
    <s v="VT - Lamoille"/>
    <s v="05661"/>
    <s v="Copley Hospital"/>
    <s v="Critical Access Hospital"/>
    <s v="Morrisville"/>
    <n v="13.1"/>
    <n v="2.8"/>
    <n v="88"/>
    <n v="25"/>
    <m/>
    <m/>
    <n v="25"/>
    <n v="1.4"/>
    <n v="4248"/>
    <n v="1696"/>
  </r>
  <r>
    <x v="1070"/>
    <n v="471301"/>
    <s v="VT"/>
    <s v="VT - Orange"/>
    <s v="05060"/>
    <s v="Gifford Medical Center"/>
    <s v="Critical Access Hospital"/>
    <s v="Randolph"/>
    <n v="12.8"/>
    <n v="3.1"/>
    <n v="88"/>
    <n v="25"/>
    <n v="2"/>
    <n v="0.54"/>
    <n v="25"/>
    <n v="1.07"/>
    <n v="4249"/>
    <n v="1148"/>
  </r>
  <r>
    <x v="1071"/>
    <n v="471304"/>
    <s v="VT"/>
    <s v="VT - Orleans"/>
    <s v="05855"/>
    <s v="North Country Hospital and Health Center"/>
    <s v="Critical Access Hospital"/>
    <s v="Newport"/>
    <n v="15.2"/>
    <n v="3.4"/>
    <n v="57"/>
    <n v="25"/>
    <n v="5"/>
    <m/>
    <n v="25"/>
    <n v="1.1200000000000001"/>
    <n v="4250"/>
    <n v="1372"/>
  </r>
  <r>
    <x v="1072"/>
    <n v="471300"/>
    <s v="VT"/>
    <s v="VT - Windham"/>
    <s v="05353"/>
    <s v="Grace Cottage Hospital"/>
    <s v="Critical Access Hospital"/>
    <s v="Townshend"/>
    <n v="10.8"/>
    <n v="2.8"/>
    <n v="27"/>
    <n v="19"/>
    <m/>
    <m/>
    <n v="19"/>
    <n v="0.91"/>
    <n v="4254"/>
    <n v="122"/>
  </r>
  <r>
    <x v="1073"/>
    <n v="471302"/>
    <s v="VT"/>
    <s v="VT - Windsor"/>
    <s v="05089"/>
    <s v="Mt Ascutney Hospital and Health Center"/>
    <s v="Critical Access Hospital"/>
    <s v="Windsor"/>
    <n v="19.600000000000001"/>
    <n v="3.4"/>
    <n v="52"/>
    <n v="25"/>
    <m/>
    <n v="0.54"/>
    <n v="25"/>
    <n v="1.04"/>
    <n v="4256"/>
    <n v="415"/>
  </r>
  <r>
    <x v="1073"/>
    <n v="471306"/>
    <s v="VT"/>
    <s v="VT - Windsor"/>
    <s v="05156"/>
    <s v="Springfield Hospital"/>
    <s v="Critical Access Hospital"/>
    <s v="Springfield"/>
    <n v="15.7"/>
    <n v="3.6"/>
    <n v="114"/>
    <n v="25"/>
    <m/>
    <n v="0.54"/>
    <n v="25"/>
    <n v="1.0900000000000001"/>
    <n v="4257"/>
    <n v="1606"/>
  </r>
  <r>
    <x v="1074"/>
    <n v="491300"/>
    <s v="VA"/>
    <s v="VA - Bath"/>
    <n v="24445"/>
    <s v="Bath Community Hospital"/>
    <s v="Critical Access Hospital"/>
    <s v="Hot Springs"/>
    <n v="5.2"/>
    <n v="3.6"/>
    <n v="21"/>
    <n v="14"/>
    <m/>
    <m/>
    <n v="14"/>
    <n v="0.96"/>
    <n v="4262"/>
    <n v="266"/>
  </r>
  <r>
    <x v="1075"/>
    <n v="491303"/>
    <s v="VA"/>
    <s v="VA - Dickenson"/>
    <n v="24228"/>
    <s v="Dickenson Community Hospital"/>
    <s v="Critical Access Hospital"/>
    <s v="Clintwood"/>
    <n v="0.2"/>
    <n v="2.1"/>
    <n v="18"/>
    <n v="2"/>
    <m/>
    <m/>
    <n v="2"/>
    <n v="1.1599999999999999"/>
    <n v="4267"/>
    <n v="18"/>
  </r>
  <r>
    <x v="1076"/>
    <n v="491302"/>
    <s v="VA"/>
    <s v="VA - Giles"/>
    <n v="24134"/>
    <s v="Carilion Giles Community Hospital"/>
    <s v="Critical Access Hospital"/>
    <s v="Pearisburg"/>
    <n v="12.2"/>
    <n v="3.6"/>
    <n v="39"/>
    <n v="25"/>
    <m/>
    <n v="0.39"/>
    <n v="25"/>
    <n v="1.32"/>
    <n v="4275"/>
    <n v="818"/>
  </r>
  <r>
    <x v="1077"/>
    <n v="491308"/>
    <s v="VA"/>
    <s v="VA - Lancaster"/>
    <n v="22482"/>
    <s v="Rappahannock General Hospital"/>
    <s v="Critical Access Hospital"/>
    <s v="Kilmarnock"/>
    <n v="9.6"/>
    <n v="3.2"/>
    <n v="58"/>
    <n v="25"/>
    <m/>
    <m/>
    <n v="25"/>
    <n v="1.18"/>
    <n v="4283"/>
    <n v="756"/>
  </r>
  <r>
    <x v="1078"/>
    <n v="491307"/>
    <s v="VA"/>
    <s v="VA - Page"/>
    <n v="22835"/>
    <s v="Page Memorial Hospital"/>
    <s v="Critical Access Hospital"/>
    <s v="Luray"/>
    <n v="10.1"/>
    <n v="2.2000000000000002"/>
    <n v="33"/>
    <n v="25"/>
    <m/>
    <m/>
    <n v="25"/>
    <n v="1.0900000000000001"/>
    <n v="4291"/>
    <n v="466"/>
  </r>
  <r>
    <x v="1079"/>
    <s v="491306 (Closed)"/>
    <s v="VA"/>
    <s v="VA - Patrick"/>
    <n v="24171"/>
    <s v="Pioneer Community Hospital of Patrick (Closed)"/>
    <s v="Critical Access Hospital"/>
    <s v="Stuart"/>
    <n v="8.1999999999999993"/>
    <n v="2.8"/>
    <m/>
    <m/>
    <m/>
    <m/>
    <m/>
    <m/>
    <n v="4292"/>
    <n v="327"/>
  </r>
  <r>
    <x v="1080"/>
    <n v="491305"/>
    <s v="VA"/>
    <s v="VA - Shenandoah"/>
    <n v="22664"/>
    <s v="Shenandoah Memorial Hospital"/>
    <s v="Critical Access Hospital"/>
    <s v="Woodstock"/>
    <n v="13.8"/>
    <n v="2.2999999999999998"/>
    <n v="70"/>
    <n v="25"/>
    <m/>
    <m/>
    <n v="25"/>
    <n v="1.24"/>
    <n v="4298"/>
    <n v="1449"/>
  </r>
  <r>
    <x v="1081"/>
    <n v="491304"/>
    <s v="VA"/>
    <s v="VA - Lexington City"/>
    <n v="24450"/>
    <s v="Carilion Stonewall Jackson Hospital"/>
    <s v="Critical Access Hospital"/>
    <s v="Lexington"/>
    <n v="11.6"/>
    <n v="3.6"/>
    <n v="62"/>
    <n v="25"/>
    <m/>
    <m/>
    <n v="25"/>
    <n v="1.24"/>
    <n v="4321"/>
    <n v="1167"/>
  </r>
  <r>
    <x v="1082"/>
    <n v="501318"/>
    <s v="WA"/>
    <s v="WA - Adams"/>
    <n v="99344"/>
    <s v="Othello Community Hospital"/>
    <s v="Critical Access Hospital"/>
    <s v="Othello"/>
    <n v="2.6"/>
    <n v="3.2"/>
    <n v="23"/>
    <n v="16"/>
    <m/>
    <n v="0.54"/>
    <n v="16"/>
    <n v="0.95"/>
    <n v="4346"/>
    <n v="598"/>
  </r>
  <r>
    <x v="1082"/>
    <n v="501311"/>
    <s v="WA"/>
    <s v="WA - Adams"/>
    <n v="99169"/>
    <s v="East Adams Rural Hospital"/>
    <s v="Critical Access Hospital"/>
    <s v="Ritzville"/>
    <n v="5.0999999999999996"/>
    <n v="3.2"/>
    <n v="10"/>
    <n v="12"/>
    <m/>
    <n v="0.54"/>
    <n v="12"/>
    <n v="0.97"/>
    <n v="5620"/>
    <n v="33"/>
  </r>
  <r>
    <x v="1083"/>
    <n v="501332"/>
    <s v="WA"/>
    <s v="WA - Asotin"/>
    <n v="99403"/>
    <s v="Tri-State Memorial Hospital"/>
    <s v="Critical Access Hospital"/>
    <s v="Clarkston"/>
    <n v="12.2"/>
    <n v="3.4"/>
    <n v="102"/>
    <n v="25"/>
    <m/>
    <n v="0.56000000000000005"/>
    <n v="25"/>
    <n v="1.79"/>
    <n v="4347"/>
    <n v="1267"/>
  </r>
  <r>
    <x v="1084"/>
    <n v="501312"/>
    <s v="WA"/>
    <s v="WA - Benton"/>
    <n v="99350"/>
    <s v="Prosser Memorial Health"/>
    <s v="Critical Access Hospital"/>
    <s v="Prosser"/>
    <n v="10.9"/>
    <n v="2.6"/>
    <n v="69"/>
    <n v="25"/>
    <m/>
    <n v="0.49"/>
    <n v="25"/>
    <n v="1.18"/>
    <n v="4348"/>
    <n v="876"/>
  </r>
  <r>
    <x v="1085"/>
    <n v="501334"/>
    <s v="WA"/>
    <s v="WA - Chelan"/>
    <n v="98816"/>
    <s v="Lake Chelan Community Hospital"/>
    <s v="Critical Access Hospital"/>
    <s v="Chelan"/>
    <n v="16.899999999999999"/>
    <n v="2.6"/>
    <n v="34"/>
    <n v="25"/>
    <m/>
    <n v="0.45"/>
    <n v="25"/>
    <n v="0.89"/>
    <n v="4353"/>
    <n v="505"/>
  </r>
  <r>
    <x v="1085"/>
    <n v="501313"/>
    <s v="WA"/>
    <s v="WA - Chelan"/>
    <n v="98826"/>
    <s v="Cascade Medical Center"/>
    <s v="Critical Access Hospital"/>
    <s v="Leavenworth"/>
    <n v="5"/>
    <n v="2.8"/>
    <n v="18"/>
    <n v="9"/>
    <m/>
    <n v="0.45"/>
    <n v="9"/>
    <n v="0.85"/>
    <n v="5621"/>
    <n v="70"/>
  </r>
  <r>
    <x v="1086"/>
    <n v="501325"/>
    <s v="WA"/>
    <s v="WA - Clallam"/>
    <n v="98331"/>
    <s v="Forks Community Hospital"/>
    <s v="Critical Access Hospital"/>
    <s v="Forks"/>
    <n v="12"/>
    <n v="3.1"/>
    <n v="41"/>
    <n v="25"/>
    <m/>
    <n v="0.79"/>
    <n v="25"/>
    <n v="1.08"/>
    <n v="6337"/>
    <n v="204"/>
  </r>
  <r>
    <x v="1087"/>
    <n v="501302"/>
    <s v="WA"/>
    <s v="WA - Columbia"/>
    <n v="99328"/>
    <s v="Dayton General Hospital (AKA Columbia County Health System)"/>
    <s v="Critical Access Hospital"/>
    <s v="Dayton"/>
    <n v="18.3"/>
    <n v="2.5"/>
    <n v="22"/>
    <n v="25"/>
    <m/>
    <m/>
    <n v="25"/>
    <n v="0.95"/>
    <n v="5618"/>
    <n v="138"/>
  </r>
  <r>
    <x v="1088"/>
    <n v="501322"/>
    <s v="WA"/>
    <s v="WA - Ferry"/>
    <n v="99166"/>
    <s v="Ferry County Public Hospital"/>
    <s v="Critical Access Hospital"/>
    <s v="Republic"/>
    <n v="15.7"/>
    <n v="2.8"/>
    <n v="20"/>
    <n v="25"/>
    <m/>
    <m/>
    <n v="25"/>
    <n v="1.04"/>
    <n v="5746"/>
    <n v="68"/>
  </r>
  <r>
    <x v="1089"/>
    <n v="501337"/>
    <s v="WA"/>
    <s v="WA - Franklin"/>
    <n v="99301"/>
    <s v="Lourdes Medical Center (FKA Lourdes Health)"/>
    <s v="Critical Access Hospital"/>
    <s v="Pasco"/>
    <n v="16.2"/>
    <n v="2.2000000000000002"/>
    <n v="105"/>
    <n v="25"/>
    <m/>
    <n v="0.49"/>
    <n v="25"/>
    <n v="1.67"/>
    <n v="4358"/>
    <n v="2279"/>
  </r>
  <r>
    <x v="1090"/>
    <n v="501301"/>
    <s v="WA"/>
    <s v="WA - Garfield"/>
    <n v="99347"/>
    <s v="Garfield County Public Hospital (AKA Garfield Country Hospital District)"/>
    <s v="Critical Access Hospital"/>
    <s v="Pomeroy"/>
    <n v="16.2"/>
    <n v="1.6"/>
    <n v="1"/>
    <n v="25"/>
    <m/>
    <m/>
    <n v="25"/>
    <n v="0.87"/>
    <n v="6023"/>
    <n v="25"/>
  </r>
  <r>
    <x v="1091"/>
    <n v="501308"/>
    <s v="WA"/>
    <s v="WA - Grant"/>
    <n v="99133"/>
    <s v="Coulee Medical Center (FKA Coulee Community Hospital)"/>
    <s v="Critical Access Hospital"/>
    <s v="Grand Coulee"/>
    <n v="16.2"/>
    <n v="2.8"/>
    <n v="35"/>
    <n v="25"/>
    <m/>
    <n v="0.45"/>
    <n v="25"/>
    <n v="1.01"/>
    <n v="4359"/>
    <n v="427"/>
  </r>
  <r>
    <x v="1091"/>
    <n v="501320"/>
    <s v="WA"/>
    <s v="WA - Grant"/>
    <n v="98848"/>
    <s v="Quincy Valley Medical Center"/>
    <s v="Critical Access Hospital"/>
    <s v="Quincy"/>
    <n v="0.1"/>
    <n v="1.5"/>
    <n v="10"/>
    <n v="25"/>
    <m/>
    <n v="0.45"/>
    <n v="25"/>
    <n v="0.87"/>
    <n v="5342"/>
    <n v="16"/>
  </r>
  <r>
    <x v="1091"/>
    <n v="501317"/>
    <s v="WA"/>
    <s v="WA - Grant"/>
    <n v="98823"/>
    <s v="Columbia Basin Hospital"/>
    <s v="Critical Access Hospital"/>
    <s v="Ephrata"/>
    <n v="15"/>
    <n v="2.6"/>
    <n v="23"/>
    <n v="25"/>
    <m/>
    <n v="0.45"/>
    <n v="25"/>
    <n v="0.97"/>
    <n v="5930"/>
    <n v="173"/>
  </r>
  <r>
    <x v="1092"/>
    <n v="501304"/>
    <s v="WA"/>
    <s v="WA - Grays Harbor"/>
    <n v="98541"/>
    <s v="Summit Pacific Medical Center (FKA Mark Reed Hospital)"/>
    <s v="Critical Access Hospital"/>
    <s v="Elma"/>
    <n v="3.8"/>
    <n v="2.8"/>
    <n v="96"/>
    <n v="10"/>
    <m/>
    <n v="0.69"/>
    <n v="10"/>
    <n v="1"/>
    <n v="4362"/>
    <n v="303"/>
  </r>
  <r>
    <x v="1093"/>
    <n v="501339"/>
    <s v="WA"/>
    <s v="WA - Island"/>
    <n v="98239"/>
    <s v="WhidbeyHealth Medical Center"/>
    <s v="Critical Access Hospital"/>
    <s v="Coupeville"/>
    <n v="14.8"/>
    <n v="2.8"/>
    <n v="143"/>
    <n v="25"/>
    <n v="6"/>
    <n v="1"/>
    <n v="25"/>
    <n v="1.29"/>
    <n v="4363"/>
    <n v="1920"/>
  </r>
  <r>
    <x v="1094"/>
    <n v="501323"/>
    <s v="WA"/>
    <s v="WA - Jefferson"/>
    <n v="98368"/>
    <s v="Jefferson Healthcare Hospital"/>
    <s v="Critical Access Hospital"/>
    <s v="Port Townsend"/>
    <n v="12.1"/>
    <n v="3.1"/>
    <n v="117"/>
    <n v="25"/>
    <n v="6"/>
    <m/>
    <n v="25"/>
    <n v="1.29"/>
    <n v="4364"/>
    <n v="1405"/>
  </r>
  <r>
    <x v="1095"/>
    <n v="501335"/>
    <s v="WA"/>
    <s v="WA - King"/>
    <n v="98022"/>
    <s v="St Elizabeth Hospital"/>
    <s v="Critical Access Hospital"/>
    <s v="Enumclaw"/>
    <n v="13.9"/>
    <n v="3.8"/>
    <n v="62"/>
    <n v="25"/>
    <m/>
    <n v="0.06"/>
    <n v="25"/>
    <n v="1.41"/>
    <n v="4365"/>
    <n v="1250"/>
  </r>
  <r>
    <x v="1095"/>
    <n v="501338"/>
    <s v="WA"/>
    <s v="WA - King"/>
    <n v="98065"/>
    <s v="Snoqualmie Valley Hospital"/>
    <s v="Critical Access Hospital"/>
    <s v="Snoqualmie"/>
    <n v="22.9"/>
    <n v="3.8"/>
    <n v="44"/>
    <n v="25"/>
    <m/>
    <n v="0.06"/>
    <n v="25"/>
    <n v="0.87"/>
    <n v="4367"/>
    <n v="39"/>
  </r>
  <r>
    <x v="1096"/>
    <n v="501333"/>
    <s v="WA"/>
    <s v="WA - Kittitas"/>
    <n v="98926"/>
    <s v="Kittitas Valley Healthcare (FKA Kittitas Valley Community Hospital)"/>
    <s v="Critical Access Hospital"/>
    <s v="Ellensburg"/>
    <n v="6.3"/>
    <n v="2.4"/>
    <n v="135"/>
    <n v="25"/>
    <n v="6"/>
    <n v="1"/>
    <n v="25"/>
    <n v="1.42"/>
    <n v="4383"/>
    <n v="956"/>
  </r>
  <r>
    <x v="1097"/>
    <n v="501316"/>
    <s v="WA"/>
    <s v="WA - Klickitat"/>
    <n v="98620"/>
    <s v="Klickitat Valley Hospital"/>
    <s v="Critical Access Hospital"/>
    <s v="Goldendale"/>
    <n v="2.5"/>
    <n v="2.8"/>
    <n v="33"/>
    <n v="14"/>
    <m/>
    <m/>
    <n v="14"/>
    <n v="1.18"/>
    <n v="4384"/>
    <n v="138"/>
  </r>
  <r>
    <x v="1097"/>
    <n v="501315"/>
    <s v="WA"/>
    <s v="WA - Klickitat"/>
    <n v="98672"/>
    <s v="Skyline Hospital"/>
    <s v="Critical Access Hospital"/>
    <s v="White Salmon"/>
    <n v="5.9"/>
    <n v="2.5"/>
    <n v="39"/>
    <n v="14"/>
    <m/>
    <m/>
    <n v="14"/>
    <n v="1.03"/>
    <n v="5404"/>
    <n v="217"/>
  </r>
  <r>
    <x v="1098"/>
    <n v="501319"/>
    <s v="WA"/>
    <s v="WA - Lewis"/>
    <n v="98356"/>
    <s v="Arbor Health Morton Hospital (FKA Morton General Hospital)"/>
    <s v="Critical Access Hospital"/>
    <s v="Morton"/>
    <n v="14.6"/>
    <n v="3.1"/>
    <n v="29"/>
    <n v="25"/>
    <m/>
    <n v="0.8"/>
    <n v="25"/>
    <n v="1.07"/>
    <n v="5598"/>
    <n v="183"/>
  </r>
  <r>
    <x v="1099"/>
    <n v="501305"/>
    <s v="WA"/>
    <s v="WA - Lincoln"/>
    <n v="99122"/>
    <s v="Lincoln Hospital"/>
    <s v="Critical Access Hospital"/>
    <s v="Davenport"/>
    <n v="14.6"/>
    <n v="4"/>
    <n v="26"/>
    <n v="25"/>
    <m/>
    <m/>
    <n v="25"/>
    <n v="0.98"/>
    <n v="4386"/>
    <n v="322"/>
  </r>
  <r>
    <x v="1099"/>
    <n v="501307"/>
    <s v="WA"/>
    <s v="WA - Lincoln"/>
    <n v="99159"/>
    <s v="Odessa Memorial Healthcare Center"/>
    <s v="Critical Access Hospital"/>
    <s v="Odessa"/>
    <n v="21.5"/>
    <n v="3"/>
    <n v="12"/>
    <n v="25"/>
    <m/>
    <m/>
    <n v="25"/>
    <n v="0.83"/>
    <n v="5619"/>
    <n v="9"/>
  </r>
  <r>
    <x v="1100"/>
    <n v="501336"/>
    <s v="WA"/>
    <s v="WA - Mason"/>
    <n v="98584"/>
    <s v="Mason General Hospital"/>
    <s v="Critical Access Hospital"/>
    <s v="Shelton"/>
    <n v="11.6"/>
    <n v="3.3"/>
    <n v="126"/>
    <n v="25"/>
    <n v="6"/>
    <n v="1"/>
    <n v="25"/>
    <n v="1.24"/>
    <n v="4387"/>
    <n v="1444"/>
  </r>
  <r>
    <x v="1101"/>
    <n v="501321"/>
    <s v="WA"/>
    <s v="WA - Okanogan"/>
    <n v="98855"/>
    <s v="North Valley Hospital"/>
    <s v="Critical Access Hospital"/>
    <s v="Tonasket"/>
    <n v="5.7"/>
    <n v="2.9"/>
    <n v="30"/>
    <n v="21"/>
    <m/>
    <m/>
    <n v="21"/>
    <n v="0.97"/>
    <n v="5664"/>
    <n v="326"/>
  </r>
  <r>
    <x v="1101"/>
    <n v="501328"/>
    <s v="WA"/>
    <s v="WA - Okanogan"/>
    <n v="98841"/>
    <s v="Mid-Valley Hospital"/>
    <s v="Critical Access Hospital"/>
    <s v="Omak"/>
    <n v="4.8"/>
    <n v="2.5"/>
    <n v="42"/>
    <n v="25"/>
    <m/>
    <m/>
    <n v="25"/>
    <n v="1.21"/>
    <n v="5907"/>
    <n v="690"/>
  </r>
  <r>
    <x v="1101"/>
    <n v="501324"/>
    <s v="WA"/>
    <s v="WA - Okanogan"/>
    <n v="98812"/>
    <s v="Three Rivers Hospital"/>
    <s v="Critical Access Hospital"/>
    <s v="Brewster"/>
    <n v="3.1"/>
    <n v="2.9"/>
    <n v="29"/>
    <n v="25"/>
    <m/>
    <m/>
    <n v="25"/>
    <n v="1.28"/>
    <n v="5920"/>
    <n v="260"/>
  </r>
  <r>
    <x v="1102"/>
    <n v="501314"/>
    <s v="WA"/>
    <s v="WA - Pacific"/>
    <n v="98624"/>
    <s v="Ocean Beach Hospital"/>
    <s v="Critical Access Hospital"/>
    <s v="Ilwaco"/>
    <n v="4.5"/>
    <n v="2.6"/>
    <n v="25"/>
    <n v="25"/>
    <m/>
    <m/>
    <n v="25"/>
    <n v="1.1399999999999999"/>
    <n v="4388"/>
    <n v="402"/>
  </r>
  <r>
    <x v="1102"/>
    <n v="501303"/>
    <s v="WA"/>
    <s v="WA - Pacific"/>
    <n v="98586"/>
    <s v="Willapa Harbor Hospital"/>
    <s v="Critical Access Hospital"/>
    <s v="South Bend"/>
    <n v="2"/>
    <n v="2.6"/>
    <n v="25"/>
    <n v="10"/>
    <m/>
    <m/>
    <n v="10"/>
    <n v="1.1100000000000001"/>
    <n v="5345"/>
    <n v="245"/>
  </r>
  <r>
    <x v="1103"/>
    <n v="501310"/>
    <s v="WA"/>
    <s v="WA - Pend Oreille"/>
    <n v="99156"/>
    <s v="Newport Hospital and Health Services"/>
    <s v="Critical Access Hospital"/>
    <s v="Newport"/>
    <n v="5.3"/>
    <n v="3"/>
    <n v="45"/>
    <n v="20"/>
    <m/>
    <m/>
    <n v="20"/>
    <n v="1.1000000000000001"/>
    <n v="6389"/>
    <n v="471"/>
  </r>
  <r>
    <x v="1104"/>
    <n v="501340"/>
    <s v="WA"/>
    <s v="WA - San Juan"/>
    <n v="98250"/>
    <s v="PeaceHealth Peace Island Medical Center"/>
    <s v="Critical Access Hospital"/>
    <s v="Friday Harbor"/>
    <n v="0.6"/>
    <n v="2.8"/>
    <n v="51"/>
    <n v="10"/>
    <m/>
    <m/>
    <n v="10"/>
    <n v="0.99"/>
    <n v="553345"/>
    <n v="82"/>
  </r>
  <r>
    <x v="1105"/>
    <n v="501329"/>
    <s v="WA"/>
    <s v="WA - Skagit"/>
    <n v="98284"/>
    <s v="PeaceHealth United General Medical Center"/>
    <s v="Critical Access Hospital"/>
    <s v="Sedro Woolley"/>
    <n v="8.8000000000000007"/>
    <n v="2.7"/>
    <n v="58"/>
    <n v="25"/>
    <m/>
    <n v="0.52"/>
    <n v="25"/>
    <n v="1.1299999999999999"/>
    <n v="4396"/>
    <n v="632"/>
  </r>
  <r>
    <x v="1106"/>
    <s v="501306 (Closed)"/>
    <s v="WA"/>
    <s v="WA - Spokane"/>
    <n v="99006"/>
    <s v="Deer Park HC &amp; Hospital (Closed March 2008)"/>
    <s v="Critical Access Hospital"/>
    <s v="Deer Park"/>
    <n v="4.4000000000000004"/>
    <n v="1.1000000000000001"/>
    <m/>
    <m/>
    <m/>
    <n v="0.38"/>
    <m/>
    <m/>
    <n v="5867"/>
    <n v="69"/>
  </r>
  <r>
    <x v="1107"/>
    <n v="501326"/>
    <s v="WA"/>
    <s v="WA - Stevens"/>
    <n v="99114"/>
    <s v="Providence Mount Carmel Hospital"/>
    <s v="Critical Access Hospital"/>
    <s v="Colville"/>
    <n v="13.3"/>
    <n v="3.4"/>
    <n v="93"/>
    <n v="25"/>
    <m/>
    <n v="0.38"/>
    <n v="25"/>
    <n v="1.36"/>
    <n v="4406"/>
    <n v="946"/>
  </r>
  <r>
    <x v="1107"/>
    <n v="501309"/>
    <s v="WA"/>
    <s v="WA - Stevens"/>
    <n v="99109"/>
    <s v="Providence St Josephs Hospital"/>
    <s v="Critical Access Hospital"/>
    <s v="Chewelah"/>
    <n v="8.6"/>
    <n v="3.5"/>
    <n v="26"/>
    <n v="23"/>
    <m/>
    <n v="0.38"/>
    <n v="23"/>
    <n v="1.08"/>
    <n v="4407"/>
    <n v="312"/>
  </r>
  <r>
    <x v="1108"/>
    <n v="501331"/>
    <s v="WA"/>
    <s v="WA - Whitman"/>
    <n v="99163"/>
    <s v="Pullman Regional Hospital"/>
    <s v="Critical Access Hospital"/>
    <s v="Pullman"/>
    <n v="9.5"/>
    <n v="2.7"/>
    <n v="106"/>
    <n v="25"/>
    <n v="6"/>
    <n v="0.57999999999999996"/>
    <n v="25"/>
    <n v="1.52"/>
    <n v="4414"/>
    <n v="1269"/>
  </r>
  <r>
    <x v="1108"/>
    <n v="501327"/>
    <s v="WA"/>
    <s v="WA - Whitman"/>
    <n v="99111"/>
    <s v="Whitman Hospital &amp; Medical Center"/>
    <s v="Critical Access Hospital"/>
    <s v="Colfax"/>
    <n v="8"/>
    <n v="3.7"/>
    <n v="48"/>
    <n v="25"/>
    <m/>
    <n v="0.57999999999999996"/>
    <n v="25"/>
    <n v="1.24"/>
    <n v="5773"/>
    <n v="506"/>
  </r>
  <r>
    <x v="1109"/>
    <n v="501330"/>
    <s v="WA"/>
    <s v="WA - Yakima"/>
    <n v="98944"/>
    <s v="Astria Sunnyside Hospital (FKA Sunnyside Community Hospital &amp; Clinics)"/>
    <s v="Critical Access Hospital"/>
    <s v="Sunnyside"/>
    <n v="14.5"/>
    <n v="3.4"/>
    <n v="131"/>
    <n v="25"/>
    <n v="7"/>
    <n v="0.43"/>
    <n v="25"/>
    <n v="1.42"/>
    <n v="4415"/>
    <n v="1963"/>
  </r>
  <r>
    <x v="1110"/>
    <n v="511300"/>
    <s v="WV"/>
    <s v="WV - Barbour"/>
    <n v="26416"/>
    <s v="Broaddus Hospital"/>
    <s v="Critical Access Hospital"/>
    <s v="Philippi"/>
    <n v="5.5"/>
    <n v="3"/>
    <n v="24"/>
    <n v="12"/>
    <m/>
    <m/>
    <n v="12"/>
    <n v="0.93"/>
    <n v="4419"/>
    <n v="33"/>
  </r>
  <r>
    <x v="1111"/>
    <n v="511313"/>
    <s v="WV"/>
    <s v="WV - Boone"/>
    <n v="25130"/>
    <s v="Boone Memorial Hospital"/>
    <s v="Critical Access Hospital"/>
    <s v="Madison"/>
    <n v="11"/>
    <n v="3.9"/>
    <n v="55"/>
    <n v="25"/>
    <m/>
    <n v="0.59"/>
    <n v="25"/>
    <n v="1.04"/>
    <n v="4421"/>
    <n v="565"/>
  </r>
  <r>
    <x v="1112"/>
    <n v="511308"/>
    <s v="WV"/>
    <s v="WV - Braxton"/>
    <n v="26624"/>
    <s v="Braxton County Memorial Hospital"/>
    <s v="Critical Access Hospital"/>
    <s v="Gassaway"/>
    <n v="2"/>
    <n v="4.0999999999999996"/>
    <n v="13"/>
    <n v="25"/>
    <m/>
    <m/>
    <n v="25"/>
    <n v="1.34"/>
    <n v="4422"/>
    <n v="183"/>
  </r>
  <r>
    <x v="1113"/>
    <n v="511303"/>
    <s v="WV"/>
    <s v="WV - Calhoun"/>
    <n v="26147"/>
    <s v="Minnie Hamilton Health Care Center CAH (AKA Minnie Hamilton Health System)"/>
    <s v="Critical Access Hospital"/>
    <s v="Grantsville"/>
    <n v="4"/>
    <n v="3.8"/>
    <n v="22"/>
    <n v="25"/>
    <m/>
    <m/>
    <n v="25"/>
    <n v="0.92"/>
    <n v="4425"/>
    <n v="191"/>
  </r>
  <r>
    <x v="1114"/>
    <n v="511317"/>
    <s v="WV"/>
    <s v="WV - Fayette"/>
    <n v="25901"/>
    <s v="Plateau Medical Center"/>
    <s v="Critical Access Hospital"/>
    <s v="Oak Hill"/>
    <n v="11.5"/>
    <n v="4.5"/>
    <n v="44"/>
    <n v="25"/>
    <n v="3"/>
    <n v="0.39"/>
    <n v="25"/>
    <n v="1.33"/>
    <n v="4426"/>
    <n v="930"/>
  </r>
  <r>
    <x v="1114"/>
    <n v="511318"/>
    <s v="WV"/>
    <s v="WV - Fayette"/>
    <n v="25136"/>
    <s v="Montgomery General Hospital"/>
    <s v="Critical Access Hospital"/>
    <s v="Montgomery"/>
    <n v="8.1999999999999993"/>
    <n v="3.3"/>
    <n v="25"/>
    <n v="25"/>
    <m/>
    <n v="0.39"/>
    <n v="25"/>
    <n v="0.94"/>
    <n v="4427"/>
    <n v="165"/>
  </r>
  <r>
    <x v="1115"/>
    <n v="511316"/>
    <s v="WV"/>
    <s v="WV - Grant"/>
    <n v="26847"/>
    <s v="Grant Memorial Hospital"/>
    <s v="Critical Access Hospital"/>
    <s v="Petersburg"/>
    <n v="14.2"/>
    <n v="3.3"/>
    <n v="48"/>
    <n v="25"/>
    <n v="3"/>
    <m/>
    <n v="25"/>
    <n v="1.1000000000000001"/>
    <n v="4852"/>
    <n v="1183"/>
  </r>
  <r>
    <x v="1116"/>
    <n v="511311"/>
    <s v="WV"/>
    <s v="WV - Hampshire"/>
    <n v="26757"/>
    <s v="Hampshire Memorial Hospital"/>
    <s v="Critical Access Hospital"/>
    <s v="Romney"/>
    <n v="6.2"/>
    <n v="1.9"/>
    <n v="31"/>
    <n v="14"/>
    <m/>
    <n v="0.92"/>
    <n v="14"/>
    <n v="1.02"/>
    <n v="4430"/>
    <n v="281"/>
  </r>
  <r>
    <x v="1117"/>
    <n v="511320"/>
    <s v="WV"/>
    <s v="WV - Jackson"/>
    <n v="25271"/>
    <s v="Jackson General Hospital"/>
    <s v="Critical Access Hospital"/>
    <s v="Ripley"/>
    <n v="8.1999999999999993"/>
    <n v="3.8"/>
    <n v="51"/>
    <n v="25"/>
    <m/>
    <n v="0.59"/>
    <n v="25"/>
    <n v="1.08"/>
    <n v="4434"/>
    <n v="416"/>
  </r>
  <r>
    <x v="1118"/>
    <n v="511319"/>
    <s v="WV"/>
    <s v="WV - Jefferson"/>
    <n v="25438"/>
    <s v="Jefferson Medical Center (FKA Jefferson Memorial Hospital)"/>
    <s v="Critical Access Hospital"/>
    <s v="Ranson"/>
    <n v="10.4"/>
    <n v="2.8"/>
    <n v="114"/>
    <n v="25"/>
    <n v="5"/>
    <n v="0.05"/>
    <n v="25"/>
    <n v="1.24"/>
    <n v="4435"/>
    <n v="1358"/>
  </r>
  <r>
    <x v="1119"/>
    <n v="511315"/>
    <s v="WV"/>
    <s v="WV - Mineral"/>
    <n v="26726"/>
    <s v="Potomac Valley Hospital"/>
    <s v="Critical Access Hospital"/>
    <s v="Keyser"/>
    <n v="6"/>
    <n v="3.3"/>
    <n v="41"/>
    <n v="25"/>
    <n v="4"/>
    <n v="0.87"/>
    <n v="25"/>
    <n v="1.0900000000000001"/>
    <n v="4448"/>
    <n v="550"/>
  </r>
  <r>
    <x v="1120"/>
    <n v="511309"/>
    <s v="WV"/>
    <s v="WV - Morgan"/>
    <n v="25411"/>
    <s v="War Memorial Hospital"/>
    <s v="Critical Access Hospital"/>
    <s v="Berkeley Springs"/>
    <n v="8.6"/>
    <n v="2.1"/>
    <n v="38"/>
    <n v="25"/>
    <m/>
    <n v="0.48"/>
    <n v="25"/>
    <n v="0.98"/>
    <n v="4452"/>
    <n v="336"/>
  </r>
  <r>
    <x v="1121"/>
    <m/>
    <s v="WV"/>
    <s v="WV - Nicholas"/>
    <n v="26651"/>
    <s v="Summersville Regional Medical Center"/>
    <s v="Critical Access Hospital"/>
    <s v="Summersville"/>
    <n v="24.7"/>
    <n v="6"/>
    <n v="74"/>
    <n v="49"/>
    <n v="6"/>
    <m/>
    <n v="49"/>
    <n v="1.21"/>
    <n v="4453"/>
    <n v="1152"/>
  </r>
  <r>
    <x v="1121"/>
    <s v="511305 (Closed)"/>
    <s v="WV"/>
    <s v="WV - Nicholas"/>
    <n v="26261"/>
    <s v="Richwood Area Community Hospital (Closed June 2008)"/>
    <s v="Critical Access Hospital"/>
    <s v="Richwood"/>
    <n v="2.4"/>
    <n v="0.9"/>
    <m/>
    <m/>
    <m/>
    <m/>
    <m/>
    <m/>
    <n v="5475"/>
    <n v="189"/>
  </r>
  <r>
    <x v="1122"/>
    <n v="511314"/>
    <s v="WV"/>
    <s v="WV - Pocahontas"/>
    <n v="24924"/>
    <s v="Pocahontas Memorial Hospital"/>
    <s v="Critical Access Hospital"/>
    <s v="Buckeye"/>
    <n v="4.0999999999999996"/>
    <n v="2.8"/>
    <n v="19"/>
    <n v="25"/>
    <m/>
    <m/>
    <n v="25"/>
    <n v="1"/>
    <n v="4456"/>
    <n v="190"/>
  </r>
  <r>
    <x v="1123"/>
    <n v="511312"/>
    <s v="WV"/>
    <s v="WV - Preston"/>
    <n v="26537"/>
    <s v="Preston Memorial Hospital"/>
    <s v="Critical Access Hospital"/>
    <s v="Kingwood"/>
    <n v="9.1"/>
    <n v="3.1"/>
    <n v="52"/>
    <n v="25"/>
    <m/>
    <n v="0.64"/>
    <n v="25"/>
    <n v="1.05"/>
    <n v="4457"/>
    <n v="646"/>
  </r>
  <r>
    <x v="1124"/>
    <n v="511306"/>
    <s v="WV"/>
    <s v="WV - Roane"/>
    <n v="25276"/>
    <s v="Roane General Hospital"/>
    <s v="Critical Access Hospital"/>
    <s v="Spencer"/>
    <n v="7.5"/>
    <n v="3"/>
    <n v="32"/>
    <n v="25"/>
    <m/>
    <m/>
    <n v="25"/>
    <n v="1.3"/>
    <n v="4463"/>
    <n v="181"/>
  </r>
  <r>
    <x v="1125"/>
    <n v="511310"/>
    <s v="WV"/>
    <s v="WV - Summers"/>
    <n v="25951"/>
    <s v="Summers County ARH Hospital"/>
    <s v="Critical Access Hospital"/>
    <s v="Hinton"/>
    <n v="7.5"/>
    <n v="4"/>
    <n v="36"/>
    <n v="25"/>
    <m/>
    <m/>
    <n v="25"/>
    <n v="0.94"/>
    <n v="4464"/>
    <n v="255"/>
  </r>
  <r>
    <x v="1126"/>
    <n v="511307"/>
    <s v="WV"/>
    <s v="WV - Taylor"/>
    <n v="26354"/>
    <s v="Grafton City Hospital"/>
    <s v="Critical Access Hospital"/>
    <s v="Grafton"/>
    <n v="7.7"/>
    <n v="3.4"/>
    <n v="17"/>
    <n v="25"/>
    <m/>
    <n v="0.93"/>
    <n v="25"/>
    <n v="0.89"/>
    <n v="4465"/>
    <n v="299"/>
  </r>
  <r>
    <x v="1127"/>
    <n v="511304"/>
    <s v="WV"/>
    <s v="WV - Tyler"/>
    <n v="26175"/>
    <s v="Sistersville General Hospital"/>
    <s v="Critical Access Hospital"/>
    <s v="Sistersville"/>
    <n v="0.8"/>
    <n v="2.6"/>
    <n v="23"/>
    <n v="25"/>
    <m/>
    <m/>
    <n v="25"/>
    <n v="0.92"/>
    <n v="4466"/>
    <n v="66"/>
  </r>
  <r>
    <x v="1128"/>
    <n v="511321"/>
    <s v="WV"/>
    <s v="WV - Upshur"/>
    <n v="26201"/>
    <s v="St Josephs Hospital"/>
    <s v="Critical Access Hospital"/>
    <s v="Buckhannon"/>
    <n v="8.6999999999999993"/>
    <n v="2.6"/>
    <n v="116"/>
    <n v="25"/>
    <n v="4"/>
    <m/>
    <n v="25"/>
    <n v="1.08"/>
    <n v="4467"/>
    <n v="797"/>
  </r>
  <r>
    <x v="1129"/>
    <n v="511301"/>
    <s v="WV"/>
    <s v="WV - Webster"/>
    <n v="26288"/>
    <s v="Webster County Memorial Hospital"/>
    <s v="Critical Access Hospital"/>
    <s v="Webster Springs"/>
    <n v="1.5"/>
    <n v="3.1"/>
    <n v="12"/>
    <n v="25"/>
    <m/>
    <m/>
    <n v="25"/>
    <n v="0.94"/>
    <n v="4469"/>
    <n v="109"/>
  </r>
  <r>
    <x v="1130"/>
    <n v="521309"/>
    <s v="WI"/>
    <s v="WI - Adams"/>
    <n v="53934"/>
    <s v="Gundersen Moundview Hospital (FKA Moundview Memorial Hospital and Clinics)"/>
    <s v="Critical Access Hospital"/>
    <s v="Friendship"/>
    <n v="2"/>
    <n v="2.5"/>
    <n v="27"/>
    <n v="25"/>
    <m/>
    <m/>
    <n v="25"/>
    <n v="0.93"/>
    <n v="4473"/>
    <n v="177"/>
  </r>
  <r>
    <x v="1131"/>
    <n v="521359"/>
    <s v="WI"/>
    <s v="WI - Ashland"/>
    <n v="54806"/>
    <s v="Memorial Medical Center"/>
    <s v="Critical Access Hospital"/>
    <s v="Ashland"/>
    <n v="10.9"/>
    <n v="2.4"/>
    <n v="83"/>
    <n v="25"/>
    <m/>
    <m/>
    <n v="25"/>
    <n v="1.17"/>
    <n v="4474"/>
    <n v="1635"/>
  </r>
  <r>
    <x v="1132"/>
    <n v="521315"/>
    <s v="WI"/>
    <s v="WI - Barron"/>
    <n v="54812"/>
    <s v="Mayo Clinic Hospital - Northland in Barron"/>
    <s v="Critical Access Hospital"/>
    <s v="Barron"/>
    <n v="12.4"/>
    <n v="1.9"/>
    <n v="63"/>
    <n v="25"/>
    <m/>
    <m/>
    <n v="25"/>
    <n v="1.23"/>
    <n v="4475"/>
    <n v="709"/>
  </r>
  <r>
    <x v="1132"/>
    <n v="521353"/>
    <s v="WI"/>
    <s v="WI - Barron"/>
    <n v="54829"/>
    <s v="Cumberland Memorial Hospital"/>
    <s v="Critical Access Hospital"/>
    <s v="Cumberland"/>
    <n v="5.9"/>
    <n v="3.7"/>
    <n v="26"/>
    <n v="25"/>
    <m/>
    <m/>
    <n v="25"/>
    <n v="0.93"/>
    <n v="4476"/>
    <n v="343"/>
  </r>
  <r>
    <x v="1133"/>
    <n v="521331"/>
    <s v="WI"/>
    <s v="WI - Burnett"/>
    <n v="54840"/>
    <s v="Burnett Medical Center"/>
    <s v="Critical Access Hospital"/>
    <s v="Grantsburg"/>
    <n v="1.7"/>
    <n v="2.5"/>
    <n v="18"/>
    <n v="25"/>
    <m/>
    <m/>
    <n v="25"/>
    <n v="0.94"/>
    <n v="4482"/>
    <n v="162"/>
  </r>
  <r>
    <x v="1134"/>
    <n v="521317"/>
    <s v="WI"/>
    <s v="WI - Calumet"/>
    <n v="53014"/>
    <s v="Ascension Calumet Hospital"/>
    <s v="Critical Access Hospital"/>
    <s v="Chilton"/>
    <n v="3.2"/>
    <n v="1.9"/>
    <n v="33"/>
    <n v="25"/>
    <m/>
    <n v="0.45"/>
    <n v="25"/>
    <n v="1.32"/>
    <n v="4483"/>
    <n v="282"/>
  </r>
  <r>
    <x v="1135"/>
    <n v="521314"/>
    <s v="WI"/>
    <s v="WI - Chippewa"/>
    <n v="54724"/>
    <s v="Mayo Clinic Hospital - Chippewa Valley in Bloomer"/>
    <s v="Critical Access Hospital"/>
    <s v="Bloomer"/>
    <n v="13.3"/>
    <n v="3.4"/>
    <n v="33"/>
    <n v="25"/>
    <m/>
    <n v="0.3"/>
    <n v="25"/>
    <n v="1.1000000000000001"/>
    <n v="4484"/>
    <n v="164"/>
  </r>
  <r>
    <x v="1135"/>
    <n v="521311"/>
    <s v="WI"/>
    <s v="WI - Chippewa"/>
    <n v="54768"/>
    <s v="Ascension Our Lady of Victory Hospital"/>
    <s v="Critical Access Hospital"/>
    <s v="Stanley"/>
    <n v="2.9"/>
    <n v="2.5"/>
    <n v="22"/>
    <n v="24"/>
    <m/>
    <n v="0.3"/>
    <n v="24"/>
    <n v="1.1399999999999999"/>
    <n v="4485"/>
    <n v="167"/>
  </r>
  <r>
    <x v="1136"/>
    <n v="521323"/>
    <s v="WI"/>
    <s v="WI - Clark"/>
    <n v="54456"/>
    <s v="Marshfield Medical Center - Neillsville"/>
    <s v="Critical Access Hospital"/>
    <s v="Neillsville"/>
    <n v="2.6"/>
    <n v="2.8"/>
    <n v="29"/>
    <n v="25"/>
    <m/>
    <m/>
    <n v="25"/>
    <n v="1.3"/>
    <n v="4487"/>
    <n v="327"/>
  </r>
  <r>
    <x v="1137"/>
    <n v="521338"/>
    <s v="WI"/>
    <s v="WI - Columbia"/>
    <n v="53925"/>
    <s v="Prairie Ridge Health Hospital (FKA Columbus Community Hospital)"/>
    <s v="Critical Access Hospital"/>
    <s v="Columbus"/>
    <n v="6.8"/>
    <n v="2.9"/>
    <n v="46"/>
    <n v="25"/>
    <n v="4"/>
    <n v="0.4"/>
    <n v="25"/>
    <n v="1.27"/>
    <n v="4488"/>
    <n v="836"/>
  </r>
  <r>
    <x v="1138"/>
    <n v="521330"/>
    <s v="WI"/>
    <s v="WI - Crawford"/>
    <n v="53821"/>
    <s v="Crossing Rivers Health (FKA Prairie Du Chien Memorial Hospital)"/>
    <s v="Critical Access Hospital"/>
    <s v="Prairie Du Chien"/>
    <n v="8.8000000000000007"/>
    <n v="3.2"/>
    <n v="40"/>
    <n v="24"/>
    <m/>
    <m/>
    <n v="24"/>
    <n v="1.1299999999999999"/>
    <n v="4490"/>
    <n v="750"/>
  </r>
  <r>
    <x v="1139"/>
    <n v="521343"/>
    <s v="WI"/>
    <s v="WI - Dane"/>
    <n v="53589"/>
    <s v="Stoughton Hospital"/>
    <s v="Critical Access Hospital"/>
    <s v="Stoughton"/>
    <n v="7"/>
    <n v="2.6"/>
    <n v="56"/>
    <n v="22"/>
    <n v="4"/>
    <n v="0.4"/>
    <n v="22"/>
    <n v="1.29"/>
    <n v="4491"/>
    <n v="721"/>
  </r>
  <r>
    <x v="1140"/>
    <n v="521327"/>
    <s v="WI"/>
    <s v="WI - Dodge"/>
    <n v="53963"/>
    <s v="Waupun Memorial Hospital"/>
    <s v="Critical Access Hospital"/>
    <s v="Waupun"/>
    <n v="6.9"/>
    <n v="3"/>
    <n v="43"/>
    <n v="25"/>
    <m/>
    <n v="0.37"/>
    <n v="25"/>
    <n v="1.39"/>
    <n v="4498"/>
    <n v="1045"/>
  </r>
  <r>
    <x v="1141"/>
    <n v="521358"/>
    <s v="WI"/>
    <s v="WI - Door"/>
    <n v="54235"/>
    <s v="Door County Medical Center"/>
    <s v="Critical Access Hospital"/>
    <s v="Sturgeon Bay"/>
    <n v="10.6"/>
    <n v="3.6"/>
    <n v="86"/>
    <n v="25"/>
    <n v="4"/>
    <m/>
    <n v="25"/>
    <n v="1.36"/>
    <n v="4499"/>
    <n v="966"/>
  </r>
  <r>
    <x v="1142"/>
    <n v="521329"/>
    <s v="WI"/>
    <s v="WI - Douglas"/>
    <n v="54880"/>
    <s v="Essentia Health St Marys Hospital - Superior (FKA St Marys Hospital of Superior)"/>
    <s v="Critical Access Hospital"/>
    <s v="Superior"/>
    <n v="7.5"/>
    <n v="2.6"/>
    <n v="82"/>
    <n v="25"/>
    <m/>
    <n v="0.2"/>
    <n v="25"/>
    <n v="0.99"/>
    <n v="4500"/>
    <n v="638"/>
  </r>
  <r>
    <x v="1143"/>
    <n v="521340"/>
    <s v="WI"/>
    <s v="WI - Dunn"/>
    <n v="54751"/>
    <s v="Mayo Clinic Hospital - Red Cedar in Menomonie"/>
    <s v="Critical Access Hospital"/>
    <s v="Menomonie"/>
    <n v="9.8000000000000007"/>
    <n v="2.9"/>
    <n v="97"/>
    <n v="25"/>
    <m/>
    <n v="1"/>
    <n v="25"/>
    <n v="1.23"/>
    <n v="4501"/>
    <n v="976"/>
  </r>
  <r>
    <x v="1144"/>
    <n v="521321"/>
    <s v="WI"/>
    <s v="WI - Fond Du Lac"/>
    <n v="54971"/>
    <s v="Ripon Medical Center"/>
    <s v="Critical Access Hospital"/>
    <s v="Ripon"/>
    <n v="5.0999999999999996"/>
    <n v="3.6"/>
    <n v="23"/>
    <n v="18"/>
    <n v="3"/>
    <n v="0.86"/>
    <n v="18"/>
    <n v="1.56"/>
    <n v="4506"/>
    <n v="548"/>
  </r>
  <r>
    <x v="1145"/>
    <n v="521322"/>
    <s v="WI"/>
    <s v="WI - Grant"/>
    <n v="53813"/>
    <s v="Grant Regional Health Center"/>
    <s v="Critical Access Hospital"/>
    <s v="Lancaster"/>
    <n v="4.5"/>
    <n v="3.3"/>
    <n v="35"/>
    <n v="25"/>
    <m/>
    <n v="0.46"/>
    <n v="25"/>
    <n v="1.1200000000000001"/>
    <n v="4507"/>
    <n v="458"/>
  </r>
  <r>
    <x v="1145"/>
    <n v="521354"/>
    <s v="WI"/>
    <s v="WI - Grant"/>
    <n v="53818"/>
    <s v="Southwest Health Center"/>
    <s v="Critical Access Hospital"/>
    <s v="Platteville"/>
    <n v="7.5"/>
    <n v="2.2999999999999998"/>
    <n v="73"/>
    <n v="25"/>
    <m/>
    <n v="0.46"/>
    <n v="25"/>
    <n v="1.3"/>
    <n v="4508"/>
    <n v="776"/>
  </r>
  <r>
    <x v="1145"/>
    <n v="521344"/>
    <s v="WI"/>
    <s v="WI - Grant"/>
    <n v="53805"/>
    <s v="Gundersen Boscobel Area Hospital (FKA Boscobel Area Health Care)"/>
    <s v="Critical Access Hospital"/>
    <s v="Boscobel"/>
    <n v="1.7"/>
    <n v="2.6"/>
    <n v="18"/>
    <n v="25"/>
    <m/>
    <n v="0.46"/>
    <n v="25"/>
    <n v="1.25"/>
    <n v="4509"/>
    <n v="146"/>
  </r>
  <r>
    <x v="1146"/>
    <n v="521355"/>
    <s v="WI"/>
    <s v="WI - Green Lake"/>
    <n v="54923"/>
    <s v="ThedaCare Medical Center - Berlin (FKA CHN Medical Center - Berlin)"/>
    <s v="Critical Access Hospital"/>
    <s v="Berlin"/>
    <n v="9.8000000000000007"/>
    <n v="3"/>
    <n v="81"/>
    <n v="25"/>
    <n v="5"/>
    <m/>
    <n v="25"/>
    <n v="1.39"/>
    <n v="4511"/>
    <n v="1180"/>
  </r>
  <r>
    <x v="1147"/>
    <n v="521352"/>
    <s v="WI"/>
    <s v="WI - Iowa"/>
    <n v="53533"/>
    <s v="Upland Hills Health"/>
    <s v="Critical Access Hospital"/>
    <s v="Dodgeville"/>
    <n v="8.1"/>
    <n v="4.5"/>
    <n v="71"/>
    <n v="25"/>
    <m/>
    <n v="0.4"/>
    <n v="25"/>
    <n v="1.1499999999999999"/>
    <n v="4512"/>
    <n v="568"/>
  </r>
  <r>
    <x v="1148"/>
    <n v="521333"/>
    <s v="WI"/>
    <s v="WI - Jackson"/>
    <n v="54615"/>
    <s v="Black River Memorial Hospital"/>
    <s v="Critical Access Hospital"/>
    <s v="Black River Falls"/>
    <n v="5.5"/>
    <n v="2"/>
    <n v="61"/>
    <n v="25"/>
    <m/>
    <m/>
    <n v="25"/>
    <n v="1.19"/>
    <n v="4513"/>
    <n v="822"/>
  </r>
  <r>
    <x v="1149"/>
    <n v="521312"/>
    <s v="WI"/>
    <s v="WI - Lafayette"/>
    <n v="53530"/>
    <s v="Memorial Hospital of Lafayette County"/>
    <s v="Critical Access Hospital"/>
    <s v="Darlington"/>
    <n v="3"/>
    <n v="2.2000000000000002"/>
    <n v="20"/>
    <n v="25"/>
    <m/>
    <m/>
    <n v="25"/>
    <n v="1.17"/>
    <n v="4520"/>
    <n v="255"/>
  </r>
  <r>
    <x v="1150"/>
    <n v="521350"/>
    <s v="WI"/>
    <s v="WI - Langlade"/>
    <n v="54409"/>
    <s v="Aspirus Langlade Hospital"/>
    <s v="Critical Access Hospital"/>
    <s v="Antigo"/>
    <n v="11.1"/>
    <n v="3.3"/>
    <n v="89"/>
    <n v="25"/>
    <n v="4"/>
    <m/>
    <n v="25"/>
    <n v="1.29"/>
    <n v="4521"/>
    <n v="1238"/>
  </r>
  <r>
    <x v="1151"/>
    <n v="521339"/>
    <s v="WI"/>
    <s v="WI - Lincoln"/>
    <n v="54452"/>
    <s v="Ascension Good Samaritan Hospital (FKA Ascension Good Samaritan Health Center)"/>
    <s v="Critical Access Hospital"/>
    <s v="Merrill"/>
    <n v="2.6"/>
    <n v="2.5"/>
    <n v="34"/>
    <n v="25"/>
    <m/>
    <n v="0.65"/>
    <n v="25"/>
    <n v="1.26"/>
    <n v="4522"/>
    <n v="368"/>
  </r>
  <r>
    <x v="1151"/>
    <n v="521313"/>
    <s v="WI"/>
    <s v="WI - Lincoln"/>
    <n v="54487"/>
    <s v="Ascension Sacred Heart Hospital"/>
    <s v="Critical Access Hospital"/>
    <s v="Tomahawk"/>
    <n v="1.9"/>
    <n v="2.8"/>
    <n v="26"/>
    <n v="15"/>
    <m/>
    <n v="0.65"/>
    <n v="15"/>
    <n v="1"/>
    <n v="4523"/>
    <n v="237"/>
  </r>
  <r>
    <x v="1152"/>
    <n v="521305"/>
    <s v="WI"/>
    <s v="WI - Monroe"/>
    <n v="54656"/>
    <s v="Mayo Clinic Hospital - Franciscan Healthcare in Sparta"/>
    <s v="Critical Access Hospital"/>
    <s v="Sparta"/>
    <n v="9.6"/>
    <n v="3.3"/>
    <n v="20"/>
    <n v="25"/>
    <m/>
    <m/>
    <n v="25"/>
    <n v="1.1200000000000001"/>
    <n v="4540"/>
    <n v="115"/>
  </r>
  <r>
    <x v="1152"/>
    <n v="521320"/>
    <s v="WI"/>
    <s v="WI - Monroe"/>
    <n v="54660"/>
    <s v="Tomah Memorial Hospital"/>
    <s v="Critical Access Hospital"/>
    <s v="Tomah"/>
    <n v="7.8"/>
    <n v="3.1"/>
    <n v="42"/>
    <n v="25"/>
    <m/>
    <m/>
    <n v="25"/>
    <n v="1.1499999999999999"/>
    <n v="4541"/>
    <n v="931"/>
  </r>
  <r>
    <x v="1153"/>
    <n v="521310"/>
    <s v="WI"/>
    <s v="WI - Oconto"/>
    <n v="54154"/>
    <s v="HSHS St Clare Memorial Hospital (FKA Community Memorial Hospital)"/>
    <s v="Critical Access Hospital"/>
    <s v="Oconto Falls"/>
    <n v="4.8"/>
    <n v="3"/>
    <n v="35"/>
    <n v="22"/>
    <m/>
    <n v="0.27"/>
    <n v="22"/>
    <n v="1.34"/>
    <n v="4542"/>
    <n v="292"/>
  </r>
  <r>
    <x v="1153"/>
    <n v="521356"/>
    <s v="WI"/>
    <s v="WI - Oconto"/>
    <n v="54153"/>
    <s v="Bellin Health Oconto Hospital"/>
    <s v="Critical Access Hospital"/>
    <s v="Oconto"/>
    <n v="1.6"/>
    <n v="2.7"/>
    <n v="34"/>
    <n v="10"/>
    <m/>
    <n v="0.27"/>
    <n v="10"/>
    <n v="0.98"/>
    <n v="4543"/>
    <n v="127"/>
  </r>
  <r>
    <x v="1154"/>
    <n v="521307"/>
    <s v="WI"/>
    <s v="WI - Pepin"/>
    <n v="54736"/>
    <s v="AdventHealth Durand (FKA Chippewa Valley Hospital)"/>
    <s v="Critical Access Hospital"/>
    <s v="Durand"/>
    <n v="3.6"/>
    <n v="3.6"/>
    <n v="11"/>
    <n v="25"/>
    <m/>
    <m/>
    <n v="25"/>
    <n v="0.93"/>
    <n v="5719"/>
    <n v="251"/>
  </r>
  <r>
    <x v="1155"/>
    <n v="521349"/>
    <s v="WI"/>
    <s v="WI - Pierce"/>
    <n v="54022"/>
    <s v="River Falls Area Hospital"/>
    <s v="Critical Access Hospital"/>
    <s v="River Falls"/>
    <n v="5.0999999999999996"/>
    <n v="2.9"/>
    <n v="43"/>
    <n v="25"/>
    <m/>
    <n v="7.0000000000000007E-2"/>
    <n v="25"/>
    <n v="1.29"/>
    <n v="4551"/>
    <n v="726"/>
  </r>
  <r>
    <x v="1156"/>
    <n v="521337"/>
    <s v="WI"/>
    <s v="WI - Polk"/>
    <n v="54024"/>
    <s v="St Croix Regional Medical Center"/>
    <s v="Critical Access Hospital"/>
    <s v="Saint Croix Falls"/>
    <n v="12.5"/>
    <n v="2.9"/>
    <n v="117"/>
    <n v="25"/>
    <n v="3"/>
    <m/>
    <n v="25"/>
    <n v="1.49"/>
    <n v="4552"/>
    <n v="1534"/>
  </r>
  <r>
    <x v="1156"/>
    <n v="521308"/>
    <s v="WI"/>
    <s v="WI - Polk"/>
    <n v="54001"/>
    <s v="Amery Hospital &amp; Clinic (AKA Amery Regional Medical Center)"/>
    <s v="Critical Access Hospital"/>
    <s v="Amery"/>
    <n v="7.5"/>
    <n v="2.8"/>
    <n v="84"/>
    <n v="25"/>
    <m/>
    <m/>
    <n v="25"/>
    <n v="1.28"/>
    <n v="4553"/>
    <n v="823"/>
  </r>
  <r>
    <x v="1156"/>
    <n v="521318"/>
    <s v="WI"/>
    <s v="WI - Polk"/>
    <n v="54020"/>
    <s v="Osceola Medical Center"/>
    <s v="Critical Access Hospital"/>
    <s v="Osceola"/>
    <n v="4.0999999999999996"/>
    <n v="3"/>
    <n v="33"/>
    <n v="25"/>
    <m/>
    <m/>
    <n v="20"/>
    <n v="1.1299999999999999"/>
    <n v="4554"/>
    <n v="432"/>
  </r>
  <r>
    <x v="1157"/>
    <n v="521325"/>
    <s v="WI"/>
    <s v="WI - Price"/>
    <n v="54552"/>
    <s v="Flambeau Hospital"/>
    <s v="Critical Access Hospital"/>
    <s v="Park Falls"/>
    <n v="3.6"/>
    <n v="2.6"/>
    <n v="31"/>
    <n v="24"/>
    <n v="4"/>
    <m/>
    <n v="24"/>
    <n v="1.04"/>
    <n v="4556"/>
    <n v="500"/>
  </r>
  <r>
    <x v="1158"/>
    <n v="521341"/>
    <s v="WI"/>
    <s v="WI - Richland"/>
    <n v="53581"/>
    <s v="Richland Hospital"/>
    <s v="Critical Access Hospital"/>
    <s v="Richland Center"/>
    <n v="10.5"/>
    <n v="3.2"/>
    <n v="53"/>
    <n v="25"/>
    <n v="4"/>
    <m/>
    <n v="25"/>
    <n v="1.1499999999999999"/>
    <n v="4559"/>
    <n v="1015"/>
  </r>
  <r>
    <x v="1159"/>
    <n v="521319"/>
    <s v="WI"/>
    <s v="WI - Rock"/>
    <n v="53534"/>
    <s v="Edgerton Hospital and Health Services"/>
    <s v="Critical Access Hospital"/>
    <s v="Edgerton"/>
    <n v="7.5"/>
    <n v="3.1"/>
    <n v="11"/>
    <n v="18"/>
    <m/>
    <n v="0.49"/>
    <n v="18"/>
    <n v="1.0900000000000001"/>
    <n v="4560"/>
    <n v="160"/>
  </r>
  <r>
    <x v="1160"/>
    <n v="521328"/>
    <s v="WI"/>
    <s v="WI - Rusk"/>
    <n v="54848"/>
    <s v="Marshfield Medical Center - Ladysmith (FKA Rusk County Memorial Hospital)"/>
    <s v="Critical Access Hospital"/>
    <s v="Ladysmith"/>
    <n v="3.4"/>
    <n v="1.2"/>
    <n v="30"/>
    <n v="25"/>
    <m/>
    <m/>
    <n v="25"/>
    <n v="1.1299999999999999"/>
    <n v="4563"/>
    <n v="322"/>
  </r>
  <r>
    <x v="1161"/>
    <n v="521335"/>
    <s v="WI"/>
    <s v="WI - Saint Croix"/>
    <n v="54016"/>
    <s v="Hudson Hospital"/>
    <s v="Critical Access Hospital"/>
    <s v="Hudson"/>
    <n v="9.1999999999999993"/>
    <n v="2.5"/>
    <n v="76"/>
    <n v="25"/>
    <m/>
    <n v="7.0000000000000007E-2"/>
    <n v="25"/>
    <n v="1.31"/>
    <n v="4564"/>
    <n v="1365"/>
  </r>
  <r>
    <x v="1161"/>
    <n v="521347"/>
    <s v="WI"/>
    <s v="WI - Saint Croix"/>
    <n v="54002"/>
    <s v="Western Wisconsin Health (FKA Baldwin Area Medical Center)"/>
    <s v="Critical Access Hospital"/>
    <s v="Baldwin"/>
    <n v="3.9"/>
    <n v="3.2"/>
    <n v="68"/>
    <n v="25"/>
    <m/>
    <n v="7.0000000000000007E-2"/>
    <n v="25"/>
    <n v="1.28"/>
    <n v="4565"/>
    <n v="489"/>
  </r>
  <r>
    <x v="1161"/>
    <n v="521345"/>
    <s v="WI"/>
    <s v="WI - Saint Croix"/>
    <n v="54017"/>
    <s v="Westfields Hospital &amp; Clinic"/>
    <s v="Critical Access Hospital"/>
    <s v="New Richmond"/>
    <n v="6.8"/>
    <n v="2.5"/>
    <n v="76"/>
    <n v="25"/>
    <m/>
    <n v="7.0000000000000007E-2"/>
    <n v="25"/>
    <n v="1.38"/>
    <n v="4566"/>
    <n v="911"/>
  </r>
  <r>
    <x v="1162"/>
    <n v="521351"/>
    <s v="WI"/>
    <s v="WI - Sauk"/>
    <n v="53959"/>
    <s v="Reedsburg Area Medical Center"/>
    <s v="Critical Access Hospital"/>
    <s v="Reedsburg"/>
    <n v="5.8"/>
    <n v="2.5"/>
    <n v="65"/>
    <n v="25"/>
    <n v="4"/>
    <n v="0.34"/>
    <n v="25"/>
    <n v="1.1599999999999999"/>
    <n v="4567"/>
    <n v="812"/>
  </r>
  <r>
    <x v="1163"/>
    <n v="521336"/>
    <s v="WI"/>
    <s v="WI - Sawyer"/>
    <n v="54843"/>
    <s v="Hayward Area Memorial Hospital"/>
    <s v="Critical Access Hospital"/>
    <s v="Hayward"/>
    <n v="7.7"/>
    <n v="3"/>
    <n v="37"/>
    <n v="25"/>
    <m/>
    <m/>
    <n v="25"/>
    <n v="1.1299999999999999"/>
    <n v="4570"/>
    <n v="750"/>
  </r>
  <r>
    <x v="1164"/>
    <n v="521346"/>
    <s v="WI"/>
    <s v="WI - Shawano"/>
    <n v="54166"/>
    <s v="ThedaCare Medical Center - Shawano (FKA Shawano Medical Center)"/>
    <s v="Critical Access Hospital"/>
    <s v="Shawano"/>
    <n v="12"/>
    <n v="2.8"/>
    <n v="101"/>
    <n v="25"/>
    <m/>
    <n v="1"/>
    <n v="25"/>
    <n v="1.27"/>
    <n v="4571"/>
    <n v="1501"/>
  </r>
  <r>
    <x v="1165"/>
    <n v="521324"/>
    <s v="WI"/>
    <s v="WI - Taylor"/>
    <n v="54451"/>
    <s v="Aspirus Medford Hospital (FKA Memorial Health Center)"/>
    <s v="Critical Access Hospital"/>
    <s v="Medford"/>
    <n v="5.9"/>
    <n v="2.6"/>
    <n v="95"/>
    <n v="25"/>
    <m/>
    <m/>
    <n v="25"/>
    <n v="1.2"/>
    <n v="4574"/>
    <n v="652"/>
  </r>
  <r>
    <x v="1166"/>
    <n v="521316"/>
    <s v="WI"/>
    <s v="WI - Trempealeau"/>
    <n v="54773"/>
    <s v="Gundersen Tri-County Hospital"/>
    <s v="Critical Access Hospital"/>
    <s v="Whitehall"/>
    <n v="6.4"/>
    <n v="3"/>
    <n v="13"/>
    <n v="25"/>
    <m/>
    <m/>
    <n v="25"/>
    <n v="0.98"/>
    <n v="4575"/>
    <n v="216"/>
  </r>
  <r>
    <x v="1166"/>
    <s v="521306 (Closed)"/>
    <s v="WI"/>
    <s v="WI - Trempealeau"/>
    <n v="54612"/>
    <s v="Mayo Clinic Hospital - Franciscan Skemp Arcadia (Closed - No Longer Provides Hospital Services)"/>
    <s v="Critical Access Hospital"/>
    <s v="Arcadia"/>
    <n v="6.5"/>
    <n v="0.5"/>
    <m/>
    <m/>
    <m/>
    <m/>
    <m/>
    <m/>
    <n v="4576"/>
    <n v="200"/>
  </r>
  <r>
    <x v="1166"/>
    <n v="521302"/>
    <s v="WI"/>
    <s v="WI - Trempealeau"/>
    <n v="54758"/>
    <s v="Mayo Clinic Hospital - Oakridge in Osseo"/>
    <s v="Critical Access Hospital"/>
    <s v="Osseo"/>
    <n v="11.1"/>
    <n v="2.8"/>
    <n v="23"/>
    <n v="18"/>
    <m/>
    <m/>
    <n v="18"/>
    <n v="1.1200000000000001"/>
    <n v="4577"/>
    <n v="129"/>
  </r>
  <r>
    <x v="1167"/>
    <n v="521304"/>
    <s v="WI"/>
    <s v="WI - Vernon"/>
    <n v="54634"/>
    <s v="Gundersen St Josephs Hospital (AKA Hillsboro Hospital)"/>
    <s v="Critical Access Hospital"/>
    <s v="Hillsboro"/>
    <n v="2.9"/>
    <n v="3.1"/>
    <n v="18"/>
    <n v="25"/>
    <m/>
    <m/>
    <n v="25"/>
    <n v="1.18"/>
    <n v="4578"/>
    <n v="263"/>
  </r>
  <r>
    <x v="1167"/>
    <n v="521348"/>
    <s v="WI"/>
    <s v="WI - Vernon"/>
    <n v="54665"/>
    <s v="Vernon Memorial Hospital"/>
    <s v="Critical Access Hospital"/>
    <s v="Viroqua"/>
    <n v="10"/>
    <n v="2.2999999999999998"/>
    <n v="59"/>
    <n v="25"/>
    <m/>
    <m/>
    <n v="25"/>
    <n v="1.54"/>
    <n v="4579"/>
    <n v="1429"/>
  </r>
  <r>
    <x v="1168"/>
    <n v="521300"/>
    <s v="WI"/>
    <s v="WI - Vilas"/>
    <n v="54521"/>
    <s v="Ascension Eagle River Hospital"/>
    <s v="Critical Access Hospital"/>
    <s v="Eagle River"/>
    <n v="4.2"/>
    <n v="2.5"/>
    <n v="20"/>
    <n v="14"/>
    <m/>
    <m/>
    <n v="14"/>
    <n v="1.1299999999999999"/>
    <n v="4580"/>
    <n v="377"/>
  </r>
  <r>
    <x v="1169"/>
    <n v="521357"/>
    <s v="WI"/>
    <s v="WI - Walworth"/>
    <n v="53147"/>
    <s v="Mercyhealth Hospital and Medical Center - Walworth"/>
    <s v="Critical Access Hospital"/>
    <s v="Lake Geneva"/>
    <n v="10.199999999999999"/>
    <n v="3"/>
    <n v="66"/>
    <n v="25"/>
    <n v="4"/>
    <m/>
    <n v="25"/>
    <n v="1.38"/>
    <n v="4581"/>
    <n v="1355"/>
  </r>
  <r>
    <x v="1170"/>
    <n v="521342"/>
    <s v="WI"/>
    <s v="WI - Washburn"/>
    <n v="54871"/>
    <s v="Indianhead Medical Center"/>
    <s v="Critical Access Hospital"/>
    <s v="Shell Lake"/>
    <n v="4.0999999999999996"/>
    <n v="1.4"/>
    <n v="8"/>
    <n v="25"/>
    <m/>
    <m/>
    <n v="25"/>
    <n v="0.87"/>
    <n v="4583"/>
    <n v="268"/>
  </r>
  <r>
    <x v="1170"/>
    <n v="521332"/>
    <s v="WI"/>
    <s v="WI - Washburn"/>
    <n v="54801"/>
    <s v="Spooner Health"/>
    <s v="Critical Access Hospital"/>
    <s v="Spooner"/>
    <n v="6"/>
    <n v="3.6"/>
    <n v="14"/>
    <n v="20"/>
    <m/>
    <m/>
    <n v="20"/>
    <n v="1.1599999999999999"/>
    <n v="4584"/>
    <n v="289"/>
  </r>
  <r>
    <x v="1171"/>
    <n v="521326"/>
    <s v="WI"/>
    <s v="WI - Waupaca"/>
    <n v="54961"/>
    <s v="ThedaCare Medical Center - New London (FKA New London Family Medical Center)"/>
    <s v="Critical Access Hospital"/>
    <s v="New London"/>
    <n v="8"/>
    <n v="2"/>
    <n v="60"/>
    <n v="25"/>
    <m/>
    <m/>
    <n v="25"/>
    <n v="1.31"/>
    <n v="4548"/>
    <n v="887"/>
  </r>
  <r>
    <x v="1171"/>
    <n v="521334"/>
    <s v="WI"/>
    <s v="WI - Waupaca"/>
    <n v="54981"/>
    <s v="ThedaCare Medical Center - Waupaca (FKA Riverside Medical Center)"/>
    <s v="Critical Access Hospital"/>
    <s v="Waupaca"/>
    <n v="8.5"/>
    <n v="2.7"/>
    <n v="71"/>
    <n v="25"/>
    <n v="4"/>
    <m/>
    <n v="25"/>
    <n v="1.1499999999999999"/>
    <n v="4591"/>
    <n v="970"/>
  </r>
  <r>
    <x v="1172"/>
    <n v="521303"/>
    <s v="WI"/>
    <s v="WI - Waushara"/>
    <n v="54984"/>
    <s v="ThedaCare Medical Center - Wild Rose (FKA Wild Rose Community Memorial Hospital)"/>
    <s v="Critical Access Hospital"/>
    <s v="Wild Rose"/>
    <n v="5.0999999999999996"/>
    <n v="3.2"/>
    <n v="15"/>
    <n v="25"/>
    <m/>
    <m/>
    <n v="25"/>
    <n v="1.01"/>
    <n v="4592"/>
    <n v="191"/>
  </r>
  <r>
    <x v="1173"/>
    <n v="531301"/>
    <s v="WY"/>
    <s v="WY - Big Horn"/>
    <n v="82410"/>
    <s v="South Big Horn County Hospital"/>
    <s v="Critical Access Hospital"/>
    <s v="Basin"/>
    <n v="2.2000000000000002"/>
    <n v="3.5"/>
    <n v="4"/>
    <n v="10"/>
    <m/>
    <m/>
    <n v="10"/>
    <n v="0.93"/>
    <n v="4599"/>
    <n v="65"/>
  </r>
  <r>
    <x v="1173"/>
    <n v="531309"/>
    <s v="WY"/>
    <s v="WY - Big Horn"/>
    <n v="82431"/>
    <s v="North Big Horn Hospital"/>
    <s v="Critical Access Hospital"/>
    <s v="Lovell"/>
    <n v="7"/>
    <n v="2.9"/>
    <n v="14"/>
    <n v="12"/>
    <m/>
    <m/>
    <n v="12"/>
    <n v="1"/>
    <n v="4600"/>
    <n v="263"/>
  </r>
  <r>
    <x v="1174"/>
    <n v="531316"/>
    <s v="WY"/>
    <s v="WY - Carbon"/>
    <n v="82301"/>
    <s v="Memorial Hospital of Carbon County"/>
    <s v="Critical Access Hospital"/>
    <s v="Rawlins"/>
    <n v="4.7"/>
    <n v="2.6"/>
    <n v="33"/>
    <n v="25"/>
    <n v="6"/>
    <m/>
    <n v="25"/>
    <n v="1.08"/>
    <n v="4602"/>
    <n v="622"/>
  </r>
  <r>
    <x v="1175"/>
    <n v="531302"/>
    <s v="WY"/>
    <s v="WY - Converse"/>
    <n v="82633"/>
    <s v="Memorial Hospital of Converse County"/>
    <s v="Critical Access Hospital"/>
    <s v="Douglas"/>
    <n v="7.2"/>
    <n v="2.7"/>
    <n v="54"/>
    <n v="25"/>
    <m/>
    <m/>
    <n v="25"/>
    <n v="1.32"/>
    <n v="4603"/>
    <n v="758"/>
  </r>
  <r>
    <x v="1176"/>
    <n v="531311"/>
    <s v="WY"/>
    <s v="WY - Crook"/>
    <n v="82729"/>
    <s v="Crook County Medical Service"/>
    <s v="Critical Access Hospital"/>
    <s v="Sundance"/>
    <n v="3"/>
    <n v="2.2000000000000002"/>
    <n v="9"/>
    <n v="16"/>
    <m/>
    <n v="0.76"/>
    <n v="16"/>
    <n v="0.94"/>
    <n v="4604"/>
    <n v="65"/>
  </r>
  <r>
    <x v="1177"/>
    <n v="531307"/>
    <s v="WY"/>
    <s v="WY - Goshen"/>
    <n v="82240"/>
    <s v="Torrington Community Hospital"/>
    <s v="Critical Access Hospital"/>
    <s v="Torrington"/>
    <n v="4.8"/>
    <n v="2.7"/>
    <n v="28"/>
    <n v="25"/>
    <m/>
    <m/>
    <n v="25"/>
    <n v="1.1399999999999999"/>
    <n v="4607"/>
    <n v="437"/>
  </r>
  <r>
    <x v="1178"/>
    <n v="531304"/>
    <s v="WY"/>
    <s v="WY - Hot Springs"/>
    <n v="82443"/>
    <s v="Hot Springs County Memorial Hospital"/>
    <s v="Critical Access Hospital"/>
    <s v="Thermopolis"/>
    <n v="4.3"/>
    <n v="2.5"/>
    <n v="20"/>
    <n v="25"/>
    <m/>
    <m/>
    <n v="25"/>
    <n v="1.03"/>
    <n v="4608"/>
    <n v="489"/>
  </r>
  <r>
    <x v="1179"/>
    <n v="531308"/>
    <s v="WY"/>
    <s v="WY - Johnson"/>
    <n v="82834"/>
    <s v="Johnson County Healthcare Center"/>
    <s v="Critical Access Hospital"/>
    <s v="Buffalo"/>
    <n v="6.1"/>
    <n v="3.1"/>
    <n v="15"/>
    <n v="22"/>
    <m/>
    <m/>
    <n v="22"/>
    <n v="0.9"/>
    <n v="4609"/>
    <n v="332"/>
  </r>
  <r>
    <x v="1180"/>
    <n v="531313"/>
    <s v="WY"/>
    <s v="WY - Lincoln"/>
    <n v="83110"/>
    <s v="Star Valley Health (FKA Star Valley Medical Center)"/>
    <s v="Critical Access Hospital"/>
    <s v="Afton"/>
    <n v="6.8"/>
    <n v="2.2999999999999998"/>
    <n v="61"/>
    <n v="22"/>
    <m/>
    <m/>
    <n v="22"/>
    <n v="1.64"/>
    <n v="4612"/>
    <n v="739"/>
  </r>
  <r>
    <x v="1180"/>
    <n v="531315"/>
    <s v="WY"/>
    <s v="WY - Lincoln"/>
    <n v="83101"/>
    <s v="South Lincoln Medical Center"/>
    <s v="Critical Access Hospital"/>
    <s v="Kemmerer"/>
    <n v="1.5"/>
    <n v="2.4"/>
    <n v="14"/>
    <n v="13"/>
    <m/>
    <m/>
    <n v="13"/>
    <n v="0.9"/>
    <n v="4854"/>
    <n v="123"/>
  </r>
  <r>
    <x v="1181"/>
    <n v="531314"/>
    <s v="WY"/>
    <s v="WY - Niobrara"/>
    <n v="82225"/>
    <s v="Niobrara Health &amp; Life Center"/>
    <s v="Critical Access Hospital"/>
    <s v="Lusk"/>
    <n v="20"/>
    <n v="2.6"/>
    <n v="7"/>
    <n v="24"/>
    <m/>
    <m/>
    <n v="24"/>
    <n v="0.98"/>
    <n v="4615"/>
    <n v="51"/>
  </r>
  <r>
    <x v="1182"/>
    <n v="531310"/>
    <s v="WY"/>
    <s v="WY - Park"/>
    <n v="82435"/>
    <s v="Powell Valley Healthcare"/>
    <s v="Critical Access Hospital"/>
    <s v="Powell"/>
    <n v="5.9"/>
    <n v="1.8"/>
    <n v="40"/>
    <n v="25"/>
    <m/>
    <m/>
    <n v="25"/>
    <n v="1.35"/>
    <n v="4616"/>
    <n v="492"/>
  </r>
  <r>
    <x v="1182"/>
    <n v="531312"/>
    <s v="WY"/>
    <s v="WY - Park"/>
    <n v="82414"/>
    <s v="Cody Regional Health (AKA West Park Hospital)"/>
    <s v="Critical Access Hospital"/>
    <s v="Cody"/>
    <n v="11.7"/>
    <n v="3.3"/>
    <n v="79"/>
    <n v="25"/>
    <n v="4"/>
    <m/>
    <n v="25"/>
    <n v="1.58"/>
    <n v="4617"/>
    <n v="1274"/>
  </r>
  <r>
    <x v="1183"/>
    <n v="531305"/>
    <s v="WY"/>
    <s v="WY - Platte"/>
    <n v="82201"/>
    <s v="Platte County Memorial Hospital"/>
    <s v="Critical Access Hospital"/>
    <s v="Wheatland"/>
    <n v="4.2"/>
    <n v="3"/>
    <n v="19"/>
    <n v="25"/>
    <m/>
    <m/>
    <n v="25"/>
    <n v="1.07"/>
    <n v="4618"/>
    <n v="370"/>
  </r>
  <r>
    <x v="1184"/>
    <n v="531306"/>
    <s v="WY"/>
    <s v="WY - Washakie"/>
    <n v="82401"/>
    <s v="Washakie Medical Center"/>
    <s v="Critical Access Hospital"/>
    <s v="Worland"/>
    <n v="5.2"/>
    <n v="2.9"/>
    <n v="26"/>
    <n v="18"/>
    <m/>
    <m/>
    <n v="18"/>
    <n v="1.32"/>
    <n v="4624"/>
    <n v="418"/>
  </r>
  <r>
    <x v="1185"/>
    <n v="531303"/>
    <s v="WY"/>
    <s v="WY - Weston"/>
    <n v="82701"/>
    <s v="Weston County Health Services"/>
    <s v="Critical Access Hospital"/>
    <s v="Newcastle"/>
    <n v="5.3"/>
    <n v="3.2"/>
    <n v="11"/>
    <n v="12"/>
    <m/>
    <n v="0.76"/>
    <n v="12"/>
    <n v="0.93"/>
    <n v="4625"/>
    <n v="110"/>
  </r>
  <r>
    <x v="1186"/>
    <s v="010108"/>
    <s v="AL"/>
    <s v="AL - Autauga"/>
    <n v="36067"/>
    <s v="Prattville Baptist Hospital"/>
    <s v="Short Term Acute Care Hospital"/>
    <s v="Prattville"/>
    <n v="34.299999999999997"/>
    <n v="4.3"/>
    <n v="84"/>
    <n v="55"/>
    <n v="6"/>
    <n v="0.34"/>
    <n v="55"/>
    <n v="1.19"/>
    <n v="18"/>
    <n v="2887"/>
  </r>
  <r>
    <x v="1187"/>
    <s v="010100"/>
    <s v="AL"/>
    <s v="AL - Baldwin"/>
    <n v="36532"/>
    <s v="Thomas Hospital"/>
    <s v="Short Term Acute Care Hospital"/>
    <s v="Fairhope"/>
    <n v="99.3"/>
    <n v="3.7"/>
    <n v="293"/>
    <n v="129"/>
    <n v="10"/>
    <n v="0.43"/>
    <n v="129"/>
    <n v="1.79"/>
    <n v="19"/>
    <n v="10337"/>
  </r>
  <r>
    <x v="1187"/>
    <s v="010129"/>
    <s v="AL"/>
    <s v="AL - Baldwin"/>
    <n v="36507"/>
    <s v="North Baldwin Infirmary"/>
    <s v="Short Term Acute Care Hospital"/>
    <s v="Bay Minette"/>
    <n v="15.7"/>
    <n v="3.2"/>
    <n v="44"/>
    <n v="55"/>
    <n v="4"/>
    <n v="0.43"/>
    <n v="55"/>
    <n v="1.31"/>
    <n v="21"/>
    <n v="1922"/>
  </r>
  <r>
    <x v="1187"/>
    <s v="010083"/>
    <s v="AL"/>
    <s v="AL - Baldwin"/>
    <n v="36535"/>
    <s v="South Baldwin Regional Medical Center"/>
    <s v="Short Term Acute Care Hospital"/>
    <s v="Foley"/>
    <n v="67.3"/>
    <n v="5"/>
    <n v="180"/>
    <n v="112"/>
    <n v="30"/>
    <n v="0.43"/>
    <n v="112"/>
    <n v="1.57"/>
    <n v="550061"/>
    <n v="5246"/>
  </r>
  <r>
    <x v="1188"/>
    <s v="010069"/>
    <s v="AL"/>
    <s v="AL - Barbour"/>
    <n v="36027"/>
    <s v="Medical Center Barbour"/>
    <s v="Short Term Acute Care Hospital"/>
    <s v="Eufaula"/>
    <n v="12.9"/>
    <n v="4.7"/>
    <n v="37"/>
    <n v="30"/>
    <n v="5"/>
    <n v="1"/>
    <n v="30"/>
    <n v="1.1100000000000001"/>
    <n v="22"/>
    <n v="1005"/>
  </r>
  <r>
    <x v="1189"/>
    <s v="010058"/>
    <s v="AL"/>
    <s v="AL - Bibb"/>
    <n v="35042"/>
    <s v="Bibb Medical Center"/>
    <s v="Short Term Acute Care Hospital"/>
    <s v="Centreville"/>
    <n v="10.8"/>
    <n v="10.199999999999999"/>
    <n v="27"/>
    <n v="25"/>
    <m/>
    <n v="0.19"/>
    <n v="25"/>
    <n v="1.02"/>
    <n v="23"/>
    <n v="385"/>
  </r>
  <r>
    <x v="1190"/>
    <s v="010110"/>
    <s v="AL"/>
    <s v="AL - Bullock"/>
    <n v="36089"/>
    <s v="Bullock County Hospital"/>
    <s v="Short Term Acute Care Hospital"/>
    <s v="Union Springs"/>
    <n v="6.4"/>
    <n v="4.9000000000000004"/>
    <n v="5"/>
    <n v="30"/>
    <m/>
    <m/>
    <n v="30"/>
    <n v="1.0900000000000001"/>
    <n v="25"/>
    <n v="473"/>
  </r>
  <r>
    <x v="1191"/>
    <s v="010047 (Closed)"/>
    <s v="AL"/>
    <s v="AL - Butler"/>
    <n v="36033"/>
    <s v="Georgiana Medical Center (Closed)"/>
    <s v="Short Term Acute Care Hospital"/>
    <s v="Georgiana"/>
    <n v="3.8"/>
    <n v="3"/>
    <m/>
    <m/>
    <m/>
    <m/>
    <m/>
    <n v="0.88"/>
    <n v="26"/>
    <n v="458"/>
  </r>
  <r>
    <x v="1191"/>
    <s v="010150"/>
    <s v="AL"/>
    <s v="AL - Butler"/>
    <n v="36037"/>
    <s v="Regional Medical Center of Central Alabama (FKA LV Stabler Memorial Hospital)"/>
    <s v="Short Term Acute Care Hospital"/>
    <s v="Greenville"/>
    <n v="8.1999999999999993"/>
    <n v="3.8"/>
    <n v="22"/>
    <n v="44"/>
    <n v="7"/>
    <m/>
    <n v="44"/>
    <n v="1.1399999999999999"/>
    <n v="27"/>
    <n v="790"/>
  </r>
  <r>
    <x v="1192"/>
    <s v="010146 (Closed)"/>
    <s v="AL"/>
    <s v="AL - Calhoun"/>
    <n v="36265"/>
    <s v="Regional Medical Center - Jacksonville (Closed)"/>
    <s v="Short Term Acute Care Hospital"/>
    <s v="Jacksonville"/>
    <n v="12.3"/>
    <n v="4.8"/>
    <m/>
    <m/>
    <m/>
    <n v="0.66"/>
    <m/>
    <n v="1.03"/>
    <n v="28"/>
    <n v="933"/>
  </r>
  <r>
    <x v="1192"/>
    <s v="010038"/>
    <s v="AL"/>
    <s v="AL - Calhoun"/>
    <n v="36207"/>
    <s v="Stringfellow Memorial Hospital"/>
    <s v="Short Term Acute Care Hospital"/>
    <s v="Anniston"/>
    <n v="32.4"/>
    <n v="4.4000000000000004"/>
    <n v="41"/>
    <n v="125"/>
    <n v="6"/>
    <n v="0.66"/>
    <n v="125"/>
    <n v="1.3"/>
    <n v="29"/>
    <n v="2716"/>
  </r>
  <r>
    <x v="1192"/>
    <s v="010078"/>
    <s v="AL"/>
    <s v="AL - Calhoun"/>
    <n v="36207"/>
    <s v="Regional Medical Center Anniston (FKA Northeast Alabama Regional Medical Center - Anniston)"/>
    <s v="Short Term Acute Care Hospital"/>
    <s v="Anniston"/>
    <n v="138.9"/>
    <n v="4.3"/>
    <n v="228"/>
    <n v="272"/>
    <n v="18"/>
    <n v="0.66"/>
    <n v="272"/>
    <n v="1.61"/>
    <n v="30"/>
    <n v="13011"/>
  </r>
  <r>
    <x v="1193"/>
    <m/>
    <s v="AL"/>
    <s v="AL - Chambers"/>
    <n v="36854"/>
    <s v="East Alabama Medical Center - Lanier"/>
    <s v="Short Term Acute Care Hospital"/>
    <s v="Valley"/>
    <n v="33.5"/>
    <n v="5.2"/>
    <n v="7"/>
    <n v="84"/>
    <n v="10"/>
    <n v="0.75"/>
    <n v="84"/>
    <m/>
    <n v="31"/>
    <n v="2538"/>
  </r>
  <r>
    <x v="1194"/>
    <s v="010022"/>
    <s v="AL"/>
    <s v="AL - Cherokee"/>
    <n v="35960"/>
    <s v="Cherokee Medical Center"/>
    <s v="Short Term Acute Care Hospital"/>
    <s v="Centre"/>
    <n v="10.9"/>
    <n v="6.6"/>
    <n v="22"/>
    <n v="45"/>
    <m/>
    <m/>
    <n v="45"/>
    <n v="0.89"/>
    <n v="32"/>
    <n v="604"/>
  </r>
  <r>
    <x v="1195"/>
    <s v="010043 (Closed)"/>
    <s v="AL"/>
    <s v="AL - Chilton"/>
    <n v="35045"/>
    <s v="Chilton Medical Center (Closed October 2012)"/>
    <s v="Short Term Acute Care Hospital"/>
    <s v="Clanton"/>
    <n v="6.9"/>
    <n v="4.7"/>
    <m/>
    <m/>
    <m/>
    <n v="0.19"/>
    <m/>
    <m/>
    <n v="33"/>
    <n v="538"/>
  </r>
  <r>
    <x v="1195"/>
    <s v="010173"/>
    <s v="AL"/>
    <s v="AL - Chilton"/>
    <n v="35045"/>
    <s v="St Vincents Chilton"/>
    <s v="Short Term Acute Care Hospital"/>
    <s v="Clanton"/>
    <n v="7.4"/>
    <n v="3.7"/>
    <n v="34"/>
    <n v="26"/>
    <n v="6"/>
    <n v="0.19"/>
    <n v="26"/>
    <n v="1.17"/>
    <n v="868588"/>
    <n v="723"/>
  </r>
  <r>
    <x v="1196"/>
    <s v="010015 (Closed)"/>
    <s v="AL"/>
    <s v="AL - Clarke"/>
    <n v="36784"/>
    <s v="Southwest Alabama Medical Center (Closed)"/>
    <s v="Short Term Acute Care Hospital"/>
    <s v="Thomasville"/>
    <n v="5.6"/>
    <n v="2.7"/>
    <m/>
    <m/>
    <m/>
    <m/>
    <m/>
    <m/>
    <n v="34"/>
    <n v="764"/>
  </r>
  <r>
    <x v="1196"/>
    <s v="010091"/>
    <s v="AL"/>
    <s v="AL - Clarke"/>
    <n v="36451"/>
    <s v="Grove Hill Memorial Hospital"/>
    <s v="Short Term Acute Care Hospital"/>
    <s v="Grove Hill"/>
    <n v="6.6"/>
    <n v="3.4"/>
    <n v="26"/>
    <n v="21"/>
    <m/>
    <m/>
    <n v="21"/>
    <n v="1.07"/>
    <n v="35"/>
    <n v="840"/>
  </r>
  <r>
    <x v="1196"/>
    <s v="010128"/>
    <s v="AL"/>
    <s v="AL - Clarke"/>
    <n v="36545"/>
    <s v="Jackson Medical Center"/>
    <s v="Short Term Acute Care Hospital"/>
    <s v="Jackson"/>
    <n v="9.3000000000000007"/>
    <n v="4.5999999999999996"/>
    <n v="14"/>
    <n v="35"/>
    <m/>
    <m/>
    <n v="35"/>
    <n v="0.97"/>
    <n v="36"/>
    <n v="746"/>
  </r>
  <r>
    <x v="1196"/>
    <s v="010174"/>
    <s v="AL"/>
    <s v="AL - Clarke"/>
    <n v="36784"/>
    <s v="Thomasville Regional Medical Center (Opening 2020)"/>
    <s v="Short Term Acute Care Hospital"/>
    <s v="Thomasville"/>
    <m/>
    <m/>
    <m/>
    <m/>
    <m/>
    <m/>
    <m/>
    <m/>
    <n v="1003881"/>
    <m/>
  </r>
  <r>
    <x v="1197"/>
    <s v="010073"/>
    <s v="AL"/>
    <s v="AL - Clay"/>
    <n v="36251"/>
    <s v="Clay County Hospital"/>
    <s v="Short Term Acute Care Hospital"/>
    <s v="Ashland"/>
    <n v="12.9"/>
    <n v="5.0999999999999996"/>
    <n v="23"/>
    <n v="46"/>
    <n v="4"/>
    <m/>
    <n v="46"/>
    <n v="1.1399999999999999"/>
    <n v="37"/>
    <n v="927"/>
  </r>
  <r>
    <x v="1198"/>
    <s v="010027 (Closed)"/>
    <s v="AL"/>
    <s v="AL - Coffee"/>
    <n v="36323"/>
    <s v="Elba General Hospital (Closed February 2013)"/>
    <s v="Short Term Acute Care Hospital"/>
    <s v="Elba"/>
    <n v="0.7"/>
    <n v="3.6"/>
    <m/>
    <m/>
    <m/>
    <n v="0.8"/>
    <m/>
    <m/>
    <n v="38"/>
    <n v="77"/>
  </r>
  <r>
    <x v="1198"/>
    <s v="010049"/>
    <s v="AL"/>
    <s v="AL - Coffee"/>
    <n v="36330"/>
    <s v="Medical Center Enterprise"/>
    <s v="Short Term Acute Care Hospital"/>
    <s v="Enterprise"/>
    <n v="23.6"/>
    <n v="3"/>
    <n v="91"/>
    <n v="99"/>
    <n v="7"/>
    <n v="0.8"/>
    <n v="99"/>
    <n v="1.39"/>
    <n v="39"/>
    <n v="3392"/>
  </r>
  <r>
    <x v="1199"/>
    <s v="010157"/>
    <s v="AL"/>
    <s v="AL - Colbert"/>
    <n v="35661"/>
    <s v="Shoals Hospital"/>
    <s v="Short Term Acute Care Hospital"/>
    <s v="Muscle Shoals"/>
    <n v="14.9"/>
    <n v="4.5999999999999996"/>
    <n v="70"/>
    <n v="122"/>
    <n v="10"/>
    <n v="0.45"/>
    <n v="122"/>
    <n v="1.17"/>
    <n v="40"/>
    <n v="1194"/>
  </r>
  <r>
    <x v="1199"/>
    <s v="010019"/>
    <s v="AL"/>
    <s v="AL - Colbert"/>
    <n v="35660"/>
    <s v="Helen Keller Hospital"/>
    <s v="Short Term Acute Care Hospital"/>
    <s v="Sheffield"/>
    <n v="69.3"/>
    <n v="3.9"/>
    <n v="157"/>
    <n v="178"/>
    <n v="12"/>
    <n v="0.45"/>
    <n v="178"/>
    <n v="1.37"/>
    <n v="70"/>
    <n v="6996"/>
  </r>
  <r>
    <x v="1200"/>
    <s v="010148"/>
    <s v="AL"/>
    <s v="AL - Conecuh"/>
    <n v="36401"/>
    <s v="Evergreen Medical Center"/>
    <s v="Short Term Acute Care Hospital"/>
    <s v="Evergreen"/>
    <n v="12.9"/>
    <n v="3.1"/>
    <n v="12"/>
    <n v="44"/>
    <m/>
    <m/>
    <n v="44"/>
    <n v="0.98"/>
    <n v="41"/>
    <n v="1543"/>
  </r>
  <r>
    <x v="1201"/>
    <s v="010036"/>
    <s v="AL"/>
    <s v="AL - Covington"/>
    <n v="36420"/>
    <s v="Andalusia Regional Hospital (AKA Andalusia Health)"/>
    <s v="Short Term Acute Care Hospital"/>
    <s v="Andalusia"/>
    <n v="27.7"/>
    <n v="3.8"/>
    <n v="63"/>
    <n v="83"/>
    <n v="8"/>
    <m/>
    <n v="83"/>
    <n v="1.3"/>
    <n v="42"/>
    <n v="2882"/>
  </r>
  <r>
    <x v="1201"/>
    <s v="010007"/>
    <s v="AL"/>
    <s v="AL - Covington"/>
    <n v="36467"/>
    <s v="Mizell Memorial Hospital"/>
    <s v="Short Term Acute Care Hospital"/>
    <s v="Opp"/>
    <n v="13.8"/>
    <n v="4.7"/>
    <n v="32"/>
    <n v="45"/>
    <n v="5"/>
    <m/>
    <n v="45"/>
    <n v="1.1299999999999999"/>
    <n v="43"/>
    <n v="1077"/>
  </r>
  <r>
    <x v="1201"/>
    <s v="010066 (Closed)"/>
    <s v="AL"/>
    <s v="AL - Covington"/>
    <n v="36442"/>
    <s v="Florala Memorial Hospital (Closed December 2013)"/>
    <s v="Short Term Acute Care Hospital"/>
    <s v="Florala"/>
    <n v="0.9"/>
    <n v="3.2"/>
    <m/>
    <m/>
    <m/>
    <m/>
    <m/>
    <m/>
    <n v="44"/>
    <n v="99"/>
  </r>
  <r>
    <x v="1202"/>
    <s v="010008"/>
    <s v="AL"/>
    <s v="AL - Crenshaw"/>
    <n v="36049"/>
    <s v="Crenshaw Community Hospital"/>
    <s v="Short Term Acute Care Hospital"/>
    <s v="Luverne"/>
    <n v="3.7"/>
    <n v="4.2"/>
    <n v="8"/>
    <n v="29"/>
    <m/>
    <m/>
    <n v="29"/>
    <n v="1.0900000000000001"/>
    <n v="45"/>
    <n v="314"/>
  </r>
  <r>
    <x v="1203"/>
    <s v="010035"/>
    <s v="AL"/>
    <s v="AL - Cullman"/>
    <n v="35058"/>
    <s v="Cullman Regional Medical Center"/>
    <s v="Short Term Acute Care Hospital"/>
    <s v="Cullman"/>
    <n v="73.7"/>
    <n v="3.5"/>
    <n v="217"/>
    <n v="145"/>
    <n v="12"/>
    <n v="0.76"/>
    <n v="145"/>
    <n v="1.37"/>
    <n v="46"/>
    <n v="7771"/>
  </r>
  <r>
    <x v="1203"/>
    <s v="010143 (Closed)"/>
    <s v="AL"/>
    <s v="AL - Cullman"/>
    <n v="35055"/>
    <s v="Woodland Medical Center (Closed 7/15/2009)"/>
    <s v="Short Term Acute Care Hospital"/>
    <s v="Cullman"/>
    <n v="14.7"/>
    <n v="3.7"/>
    <m/>
    <m/>
    <m/>
    <n v="0.76"/>
    <m/>
    <m/>
    <n v="4769"/>
    <n v="1442"/>
  </r>
  <r>
    <x v="1204"/>
    <s v="010021"/>
    <s v="AL"/>
    <s v="AL - Dale"/>
    <n v="36360"/>
    <s v="Dale Medical Center"/>
    <s v="Short Term Acute Care Hospital"/>
    <s v="Ozark"/>
    <n v="20.399999999999999"/>
    <n v="6.6"/>
    <n v="43"/>
    <n v="77"/>
    <n v="6"/>
    <n v="1"/>
    <n v="77"/>
    <n v="1.28"/>
    <n v="47"/>
    <n v="1132"/>
  </r>
  <r>
    <x v="1205"/>
    <s v="010118"/>
    <s v="AL"/>
    <s v="AL - Dallas"/>
    <n v="36701"/>
    <s v="Vaughan Regional Medical Center"/>
    <s v="Short Term Acute Care Hospital"/>
    <s v="Selma"/>
    <n v="44.1"/>
    <n v="3.3"/>
    <n v="81"/>
    <n v="109"/>
    <n v="23"/>
    <n v="1"/>
    <n v="109"/>
    <n v="1.32"/>
    <n v="48"/>
    <n v="5216"/>
  </r>
  <r>
    <x v="1206"/>
    <s v="010012"/>
    <s v="AL"/>
    <s v="AL - De Kalb"/>
    <n v="35968"/>
    <s v="Dekalb Regional Medical Center"/>
    <s v="Short Term Acute Care Hospital"/>
    <s v="Fort Payne"/>
    <n v="28.3"/>
    <n v="3.6"/>
    <n v="78"/>
    <n v="97"/>
    <n v="12"/>
    <n v="1"/>
    <n v="97"/>
    <n v="1.42"/>
    <n v="49"/>
    <n v="3207"/>
  </r>
  <r>
    <x v="1207"/>
    <s v="010034"/>
    <s v="AL"/>
    <s v="AL - Elmore"/>
    <n v="36078"/>
    <s v="Community Hospital"/>
    <s v="Short Term Acute Care Hospital"/>
    <s v="Tallassee"/>
    <n v="10.9"/>
    <n v="5.7"/>
    <n v="28"/>
    <n v="37"/>
    <n v="5"/>
    <n v="0.34"/>
    <n v="37"/>
    <n v="1.19"/>
    <n v="50"/>
    <n v="694"/>
  </r>
  <r>
    <x v="1207"/>
    <s v="010097"/>
    <s v="AL"/>
    <s v="AL - Elmore"/>
    <n v="36092"/>
    <s v="Elmore Community Hospital"/>
    <s v="Short Term Acute Care Hospital"/>
    <s v="Wetumpka"/>
    <n v="9.8000000000000007"/>
    <n v="4.5999999999999996"/>
    <n v="42"/>
    <n v="33"/>
    <m/>
    <n v="0.34"/>
    <n v="33"/>
    <n v="1.1200000000000001"/>
    <n v="51"/>
    <n v="789"/>
  </r>
  <r>
    <x v="1208"/>
    <s v="010099"/>
    <s v="AL"/>
    <s v="AL - Escambia"/>
    <n v="36426"/>
    <s v="DW McMillan Memorial Hospital"/>
    <s v="Short Term Acute Care Hospital"/>
    <s v="Brewton"/>
    <n v="15.4"/>
    <n v="4"/>
    <n v="36"/>
    <n v="46"/>
    <n v="8"/>
    <n v="0.51"/>
    <n v="46"/>
    <n v="1.07"/>
    <n v="52"/>
    <n v="1586"/>
  </r>
  <r>
    <x v="1208"/>
    <s v="010169"/>
    <s v="AL"/>
    <s v="AL - Escambia"/>
    <n v="36502"/>
    <s v="Atmore Community Hospital"/>
    <s v="Short Term Acute Care Hospital"/>
    <s v="Atmore"/>
    <n v="17.5"/>
    <n v="4.8"/>
    <n v="24"/>
    <n v="49"/>
    <n v="6"/>
    <n v="0.51"/>
    <n v="49"/>
    <n v="1.18"/>
    <n v="53"/>
    <n v="1333"/>
  </r>
  <r>
    <x v="1209"/>
    <s v="010040"/>
    <s v="AL"/>
    <s v="AL - Etowah"/>
    <n v="35903"/>
    <s v="Gadsden Regional Medical Center"/>
    <s v="Short Term Acute Care Hospital"/>
    <s v="Gadsden"/>
    <n v="163"/>
    <n v="4.8"/>
    <n v="191"/>
    <n v="222"/>
    <n v="40"/>
    <n v="0.57999999999999996"/>
    <n v="222"/>
    <n v="1.74"/>
    <n v="54"/>
    <n v="12898"/>
  </r>
  <r>
    <x v="1209"/>
    <s v="010046"/>
    <s v="AL"/>
    <s v="AL - Etowah"/>
    <n v="35901"/>
    <s v="Riverview Regional Medical Center"/>
    <s v="Short Term Acute Care Hospital"/>
    <s v="Gadsden"/>
    <n v="67.400000000000006"/>
    <n v="3.8"/>
    <n v="76"/>
    <n v="256"/>
    <m/>
    <n v="0.57999999999999996"/>
    <n v="256"/>
    <n v="1.65"/>
    <n v="55"/>
    <n v="6497"/>
  </r>
  <r>
    <x v="1210"/>
    <s v="010045"/>
    <s v="AL"/>
    <s v="AL - Fayette"/>
    <n v="35555"/>
    <s v="Fayette Medical Center (FKA Weimer Medical Center)"/>
    <s v="Short Term Acute Care Hospital"/>
    <s v="Fayette"/>
    <n v="10.5"/>
    <n v="5.5"/>
    <n v="41"/>
    <n v="45"/>
    <n v="8"/>
    <m/>
    <n v="45"/>
    <n v="1.1200000000000001"/>
    <n v="56"/>
    <n v="693"/>
  </r>
  <r>
    <x v="2"/>
    <s v="010158"/>
    <s v="AL"/>
    <s v="AL - Franklin"/>
    <n v="35653"/>
    <s v="Russellville Hospital"/>
    <s v="Short Term Acute Care Hospital"/>
    <s v="Russellville"/>
    <n v="19.5"/>
    <n v="4.2"/>
    <n v="29"/>
    <n v="49"/>
    <n v="7"/>
    <m/>
    <n v="49"/>
    <n v="1.22"/>
    <n v="57"/>
    <n v="1699"/>
  </r>
  <r>
    <x v="1211"/>
    <s v="010062"/>
    <s v="AL"/>
    <s v="AL - Geneva"/>
    <n v="36340"/>
    <s v="Wiregrass Medical Center"/>
    <s v="Short Term Acute Care Hospital"/>
    <s v="Geneva"/>
    <n v="9.6"/>
    <n v="4.4000000000000004"/>
    <n v="17"/>
    <n v="73"/>
    <n v="6"/>
    <n v="0.5"/>
    <n v="73"/>
    <n v="1.2"/>
    <n v="59"/>
    <n v="805"/>
  </r>
  <r>
    <x v="1212"/>
    <s v="010051"/>
    <s v="AL"/>
    <s v="AL - Greene"/>
    <n v="35462"/>
    <s v="Greene County Hospital"/>
    <s v="Short Term Acute Care Hospital"/>
    <s v="Eutaw"/>
    <n v="4.8"/>
    <n v="5"/>
    <n v="5"/>
    <n v="20"/>
    <m/>
    <n v="0.34"/>
    <n v="20"/>
    <n v="0.93"/>
    <n v="60"/>
    <n v="355"/>
  </r>
  <r>
    <x v="1213"/>
    <s v="010095"/>
    <s v="AL"/>
    <s v="AL - Hale"/>
    <n v="36744"/>
    <s v="Hale County Hospital"/>
    <s v="Short Term Acute Care Hospital"/>
    <s v="Greensboro"/>
    <n v="7.3"/>
    <n v="7"/>
    <n v="12"/>
    <n v="28"/>
    <m/>
    <n v="0.34"/>
    <n v="28"/>
    <n v="0.95"/>
    <n v="61"/>
    <n v="380"/>
  </r>
  <r>
    <x v="1214"/>
    <s v="010055"/>
    <s v="AL"/>
    <s v="AL - Houston"/>
    <n v="36305"/>
    <s v="Flowers Hospital"/>
    <s v="Short Term Acute Care Hospital"/>
    <s v="Dothan"/>
    <n v="149.19999999999999"/>
    <n v="4.5999999999999996"/>
    <n v="285"/>
    <n v="235"/>
    <n v="32"/>
    <n v="0.5"/>
    <n v="235"/>
    <n v="1.86"/>
    <n v="62"/>
    <n v="12538"/>
  </r>
  <r>
    <x v="1214"/>
    <s v="010001"/>
    <s v="AL"/>
    <s v="AL - Houston"/>
    <n v="36302"/>
    <s v="Southeast Health (FKA Southeast Alabama Medical Center)"/>
    <s v="Short Term Acute Care Hospital"/>
    <s v="Dothan"/>
    <n v="263.60000000000002"/>
    <n v="4.8"/>
    <n v="302"/>
    <n v="342"/>
    <n v="42"/>
    <n v="0.5"/>
    <n v="342"/>
    <n v="1.93"/>
    <n v="63"/>
    <n v="20694"/>
  </r>
  <r>
    <x v="1215"/>
    <s v="010061"/>
    <s v="AL"/>
    <s v="AL - Jackson"/>
    <n v="35768"/>
    <s v="Highlands Medical Center"/>
    <s v="Short Term Acute Care Hospital"/>
    <s v="Scottsboro"/>
    <n v="28.3"/>
    <n v="4.0999999999999996"/>
    <n v="80"/>
    <n v="45"/>
    <n v="10"/>
    <n v="1"/>
    <n v="92"/>
    <n v="1.21"/>
    <n v="64"/>
    <n v="2622"/>
  </r>
  <r>
    <x v="1216"/>
    <s v="010056"/>
    <s v="AL"/>
    <s v="AL - Jefferson"/>
    <n v="35205"/>
    <s v="St Vincents Birmingham"/>
    <s v="Short Term Acute Care Hospital"/>
    <s v="Birmingham"/>
    <n v="269.60000000000002"/>
    <n v="4.9000000000000004"/>
    <n v="513"/>
    <n v="400"/>
    <n v="83"/>
    <n v="0.19"/>
    <n v="400"/>
    <n v="1.96"/>
    <n v="65"/>
    <n v="21302"/>
  </r>
  <r>
    <x v="1216"/>
    <s v="010103"/>
    <s v="AL"/>
    <s v="AL - Jefferson"/>
    <n v="35211"/>
    <s v="Princeton Baptist Medical Center"/>
    <s v="Short Term Acute Care Hospital"/>
    <s v="Birmingham"/>
    <n v="191.2"/>
    <n v="5.0999999999999996"/>
    <n v="256"/>
    <n v="279"/>
    <n v="12"/>
    <n v="0.19"/>
    <n v="279"/>
    <n v="2.21"/>
    <n v="66"/>
    <n v="13790"/>
  </r>
  <r>
    <x v="1216"/>
    <s v="010104"/>
    <s v="AL"/>
    <s v="AL - Jefferson"/>
    <n v="35243"/>
    <s v="Grandview Medical Center (FKA Trinity Medical Center)"/>
    <s v="Short Term Acute Care Hospital"/>
    <s v="Birmingham"/>
    <n v="295.8"/>
    <n v="4.8"/>
    <n v="557"/>
    <n v="373"/>
    <n v="72"/>
    <n v="0.19"/>
    <n v="373"/>
    <n v="1.91"/>
    <n v="67"/>
    <n v="21858"/>
  </r>
  <r>
    <x v="1216"/>
    <s v="010011"/>
    <s v="AL"/>
    <s v="AL - Jefferson"/>
    <n v="35235"/>
    <s v="St Vincents East (FKA Medical Center East)"/>
    <s v="Short Term Acute Care Hospital"/>
    <s v="Birmingham"/>
    <n v="226.2"/>
    <n v="5.9"/>
    <n v="294"/>
    <n v="309"/>
    <n v="30"/>
    <n v="0.19"/>
    <n v="309"/>
    <n v="1.73"/>
    <n v="68"/>
    <n v="14059"/>
  </r>
  <r>
    <x v="1216"/>
    <s v="010018"/>
    <s v="AL"/>
    <s v="AL - Jefferson"/>
    <n v="35233"/>
    <s v="UAB Callahan Eye Hospital"/>
    <s v="Short Term Acute Care Hospital"/>
    <s v="Birmingham"/>
    <n v="0.7"/>
    <n v="2.4"/>
    <n v="101"/>
    <n v="12"/>
    <m/>
    <n v="0.19"/>
    <n v="12"/>
    <n v="1.27"/>
    <n v="69"/>
    <n v="110"/>
  </r>
  <r>
    <x v="1216"/>
    <s v="010033"/>
    <s v="AL"/>
    <s v="AL - Jefferson"/>
    <n v="35233"/>
    <s v="UAB Hospital"/>
    <s v="Short Term Acute Care Hospital"/>
    <s v="Birmingham"/>
    <n v="897"/>
    <n v="6.2"/>
    <n v="1413"/>
    <n v="1100"/>
    <n v="37"/>
    <n v="0.19"/>
    <n v="1100"/>
    <n v="2.31"/>
    <n v="71"/>
    <n v="53894"/>
  </r>
  <r>
    <x v="1216"/>
    <s v="010114"/>
    <s v="AL"/>
    <s v="AL - Jefferson"/>
    <n v="35022"/>
    <s v="Medical West Hospital"/>
    <s v="Short Term Acute Care Hospital"/>
    <s v="Bessemer"/>
    <n v="85.5"/>
    <n v="4.8"/>
    <n v="133"/>
    <n v="187"/>
    <n v="21"/>
    <n v="0.19"/>
    <n v="187"/>
    <n v="1.51"/>
    <n v="72"/>
    <n v="6652"/>
  </r>
  <r>
    <x v="1216"/>
    <s v="010137 (Closed)"/>
    <s v="AL"/>
    <s v="AL - Jefferson"/>
    <n v="35233"/>
    <s v="Cooper Green Mercy Hospital (Closed 2013 - Now Outpatient Clinic)"/>
    <s v="Short Term Acute Care Hospital"/>
    <s v="Birmingham"/>
    <n v="33.6"/>
    <n v="5.0999999999999996"/>
    <m/>
    <m/>
    <m/>
    <n v="0.19"/>
    <m/>
    <m/>
    <n v="74"/>
    <n v="2488"/>
  </r>
  <r>
    <x v="1216"/>
    <s v="010139"/>
    <s v="AL"/>
    <s v="AL - Jefferson"/>
    <n v="35209"/>
    <s v="Brookwood Baptist Medical Center (FKA Brookwood Medical Center)"/>
    <s v="Short Term Acute Care Hospital"/>
    <s v="Birmingham"/>
    <n v="188.6"/>
    <n v="4.8"/>
    <n v="386"/>
    <n v="425"/>
    <n v="26"/>
    <n v="0.19"/>
    <n v="425"/>
    <n v="1.66"/>
    <n v="75"/>
    <n v="15775"/>
  </r>
  <r>
    <x v="1216"/>
    <s v="010033*"/>
    <s v="AL"/>
    <s v="AL - Jefferson"/>
    <n v="35205"/>
    <s v="UAB Hospital-Highlands"/>
    <s v="Short Term Acute Care Hospital"/>
    <s v="Birmingham"/>
    <m/>
    <m/>
    <m/>
    <m/>
    <m/>
    <m/>
    <n v="110"/>
    <m/>
    <n v="76"/>
    <m/>
  </r>
  <r>
    <x v="1216"/>
    <s v="010064 (Closed)"/>
    <s v="AL"/>
    <s v="AL - Jefferson"/>
    <n v="35234"/>
    <s v="Physicians - Carraway Medical Center (Closed 2008)"/>
    <s v="Short Term Acute Care Hospital"/>
    <s v="Birmingham"/>
    <n v="77.2"/>
    <n v="6.2"/>
    <m/>
    <m/>
    <m/>
    <n v="0.19"/>
    <m/>
    <m/>
    <n v="5477"/>
    <n v="4571"/>
  </r>
  <r>
    <x v="1216"/>
    <s v="010033*"/>
    <s v="AL"/>
    <s v="AL - Jefferson"/>
    <n v="35233"/>
    <s v="UAB Women &amp; Infants Center"/>
    <s v="Short Term Acute Care Hospital"/>
    <s v="Birmingham"/>
    <m/>
    <m/>
    <m/>
    <m/>
    <m/>
    <m/>
    <n v="56"/>
    <m/>
    <n v="542014"/>
    <m/>
  </r>
  <r>
    <x v="1217"/>
    <s v="010006"/>
    <s v="AL"/>
    <s v="AL - Lauderdale"/>
    <n v="35630"/>
    <s v="North Alabama Medical Center (FKA Eliza Coffee Memorial Hospital)"/>
    <s v="Short Term Acute Care Hospital"/>
    <s v="Florence"/>
    <n v="129.9"/>
    <n v="5"/>
    <n v="215"/>
    <n v="233"/>
    <n v="36"/>
    <n v="0.45"/>
    <n v="233"/>
    <n v="1.74"/>
    <n v="77"/>
    <n v="12472"/>
  </r>
  <r>
    <x v="1218"/>
    <s v="010059"/>
    <s v="AL"/>
    <s v="AL - Lawrence"/>
    <n v="35650"/>
    <s v="Lawrence Medical Center"/>
    <s v="Short Term Acute Care Hospital"/>
    <s v="Moulton"/>
    <n v="6.5"/>
    <n v="4.0999999999999996"/>
    <n v="27"/>
    <n v="43"/>
    <n v="6"/>
    <n v="0.7"/>
    <n v="43"/>
    <n v="1.18"/>
    <n v="78"/>
    <n v="573"/>
  </r>
  <r>
    <x v="1219"/>
    <s v="010029"/>
    <s v="AL"/>
    <s v="AL - Lee"/>
    <n v="36801"/>
    <s v="East Alabama Medical Center - Opelika"/>
    <s v="Short Term Acute Care Hospital"/>
    <s v="Opelika"/>
    <n v="205.7"/>
    <n v="4.5999999999999996"/>
    <n v="338"/>
    <n v="299"/>
    <n v="20"/>
    <n v="1"/>
    <n v="299"/>
    <n v="1.74"/>
    <n v="79"/>
    <n v="17291"/>
  </r>
  <r>
    <x v="1220"/>
    <s v="010079"/>
    <s v="AL"/>
    <s v="AL - Limestone"/>
    <n v="35611"/>
    <s v="Athens-Limestone Hospital"/>
    <s v="Short Term Acute Care Hospital"/>
    <s v="Athens"/>
    <n v="34.200000000000003"/>
    <n v="3.2"/>
    <n v="129"/>
    <n v="66"/>
    <n v="10"/>
    <n v="0.64"/>
    <n v="66"/>
    <n v="1.6"/>
    <n v="80"/>
    <n v="4144"/>
  </r>
  <r>
    <x v="1221"/>
    <s v="010039"/>
    <s v="AL"/>
    <s v="AL - Madison"/>
    <n v="35801"/>
    <s v="Huntsville Hospital"/>
    <s v="Short Term Acute Care Hospital"/>
    <s v="Huntsville"/>
    <n v="627.1"/>
    <n v="4.8"/>
    <n v="1206"/>
    <n v="877"/>
    <n v="42"/>
    <n v="0.64"/>
    <n v="877"/>
    <n v="1.87"/>
    <n v="81"/>
    <n v="49884"/>
  </r>
  <r>
    <x v="1221"/>
    <s v="010131"/>
    <s v="AL"/>
    <s v="AL - Madison"/>
    <n v="35801"/>
    <s v="Crestwood Medical Center"/>
    <s v="Short Term Acute Care Hospital"/>
    <s v="Huntsville"/>
    <n v="105.5"/>
    <n v="3.7"/>
    <n v="238"/>
    <n v="183"/>
    <n v="16"/>
    <n v="0.64"/>
    <n v="183"/>
    <n v="1.82"/>
    <n v="82"/>
    <n v="10985"/>
  </r>
  <r>
    <x v="1221"/>
    <m/>
    <s v="AL"/>
    <s v="AL - Madison"/>
    <n v="35758"/>
    <s v="Madison Hospital"/>
    <s v="Short Term Acute Care Hospital"/>
    <s v="Madison"/>
    <m/>
    <m/>
    <m/>
    <m/>
    <m/>
    <m/>
    <n v="90"/>
    <m/>
    <n v="542187"/>
    <m/>
  </r>
  <r>
    <x v="1222"/>
    <s v="010112"/>
    <s v="AL"/>
    <s v="AL - Marengo"/>
    <n v="36732"/>
    <s v="Bryan W Whitfield Memorial Hospital"/>
    <s v="Short Term Acute Care Hospital"/>
    <s v="Demopolis"/>
    <n v="13.6"/>
    <n v="4.8"/>
    <n v="47"/>
    <n v="37"/>
    <n v="5"/>
    <m/>
    <n v="37"/>
    <n v="1.1200000000000001"/>
    <n v="83"/>
    <n v="1028"/>
  </r>
  <r>
    <x v="1223"/>
    <s v="010086"/>
    <s v="AL"/>
    <s v="AL - Marion"/>
    <n v="35594"/>
    <s v="Northwest Medical Center"/>
    <s v="Short Term Acute Care Hospital"/>
    <s v="Winfield"/>
    <n v="9.5"/>
    <n v="3.8"/>
    <n v="45"/>
    <n v="61"/>
    <n v="4"/>
    <m/>
    <n v="61"/>
    <n v="1.04"/>
    <n v="84"/>
    <n v="914"/>
  </r>
  <r>
    <x v="1223"/>
    <s v="010044"/>
    <s v="AL"/>
    <s v="AL - Marion"/>
    <n v="35570"/>
    <s v="North Mississippi Medical Center - Hamilton"/>
    <s v="Short Term Acute Care Hospital"/>
    <s v="Hamilton"/>
    <n v="8.6"/>
    <n v="6.5"/>
    <n v="17"/>
    <n v="36"/>
    <n v="4"/>
    <m/>
    <n v="36"/>
    <n v="1.08"/>
    <n v="85"/>
    <n v="479"/>
  </r>
  <r>
    <x v="1224"/>
    <s v="010005*"/>
    <s v="AL"/>
    <s v="AL - Marshall"/>
    <n v="35976"/>
    <s v="Marshall Medical Center North"/>
    <s v="Short Term Acute Care Hospital"/>
    <s v="Guntersville"/>
    <m/>
    <m/>
    <n v="23"/>
    <m/>
    <m/>
    <m/>
    <n v="90"/>
    <m/>
    <n v="86"/>
    <m/>
  </r>
  <r>
    <x v="1224"/>
    <s v="010005"/>
    <s v="AL"/>
    <s v="AL - Marshall"/>
    <n v="35957"/>
    <s v="Marshall Medical Center South"/>
    <s v="Short Term Acute Care Hospital"/>
    <s v="Boaz"/>
    <n v="88.8"/>
    <n v="4.5"/>
    <n v="234"/>
    <n v="204"/>
    <n v="20"/>
    <n v="1"/>
    <n v="150"/>
    <n v="1.38"/>
    <n v="87"/>
    <n v="7640"/>
  </r>
  <r>
    <x v="1225"/>
    <s v="010087"/>
    <s v="AL"/>
    <s v="AL - Mobile"/>
    <n v="36617"/>
    <s v="USA Health University Hospital (FKA University of South Alabama Medical Center)"/>
    <s v="Short Term Acute Care Hospital"/>
    <s v="Mobile"/>
    <n v="159.5"/>
    <n v="5.9"/>
    <n v="283"/>
    <n v="183"/>
    <n v="8"/>
    <n v="0.21"/>
    <n v="183"/>
    <n v="2.0499999999999998"/>
    <n v="88"/>
    <n v="9928"/>
  </r>
  <r>
    <x v="1225"/>
    <s v="010090"/>
    <s v="AL"/>
    <s v="AL - Mobile"/>
    <n v="36608"/>
    <s v="Providence Hospital"/>
    <s v="Short Term Acute Care Hospital"/>
    <s v="Mobile"/>
    <n v="191.8"/>
    <n v="5.0999999999999996"/>
    <n v="612"/>
    <n v="349"/>
    <n v="33"/>
    <n v="0.21"/>
    <n v="349"/>
    <n v="1.85"/>
    <n v="89"/>
    <n v="13968"/>
  </r>
  <r>
    <x v="1225"/>
    <s v="010113"/>
    <s v="AL"/>
    <s v="AL - Mobile"/>
    <n v="36607"/>
    <s v="Mobile Infirmary"/>
    <s v="Short Term Acute Care Hospital"/>
    <s v="Mobile"/>
    <n v="397.2"/>
    <n v="5.9"/>
    <n v="488"/>
    <n v="611"/>
    <n v="14"/>
    <n v="0.21"/>
    <n v="611"/>
    <n v="1.87"/>
    <n v="90"/>
    <n v="24926"/>
  </r>
  <r>
    <x v="1225"/>
    <s v="010144"/>
    <s v="AL"/>
    <s v="AL - Mobile"/>
    <n v="36608"/>
    <s v="Springhill Medical Center"/>
    <s v="Short Term Acute Care Hospital"/>
    <s v="Mobile"/>
    <n v="153.30000000000001"/>
    <n v="5.2"/>
    <n v="222"/>
    <n v="198"/>
    <n v="20"/>
    <n v="0.21"/>
    <n v="198"/>
    <n v="1.87"/>
    <n v="91"/>
    <n v="11527"/>
  </r>
  <r>
    <x v="1225"/>
    <s v="010152 (Closed)"/>
    <s v="AL"/>
    <s v="AL - Mobile"/>
    <n v="36693"/>
    <s v="Infirmary West (Closed October 2012)"/>
    <s v="Short Term Acute Care Hospital"/>
    <s v="Mobile"/>
    <n v="21.5"/>
    <n v="4.5"/>
    <m/>
    <m/>
    <m/>
    <n v="0.21"/>
    <m/>
    <m/>
    <n v="93"/>
    <n v="1746"/>
  </r>
  <r>
    <x v="1226"/>
    <s v="010120"/>
    <s v="AL"/>
    <s v="AL - Monroe"/>
    <n v="36460"/>
    <s v="Monroe County Hospital"/>
    <s v="Short Term Acute Care Hospital"/>
    <s v="Monroeville"/>
    <n v="5.7"/>
    <n v="3.6"/>
    <n v="42"/>
    <n v="49"/>
    <n v="8"/>
    <m/>
    <n v="49"/>
    <n v="1.0900000000000001"/>
    <n v="94"/>
    <n v="712"/>
  </r>
  <r>
    <x v="1227"/>
    <s v="010149"/>
    <s v="AL"/>
    <s v="AL - Montgomery"/>
    <n v="36117"/>
    <s v="Baptist Medical Center East"/>
    <s v="Short Term Acute Care Hospital"/>
    <s v="Montgomery"/>
    <n v="126.1"/>
    <n v="3.7"/>
    <n v="165"/>
    <n v="207"/>
    <n v="12"/>
    <n v="0.34"/>
    <n v="150"/>
    <n v="1.4"/>
    <n v="95"/>
    <n v="14510"/>
  </r>
  <r>
    <x v="1227"/>
    <s v="010023"/>
    <s v="AL"/>
    <s v="AL - Montgomery"/>
    <n v="36116"/>
    <s v="Baptist Medical Center South"/>
    <s v="Short Term Acute Care Hospital"/>
    <s v="Montgomery"/>
    <n v="227.1"/>
    <n v="4.9000000000000004"/>
    <n v="357"/>
    <n v="320"/>
    <n v="12"/>
    <n v="0.34"/>
    <n v="320"/>
    <n v="1.8"/>
    <n v="97"/>
    <n v="17309"/>
  </r>
  <r>
    <x v="1227"/>
    <s v="010024"/>
    <s v="AL"/>
    <s v="AL - Montgomery"/>
    <n v="36106"/>
    <s v="Jackson Hospital"/>
    <s v="Short Term Acute Care Hospital"/>
    <s v="Montgomery"/>
    <n v="195.7"/>
    <n v="4.8"/>
    <n v="265"/>
    <n v="270"/>
    <n v="34"/>
    <n v="0.34"/>
    <n v="270"/>
    <n v="1.81"/>
    <n v="98"/>
    <n v="15439"/>
  </r>
  <r>
    <x v="1228"/>
    <s v="010009 (Closed)"/>
    <s v="AL"/>
    <s v="AL - Morgan"/>
    <n v="35640"/>
    <s v="Hartselle Medical Center (Closed 1/31/2012)"/>
    <s v="Short Term Acute Care Hospital"/>
    <s v="Hartselle"/>
    <n v="8.6"/>
    <n v="3.3"/>
    <m/>
    <m/>
    <m/>
    <n v="0.7"/>
    <m/>
    <m/>
    <n v="99"/>
    <n v="967"/>
  </r>
  <r>
    <x v="1228"/>
    <s v="010085"/>
    <s v="AL"/>
    <s v="AL - Morgan"/>
    <n v="35601"/>
    <s v="Decatur Morgan Hospital - Decatur Campus (FKA Decatur General Hospital)"/>
    <s v="Short Term Acute Care Hospital"/>
    <s v="Decatur"/>
    <n v="110.8"/>
    <n v="4.7"/>
    <n v="237"/>
    <n v="222"/>
    <n v="23"/>
    <n v="0.7"/>
    <n v="222"/>
    <n v="1.47"/>
    <n v="100"/>
    <n v="8787"/>
  </r>
  <r>
    <x v="1228"/>
    <s v="010085*"/>
    <s v="AL"/>
    <s v="AL - Morgan"/>
    <n v="35603"/>
    <s v="Decatur Morgan Hospital - Parkway Campus"/>
    <s v="Short Term Acute Care Hospital"/>
    <s v="Decatur"/>
    <m/>
    <m/>
    <n v="11"/>
    <m/>
    <m/>
    <m/>
    <n v="120"/>
    <m/>
    <n v="101"/>
    <m/>
  </r>
  <r>
    <x v="1229"/>
    <s v="010109 (Closed)"/>
    <s v="AL"/>
    <s v="AL - Pickens"/>
    <n v="35447"/>
    <s v="Pickens County Medical Center (Closed)"/>
    <s v="Short Term Acute Care Hospital"/>
    <s v="Carrollton"/>
    <n v="5.8"/>
    <n v="4.3"/>
    <m/>
    <m/>
    <m/>
    <n v="0.34"/>
    <m/>
    <n v="1.03"/>
    <n v="102"/>
    <n v="484"/>
  </r>
  <r>
    <x v="1230"/>
    <s v="010126"/>
    <s v="AL"/>
    <s v="AL - Pike"/>
    <n v="36081"/>
    <s v="Troy Regional Medical Center"/>
    <s v="Short Term Acute Care Hospital"/>
    <s v="Troy"/>
    <n v="17.8"/>
    <n v="3.8"/>
    <n v="54"/>
    <n v="97"/>
    <n v="9"/>
    <n v="1"/>
    <n v="97"/>
    <n v="1.33"/>
    <n v="103"/>
    <n v="1736"/>
  </r>
  <r>
    <x v="3"/>
    <m/>
    <s v="AL"/>
    <s v="AL - Randolph"/>
    <n v="36278"/>
    <s v="Wedowee Hospital (Closed)"/>
    <s v="Short Term Acute Care Hospital"/>
    <s v="Wedowee"/>
    <m/>
    <m/>
    <m/>
    <m/>
    <m/>
    <m/>
    <m/>
    <m/>
    <n v="105"/>
    <m/>
  </r>
  <r>
    <x v="1231"/>
    <s v="010168"/>
    <s v="AL"/>
    <s v="AL - Russell"/>
    <n v="36867"/>
    <s v="Jack Hughston Memorial Hospital"/>
    <s v="Short Term Acute Care Hospital"/>
    <s v="Phenix City"/>
    <n v="18.3"/>
    <n v="2.2999999999999998"/>
    <n v="57"/>
    <n v="47"/>
    <n v="8"/>
    <n v="0.33"/>
    <n v="47"/>
    <n v="2.29"/>
    <n v="106"/>
    <n v="2926"/>
  </r>
  <r>
    <x v="1232"/>
    <s v="010130"/>
    <s v="AL"/>
    <s v="AL - Saint Clair"/>
    <n v="35125"/>
    <s v="St Vincents St Clair"/>
    <s v="Short Term Acute Care Hospital"/>
    <s v="Pell City"/>
    <n v="23.5"/>
    <n v="4.5999999999999996"/>
    <n v="71"/>
    <n v="40"/>
    <n v="6"/>
    <n v="0.19"/>
    <n v="40"/>
    <n v="1.08"/>
    <n v="107"/>
    <n v="1850"/>
  </r>
  <r>
    <x v="1233"/>
    <s v="010016"/>
    <s v="AL"/>
    <s v="AL - Shelby"/>
    <n v="35007"/>
    <s v="Shelby Baptist Medical Center"/>
    <s v="Short Term Acute Care Hospital"/>
    <s v="Alabaster"/>
    <n v="115"/>
    <n v="4.4000000000000004"/>
    <n v="197"/>
    <n v="212"/>
    <n v="32"/>
    <n v="0.19"/>
    <n v="212"/>
    <n v="1.75"/>
    <n v="108"/>
    <n v="10376"/>
  </r>
  <r>
    <x v="1234"/>
    <s v="010138"/>
    <s v="AL"/>
    <s v="AL - Sumter"/>
    <n v="36925"/>
    <s v="Hill Hospital of Sumter County"/>
    <s v="Short Term Acute Care Hospital"/>
    <s v="York"/>
    <n v="15"/>
    <n v="12.6"/>
    <n v="9"/>
    <n v="33"/>
    <m/>
    <m/>
    <n v="33"/>
    <n v="0.81"/>
    <n v="109"/>
    <n v="435"/>
  </r>
  <r>
    <x v="1235"/>
    <s v="010164"/>
    <s v="AL"/>
    <s v="AL - Talladega"/>
    <n v="35150"/>
    <s v="Coosa Valley Medical Center"/>
    <s v="Short Term Acute Care Hospital"/>
    <s v="Sylacauga"/>
    <n v="31.7"/>
    <n v="4.2"/>
    <n v="76"/>
    <n v="122"/>
    <n v="8"/>
    <n v="0.56999999999999995"/>
    <n v="122"/>
    <n v="1.37"/>
    <n v="110"/>
    <n v="3011"/>
  </r>
  <r>
    <x v="1235"/>
    <s v="010101"/>
    <s v="AL"/>
    <s v="AL - Talladega"/>
    <n v="35160"/>
    <s v="Citizens Baptist Medical Center"/>
    <s v="Short Term Acute Care Hospital"/>
    <s v="Talladega"/>
    <n v="17.600000000000001"/>
    <n v="3.4"/>
    <n v="42"/>
    <n v="85"/>
    <n v="6"/>
    <n v="0.56999999999999995"/>
    <n v="85"/>
    <n v="1.17"/>
    <n v="111"/>
    <n v="1916"/>
  </r>
  <r>
    <x v="1236"/>
    <s v="010052"/>
    <s v="AL"/>
    <s v="AL - Tallapoosa"/>
    <n v="36853"/>
    <s v="Lake Martin Community Hospital"/>
    <s v="Short Term Acute Care Hospital"/>
    <s v="Dadeville"/>
    <n v="4.4000000000000004"/>
    <n v="2.8"/>
    <n v="8"/>
    <n v="46"/>
    <m/>
    <n v="0.77"/>
    <n v="46"/>
    <n v="1"/>
    <n v="112"/>
    <n v="574"/>
  </r>
  <r>
    <x v="1236"/>
    <s v="010065"/>
    <s v="AL"/>
    <s v="AL - Tallapoosa"/>
    <n v="35010"/>
    <s v="Russell Medical Center"/>
    <s v="Short Term Acute Care Hospital"/>
    <s v="Alexander City"/>
    <n v="15.7"/>
    <n v="3.4"/>
    <n v="83"/>
    <n v="34"/>
    <n v="6"/>
    <n v="0.77"/>
    <n v="34"/>
    <n v="1.35"/>
    <n v="113"/>
    <n v="2380"/>
  </r>
  <r>
    <x v="1237"/>
    <s v="010092"/>
    <s v="AL"/>
    <s v="AL - Tuscaloosa"/>
    <n v="35401"/>
    <s v="DCH Regional Medical Center"/>
    <s v="Short Term Acute Care Hospital"/>
    <s v="Tuscaloosa"/>
    <n v="383.1"/>
    <n v="4.7"/>
    <n v="621"/>
    <n v="524"/>
    <n v="40"/>
    <m/>
    <n v="524"/>
    <n v="1.63"/>
    <n v="114"/>
    <n v="31491"/>
  </r>
  <r>
    <x v="1237"/>
    <s v="010092*"/>
    <s v="AL"/>
    <s v="AL - Tuscaloosa"/>
    <n v="35476"/>
    <s v="Northport Medical Center"/>
    <s v="Short Term Acute Care Hospital"/>
    <s v="Northport"/>
    <m/>
    <m/>
    <n v="2"/>
    <m/>
    <m/>
    <m/>
    <n v="204"/>
    <m/>
    <n v="116"/>
    <m/>
  </r>
  <r>
    <x v="1238"/>
    <s v="010089"/>
    <s v="AL"/>
    <s v="AL - Walker"/>
    <n v="35501"/>
    <s v="Walker Baptist Medical Center"/>
    <s v="Short Term Acute Care Hospital"/>
    <s v="Jasper"/>
    <n v="59.5"/>
    <n v="4.0999999999999996"/>
    <n v="114"/>
    <n v="207"/>
    <n v="12"/>
    <n v="1"/>
    <n v="207"/>
    <n v="1.36"/>
    <n v="117"/>
    <n v="5842"/>
  </r>
  <r>
    <x v="1239"/>
    <s v="010102"/>
    <s v="AL"/>
    <s v="AL - Wilcox"/>
    <n v="36726"/>
    <s v="J Paul Jones Hospital"/>
    <s v="Short Term Acute Care Hospital"/>
    <s v="Camden"/>
    <n v="1.4"/>
    <n v="2.8"/>
    <n v="7"/>
    <n v="21"/>
    <m/>
    <m/>
    <n v="21"/>
    <n v="0.89"/>
    <n v="119"/>
    <n v="180"/>
  </r>
  <r>
    <x v="1240"/>
    <s v="010125"/>
    <s v="AL"/>
    <s v="AL - Winston"/>
    <n v="35565"/>
    <s v="Lakeland Community Hospital"/>
    <s v="Short Term Acute Care Hospital"/>
    <s v="Haleyville"/>
    <n v="13.9"/>
    <n v="4"/>
    <n v="19"/>
    <n v="49"/>
    <n v="4"/>
    <m/>
    <n v="49"/>
    <n v="1.01"/>
    <n v="120"/>
    <n v="1258"/>
  </r>
  <r>
    <x v="1241"/>
    <s v="020001"/>
    <s v="AK"/>
    <s v="AK - Anchorage"/>
    <n v="99508"/>
    <s v="Providence Alaska Medical Center"/>
    <s v="Short Term Acute Care Hospital"/>
    <s v="Anchorage"/>
    <n v="289.39999999999998"/>
    <n v="7"/>
    <n v="822"/>
    <n v="391"/>
    <n v="46"/>
    <n v="0.44"/>
    <n v="391"/>
    <n v="2.08"/>
    <n v="121"/>
    <n v="15660"/>
  </r>
  <r>
    <x v="1241"/>
    <s v="020017"/>
    <s v="AK"/>
    <s v="AK - Anchorage"/>
    <n v="99508"/>
    <s v="Alaska Regional Hospital"/>
    <s v="Short Term Acute Care Hospital"/>
    <s v="Anchorage"/>
    <n v="92.7"/>
    <n v="5.4"/>
    <n v="253"/>
    <n v="164"/>
    <n v="14"/>
    <n v="0.44"/>
    <n v="164"/>
    <n v="2.23"/>
    <n v="122"/>
    <n v="6388"/>
  </r>
  <r>
    <x v="1241"/>
    <s v="020026"/>
    <s v="AK"/>
    <s v="AK - Anchorage"/>
    <n v="99508"/>
    <s v="Alaska Native Medical Center"/>
    <s v="Short Term Acute Care Hospital"/>
    <s v="Anchorage"/>
    <n v="105.8"/>
    <n v="4.5999999999999996"/>
    <n v="558"/>
    <n v="174"/>
    <m/>
    <m/>
    <n v="174"/>
    <n v="1.71"/>
    <n v="123"/>
    <n v="8376"/>
  </r>
  <r>
    <x v="1241"/>
    <m/>
    <s v="AK"/>
    <s v="AK - Anchorage"/>
    <n v="99508"/>
    <s v="Chris Kyle Patriots Hospital"/>
    <s v="Short Term Acute Care Hospital"/>
    <s v="Anchorage"/>
    <m/>
    <m/>
    <m/>
    <m/>
    <m/>
    <m/>
    <m/>
    <m/>
    <n v="975738"/>
    <m/>
  </r>
  <r>
    <x v="1242"/>
    <s v="020018"/>
    <s v="AK"/>
    <s v="AK - Bethel"/>
    <n v="99559"/>
    <s v="Yukon-Kuskokwim Delta Regional Hospital"/>
    <s v="Short Term Acute Care Hospital"/>
    <s v="Bethel"/>
    <n v="13.6"/>
    <n v="2.7"/>
    <n v="118"/>
    <n v="34"/>
    <m/>
    <m/>
    <n v="34"/>
    <n v="1.04"/>
    <n v="124"/>
    <n v="1822"/>
  </r>
  <r>
    <x v="1243"/>
    <s v="020012"/>
    <s v="AK"/>
    <s v="AK - Fairbanks North Star"/>
    <n v="99701"/>
    <s v="Fairbanks Memorial Hospital"/>
    <s v="Short Term Acute Care Hospital"/>
    <s v="Fairbanks"/>
    <n v="48.2"/>
    <n v="4.7"/>
    <n v="304"/>
    <n v="122"/>
    <n v="13"/>
    <n v="1"/>
    <n v="122"/>
    <n v="1.63"/>
    <n v="126"/>
    <n v="4467"/>
  </r>
  <r>
    <x v="1244"/>
    <s v="020008"/>
    <s v="AK"/>
    <s v="AK - Juneau"/>
    <n v="99801"/>
    <s v="Bartlett Regional Hospital"/>
    <s v="Short Term Acute Care Hospital"/>
    <s v="Juneau"/>
    <n v="16.5"/>
    <n v="4.0999999999999996"/>
    <n v="129"/>
    <n v="45"/>
    <n v="9"/>
    <n v="1"/>
    <n v="45"/>
    <n v="1.34"/>
    <n v="127"/>
    <n v="1647"/>
  </r>
  <r>
    <x v="6"/>
    <s v="020024"/>
    <s v="AK"/>
    <s v="AK - Kenai Peninsula"/>
    <n v="99669"/>
    <s v="Central Peninsula Hospital"/>
    <s v="Short Term Acute Care Hospital"/>
    <s v="Soldotna"/>
    <n v="31"/>
    <n v="4.7"/>
    <n v="146"/>
    <n v="49"/>
    <n v="6"/>
    <m/>
    <n v="49"/>
    <n v="1.6"/>
    <n v="128"/>
    <n v="2525"/>
  </r>
  <r>
    <x v="1245"/>
    <s v="020006"/>
    <s v="AK"/>
    <s v="AK - Matanuska Susitna"/>
    <n v="99645"/>
    <s v="Mat-Su Regional Medical Center"/>
    <s v="Short Term Acute Care Hospital"/>
    <s v="Palmer"/>
    <n v="49.5"/>
    <n v="4.5"/>
    <n v="226"/>
    <n v="74"/>
    <n v="14"/>
    <n v="0.44"/>
    <n v="74"/>
    <n v="1.84"/>
    <n v="134"/>
    <n v="4324"/>
  </r>
  <r>
    <x v="16"/>
    <s v="030071"/>
    <s v="AZ"/>
    <s v="AZ - Apache"/>
    <n v="86504"/>
    <s v="Fort Defiance Indian Hospital"/>
    <s v="Short Term Acute Care Hospital"/>
    <s v="Fort Defiance"/>
    <n v="26.3"/>
    <n v="3.8"/>
    <n v="136"/>
    <n v="56"/>
    <m/>
    <m/>
    <n v="56"/>
    <n v="1"/>
    <n v="141"/>
    <n v="2555"/>
  </r>
  <r>
    <x v="16"/>
    <s v="030084"/>
    <s v="AZ"/>
    <s v="AZ - Apache"/>
    <n v="86503"/>
    <s v="Chinle Comprehensive Health Care Facility"/>
    <s v="Short Term Acute Care Hospital"/>
    <s v="Chinle"/>
    <n v="13"/>
    <n v="3.1"/>
    <n v="154"/>
    <n v="60"/>
    <m/>
    <m/>
    <n v="60"/>
    <n v="1.1499999999999999"/>
    <n v="142"/>
    <n v="1534"/>
  </r>
  <r>
    <x v="17"/>
    <s v="030043"/>
    <s v="AZ"/>
    <s v="AZ - Cochise"/>
    <n v="85635"/>
    <s v="Canyon Vista Medical Center (FKA Sierra Vista Regional Health Center)"/>
    <s v="Short Term Acute Care Hospital"/>
    <s v="Sierra Vista"/>
    <n v="35.799999999999997"/>
    <n v="3"/>
    <n v="197"/>
    <n v="75"/>
    <n v="12"/>
    <n v="0.41"/>
    <n v="75"/>
    <n v="1.46"/>
    <n v="149"/>
    <n v="4879"/>
  </r>
  <r>
    <x v="18"/>
    <s v="030023"/>
    <s v="AZ"/>
    <s v="AZ - Coconino"/>
    <n v="86001"/>
    <s v="Flagstaff Medical Center"/>
    <s v="Short Term Acute Care Hospital"/>
    <s v="Flagstaff"/>
    <n v="139.1"/>
    <n v="4.4000000000000004"/>
    <n v="428"/>
    <n v="242"/>
    <n v="41"/>
    <n v="0.92"/>
    <n v="242"/>
    <n v="2.19"/>
    <n v="150"/>
    <n v="12442"/>
  </r>
  <r>
    <x v="18"/>
    <s v="030073"/>
    <s v="AZ"/>
    <s v="AZ - Coconino"/>
    <n v="86045"/>
    <s v="Tuba City Regional Health Care"/>
    <s v="Short Term Acute Care Hospital"/>
    <s v="Tuba City"/>
    <n v="29"/>
    <n v="4.8"/>
    <n v="164"/>
    <n v="73"/>
    <m/>
    <m/>
    <n v="73"/>
    <n v="1.39"/>
    <n v="152"/>
    <n v="2226"/>
  </r>
  <r>
    <x v="19"/>
    <s v="030077"/>
    <s v="AZ"/>
    <s v="AZ - Gila"/>
    <n v="85542"/>
    <s v="San Carlos Apache Healthcare (FKA PHS Indian Hospital - San Carlos)"/>
    <s v="Short Term Acute Care Hospital"/>
    <s v="Peridot"/>
    <n v="3.2"/>
    <n v="3.5"/>
    <n v="51"/>
    <n v="8"/>
    <m/>
    <m/>
    <n v="8"/>
    <n v="0.96"/>
    <n v="153"/>
    <n v="338"/>
  </r>
  <r>
    <x v="1246"/>
    <s v="030068"/>
    <s v="AZ"/>
    <s v="AZ - Graham"/>
    <n v="85546"/>
    <s v="Mt Graham Regional Medical Center"/>
    <s v="Short Term Acute Care Hospital"/>
    <s v="Safford"/>
    <n v="10.199999999999999"/>
    <n v="2.5"/>
    <n v="94"/>
    <n v="49"/>
    <m/>
    <n v="1"/>
    <n v="49"/>
    <n v="1.51"/>
    <n v="156"/>
    <n v="1806"/>
  </r>
  <r>
    <x v="21"/>
    <s v="030065"/>
    <s v="AZ"/>
    <s v="AZ - Maricopa"/>
    <n v="85202"/>
    <s v="Banner Desert Medical Center"/>
    <s v="Short Term Acute Care Hospital"/>
    <s v="Mesa"/>
    <n v="435.8"/>
    <n v="4.5"/>
    <n v="694"/>
    <n v="615"/>
    <n v="51"/>
    <n v="0.05"/>
    <n v="615"/>
    <n v="1.89"/>
    <n v="158"/>
    <n v="37223"/>
  </r>
  <r>
    <x v="21"/>
    <s v="030061"/>
    <s v="AZ"/>
    <s v="AZ - Maricopa"/>
    <n v="85351"/>
    <s v="Banner Boswell Medical Center"/>
    <s v="Short Term Acute Care Hospital"/>
    <s v="Sun City"/>
    <n v="212.7"/>
    <n v="4.7"/>
    <n v="355"/>
    <n v="410"/>
    <n v="85"/>
    <n v="0.05"/>
    <n v="410"/>
    <n v="1.93"/>
    <n v="159"/>
    <n v="13678"/>
  </r>
  <r>
    <x v="21"/>
    <s v="030024"/>
    <s v="AZ"/>
    <s v="AZ - Maricopa"/>
    <n v="85013"/>
    <s v="St Josephs Hospital and Medical Center"/>
    <s v="Short Term Acute Care Hospital"/>
    <s v="Phoenix"/>
    <n v="401.2"/>
    <n v="4.4000000000000004"/>
    <n v="794"/>
    <n v="501"/>
    <m/>
    <n v="0.05"/>
    <n v="501"/>
    <n v="2.4300000000000002"/>
    <n v="160"/>
    <n v="35216"/>
  </r>
  <r>
    <x v="21"/>
    <s v="030030"/>
    <s v="AZ"/>
    <s v="AZ - Maricopa"/>
    <n v="85015"/>
    <s v="Abrazo Central Campus (FKA Phoenix Baptist Hospital)"/>
    <s v="Short Term Acute Care Hospital"/>
    <s v="Phoenix"/>
    <n v="87.9"/>
    <n v="4.3"/>
    <n v="187"/>
    <n v="144"/>
    <n v="28"/>
    <n v="0.05"/>
    <n v="144"/>
    <n v="1.72"/>
    <n v="161"/>
    <n v="7687"/>
  </r>
  <r>
    <x v="21"/>
    <s v="030036"/>
    <s v="AZ"/>
    <s v="AZ - Maricopa"/>
    <n v="85224"/>
    <s v="Chandler Regional Medical Center"/>
    <s v="Short Term Acute Care Hospital"/>
    <s v="Chandler"/>
    <n v="265.89999999999998"/>
    <n v="4.8"/>
    <n v="610"/>
    <n v="338"/>
    <n v="49"/>
    <n v="0.05"/>
    <n v="96"/>
    <n v="1.97"/>
    <n v="162"/>
    <n v="21450"/>
  </r>
  <r>
    <x v="21"/>
    <m/>
    <s v="AZ"/>
    <s v="AZ - Maricopa"/>
    <n v="85006"/>
    <s v="St Lukes Medical Center (Closed)"/>
    <s v="Short Term Acute Care Hospital"/>
    <s v="Phoenix"/>
    <m/>
    <m/>
    <m/>
    <m/>
    <m/>
    <m/>
    <m/>
    <n v="1.95"/>
    <n v="163"/>
    <m/>
  </r>
  <r>
    <x v="21"/>
    <s v="030038"/>
    <s v="AZ"/>
    <s v="AZ - Maricopa"/>
    <n v="85251"/>
    <s v="HonorHealth Scottsdale Osborn Medical Center"/>
    <s v="Short Term Acute Care Hospital"/>
    <s v="Scottsdale"/>
    <n v="163.4"/>
    <n v="4.5"/>
    <n v="517"/>
    <n v="327"/>
    <n v="59"/>
    <n v="0.05"/>
    <n v="337"/>
    <n v="1.72"/>
    <n v="164"/>
    <n v="12857"/>
  </r>
  <r>
    <x v="21"/>
    <s v="030022"/>
    <s v="AZ"/>
    <s v="AZ - Maricopa"/>
    <n v="85008"/>
    <s v="Valleywise Health Medical Center (FKA Maricopa Medical Center)"/>
    <s v="Short Term Acute Care Hospital"/>
    <s v="Phoenix"/>
    <n v="158.6"/>
    <n v="4.5999999999999996"/>
    <n v="603"/>
    <n v="323"/>
    <n v="20"/>
    <n v="0.05"/>
    <n v="323"/>
    <n v="1.62"/>
    <n v="165"/>
    <n v="12471"/>
  </r>
  <r>
    <x v="21"/>
    <s v="030014"/>
    <s v="AZ"/>
    <s v="AZ - Maricopa"/>
    <n v="85020"/>
    <s v="HonorHealth John C Lincoln Medical Center (FKA John C Lincoln North Mountain Hospital)"/>
    <s v="Short Term Acute Care Hospital"/>
    <s v="Phoenix"/>
    <n v="154.30000000000001"/>
    <n v="4.8"/>
    <n v="472"/>
    <n v="262"/>
    <n v="20"/>
    <n v="0.05"/>
    <n v="262"/>
    <n v="1.82"/>
    <n v="166"/>
    <n v="11618"/>
  </r>
  <r>
    <x v="21"/>
    <m/>
    <s v="AZ"/>
    <s v="AZ - Maricopa"/>
    <n v="85031"/>
    <s v="Valleywise Behavioral Health Center - Maryvale (FKA MIHS Maryvale Hospital)"/>
    <s v="Short Term Acute Care Hospital"/>
    <s v="Phoenix"/>
    <n v="41.5"/>
    <n v="4.2"/>
    <n v="1"/>
    <n v="228"/>
    <n v="16"/>
    <n v="0.05"/>
    <n v="228"/>
    <m/>
    <n v="167"/>
    <n v="3661"/>
  </r>
  <r>
    <x v="21"/>
    <s v="030002"/>
    <s v="AZ"/>
    <s v="AZ - Maricopa"/>
    <n v="85006"/>
    <s v="Banner - University Medical Center Phoenix (FKA Banner Good Samaritan Medical Center)"/>
    <s v="Short Term Acute Care Hospital"/>
    <s v="Phoenix"/>
    <n v="453.1"/>
    <n v="5.7"/>
    <n v="845"/>
    <n v="622"/>
    <n v="46"/>
    <n v="0.05"/>
    <n v="622"/>
    <n v="2.63"/>
    <n v="168"/>
    <n v="30170"/>
  </r>
  <r>
    <x v="21"/>
    <s v="030078"/>
    <s v="AZ"/>
    <s v="AZ - Maricopa"/>
    <n v="85016"/>
    <s v="Phoenix Indian Medical Center"/>
    <s v="Short Term Acute Care Hospital"/>
    <s v="Phoenix"/>
    <n v="20.8"/>
    <n v="3.1"/>
    <n v="205"/>
    <n v="133"/>
    <m/>
    <m/>
    <n v="133"/>
    <n v="1.51"/>
    <n v="169"/>
    <n v="2428"/>
  </r>
  <r>
    <x v="21"/>
    <s v="030083"/>
    <s v="AZ"/>
    <s v="AZ - Maricopa"/>
    <n v="85032"/>
    <s v="Abrazo Scottsdale Campus (FKA Paradise Valley Hospital)"/>
    <s v="Short Term Acute Care Hospital"/>
    <s v="Phoenix"/>
    <n v="52.2"/>
    <n v="3.4"/>
    <n v="148"/>
    <n v="120"/>
    <n v="14"/>
    <n v="0.05"/>
    <n v="120"/>
    <n v="1.68"/>
    <n v="170"/>
    <n v="5653"/>
  </r>
  <r>
    <x v="21"/>
    <s v="030087"/>
    <s v="AZ"/>
    <s v="AZ - Maricopa"/>
    <n v="85260"/>
    <s v="HonorHealth Scottsdale Shea Medical Center"/>
    <s v="Short Term Acute Care Hospital"/>
    <s v="Scottsdale"/>
    <n v="224.9"/>
    <n v="5.9"/>
    <n v="855"/>
    <n v="427"/>
    <n v="25"/>
    <n v="0.05"/>
    <n v="427"/>
    <n v="1.97"/>
    <n v="171"/>
    <n v="15336"/>
  </r>
  <r>
    <x v="21"/>
    <s v="030088"/>
    <s v="AZ"/>
    <s v="AZ - Maricopa"/>
    <n v="85206"/>
    <s v="Banner Baywood Medical Center"/>
    <s v="Short Term Acute Care Hospital"/>
    <s v="Mesa"/>
    <n v="187"/>
    <n v="4.7"/>
    <n v="539"/>
    <n v="318"/>
    <n v="26"/>
    <n v="0.05"/>
    <n v="318"/>
    <n v="1.66"/>
    <n v="172"/>
    <n v="14601"/>
  </r>
  <r>
    <x v="21"/>
    <s v="030089"/>
    <s v="AZ"/>
    <s v="AZ - Maricopa"/>
    <n v="85306"/>
    <s v="Banner Thunderbird Medical Center"/>
    <s v="Short Term Acute Care Hospital"/>
    <s v="Glendale"/>
    <n v="299.7"/>
    <n v="4.3"/>
    <n v="546"/>
    <n v="499"/>
    <n v="40"/>
    <n v="0.05"/>
    <n v="499"/>
    <n v="2.12"/>
    <n v="173"/>
    <n v="27882"/>
  </r>
  <r>
    <x v="21"/>
    <s v="030092"/>
    <s v="AZ"/>
    <s v="AZ - Maricopa"/>
    <n v="85027"/>
    <s v="HonorHealth Deer Valley Medical Center"/>
    <s v="Short Term Acute Care Hospital"/>
    <s v="Phoenix"/>
    <n v="145.69999999999999"/>
    <n v="4.5"/>
    <n v="454"/>
    <n v="204"/>
    <m/>
    <n v="0.05"/>
    <n v="204"/>
    <n v="1.85"/>
    <n v="174"/>
    <n v="11940"/>
  </r>
  <r>
    <x v="21"/>
    <s v="030093"/>
    <s v="AZ"/>
    <s v="AZ - Maricopa"/>
    <n v="85375"/>
    <s v="Banner Del E Webb Medical Center"/>
    <s v="Short Term Acute Care Hospital"/>
    <s v="Sun City West"/>
    <n v="164.2"/>
    <n v="4.2"/>
    <n v="391"/>
    <n v="314"/>
    <n v="34"/>
    <n v="0.05"/>
    <n v="314"/>
    <n v="1.66"/>
    <n v="175"/>
    <n v="15239"/>
  </r>
  <r>
    <x v="21"/>
    <s v="030094"/>
    <s v="AZ"/>
    <s v="AZ - Maricopa"/>
    <n v="85308"/>
    <s v="Abrazo Arrowhead Campus (FKA Arrowhead Hospital)"/>
    <s v="Short Term Acute Care Hospital"/>
    <s v="Glendale"/>
    <n v="157.1"/>
    <n v="4"/>
    <n v="277"/>
    <n v="262"/>
    <n v="38"/>
    <n v="0.05"/>
    <n v="217"/>
    <n v="2.1800000000000002"/>
    <n v="176"/>
    <n v="15927"/>
  </r>
  <r>
    <x v="21"/>
    <s v="030030*"/>
    <s v="AZ"/>
    <s v="AZ - Maricopa"/>
    <n v="85016"/>
    <s v="Abrazo Arizona Heart Hospital"/>
    <s v="Short Term Acute Care Hospital"/>
    <s v="Phoenix"/>
    <m/>
    <m/>
    <n v="16"/>
    <m/>
    <m/>
    <m/>
    <n v="59"/>
    <m/>
    <n v="177"/>
    <m/>
  </r>
  <r>
    <x v="21"/>
    <s v="030103"/>
    <s v="AZ"/>
    <s v="AZ - Maricopa"/>
    <n v="85054"/>
    <s v="Mayo Clinic Hospital - Arizona"/>
    <s v="Short Term Acute Care Hospital"/>
    <s v="Phoenix"/>
    <n v="206.5"/>
    <n v="4.5999999999999996"/>
    <n v="1157"/>
    <n v="266"/>
    <n v="30"/>
    <n v="0.05"/>
    <n v="266"/>
    <n v="2.2400000000000002"/>
    <n v="178"/>
    <n v="16363"/>
  </r>
  <r>
    <x v="21"/>
    <s v="030105"/>
    <s v="AZ"/>
    <s v="AZ - Maricopa"/>
    <n v="85206"/>
    <s v="Banner Heart Hospital"/>
    <s v="Short Term Acute Care Hospital"/>
    <s v="Mesa"/>
    <n v="54.3"/>
    <n v="4.2"/>
    <n v="45"/>
    <n v="111"/>
    <m/>
    <n v="0.05"/>
    <n v="111"/>
    <n v="2.62"/>
    <n v="179"/>
    <n v="4708"/>
  </r>
  <r>
    <x v="21"/>
    <s v="030107"/>
    <s v="AZ"/>
    <s v="AZ - Maricopa"/>
    <n v="85206"/>
    <s v="Arizona Spine &amp; Joint Hospital"/>
    <s v="Short Term Acute Care Hospital"/>
    <s v="Mesa"/>
    <n v="5.7"/>
    <n v="1.4"/>
    <n v="58"/>
    <n v="23"/>
    <m/>
    <n v="0.05"/>
    <n v="23"/>
    <n v="2.5"/>
    <n v="180"/>
    <n v="1460"/>
  </r>
  <r>
    <x v="21"/>
    <s v="030108"/>
    <s v="AZ"/>
    <s v="AZ - Maricopa"/>
    <n v="85015"/>
    <s v="CORE Institute Specialty Hospital (FKA the Surgical Hospital of Phoenix)"/>
    <s v="Short Term Acute Care Hospital"/>
    <s v="Phoenix"/>
    <n v="6.8"/>
    <n v="1.2"/>
    <n v="70"/>
    <n v="32"/>
    <m/>
    <n v="0.05"/>
    <n v="32"/>
    <n v="2.5"/>
    <n v="181"/>
    <n v="2147"/>
  </r>
  <r>
    <x v="21"/>
    <s v="030110"/>
    <s v="AZ"/>
    <s v="AZ - Maricopa"/>
    <n v="85395"/>
    <s v="Abrazo West Campus (FKA West Valley Hospital)"/>
    <s v="Short Term Acute Care Hospital"/>
    <s v="Goodyear"/>
    <n v="133.1"/>
    <n v="4.2"/>
    <n v="219"/>
    <n v="179"/>
    <n v="20"/>
    <n v="0.05"/>
    <n v="179"/>
    <n v="1.61"/>
    <n v="182"/>
    <n v="12134"/>
  </r>
  <r>
    <x v="21"/>
    <s v="030115"/>
    <s v="AZ"/>
    <s v="AZ - Maricopa"/>
    <n v="85037"/>
    <s v="Banner Estrella Medical Center"/>
    <s v="Short Term Acute Care Hospital"/>
    <s v="Phoenix"/>
    <n v="192.7"/>
    <n v="4.3"/>
    <n v="299"/>
    <n v="317"/>
    <n v="24"/>
    <n v="0.05"/>
    <n v="317"/>
    <n v="1.8"/>
    <n v="185"/>
    <n v="18088"/>
  </r>
  <r>
    <x v="21"/>
    <s v="030119"/>
    <s v="AZ"/>
    <s v="AZ - Maricopa"/>
    <n v="85297"/>
    <s v="Mercy Gilbert Medical Center"/>
    <s v="Short Term Acute Care Hospital"/>
    <s v="Gilbert"/>
    <n v="141"/>
    <n v="4"/>
    <n v="325"/>
    <n v="198"/>
    <n v="24"/>
    <n v="0.05"/>
    <n v="198"/>
    <n v="1.69"/>
    <n v="186"/>
    <n v="15178"/>
  </r>
  <r>
    <x v="21"/>
    <s v="030120 (Closed)"/>
    <s v="AZ"/>
    <s v="AZ - Maricopa"/>
    <n v="85295"/>
    <s v="Gilbert Hospital (Closed June 15 2018)"/>
    <s v="Short Term Acute Care Hospital"/>
    <s v="Gilbert"/>
    <n v="3.1"/>
    <n v="3.2"/>
    <m/>
    <m/>
    <m/>
    <n v="0.05"/>
    <m/>
    <n v="1.37"/>
    <n v="187"/>
    <n v="348"/>
  </r>
  <r>
    <x v="21"/>
    <s v="030121"/>
    <s v="AZ"/>
    <s v="AZ - Maricopa"/>
    <n v="85209"/>
    <s v="Mountain Vista Medical Center"/>
    <s v="Short Term Acute Care Hospital"/>
    <s v="Mesa"/>
    <n v="65.2"/>
    <n v="4.0999999999999996"/>
    <n v="179"/>
    <n v="142"/>
    <n v="30"/>
    <n v="0.05"/>
    <n v="142"/>
    <n v="2.0699999999999998"/>
    <n v="188"/>
    <n v="6418"/>
  </r>
  <r>
    <x v="21"/>
    <s v="030122"/>
    <s v="AZ"/>
    <s v="AZ - Maricopa"/>
    <n v="85234"/>
    <s v="Banner Gateway Medical Center"/>
    <s v="Short Term Acute Care Hospital"/>
    <s v="Gilbert"/>
    <n v="132.5"/>
    <n v="4.3"/>
    <n v="362"/>
    <n v="165"/>
    <n v="24"/>
    <n v="0.05"/>
    <n v="165"/>
    <n v="1.8"/>
    <n v="189"/>
    <n v="13162"/>
  </r>
  <r>
    <x v="21"/>
    <s v="030123"/>
    <s v="AZ"/>
    <s v="AZ - Maricopa"/>
    <n v="85255"/>
    <s v="HonorHealth Scottsdale Thompson Peak Medical Center"/>
    <s v="Short Term Acute Care Hospital"/>
    <s v="Scottsdale"/>
    <n v="63.1"/>
    <n v="3.4"/>
    <n v="139"/>
    <n v="120"/>
    <n v="8"/>
    <n v="0.05"/>
    <n v="120"/>
    <n v="1.74"/>
    <n v="190"/>
    <n v="6799"/>
  </r>
  <r>
    <x v="21"/>
    <s v="030126 (Closed)"/>
    <s v="AZ"/>
    <s v="AZ - Maricopa"/>
    <n v="85201"/>
    <s v="Arizona Regional Medical Center - Mesa (Closed April 2013)"/>
    <s v="Short Term Acute Care Hospital"/>
    <s v="Mesa"/>
    <n v="23"/>
    <n v="4.4000000000000004"/>
    <m/>
    <m/>
    <m/>
    <n v="0.05"/>
    <m/>
    <m/>
    <n v="191"/>
    <n v="2361"/>
  </r>
  <r>
    <x v="21"/>
    <s v="030017 (Closed)"/>
    <s v="AZ"/>
    <s v="AZ - Maricopa"/>
    <n v="85201"/>
    <s v="Mesa General Hospital (Closed June 2008)"/>
    <s v="Short Term Acute Care Hospital"/>
    <s v="Mesa"/>
    <n v="38.4"/>
    <n v="2.9"/>
    <m/>
    <m/>
    <m/>
    <n v="0.05"/>
    <m/>
    <m/>
    <n v="5248"/>
    <n v="5703"/>
  </r>
  <r>
    <x v="21"/>
    <s v="030131"/>
    <s v="AZ"/>
    <s v="AZ - Maricopa"/>
    <n v="85008"/>
    <s v="OASIS Hospital (AKA Orthopedic and Spine Inpatient Surgical Hospital)"/>
    <s v="Short Term Acute Care Hospital"/>
    <s v="Phoenix"/>
    <n v="23"/>
    <n v="2"/>
    <n v="61"/>
    <n v="64"/>
    <n v="4"/>
    <n v="0.05"/>
    <n v="64"/>
    <n v="2.3199999999999998"/>
    <n v="7166"/>
    <n v="4171"/>
  </r>
  <r>
    <x v="21"/>
    <s v="030037 "/>
    <s v="AZ"/>
    <s v="AZ - Maricopa"/>
    <n v="85281"/>
    <s v="Tempe St Lukes Hospital"/>
    <s v="Short Term Acute Care Hospital"/>
    <s v="Tempe"/>
    <n v="51.6"/>
    <n v="3.5"/>
    <n v="95"/>
    <n v="171"/>
    <n v="30"/>
    <n v="0.05"/>
    <n v="74"/>
    <m/>
    <n v="541912"/>
    <n v="5474"/>
  </r>
  <r>
    <x v="21"/>
    <s v="030138"/>
    <s v="AZ"/>
    <s v="AZ - Maricopa"/>
    <n v="85338"/>
    <s v="Cancer Treatment Centers of America - Phoenix"/>
    <s v="Short Term Acute Care Hospital"/>
    <s v="Goodyear"/>
    <n v="7.3"/>
    <n v="4.2"/>
    <n v="59"/>
    <n v="38"/>
    <m/>
    <m/>
    <n v="38"/>
    <n v="1.87"/>
    <n v="542243"/>
    <n v="634"/>
  </r>
  <r>
    <x v="21"/>
    <m/>
    <s v="AZ"/>
    <s v="AZ - Maricopa"/>
    <n v="85383"/>
    <s v="Peoria Regional Medical Center (Closed)"/>
    <s v="Short Term Acute Care Hospital"/>
    <s v="Peoria"/>
    <m/>
    <m/>
    <m/>
    <m/>
    <m/>
    <m/>
    <m/>
    <m/>
    <n v="551807"/>
    <m/>
  </r>
  <r>
    <x v="21"/>
    <m/>
    <s v="AZ"/>
    <s v="AZ - Maricopa"/>
    <n v="85014"/>
    <s v="Calvary Healing Center"/>
    <s v="Short Term Acute Care Hospital"/>
    <s v="Phoenix"/>
    <m/>
    <m/>
    <n v="1"/>
    <m/>
    <m/>
    <m/>
    <n v="18"/>
    <m/>
    <n v="581794"/>
    <m/>
  </r>
  <r>
    <x v="21"/>
    <m/>
    <s v="AZ"/>
    <s v="AZ - Maricopa"/>
    <n v="85255"/>
    <s v="Scottsdale Liberty Hospital (FKA Freedom Pain Hospital) (Closed)"/>
    <s v="Short Term Acute Care Hospital"/>
    <s v="Scottsdale"/>
    <m/>
    <m/>
    <m/>
    <m/>
    <m/>
    <m/>
    <m/>
    <m/>
    <n v="582559"/>
    <m/>
  </r>
  <r>
    <x v="21"/>
    <m/>
    <s v="AZ"/>
    <s v="AZ - Maricopa"/>
    <n v="85305"/>
    <s v="St Josephs Westgate Medical Center"/>
    <s v="Short Term Acute Care Hospital"/>
    <s v="Glendale"/>
    <m/>
    <m/>
    <n v="14"/>
    <m/>
    <m/>
    <m/>
    <n v="23"/>
    <m/>
    <n v="764468"/>
    <m/>
  </r>
  <r>
    <x v="21"/>
    <s v="030136"/>
    <s v="AZ"/>
    <s v="AZ - Maricopa"/>
    <n v="85339"/>
    <s v="Arizona General Hospital - Laveen"/>
    <s v="Short Term Acute Care Hospital"/>
    <s v="Laveen"/>
    <n v="3"/>
    <n v="2.6"/>
    <n v="101"/>
    <n v="16"/>
    <m/>
    <n v="0.05"/>
    <n v="16"/>
    <n v="1.39"/>
    <n v="777090"/>
    <n v="417"/>
  </r>
  <r>
    <x v="21"/>
    <m/>
    <s v="AZ"/>
    <s v="AZ - Maricopa"/>
    <n v="85251"/>
    <s v="HonorHealth Greenbaum Surgical Specialty Hospital"/>
    <s v="Short Term Acute Care Hospital"/>
    <s v="Scottsdale"/>
    <m/>
    <m/>
    <m/>
    <m/>
    <m/>
    <m/>
    <m/>
    <m/>
    <n v="833112"/>
    <m/>
  </r>
  <r>
    <x v="21"/>
    <m/>
    <s v="AZ"/>
    <s v="AZ - Maricopa"/>
    <n v="85224"/>
    <s v="Banner Ocotillo Medical Center (Opening Late 2020)"/>
    <s v="Short Term Acute Care Hospital"/>
    <s v="Chandler"/>
    <m/>
    <m/>
    <m/>
    <m/>
    <m/>
    <m/>
    <m/>
    <m/>
    <n v="968848"/>
    <m/>
  </r>
  <r>
    <x v="21"/>
    <s v="030139"/>
    <s v="AZ"/>
    <s v="AZ - Maricopa"/>
    <n v="85212"/>
    <s v="Arizona General Hospital - Mesa"/>
    <s v="Short Term Acute Care Hospital"/>
    <s v="Mesa"/>
    <m/>
    <m/>
    <n v="11"/>
    <m/>
    <m/>
    <m/>
    <n v="50"/>
    <m/>
    <n v="977610"/>
    <m/>
  </r>
  <r>
    <x v="21"/>
    <m/>
    <s v="AZ"/>
    <s v="AZ - Maricopa"/>
    <n v="85206"/>
    <s v="Abrazo Mesa Hospital"/>
    <s v="Short Term Acute Care Hospital"/>
    <s v="Mesa"/>
    <m/>
    <m/>
    <n v="1"/>
    <m/>
    <m/>
    <m/>
    <m/>
    <m/>
    <n v="977806"/>
    <m/>
  </r>
  <r>
    <x v="21"/>
    <m/>
    <s v="AZ"/>
    <s v="AZ - Maricopa"/>
    <n v="85286"/>
    <s v="Red Tail Hawk Health Center (AKA Haupal Health Center)"/>
    <s v="Short Term Acute Care Hospital"/>
    <s v="Chandler"/>
    <m/>
    <m/>
    <n v="2"/>
    <m/>
    <m/>
    <m/>
    <m/>
    <m/>
    <n v="975704"/>
    <m/>
  </r>
  <r>
    <x v="21"/>
    <m/>
    <s v="AZ"/>
    <s v="AZ - Maricopa"/>
    <n v="85248"/>
    <s v="Phoenix ER &amp; Medical Hospital"/>
    <s v="Short Term Acute Care Hospital"/>
    <s v="Chandler"/>
    <m/>
    <m/>
    <n v="4"/>
    <m/>
    <m/>
    <m/>
    <m/>
    <m/>
    <n v="975733"/>
    <m/>
  </r>
  <r>
    <x v="21"/>
    <m/>
    <s v="AZ"/>
    <s v="AZ - Maricopa"/>
    <n v="85268"/>
    <s v="Fountain Hills Medical Center (Opening November 2020)"/>
    <s v="Short Term Acute Care Hospital"/>
    <s v="Fountain Hills"/>
    <m/>
    <m/>
    <m/>
    <m/>
    <m/>
    <m/>
    <m/>
    <m/>
    <n v="1000166"/>
    <m/>
  </r>
  <r>
    <x v="21"/>
    <m/>
    <s v="AZ"/>
    <s v="AZ - Maricopa"/>
    <n v="85085"/>
    <s v="HonorHealth Sonoran Crossing Medical Center (Opening Fall 2020)"/>
    <s v="Short Term Acute Care Hospital"/>
    <s v="Phoenix"/>
    <m/>
    <m/>
    <m/>
    <m/>
    <m/>
    <m/>
    <m/>
    <m/>
    <n v="1006881"/>
    <m/>
  </r>
  <r>
    <x v="21"/>
    <m/>
    <s v="AZ"/>
    <s v="AZ - Maricopa"/>
    <n v="85297"/>
    <s v="Copper Springs East (Opening 2020)"/>
    <s v="Short Term Acute Care Hospital"/>
    <s v="Gilbert"/>
    <m/>
    <m/>
    <m/>
    <m/>
    <m/>
    <m/>
    <m/>
    <m/>
    <n v="1010983"/>
    <m/>
  </r>
  <r>
    <x v="21"/>
    <m/>
    <s v="AZ"/>
    <s v="AZ - Maricopa"/>
    <n v="85374"/>
    <s v="Abrazo Surprise Hospital (Opening Late 2020)"/>
    <s v="Short Term Acute Care Hospital"/>
    <s v="Surprise"/>
    <m/>
    <m/>
    <m/>
    <m/>
    <m/>
    <m/>
    <m/>
    <m/>
    <n v="1013579"/>
    <m/>
  </r>
  <r>
    <x v="21"/>
    <s v="030112"/>
    <s v="AZ"/>
    <s v="AZ - Maricopa"/>
    <n v="85224"/>
    <s v="Dignity Health Arizona Specialty Hospital (FKA Arizona Orthopedic Surgical Hospital)"/>
    <s v="Short Term Acute Care Hospital"/>
    <s v="Chandler"/>
    <n v="5.5"/>
    <n v="2.1"/>
    <n v="35"/>
    <n v="24"/>
    <m/>
    <n v="0.05"/>
    <n v="24"/>
    <n v="2.35"/>
    <n v="184"/>
    <n v="980"/>
  </r>
  <r>
    <x v="1247"/>
    <s v="030128 (Closed)"/>
    <s v="AZ"/>
    <s v="AZ - Mohave"/>
    <n v="86401"/>
    <s v="Hualapai Mountain Medical Center (Closed September 30 2011)"/>
    <s v="Short Term Acute Care Hospital"/>
    <s v="Kingman"/>
    <n v="18.399999999999999"/>
    <n v="4"/>
    <m/>
    <m/>
    <m/>
    <n v="0.31"/>
    <m/>
    <m/>
    <n v="193"/>
    <n v="1678"/>
  </r>
  <r>
    <x v="1247"/>
    <s v="030117"/>
    <s v="AZ"/>
    <s v="AZ - Mohave"/>
    <n v="86426"/>
    <s v="Valley View Medical Center"/>
    <s v="Short Term Acute Care Hospital"/>
    <s v="Fort Mohave"/>
    <n v="18.600000000000001"/>
    <n v="3.5"/>
    <n v="103"/>
    <n v="72"/>
    <n v="12"/>
    <n v="0.31"/>
    <n v="72"/>
    <n v="1.39"/>
    <n v="194"/>
    <n v="2147"/>
  </r>
  <r>
    <x v="1247"/>
    <s v="030101"/>
    <s v="AZ"/>
    <s v="AZ - Mohave"/>
    <n v="86442"/>
    <s v="Western Arizona Regional Medical Center"/>
    <s v="Short Term Acute Care Hospital"/>
    <s v="Bullhead City"/>
    <n v="57"/>
    <n v="4.3"/>
    <n v="123"/>
    <n v="139"/>
    <n v="32"/>
    <n v="0.31"/>
    <n v="139"/>
    <n v="1.69"/>
    <n v="195"/>
    <n v="4983"/>
  </r>
  <r>
    <x v="1247"/>
    <s v="030069"/>
    <s v="AZ"/>
    <s v="AZ - Mohave"/>
    <n v="86403"/>
    <s v="Havasu Regional Medical Center"/>
    <s v="Short Term Acute Care Hospital"/>
    <s v="Lake Havasu City"/>
    <n v="66.7"/>
    <n v="3.9"/>
    <n v="182"/>
    <n v="144"/>
    <n v="16"/>
    <n v="0.31"/>
    <n v="144"/>
    <n v="1.78"/>
    <n v="196"/>
    <n v="6429"/>
  </r>
  <r>
    <x v="1247"/>
    <s v="030055"/>
    <s v="AZ"/>
    <s v="AZ - Mohave"/>
    <n v="86409"/>
    <s v="Kingman Regional Medical Center"/>
    <s v="Short Term Acute Care Hospital"/>
    <s v="Kingman"/>
    <n v="89.1"/>
    <n v="4.5999999999999996"/>
    <n v="314"/>
    <n v="196"/>
    <n v="20"/>
    <n v="0.31"/>
    <n v="196"/>
    <n v="1.83"/>
    <n v="197"/>
    <n v="7254"/>
  </r>
  <r>
    <x v="22"/>
    <s v="030062"/>
    <s v="AZ"/>
    <s v="AZ - Navajo"/>
    <n v="85901"/>
    <s v="Summit Healthcare Regional Medical Center"/>
    <s v="Short Term Acute Care Hospital"/>
    <s v="Show Low"/>
    <n v="38.200000000000003"/>
    <n v="3.4"/>
    <n v="202"/>
    <n v="89"/>
    <n v="12"/>
    <n v="0.73"/>
    <n v="89"/>
    <n v="1.72"/>
    <n v="198"/>
    <n v="4674"/>
  </r>
  <r>
    <x v="22"/>
    <s v="030113"/>
    <s v="AZ"/>
    <s v="AZ - Navajo"/>
    <n v="85941"/>
    <s v="Whiteriver Indian Hospital"/>
    <s v="Short Term Acute Care Hospital"/>
    <s v="Whiteriver"/>
    <n v="10.3"/>
    <n v="3.9"/>
    <n v="59"/>
    <n v="40"/>
    <m/>
    <m/>
    <n v="40"/>
    <n v="1.04"/>
    <n v="200"/>
    <n v="973"/>
  </r>
  <r>
    <x v="1248"/>
    <s v="030114"/>
    <s v="AZ"/>
    <s v="AZ - Pima"/>
    <n v="85755"/>
    <s v="Oro Valley Hospital"/>
    <s v="Short Term Acute Care Hospital"/>
    <s v="Oro Valley"/>
    <n v="45.7"/>
    <n v="3.1"/>
    <n v="167"/>
    <n v="111"/>
    <n v="36"/>
    <n v="0.2"/>
    <n v="111"/>
    <n v="1.59"/>
    <n v="202"/>
    <n v="5421"/>
  </r>
  <r>
    <x v="1248"/>
    <s v="030074"/>
    <s v="AZ"/>
    <s v="AZ - Pima"/>
    <n v="85634"/>
    <s v="Sells Indian Hospital"/>
    <s v="Short Term Acute Care Hospital"/>
    <s v="Sells"/>
    <n v="2.7"/>
    <n v="3.7"/>
    <n v="62"/>
    <n v="14"/>
    <m/>
    <m/>
    <n v="14"/>
    <n v="1"/>
    <n v="203"/>
    <n v="262"/>
  </r>
  <r>
    <x v="1248"/>
    <s v="030085"/>
    <s v="AZ"/>
    <s v="AZ - Pima"/>
    <n v="85741"/>
    <s v="Northwest Medical Center"/>
    <s v="Short Term Acute Care Hospital"/>
    <s v="Tucson"/>
    <n v="147.19999999999999"/>
    <n v="3.8"/>
    <n v="447"/>
    <n v="281"/>
    <n v="35"/>
    <n v="0.2"/>
    <n v="281"/>
    <n v="1.85"/>
    <n v="204"/>
    <n v="15284"/>
  </r>
  <r>
    <x v="1248"/>
    <s v="030111"/>
    <s v="AZ"/>
    <s v="AZ - Pima"/>
    <n v="85713"/>
    <s v="Banner - University Medical Center South (FKA University of Arizona Medical Center - South Campus)"/>
    <s v="Short Term Acute Care Hospital"/>
    <s v="Tucson"/>
    <n v="92.1"/>
    <n v="4.5999999999999996"/>
    <n v="385"/>
    <n v="132"/>
    <n v="12"/>
    <n v="0.2"/>
    <n v="132"/>
    <n v="1.51"/>
    <n v="205"/>
    <n v="7383"/>
  </r>
  <r>
    <x v="1248"/>
    <s v="030010*"/>
    <s v="AZ"/>
    <s v="AZ - Pima"/>
    <n v="85745"/>
    <s v="Carondelet Heart &amp; Vascular Institute (FKA Tucson Heart Hospital)"/>
    <s v="Short Term Acute Care Hospital"/>
    <s v="Tucson"/>
    <m/>
    <m/>
    <n v="3"/>
    <m/>
    <m/>
    <m/>
    <n v="55"/>
    <m/>
    <n v="206"/>
    <m/>
  </r>
  <r>
    <x v="1248"/>
    <s v="030064"/>
    <s v="AZ"/>
    <s v="AZ - Pima"/>
    <n v="85719"/>
    <s v="Banner - University Medical Center Tucson (FKA University of Arizona Medical Center)"/>
    <s v="Short Term Acute Care Hospital"/>
    <s v="Tucson"/>
    <n v="350.4"/>
    <n v="6.1"/>
    <n v="890"/>
    <n v="479"/>
    <n v="90"/>
    <n v="0.2"/>
    <n v="479"/>
    <n v="2.35"/>
    <n v="207"/>
    <n v="20951"/>
  </r>
  <r>
    <x v="1248"/>
    <s v="030006"/>
    <s v="AZ"/>
    <s v="AZ - Pima"/>
    <n v="85712"/>
    <s v="Tucson Medical Center (AKA TMC HealthCare)"/>
    <s v="Short Term Acute Care Hospital"/>
    <s v="Tucson"/>
    <n v="371.2"/>
    <n v="4.3"/>
    <n v="801"/>
    <n v="441"/>
    <n v="36"/>
    <n v="0.2"/>
    <n v="441"/>
    <n v="1.88"/>
    <n v="208"/>
    <n v="33653"/>
  </r>
  <r>
    <x v="1248"/>
    <s v="030010"/>
    <s v="AZ"/>
    <s v="AZ - Pima"/>
    <n v="85745"/>
    <s v="St Marys Hospital"/>
    <s v="Short Term Acute Care Hospital"/>
    <s v="Tucson"/>
    <n v="122.7"/>
    <n v="4.2"/>
    <n v="258"/>
    <n v="349"/>
    <n v="40"/>
    <n v="0.2"/>
    <n v="349"/>
    <n v="1.71"/>
    <n v="209"/>
    <n v="10790"/>
  </r>
  <r>
    <x v="1248"/>
    <s v="030011"/>
    <s v="AZ"/>
    <s v="AZ - Pima"/>
    <n v="85711"/>
    <s v="St Joseph Hospital"/>
    <s v="Short Term Acute Care Hospital"/>
    <s v="Tucson"/>
    <n v="154"/>
    <n v="4.0999999999999996"/>
    <n v="331"/>
    <n v="451"/>
    <n v="32"/>
    <n v="0.2"/>
    <n v="451"/>
    <n v="1.79"/>
    <n v="210"/>
    <n v="14590"/>
  </r>
  <r>
    <x v="1248"/>
    <s v="030137"/>
    <s v="AZ"/>
    <s v="AZ - Pima"/>
    <n v="85614"/>
    <s v="Santa Cruz Valley Regional Hospital (FKA Green Valley Hospital)"/>
    <s v="Short Term Acute Care Hospital"/>
    <s v="Green Valley"/>
    <n v="20.7"/>
    <n v="4.4000000000000004"/>
    <n v="73"/>
    <n v="49"/>
    <n v="6"/>
    <n v="0.2"/>
    <n v="49"/>
    <n v="1.29"/>
    <n v="582189"/>
    <n v="1718"/>
  </r>
  <r>
    <x v="1248"/>
    <m/>
    <s v="AZ"/>
    <s v="AZ - Pima"/>
    <n v="85742"/>
    <s v="Carondelet Marana Hospital"/>
    <s v="Short Term Acute Care Hospital"/>
    <s v="Tucson"/>
    <m/>
    <m/>
    <m/>
    <m/>
    <m/>
    <m/>
    <m/>
    <m/>
    <n v="969277"/>
    <m/>
  </r>
  <r>
    <x v="1248"/>
    <m/>
    <s v="AZ"/>
    <s v="AZ - Pima"/>
    <n v="85711"/>
    <s v="Tucson ER &amp; Hospital"/>
    <s v="Short Term Acute Care Hospital"/>
    <s v="Tucson"/>
    <m/>
    <m/>
    <n v="3"/>
    <m/>
    <m/>
    <m/>
    <m/>
    <m/>
    <n v="1006949"/>
    <m/>
  </r>
  <r>
    <x v="23"/>
    <s v="030016"/>
    <s v="AZ"/>
    <s v="AZ - Pinal"/>
    <n v="85122"/>
    <s v="Banner Casa Grande Medical Center"/>
    <s v="Short Term Acute Care Hospital"/>
    <s v="Casa Grande"/>
    <n v="58.5"/>
    <n v="3.7"/>
    <n v="174"/>
    <n v="141"/>
    <n v="22"/>
    <n v="0.05"/>
    <n v="141"/>
    <n v="1.75"/>
    <n v="211"/>
    <n v="6087"/>
  </r>
  <r>
    <x v="23"/>
    <s v="030130"/>
    <s v="AZ"/>
    <s v="AZ - Pinal"/>
    <n v="85140"/>
    <s v="Banner Ironwood Medical Center"/>
    <s v="Short Term Acute Care Hospital"/>
    <s v="San Tan Valley"/>
    <n v="26"/>
    <n v="3.4"/>
    <n v="119"/>
    <n v="53"/>
    <m/>
    <n v="0.05"/>
    <n v="53"/>
    <n v="1.63"/>
    <n v="542174"/>
    <n v="3361"/>
  </r>
  <r>
    <x v="23"/>
    <m/>
    <s v="AZ"/>
    <s v="AZ - Pinal"/>
    <n v="85132"/>
    <s v="Florence Hospital (FKA Florence Hospital at Anthem)"/>
    <s v="Short Term Acute Care Hospital"/>
    <s v="Florence"/>
    <n v="6.1"/>
    <n v="3.7"/>
    <n v="1"/>
    <n v="36"/>
    <n v="2"/>
    <n v="0.05"/>
    <n v="36"/>
    <n v="1.1299999999999999"/>
    <n v="551805"/>
    <n v="605"/>
  </r>
  <r>
    <x v="23"/>
    <s v="030134"/>
    <s v="AZ"/>
    <s v="AZ - Pinal"/>
    <n v="85120"/>
    <s v="Banner Goldfield Medical Center (FKA Arizona Regional Medical Center - Apache Junction)"/>
    <s v="Short Term Acute Care Hospital"/>
    <s v="Apache Junction"/>
    <n v="5.6"/>
    <n v="2.7"/>
    <n v="12"/>
    <n v="20"/>
    <m/>
    <n v="0.05"/>
    <n v="20"/>
    <n v="1.31"/>
    <n v="575864"/>
    <n v="772"/>
  </r>
  <r>
    <x v="1249"/>
    <s v="030012*"/>
    <s v="AZ"/>
    <s v="AZ - Yavapai"/>
    <n v="86314"/>
    <s v="Yavapai Regional Medical Center - East"/>
    <s v="Short Term Acute Care Hospital"/>
    <s v="Prescott Valley"/>
    <m/>
    <m/>
    <n v="11"/>
    <m/>
    <m/>
    <m/>
    <n v="72"/>
    <m/>
    <n v="213"/>
    <m/>
  </r>
  <r>
    <x v="1249"/>
    <s v="030012"/>
    <s v="AZ"/>
    <s v="AZ - Yavapai"/>
    <n v="86301"/>
    <s v="Yavapai Regional Medical Center - West"/>
    <s v="Short Term Acute Care Hospital"/>
    <s v="Prescott"/>
    <n v="108.6"/>
    <n v="3.6"/>
    <n v="470"/>
    <n v="206"/>
    <n v="26"/>
    <n v="0.59"/>
    <n v="134"/>
    <n v="1.7"/>
    <n v="215"/>
    <n v="11528"/>
  </r>
  <r>
    <x v="1249"/>
    <s v="030007"/>
    <s v="AZ"/>
    <s v="AZ - Yavapai"/>
    <n v="86326"/>
    <s v="Verde Valley Medical Center"/>
    <s v="Short Term Acute Care Hospital"/>
    <s v="Cottonwood"/>
    <n v="44.8"/>
    <n v="3.7"/>
    <n v="244"/>
    <n v="87"/>
    <n v="13"/>
    <n v="0.59"/>
    <n v="87"/>
    <n v="1.62"/>
    <n v="216"/>
    <n v="4581"/>
  </r>
  <r>
    <x v="1250"/>
    <s v="030013"/>
    <s v="AZ"/>
    <s v="AZ - Yuma"/>
    <n v="85364"/>
    <s v="Yuma Regional Medical Center"/>
    <s v="Short Term Acute Care Hospital"/>
    <s v="Yuma"/>
    <n v="166.4"/>
    <n v="4.2"/>
    <n v="579"/>
    <n v="406"/>
    <n v="42"/>
    <n v="1"/>
    <n v="406"/>
    <n v="1.96"/>
    <n v="217"/>
    <n v="15512"/>
  </r>
  <r>
    <x v="25"/>
    <s v="040072"/>
    <s v="AR"/>
    <s v="AR - Arkansas"/>
    <n v="72160"/>
    <s v="Baptist Health - Stuttgart"/>
    <s v="Short Term Acute Care Hospital"/>
    <s v="Stuttgart"/>
    <n v="9.1999999999999993"/>
    <n v="3.8"/>
    <n v="28"/>
    <n v="49"/>
    <m/>
    <m/>
    <n v="49"/>
    <n v="1.1399999999999999"/>
    <n v="218"/>
    <n v="981"/>
  </r>
  <r>
    <x v="1251"/>
    <s v="040027"/>
    <s v="AR"/>
    <s v="AR - Baxter"/>
    <n v="72653"/>
    <s v="Baxter Regional Medical Center"/>
    <s v="Short Term Acute Care Hospital"/>
    <s v="Mountain Home"/>
    <n v="87.5"/>
    <n v="3.5"/>
    <n v="210"/>
    <n v="170"/>
    <n v="17"/>
    <n v="1"/>
    <n v="170"/>
    <n v="1.74"/>
    <n v="221"/>
    <n v="9167"/>
  </r>
  <r>
    <x v="27"/>
    <s v="040001"/>
    <s v="AR"/>
    <s v="AR - Benton"/>
    <n v="72761"/>
    <s v="Siloam Springs Regional Hospital"/>
    <s v="Short Term Acute Care Hospital"/>
    <s v="Siloam Springs"/>
    <n v="10.6"/>
    <n v="2.8"/>
    <n v="46"/>
    <n v="44"/>
    <n v="6"/>
    <n v="0.24"/>
    <n v="44"/>
    <n v="1.33"/>
    <n v="222"/>
    <n v="1733"/>
  </r>
  <r>
    <x v="27"/>
    <s v="040010"/>
    <s v="AR"/>
    <s v="AR - Benton"/>
    <n v="72758"/>
    <s v="Mercy Hospital Northwest Arkansas (FKA Mercy Medical Center)"/>
    <s v="Short Term Acute Care Hospital"/>
    <s v="Rogers"/>
    <n v="111.6"/>
    <n v="3.4"/>
    <n v="432"/>
    <n v="206"/>
    <n v="24"/>
    <n v="0.24"/>
    <n v="206"/>
    <n v="1.95"/>
    <n v="223"/>
    <n v="12636"/>
  </r>
  <r>
    <x v="27"/>
    <s v="040022*"/>
    <s v="AR"/>
    <s v="AR - Benton"/>
    <n v="72712"/>
    <s v="Northwest Medical Center - Bentonville"/>
    <s v="Short Term Acute Care Hospital"/>
    <s v="Bentonville"/>
    <m/>
    <m/>
    <n v="1"/>
    <m/>
    <m/>
    <m/>
    <n v="128"/>
    <m/>
    <n v="542086"/>
    <m/>
  </r>
  <r>
    <x v="1252"/>
    <s v="040017"/>
    <s v="AR"/>
    <s v="AR - Boone"/>
    <n v="72601"/>
    <s v="North Arkansas Regional Medical Center"/>
    <s v="Short Term Acute Care Hospital"/>
    <s v="Harrison"/>
    <n v="23.5"/>
    <n v="3"/>
    <n v="103"/>
    <n v="120"/>
    <n v="24"/>
    <n v="1"/>
    <n v="120"/>
    <n v="1.39"/>
    <n v="225"/>
    <n v="3091"/>
  </r>
  <r>
    <x v="1253"/>
    <s v="040067"/>
    <s v="AR"/>
    <s v="AR - Columbia"/>
    <n v="71753"/>
    <s v="Magnolia Regional Medical Center"/>
    <s v="Short Term Acute Care Hospital"/>
    <s v="Magnolia"/>
    <n v="7.9"/>
    <n v="3.2"/>
    <n v="33"/>
    <n v="30"/>
    <n v="6"/>
    <n v="1"/>
    <n v="30"/>
    <n v="1.1000000000000001"/>
    <n v="232"/>
    <n v="979"/>
  </r>
  <r>
    <x v="1254"/>
    <s v="040118"/>
    <s v="AR"/>
    <s v="AR - Craighead"/>
    <n v="72401"/>
    <s v="NEA Baptist Memorial Hospital"/>
    <s v="Short Term Acute Care Hospital"/>
    <s v="Jonesboro"/>
    <n v="130.69999999999999"/>
    <n v="4.2"/>
    <n v="203"/>
    <n v="180"/>
    <n v="36"/>
    <n v="0.53"/>
    <n v="100"/>
    <n v="1.65"/>
    <n v="235"/>
    <n v="11786"/>
  </r>
  <r>
    <x v="1254"/>
    <s v="040020"/>
    <s v="AR"/>
    <s v="AR - Craighead"/>
    <n v="72401"/>
    <s v="St Bernards Medical Center"/>
    <s v="Short Term Acute Care Hospital"/>
    <s v="Jonesboro"/>
    <n v="223"/>
    <n v="4.7"/>
    <n v="427"/>
    <n v="337"/>
    <n v="30"/>
    <n v="0.53"/>
    <n v="337"/>
    <n v="1.84"/>
    <n v="236"/>
    <n v="17965"/>
  </r>
  <r>
    <x v="1254"/>
    <s v="040118* (Closed)"/>
    <s v="AR"/>
    <s v="AR - Craighead"/>
    <n v="72401"/>
    <s v="Surgical Hospital of Jonesboro (Closed)"/>
    <s v="Short Term Acute Care Hospital"/>
    <s v="Jonesboro"/>
    <m/>
    <m/>
    <m/>
    <m/>
    <m/>
    <m/>
    <m/>
    <m/>
    <n v="577435"/>
    <m/>
  </r>
  <r>
    <x v="1254"/>
    <s v="040155"/>
    <s v="AR"/>
    <s v="AR - Craighead"/>
    <n v="72401"/>
    <s v="Arkansas Continued Care Hospital of Jonesboro"/>
    <s v="Short Term Acute Care Hospital"/>
    <s v="Jonesboro"/>
    <n v="5.6"/>
    <n v="27.7"/>
    <m/>
    <n v="44"/>
    <m/>
    <n v="0.53"/>
    <n v="44"/>
    <n v="2.2200000000000002"/>
    <n v="849538"/>
    <n v="74"/>
  </r>
  <r>
    <x v="1255"/>
    <s v="040018"/>
    <s v="AR"/>
    <s v="AR - Crawford"/>
    <n v="72956"/>
    <s v="Baptist Health - Van Buren (FKA Sparks Medical Center - Van Buren)"/>
    <s v="Short Term Acute Care Hospital"/>
    <s v="Van Buren"/>
    <n v="9.9"/>
    <n v="3.2"/>
    <n v="15"/>
    <n v="35"/>
    <n v="8"/>
    <n v="0.45"/>
    <n v="35"/>
    <n v="1.2"/>
    <n v="237"/>
    <n v="1132"/>
  </r>
  <r>
    <x v="1256"/>
    <s v="040042 (Closed)"/>
    <s v="AR"/>
    <s v="AR - Crittenden"/>
    <n v="72301"/>
    <s v="Crittenden Regional Hospital (Closed September 2014)"/>
    <s v="Short Term Acute Care Hospital"/>
    <s v="West Memphis"/>
    <n v="25.3"/>
    <n v="3.7"/>
    <m/>
    <m/>
    <m/>
    <n v="0.27"/>
    <m/>
    <m/>
    <n v="238"/>
    <n v="2700"/>
  </r>
  <r>
    <x v="1256"/>
    <s v="040156"/>
    <s v="AR"/>
    <s v="AR - Crittenden"/>
    <n v="72301"/>
    <s v="Baptist Memorial Hospital Crittenden"/>
    <s v="Short Term Acute Care Hospital"/>
    <s v="West Memphis"/>
    <n v="3.3"/>
    <n v="2.2000000000000002"/>
    <n v="32"/>
    <n v="11"/>
    <m/>
    <n v="0.27"/>
    <n v="11"/>
    <m/>
    <n v="868290"/>
    <n v="545"/>
  </r>
  <r>
    <x v="1257"/>
    <s v="040051"/>
    <s v="AR"/>
    <s v="AR - Drew"/>
    <n v="71655"/>
    <s v="Drew Memorial Health System (FKA Drew Memorial Hospital)"/>
    <s v="Short Term Acute Care Hospital"/>
    <s v="Monticello"/>
    <n v="19.8"/>
    <n v="3.5"/>
    <n v="45"/>
    <n v="49"/>
    <n v="5"/>
    <m/>
    <n v="49"/>
    <n v="1.1599999999999999"/>
    <n v="243"/>
    <n v="2249"/>
  </r>
  <r>
    <x v="1258"/>
    <s v="040029"/>
    <s v="AR"/>
    <s v="AR - Faulkner"/>
    <n v="72034"/>
    <s v="Conway Regional Medical Center"/>
    <s v="Short Term Acute Care Hospital"/>
    <s v="Conway"/>
    <n v="76.8"/>
    <n v="4.0999999999999996"/>
    <n v="260"/>
    <n v="139"/>
    <n v="17"/>
    <n v="0.15"/>
    <n v="139"/>
    <n v="1.61"/>
    <n v="244"/>
    <n v="7607"/>
  </r>
  <r>
    <x v="1258"/>
    <s v="040154"/>
    <s v="AR"/>
    <s v="AR - Faulkner"/>
    <n v="72032"/>
    <s v="Baptist Health - Conway"/>
    <s v="Short Term Acute Care Hospital"/>
    <s v="Conway"/>
    <n v="26.2"/>
    <n v="3.3"/>
    <n v="69"/>
    <n v="110"/>
    <n v="8"/>
    <n v="0.15"/>
    <n v="110"/>
    <n v="1.63"/>
    <n v="775741"/>
    <n v="3029"/>
  </r>
  <r>
    <x v="1259"/>
    <s v="040132"/>
    <s v="AR"/>
    <s v="AR - Garland"/>
    <n v="71901"/>
    <s v="Levi Hospital (AKA Leo N Levi National Arthritis Hospital)"/>
    <s v="Short Term Acute Care Hospital"/>
    <s v="Hot Springs"/>
    <n v="0"/>
    <n v="1"/>
    <n v="12"/>
    <n v="1"/>
    <m/>
    <n v="0.48"/>
    <n v="1"/>
    <n v="1.17"/>
    <n v="246"/>
    <n v="1"/>
  </r>
  <r>
    <x v="1259"/>
    <s v="040142 (Closed)"/>
    <s v="AR"/>
    <s v="AR - Garland"/>
    <n v="71913"/>
    <s v="Healthpark Hospital (Closed - Now Called Mercy Outpatient Surgery Center - Higdon Ferry)"/>
    <s v="Short Term Acute Care Hospital"/>
    <s v="Hot Springs"/>
    <n v="10"/>
    <n v="3.1"/>
    <m/>
    <m/>
    <m/>
    <n v="0.48"/>
    <m/>
    <m/>
    <n v="247"/>
    <n v="1168"/>
  </r>
  <r>
    <x v="1259"/>
    <s v="040078"/>
    <s v="AR"/>
    <s v="AR - Garland"/>
    <n v="71901"/>
    <s v="National Park Medical Center"/>
    <s v="Short Term Acute Care Hospital"/>
    <s v="Hot Springs"/>
    <n v="83.1"/>
    <n v="4.9000000000000004"/>
    <n v="118"/>
    <n v="126"/>
    <n v="16"/>
    <n v="0.48"/>
    <n v="126"/>
    <n v="1.75"/>
    <n v="248"/>
    <n v="6332"/>
  </r>
  <r>
    <x v="1259"/>
    <s v="040026"/>
    <s v="AR"/>
    <s v="AR - Garland"/>
    <n v="71913"/>
    <s v="CHI St Vincent Hot Springs (FKA Mercy Hospital Hot Springs)"/>
    <s v="Short Term Acute Care Hospital"/>
    <s v="Hot Springs"/>
    <n v="136.6"/>
    <n v="4.5"/>
    <n v="291"/>
    <n v="229"/>
    <n v="25"/>
    <n v="0.48"/>
    <n v="229"/>
    <n v="1.79"/>
    <n v="249"/>
    <n v="11605"/>
  </r>
  <r>
    <x v="1260"/>
    <s v="040039"/>
    <s v="AR"/>
    <s v="AR - Greene"/>
    <n v="72451"/>
    <s v="Arkansas Methodist Medical Center"/>
    <s v="Short Term Acute Care Hospital"/>
    <s v="Paragould"/>
    <n v="32.5"/>
    <n v="3.5"/>
    <n v="107"/>
    <n v="114"/>
    <n v="8"/>
    <n v="1"/>
    <n v="114"/>
    <n v="1.35"/>
    <n v="250"/>
    <n v="3693"/>
  </r>
  <r>
    <x v="1261"/>
    <s v="040153"/>
    <s v="AR"/>
    <s v="AR - Hempstead"/>
    <n v="71801"/>
    <s v="Wadley Regional Medical Center at Hope (FKA Medical Park Hospital)"/>
    <s v="Short Term Acute Care Hospital"/>
    <s v="Hope"/>
    <n v="6.2"/>
    <n v="3.3"/>
    <n v="31"/>
    <n v="67"/>
    <n v="8"/>
    <n v="1"/>
    <n v="67"/>
    <n v="1.36"/>
    <n v="251"/>
    <n v="691"/>
  </r>
  <r>
    <x v="1262"/>
    <s v="040076"/>
    <s v="AR"/>
    <s v="AR - Hot Spring"/>
    <n v="72104"/>
    <s v="Baptist Health - Hot Spring County (FKA Hot Spring County Medical Center)"/>
    <s v="Short Term Acute Care Hospital"/>
    <s v="Malvern"/>
    <n v="25.3"/>
    <n v="4.0999999999999996"/>
    <n v="28"/>
    <n v="64"/>
    <n v="6"/>
    <n v="1"/>
    <n v="64"/>
    <n v="1.21"/>
    <n v="252"/>
    <n v="2248"/>
  </r>
  <r>
    <x v="1263"/>
    <s v="040119"/>
    <s v="AR"/>
    <s v="AR - Independence"/>
    <n v="72501"/>
    <s v="White River Medical Center"/>
    <s v="Short Term Acute Care Hospital"/>
    <s v="Batesville"/>
    <n v="80.400000000000006"/>
    <n v="4"/>
    <n v="215"/>
    <n v="184"/>
    <n v="12"/>
    <n v="1"/>
    <n v="184"/>
    <n v="1.58"/>
    <n v="255"/>
    <n v="7611"/>
  </r>
  <r>
    <x v="1264"/>
    <s v="040014*"/>
    <s v="AR"/>
    <s v="AR - Jackson"/>
    <n v="72112"/>
    <s v="Unity Health - Harris Medical Center (FKA Harris Hospital)"/>
    <s v="Short Term Acute Care Hospital"/>
    <s v="Newport"/>
    <m/>
    <m/>
    <n v="1"/>
    <m/>
    <m/>
    <m/>
    <n v="133"/>
    <m/>
    <n v="256"/>
    <m/>
  </r>
  <r>
    <x v="1265"/>
    <s v="040071"/>
    <s v="AR"/>
    <s v="AR - Jefferson"/>
    <n v="71603"/>
    <s v="Jefferson Regional Medical Center"/>
    <s v="Short Term Acute Care Hospital"/>
    <s v="Pine Bluff"/>
    <n v="117.1"/>
    <n v="5"/>
    <n v="192"/>
    <n v="271"/>
    <n v="34"/>
    <n v="1"/>
    <n v="271"/>
    <n v="1.52"/>
    <n v="257"/>
    <n v="8873"/>
  </r>
  <r>
    <x v="1266"/>
    <s v="040002"/>
    <s v="AR"/>
    <s v="AR - Johnson"/>
    <n v="72830"/>
    <s v="Johnson Regional Medical Center"/>
    <s v="Short Term Acute Care Hospital"/>
    <s v="Clarksville"/>
    <n v="12.3"/>
    <n v="2.6"/>
    <n v="53"/>
    <n v="57"/>
    <n v="8"/>
    <m/>
    <n v="57"/>
    <n v="1.26"/>
    <n v="258"/>
    <n v="1873"/>
  </r>
  <r>
    <x v="45"/>
    <s v="040069"/>
    <s v="AR"/>
    <s v="AR - Mississippi"/>
    <n v="72315"/>
    <s v="Great River Medical Center"/>
    <s v="Short Term Acute Care Hospital"/>
    <s v="Blytheville"/>
    <n v="10"/>
    <n v="3.1"/>
    <n v="42"/>
    <n v="33"/>
    <n v="5"/>
    <n v="0.56999999999999995"/>
    <n v="99"/>
    <n v="1.1100000000000001"/>
    <n v="263"/>
    <n v="1423"/>
  </r>
  <r>
    <x v="1267"/>
    <s v="040050"/>
    <s v="AR"/>
    <s v="AR - Ouachita"/>
    <n v="71701"/>
    <s v="Ouachita County Medical Center"/>
    <s v="Short Term Acute Care Hospital"/>
    <s v="Camden"/>
    <n v="12.9"/>
    <n v="3.5"/>
    <n v="44"/>
    <n v="87"/>
    <n v="8"/>
    <n v="1"/>
    <n v="87"/>
    <n v="1.33"/>
    <n v="264"/>
    <n v="1459"/>
  </r>
  <r>
    <x v="1268"/>
    <s v="040085"/>
    <s v="AR"/>
    <s v="AR - Phillips"/>
    <n v="72342"/>
    <s v="Helena Regional Medical Center"/>
    <s v="Short Term Acute Care Hospital"/>
    <s v="Helena"/>
    <n v="12.1"/>
    <n v="3.1"/>
    <n v="37"/>
    <n v="127"/>
    <n v="6"/>
    <n v="1"/>
    <n v="127"/>
    <n v="1.04"/>
    <n v="265"/>
    <n v="1540"/>
  </r>
  <r>
    <x v="1269"/>
    <s v="040081 (Closed)"/>
    <s v="AR"/>
    <s v="AR - Pike"/>
    <n v="71958"/>
    <s v="Pike County Memorial Hospital (Closed 2009)"/>
    <s v="Short Term Acute Care Hospital"/>
    <s v="Murfreesboro"/>
    <n v="5"/>
    <n v="4"/>
    <m/>
    <m/>
    <m/>
    <m/>
    <m/>
    <m/>
    <n v="4770"/>
    <n v="458"/>
  </r>
  <r>
    <x v="1270"/>
    <s v="040015"/>
    <s v="AR"/>
    <s v="AR - Polk"/>
    <n v="71953"/>
    <s v="Mena Regional Health System"/>
    <s v="Short Term Acute Care Hospital"/>
    <s v="Mena"/>
    <n v="11.6"/>
    <n v="4"/>
    <n v="48"/>
    <n v="41"/>
    <n v="6"/>
    <m/>
    <n v="41"/>
    <n v="1.18"/>
    <n v="266"/>
    <n v="1174"/>
  </r>
  <r>
    <x v="1271"/>
    <s v="040041"/>
    <s v="AR"/>
    <s v="AR - Pope"/>
    <n v="72801"/>
    <s v="St Marys Regional Medical Center (AKA Saint Marys Regional Health System)"/>
    <s v="Short Term Acute Care Hospital"/>
    <s v="Russellville"/>
    <n v="55.9"/>
    <n v="4.2"/>
    <n v="121"/>
    <n v="137"/>
    <n v="11"/>
    <n v="0.66"/>
    <n v="137"/>
    <n v="1.58"/>
    <n v="267"/>
    <n v="5246"/>
  </r>
  <r>
    <x v="1272"/>
    <s v="040036"/>
    <s v="AR"/>
    <s v="AR - Pulaski"/>
    <n v="72117"/>
    <s v="Baptist Health - North Little Rock"/>
    <s v="Short Term Acute Care Hospital"/>
    <s v="North Little Rock"/>
    <n v="108.4"/>
    <n v="4.0999999999999996"/>
    <n v="242"/>
    <n v="177"/>
    <n v="17"/>
    <n v="0.15"/>
    <n v="177"/>
    <n v="1.71"/>
    <n v="268"/>
    <n v="10202"/>
  </r>
  <r>
    <x v="1272"/>
    <s v="040016"/>
    <s v="AR"/>
    <s v="AR - Pulaski"/>
    <n v="72205"/>
    <s v="University of Arkansas for Medical Sciences Medical Center (AKA UAMS)"/>
    <s v="Short Term Acute Care Hospital"/>
    <s v="Little Rock"/>
    <n v="410.3"/>
    <n v="5.4"/>
    <n v="809"/>
    <n v="505"/>
    <n v="28"/>
    <n v="0.15"/>
    <n v="450"/>
    <n v="2.11"/>
    <n v="269"/>
    <n v="28215"/>
  </r>
  <r>
    <x v="1272"/>
    <s v="040007"/>
    <s v="AR"/>
    <s v="AR - Pulaski"/>
    <n v="72205"/>
    <s v="CHI St Vincent Infirmary"/>
    <s v="Short Term Acute Care Hospital"/>
    <s v="Little Rock"/>
    <n v="252.8"/>
    <n v="5.4"/>
    <n v="367"/>
    <n v="393"/>
    <n v="23"/>
    <n v="0.15"/>
    <n v="393"/>
    <n v="2.34"/>
    <n v="270"/>
    <n v="17643"/>
  </r>
  <r>
    <x v="1272"/>
    <s v="040074 (Closed)"/>
    <s v="AR"/>
    <s v="AR - Pulaski"/>
    <n v="72076"/>
    <s v="North Metro Medical Center (Closed)"/>
    <s v="Short Term Acute Care Hospital"/>
    <s v="Jacksonville"/>
    <n v="8.3000000000000007"/>
    <n v="3.4"/>
    <m/>
    <m/>
    <m/>
    <n v="0.15"/>
    <m/>
    <n v="1.17"/>
    <n v="271"/>
    <n v="899"/>
  </r>
  <r>
    <x v="1272"/>
    <s v="040114"/>
    <s v="AR"/>
    <s v="AR - Pulaski"/>
    <n v="72205"/>
    <s v="Baptist Health - Little Rock"/>
    <s v="Short Term Acute Care Hospital"/>
    <s v="Little Rock"/>
    <n v="411.1"/>
    <n v="5.5"/>
    <n v="501"/>
    <n v="683"/>
    <n v="36"/>
    <n v="0.15"/>
    <n v="683"/>
    <n v="2.06"/>
    <n v="273"/>
    <n v="28081"/>
  </r>
  <r>
    <x v="1272"/>
    <s v="040147"/>
    <s v="AR"/>
    <s v="AR - Pulaski"/>
    <n v="72118"/>
    <s v="Arkansas Surgical Hospital"/>
    <s v="Short Term Acute Care Hospital"/>
    <s v="North Little Rock"/>
    <n v="19"/>
    <n v="2"/>
    <n v="64"/>
    <n v="49"/>
    <m/>
    <n v="0.15"/>
    <n v="49"/>
    <n v="2.25"/>
    <n v="274"/>
    <n v="3497"/>
  </r>
  <r>
    <x v="1272"/>
    <s v="040134"/>
    <s v="AR"/>
    <s v="AR - Pulaski"/>
    <n v="72211"/>
    <s v="Arkansas Heart Hospital"/>
    <s v="Short Term Acute Care Hospital"/>
    <s v="Little Rock"/>
    <n v="70.8"/>
    <n v="4"/>
    <n v="107"/>
    <n v="112"/>
    <m/>
    <n v="0.15"/>
    <n v="112"/>
    <n v="2.37"/>
    <n v="275"/>
    <n v="6501"/>
  </r>
  <r>
    <x v="1272"/>
    <s v="040137"/>
    <s v="AR"/>
    <s v="AR - Pulaski"/>
    <n v="72120"/>
    <s v="CHI St Vincent North"/>
    <s v="Short Term Acute Care Hospital"/>
    <s v="Sherwood"/>
    <n v="24.2"/>
    <n v="4"/>
    <n v="30"/>
    <n v="59"/>
    <n v="14"/>
    <n v="0.15"/>
    <n v="59"/>
    <n v="1.35"/>
    <n v="276"/>
    <n v="2235"/>
  </r>
  <r>
    <x v="1272"/>
    <s v="040021 (Closed)"/>
    <s v="AR"/>
    <s v="AR - Pulaski"/>
    <n v="72209"/>
    <s v="Southwest Regional Medical Center (Closed 2008)"/>
    <s v="Short Term Acute Care Hospital"/>
    <s v="Little Rock"/>
    <n v="6"/>
    <n v="3.8"/>
    <m/>
    <m/>
    <m/>
    <n v="0.15"/>
    <m/>
    <m/>
    <n v="6033"/>
    <n v="585"/>
  </r>
  <r>
    <x v="1272"/>
    <m/>
    <s v="AR"/>
    <s v="AR - Pulaski"/>
    <n v="72205"/>
    <s v="St Vincent Doctors Hospital (Closed)"/>
    <s v="Short Term Acute Care Hospital"/>
    <s v="Little Rock"/>
    <m/>
    <m/>
    <m/>
    <m/>
    <m/>
    <m/>
    <m/>
    <m/>
    <n v="577627"/>
    <m/>
  </r>
  <r>
    <x v="1273"/>
    <s v="040047"/>
    <s v="AR"/>
    <s v="AR - Randolph"/>
    <n v="72455"/>
    <s v="St Bernards Five Rivers (FKA Five Rivers Medical Center)"/>
    <s v="Short Term Acute Care Hospital"/>
    <s v="Pocahontas"/>
    <n v="5.7"/>
    <n v="3.4"/>
    <n v="39"/>
    <n v="32"/>
    <n v="2"/>
    <m/>
    <n v="32"/>
    <n v="1.07"/>
    <n v="278"/>
    <n v="614"/>
  </r>
  <r>
    <x v="1274"/>
    <s v="040019"/>
    <s v="AR"/>
    <s v="AR - Saint Francis"/>
    <n v="72335"/>
    <s v="Forrest City Medical Center"/>
    <s v="Short Term Acute Care Hospital"/>
    <s v="Forrest City"/>
    <n v="15.8"/>
    <n v="3.4"/>
    <n v="49"/>
    <n v="56"/>
    <n v="6"/>
    <n v="1"/>
    <n v="56"/>
    <n v="1.1200000000000001"/>
    <n v="279"/>
    <n v="2168"/>
  </r>
  <r>
    <x v="1275"/>
    <s v="040084"/>
    <s v="AR"/>
    <s v="AR - Saline"/>
    <n v="72015"/>
    <s v="Saline Memorial Hospital"/>
    <s v="Short Term Acute Care Hospital"/>
    <s v="Benton"/>
    <n v="49.7"/>
    <n v="3.5"/>
    <n v="145"/>
    <n v="130"/>
    <n v="16"/>
    <n v="0.15"/>
    <n v="130"/>
    <n v="1.43"/>
    <n v="280"/>
    <n v="5394"/>
  </r>
  <r>
    <x v="1276"/>
    <s v="040055"/>
    <s v="AR"/>
    <s v="AR - Sebastian"/>
    <n v="72901"/>
    <s v="Baptist Health - Fort Smith (FKA Sparks Regional Medical Center)"/>
    <s v="Short Term Acute Care Hospital"/>
    <s v="Fort Smith"/>
    <n v="165.2"/>
    <n v="4.5999999999999996"/>
    <n v="236"/>
    <n v="249"/>
    <n v="30"/>
    <n v="0.45"/>
    <n v="249"/>
    <n v="1.68"/>
    <n v="282"/>
    <n v="13631"/>
  </r>
  <r>
    <x v="1276"/>
    <s v="040062"/>
    <s v="AR"/>
    <s v="AR - Sebastian"/>
    <n v="72903"/>
    <s v="Mercy Hospital Fort Smith (FKA St Edward Mercy Medical Center)"/>
    <s v="Short Term Acute Care Hospital"/>
    <s v="Fort Smith"/>
    <n v="178.9"/>
    <n v="4.2"/>
    <n v="422"/>
    <n v="343"/>
    <n v="38"/>
    <n v="0.45"/>
    <n v="343"/>
    <n v="1.77"/>
    <n v="283"/>
    <n v="16332"/>
  </r>
  <r>
    <x v="1276"/>
    <s v="040062*"/>
    <s v="AR"/>
    <s v="AR - Sebastian"/>
    <n v="72903"/>
    <s v="Mercy Orthopedic Hospital Fort Smith"/>
    <s v="Short Term Acute Care Hospital"/>
    <s v="Fort Smith"/>
    <m/>
    <m/>
    <m/>
    <m/>
    <m/>
    <m/>
    <n v="24"/>
    <m/>
    <n v="780647"/>
    <m/>
  </r>
  <r>
    <x v="1277"/>
    <s v="040088"/>
    <s v="AR"/>
    <s v="AR - Union"/>
    <n v="71730"/>
    <s v="Medical Center of South Arkansas"/>
    <s v="Short Term Acute Care Hospital"/>
    <s v="El Dorado"/>
    <n v="36.1"/>
    <n v="3.8"/>
    <n v="83"/>
    <n v="111"/>
    <n v="16"/>
    <n v="1"/>
    <n v="111"/>
    <n v="1.63"/>
    <n v="286"/>
    <n v="3366"/>
  </r>
  <r>
    <x v="1278"/>
    <s v="040152"/>
    <s v="AR"/>
    <s v="AR - Washington"/>
    <n v="72703"/>
    <s v="Northwest Health Physicians Specialty Hospital"/>
    <s v="Short Term Acute Care Hospital"/>
    <s v="Fayetteville"/>
    <n v="5.7"/>
    <n v="1.6"/>
    <n v="32"/>
    <n v="20"/>
    <m/>
    <n v="0.24"/>
    <n v="20"/>
    <n v="2.44"/>
    <n v="289"/>
    <n v="1319"/>
  </r>
  <r>
    <x v="1278"/>
    <s v="040022"/>
    <s v="AR"/>
    <s v="AR - Washington"/>
    <n v="72764"/>
    <s v="Northwest Medical Center - Springdale"/>
    <s v="Short Term Acute Care Hospital"/>
    <s v="Springdale"/>
    <n v="131.6"/>
    <n v="5"/>
    <n v="271"/>
    <n v="275"/>
    <n v="21"/>
    <n v="0.24"/>
    <n v="222"/>
    <n v="1.79"/>
    <n v="290"/>
    <n v="11582"/>
  </r>
  <r>
    <x v="1278"/>
    <s v="040004"/>
    <s v="AR"/>
    <s v="AR - Washington"/>
    <n v="72703"/>
    <s v="Washington Regional Medical Center"/>
    <s v="Short Term Acute Care Hospital"/>
    <s v="Fayetteville"/>
    <n v="196.3"/>
    <n v="4.3"/>
    <n v="418"/>
    <n v="320"/>
    <n v="40"/>
    <n v="0.24"/>
    <n v="320"/>
    <n v="1.98"/>
    <n v="291"/>
    <n v="16340"/>
  </r>
  <r>
    <x v="1278"/>
    <s v="040022*"/>
    <s v="AR"/>
    <s v="AR - Washington"/>
    <n v="72741"/>
    <s v="Willow Creek Womens Hospital"/>
    <s v="Short Term Acute Care Hospital"/>
    <s v="Johnson"/>
    <m/>
    <m/>
    <m/>
    <m/>
    <m/>
    <m/>
    <n v="64"/>
    <m/>
    <n v="542087"/>
    <m/>
  </r>
  <r>
    <x v="1279"/>
    <s v="040014"/>
    <s v="AR"/>
    <s v="AR - White"/>
    <n v="72143"/>
    <s v="Unity Health - White County Medical Center"/>
    <s v="Short Term Acute Care Hospital"/>
    <s v="Searcy"/>
    <n v="125.9"/>
    <n v="4.3"/>
    <n v="178"/>
    <n v="216"/>
    <n v="12"/>
    <n v="1"/>
    <n v="245"/>
    <n v="1.36"/>
    <n v="292"/>
    <n v="11215"/>
  </r>
  <r>
    <x v="1279"/>
    <s v="040014*"/>
    <s v="AR"/>
    <s v="AR - White"/>
    <n v="72143"/>
    <s v="Unity Health - Specialty Care (FKA White County Medical Center South Campus)"/>
    <s v="Short Term Acute Care Hospital"/>
    <s v="Searcy"/>
    <m/>
    <m/>
    <n v="46"/>
    <m/>
    <m/>
    <m/>
    <n v="193"/>
    <m/>
    <n v="579925"/>
    <m/>
  </r>
  <r>
    <x v="50"/>
    <s v="040011"/>
    <s v="AR"/>
    <s v="AR - Yell"/>
    <n v="72833"/>
    <s v="John Ed Chambers Memorial Hospital"/>
    <s v="Short Term Acute Care Hospital"/>
    <s v="Danville"/>
    <n v="15.2"/>
    <n v="4.2"/>
    <n v="28"/>
    <n v="30"/>
    <m/>
    <n v="0.66"/>
    <n v="30"/>
    <n v="1.19"/>
    <n v="293"/>
    <n v="1318"/>
  </r>
  <r>
    <x v="1280"/>
    <s v="050002"/>
    <s v="CA"/>
    <s v="CA - Alameda"/>
    <n v="94545"/>
    <s v="St Rose Hospital"/>
    <s v="Short Term Acute Care Hospital"/>
    <s v="Hayward"/>
    <n v="54.7"/>
    <n v="4.3"/>
    <n v="73"/>
    <n v="195"/>
    <n v="15"/>
    <n v="7.0000000000000007E-2"/>
    <n v="195"/>
    <n v="1.6"/>
    <n v="295"/>
    <n v="4921"/>
  </r>
  <r>
    <x v="1280"/>
    <s v="050043"/>
    <s v="CA"/>
    <s v="CA - Alameda"/>
    <n v="94609"/>
    <s v="Alta Bates Summit Medical Center - Summit Campus"/>
    <s v="Short Term Acute Care Hospital"/>
    <s v="Oakland"/>
    <n v="143.30000000000001"/>
    <n v="4.5"/>
    <n v="521"/>
    <n v="296"/>
    <n v="36"/>
    <n v="7.0000000000000007E-2"/>
    <n v="296"/>
    <n v="1.82"/>
    <n v="296"/>
    <n v="11601"/>
  </r>
  <r>
    <x v="1280"/>
    <m/>
    <s v="CA"/>
    <s v="CA - Alameda"/>
    <n v="94578"/>
    <s v="San Leandro Hospital"/>
    <s v="Short Term Acute Care Hospital"/>
    <s v="San Leandro"/>
    <n v="30.8"/>
    <n v="4.3"/>
    <n v="72"/>
    <n v="48"/>
    <n v="9"/>
    <n v="7.0000000000000007E-2"/>
    <n v="48"/>
    <n v="1.81"/>
    <n v="297"/>
    <n v="2639"/>
  </r>
  <r>
    <x v="1280"/>
    <s v="050195"/>
    <s v="CA"/>
    <s v="CA - Alameda"/>
    <n v="94538"/>
    <s v="Washington Hospital"/>
    <s v="Short Term Acute Care Hospital"/>
    <s v="Fremont"/>
    <n v="164.7"/>
    <n v="5.2"/>
    <n v="460"/>
    <n v="320"/>
    <n v="52"/>
    <n v="7.0000000000000007E-2"/>
    <n v="320"/>
    <n v="1.63"/>
    <n v="298"/>
    <n v="12063"/>
  </r>
  <r>
    <x v="1280"/>
    <s v="050211"/>
    <s v="CA"/>
    <s v="CA - Alameda"/>
    <n v="94501"/>
    <s v="Alameda Hospital"/>
    <s v="Short Term Acute Care Hospital"/>
    <s v="Alameda"/>
    <n v="35.200000000000003"/>
    <n v="4.7"/>
    <n v="114"/>
    <n v="37"/>
    <m/>
    <n v="7.0000000000000007E-2"/>
    <n v="37"/>
    <n v="1.5"/>
    <n v="299"/>
    <n v="2715"/>
  </r>
  <r>
    <x v="1280"/>
    <s v="050283"/>
    <s v="CA"/>
    <s v="CA - Alameda"/>
    <n v="94588"/>
    <s v="Stanford Health Care - ValleyCare Medical Center"/>
    <s v="Short Term Acute Care Hospital"/>
    <s v="Pleasanton"/>
    <n v="68.900000000000006"/>
    <n v="4.0999999999999996"/>
    <n v="331"/>
    <n v="167"/>
    <n v="23"/>
    <n v="7.0000000000000007E-2"/>
    <n v="167"/>
    <n v="1.9"/>
    <n v="300"/>
    <n v="7060"/>
  </r>
  <r>
    <x v="1280"/>
    <s v="050305"/>
    <s v="CA"/>
    <s v="CA - Alameda"/>
    <n v="94705"/>
    <s v="Alta Bates Summit Medical Center - Alta Bates Campus"/>
    <s v="Short Term Acute Care Hospital"/>
    <s v="Berkeley"/>
    <n v="139.30000000000001"/>
    <n v="7"/>
    <n v="620"/>
    <n v="337"/>
    <n v="30"/>
    <n v="7.0000000000000007E-2"/>
    <n v="337"/>
    <n v="1.68"/>
    <n v="301"/>
    <n v="9358"/>
  </r>
  <r>
    <x v="1280"/>
    <s v="050075"/>
    <s v="CA"/>
    <s v="CA - Alameda"/>
    <n v="94611"/>
    <s v="Kaiser Permanente - Oakland Medical Center"/>
    <s v="Short Term Acute Care Hospital"/>
    <s v="Oakland"/>
    <n v="234.8"/>
    <n v="4.4000000000000004"/>
    <n v="1078"/>
    <n v="365"/>
    <n v="50"/>
    <n v="7.0000000000000007E-2"/>
    <n v="365"/>
    <n v="1.68"/>
    <n v="303"/>
    <n v="20686"/>
  </r>
  <r>
    <x v="1280"/>
    <s v="050095 (Closed)"/>
    <s v="CA"/>
    <s v="CA - Alameda"/>
    <n v="94546"/>
    <s v="Laurel Grove Hospital (Closed)"/>
    <s v="Short Term Acute Care Hospital"/>
    <s v="Castro Valley"/>
    <m/>
    <m/>
    <m/>
    <m/>
    <m/>
    <n v="7.0000000000000007E-2"/>
    <m/>
    <m/>
    <n v="304"/>
    <m/>
  </r>
  <r>
    <x v="1280"/>
    <s v="050488"/>
    <s v="CA"/>
    <s v="CA - Alameda"/>
    <n v="94546"/>
    <s v="Eden Medical Center"/>
    <s v="Short Term Acute Care Hospital"/>
    <s v="Castro Valley"/>
    <n v="103.8"/>
    <n v="4.8"/>
    <n v="288"/>
    <n v="130"/>
    <n v="24"/>
    <n v="7.0000000000000007E-2"/>
    <n v="130"/>
    <n v="1.74"/>
    <n v="305"/>
    <n v="8424"/>
  </r>
  <r>
    <x v="1280"/>
    <m/>
    <s v="CA"/>
    <s v="CA - Alameda"/>
    <n v="94545"/>
    <s v="Kaiser Permanente - Hayward Medical Center (Closed)"/>
    <s v="Short Term Acute Care Hospital"/>
    <s v="Hayward"/>
    <m/>
    <m/>
    <m/>
    <m/>
    <m/>
    <m/>
    <m/>
    <m/>
    <n v="306"/>
    <m/>
  </r>
  <r>
    <x v="1280"/>
    <s v="050320"/>
    <s v="CA"/>
    <s v="CA - Alameda"/>
    <n v="94602"/>
    <s v="Highland Hospital"/>
    <s v="Short Term Acute Care Hospital"/>
    <s v="Oakland"/>
    <n v="152.19999999999999"/>
    <n v="5.6"/>
    <n v="401"/>
    <n v="169"/>
    <n v="24"/>
    <n v="7.0000000000000007E-2"/>
    <n v="169"/>
    <n v="1.49"/>
    <n v="274326"/>
    <n v="10580"/>
  </r>
  <r>
    <x v="1280"/>
    <s v="050305*"/>
    <s v="CA"/>
    <s v="CA - Alameda"/>
    <n v="94704"/>
    <s v="Alta Bates Summit Medical Center - Herrick Campus"/>
    <s v="Short Term Acute Care Hospital"/>
    <s v="Berkeley"/>
    <m/>
    <m/>
    <n v="1"/>
    <m/>
    <m/>
    <m/>
    <n v="69"/>
    <m/>
    <n v="541982"/>
    <m/>
  </r>
  <r>
    <x v="1280"/>
    <s v="050512"/>
    <s v="CA"/>
    <s v="CA - Alameda"/>
    <n v="94538"/>
    <s v="Kaiser Permanente - Fremont Medical Center"/>
    <s v="Short Term Acute Care Hospital"/>
    <s v="Fremont"/>
    <n v="45.2"/>
    <n v="3.5"/>
    <n v="328"/>
    <n v="106"/>
    <n v="10"/>
    <n v="7.0000000000000007E-2"/>
    <n v="106"/>
    <n v="1.67"/>
    <n v="582530"/>
    <n v="3893"/>
  </r>
  <r>
    <x v="1280"/>
    <s v="050777"/>
    <s v="CA"/>
    <s v="CA - Alameda"/>
    <n v="94577"/>
    <s v="Kaiser Permanente - San Leandro Medical Center"/>
    <s v="Short Term Acute Care Hospital"/>
    <s v="San Leandro"/>
    <n v="103.7"/>
    <n v="3.8"/>
    <n v="467"/>
    <n v="206"/>
    <n v="20"/>
    <n v="7.0000000000000007E-2"/>
    <n v="206"/>
    <n v="1.77"/>
    <n v="835802"/>
    <n v="11608"/>
  </r>
  <r>
    <x v="1281"/>
    <s v="050014"/>
    <s v="CA"/>
    <s v="CA - Amador"/>
    <n v="95642"/>
    <s v="Sutter Amador Hospital"/>
    <s v="Short Term Acute Care Hospital"/>
    <s v="Jackson"/>
    <n v="24.5"/>
    <n v="4.3"/>
    <n v="95"/>
    <n v="52"/>
    <n v="6"/>
    <m/>
    <n v="52"/>
    <n v="1.43"/>
    <n v="307"/>
    <n v="2184"/>
  </r>
  <r>
    <x v="51"/>
    <s v="050039"/>
    <s v="CA"/>
    <s v="CA - Butte"/>
    <n v="95926"/>
    <s v="Enloe Medical Center"/>
    <s v="Short Term Acute Care Hospital"/>
    <s v="Chico"/>
    <n v="216.8"/>
    <n v="4.2"/>
    <n v="323"/>
    <n v="298"/>
    <n v="33"/>
    <n v="0.42"/>
    <n v="298"/>
    <n v="1.65"/>
    <n v="308"/>
    <n v="19702"/>
  </r>
  <r>
    <x v="51"/>
    <s v="050030"/>
    <s v="CA"/>
    <s v="CA - Butte"/>
    <n v="95966"/>
    <s v="Oroville Hospital"/>
    <s v="Short Term Acute Care Hospital"/>
    <s v="Oroville"/>
    <n v="122.3"/>
    <n v="3.4"/>
    <n v="521"/>
    <n v="133"/>
    <n v="10"/>
    <n v="0.42"/>
    <n v="133"/>
    <n v="1.54"/>
    <n v="309"/>
    <n v="13372"/>
  </r>
  <r>
    <x v="51"/>
    <s v="050225 (Closed)"/>
    <s v="CA"/>
    <s v="CA - Butte"/>
    <n v="95969"/>
    <s v="Adventist Health Feather River (FKA Feather River Hospital - Closed)"/>
    <s v="Short Term Acute Care Hospital"/>
    <s v="Paradise"/>
    <m/>
    <n v="3.9"/>
    <m/>
    <m/>
    <m/>
    <n v="0.42"/>
    <m/>
    <n v="1.66"/>
    <n v="310"/>
    <n v="3795"/>
  </r>
  <r>
    <x v="1282"/>
    <s v="050434"/>
    <s v="CA"/>
    <s v="CA - Colusa"/>
    <n v="95932"/>
    <s v="Colusa Regional Medical Center"/>
    <s v="Short Term Acute Care Hospital"/>
    <s v="Colusa"/>
    <n v="6.8"/>
    <n v="4.9000000000000004"/>
    <m/>
    <m/>
    <m/>
    <m/>
    <m/>
    <m/>
    <n v="312"/>
    <n v="656"/>
  </r>
  <r>
    <x v="1283"/>
    <s v="050496"/>
    <s v="CA"/>
    <s v="CA - Contra Costa"/>
    <n v="94520"/>
    <s v="John Muir Health - Concord Medical Center"/>
    <s v="Short Term Acute Care Hospital"/>
    <s v="Concord"/>
    <n v="145.9"/>
    <n v="4.7"/>
    <n v="338"/>
    <n v="244"/>
    <n v="36"/>
    <n v="7.0000000000000007E-2"/>
    <n v="244"/>
    <n v="1.99"/>
    <n v="313"/>
    <n v="11397"/>
  </r>
  <r>
    <x v="1283"/>
    <s v="050523"/>
    <s v="CA"/>
    <s v="CA - Contra Costa"/>
    <n v="94509"/>
    <s v="Sutter Delta Medical Center"/>
    <s v="Short Term Acute Care Hospital"/>
    <s v="Antioch"/>
    <n v="75.599999999999994"/>
    <n v="4.3"/>
    <n v="158"/>
    <n v="145"/>
    <n v="12"/>
    <n v="7.0000000000000007E-2"/>
    <n v="145"/>
    <n v="1.57"/>
    <n v="314"/>
    <n v="6714"/>
  </r>
  <r>
    <x v="1283"/>
    <s v="050689"/>
    <s v="CA"/>
    <s v="CA - Contra Costa"/>
    <n v="94583"/>
    <s v="San Ramon Regional Medical Center"/>
    <s v="Short Term Acute Care Hospital"/>
    <s v="San Ramon"/>
    <n v="47"/>
    <n v="3.9"/>
    <n v="163"/>
    <n v="123"/>
    <n v="12"/>
    <n v="7.0000000000000007E-2"/>
    <n v="123"/>
    <n v="1.7"/>
    <n v="315"/>
    <n v="4730"/>
  </r>
  <r>
    <x v="1283"/>
    <s v="050760"/>
    <s v="CA"/>
    <s v="CA - Contra Costa"/>
    <n v="94531"/>
    <s v="Kaiser Permanente - Antioch Medical Center"/>
    <s v="Short Term Acute Care Hospital"/>
    <s v="Antioch"/>
    <n v="58.9"/>
    <n v="3.4"/>
    <n v="485"/>
    <n v="138"/>
    <n v="16"/>
    <n v="7.0000000000000007E-2"/>
    <n v="138"/>
    <n v="1.69"/>
    <n v="316"/>
    <n v="7326"/>
  </r>
  <r>
    <x v="1283"/>
    <s v="050276"/>
    <s v="CA"/>
    <s v="CA - Contra Costa"/>
    <n v="94553"/>
    <s v="Contra Costa Regional Medical Center"/>
    <s v="Short Term Acute Care Hospital"/>
    <s v="Martinez"/>
    <n v="107.5"/>
    <n v="6.6"/>
    <n v="411"/>
    <n v="124"/>
    <n v="8"/>
    <n v="7.0000000000000007E-2"/>
    <n v="124"/>
    <n v="1.29"/>
    <n v="317"/>
    <n v="6412"/>
  </r>
  <r>
    <x v="1283"/>
    <s v="050079 (Closed)"/>
    <s v="CA"/>
    <s v="CA - Contra Costa"/>
    <n v="94806"/>
    <s v="Doctors Medical Center - San Pablo (Closed)"/>
    <s v="Short Term Acute Care Hospital"/>
    <s v="San Pablo"/>
    <n v="19.399999999999999"/>
    <n v="4.3"/>
    <m/>
    <m/>
    <m/>
    <n v="7.0000000000000007E-2"/>
    <m/>
    <m/>
    <n v="318"/>
    <n v="1641"/>
  </r>
  <r>
    <x v="1283"/>
    <s v="050072"/>
    <s v="CA"/>
    <s v="CA - Contra Costa"/>
    <n v="94596"/>
    <s v="Kaiser Permanente - Walnut Creek Medical Center"/>
    <s v="Short Term Acute Care Hospital"/>
    <s v="Walnut Creek"/>
    <n v="120.6"/>
    <n v="4.2"/>
    <n v="518"/>
    <n v="233"/>
    <n v="24"/>
    <m/>
    <n v="233"/>
    <n v="1.56"/>
    <n v="319"/>
    <n v="11768"/>
  </r>
  <r>
    <x v="1283"/>
    <s v="050180"/>
    <s v="CA"/>
    <s v="CA - Contra Costa"/>
    <n v="94598"/>
    <s v="John Muir Health - Walnut Creek Medical Center"/>
    <s v="Short Term Acute Care Hospital"/>
    <s v="Walnut Creek"/>
    <n v="234.6"/>
    <n v="5.0999999999999996"/>
    <n v="991"/>
    <n v="506"/>
    <n v="55"/>
    <n v="7.0000000000000007E-2"/>
    <n v="506"/>
    <n v="1.73"/>
    <n v="320"/>
    <n v="17757"/>
  </r>
  <r>
    <x v="1283"/>
    <s v="050074"/>
    <s v="CA"/>
    <s v="CA - Contra Costa"/>
    <n v="94801"/>
    <s v="Kaiser Permanente - Richmond Medical Center"/>
    <s v="Short Term Acute Care Hospital"/>
    <s v="Richmond"/>
    <m/>
    <m/>
    <m/>
    <m/>
    <m/>
    <m/>
    <n v="50"/>
    <m/>
    <n v="541856"/>
    <m/>
  </r>
  <r>
    <x v="1284"/>
    <s v="050417"/>
    <s v="CA"/>
    <s v="CA - Del Norte"/>
    <n v="95531"/>
    <s v="Sutter Coast Hospital"/>
    <s v="Short Term Acute Care Hospital"/>
    <s v="Crescent City"/>
    <n v="20.2"/>
    <n v="3.6"/>
    <n v="82"/>
    <n v="39"/>
    <n v="6"/>
    <n v="1"/>
    <n v="39"/>
    <n v="1.45"/>
    <n v="321"/>
    <n v="2195"/>
  </r>
  <r>
    <x v="1285"/>
    <s v="050254"/>
    <s v="CA"/>
    <s v="CA - El Dorado"/>
    <n v="95667"/>
    <s v="Marshall Medical Center"/>
    <s v="Short Term Acute Care Hospital"/>
    <s v="Placerville"/>
    <n v="56.7"/>
    <n v="4.3"/>
    <n v="257"/>
    <n v="110"/>
    <n v="20"/>
    <n v="0.13"/>
    <n v="110"/>
    <n v="1.52"/>
    <n v="322"/>
    <n v="5133"/>
  </r>
  <r>
    <x v="1285"/>
    <s v="050352"/>
    <s v="CA"/>
    <s v="CA - El Dorado"/>
    <n v="96150"/>
    <s v="Barton Memorial Hospital (AKA Barton Health)"/>
    <s v="Short Term Acute Care Hospital"/>
    <s v="South Lake Tahoe"/>
    <n v="18.3"/>
    <n v="3.1"/>
    <n v="138"/>
    <n v="63"/>
    <n v="8"/>
    <n v="0.13"/>
    <n v="63"/>
    <n v="1.56"/>
    <n v="323"/>
    <n v="2322"/>
  </r>
  <r>
    <x v="1286"/>
    <s v="050192"/>
    <s v="CA"/>
    <s v="CA - Fresno"/>
    <n v="93654"/>
    <s v="Adventist Health Reedley"/>
    <s v="Short Term Acute Care Hospital"/>
    <s v="Reedley"/>
    <n v="11.3"/>
    <n v="3.4"/>
    <n v="127"/>
    <n v="49"/>
    <m/>
    <n v="0.31"/>
    <n v="49"/>
    <n v="1.0900000000000001"/>
    <n v="324"/>
    <n v="1838"/>
  </r>
  <r>
    <x v="1286"/>
    <s v="050060"/>
    <s v="CA"/>
    <s v="CA - Fresno"/>
    <n v="93721"/>
    <s v="Community Regional Medical Center"/>
    <s v="Short Term Acute Care Hospital"/>
    <s v="Fresno"/>
    <n v="589"/>
    <n v="6.3"/>
    <n v="788"/>
    <n v="777"/>
    <n v="78"/>
    <n v="0.31"/>
    <n v="663"/>
    <n v="1.96"/>
    <n v="325"/>
    <n v="35323"/>
  </r>
  <r>
    <x v="1286"/>
    <s v="050093"/>
    <s v="CA"/>
    <s v="CA - Fresno"/>
    <n v="93720"/>
    <s v="Saint Agnes Medical Center"/>
    <s v="Short Term Acute Care Hospital"/>
    <s v="Fresno"/>
    <n v="305.39999999999998"/>
    <n v="4.8"/>
    <n v="590"/>
    <n v="385"/>
    <n v="27"/>
    <n v="0.31"/>
    <n v="385"/>
    <n v="1.82"/>
    <n v="326"/>
    <n v="24569"/>
  </r>
  <r>
    <x v="1286"/>
    <s v="050397 (Closed)"/>
    <s v="CA"/>
    <s v="CA - Fresno"/>
    <n v="93210"/>
    <s v="Coalinga Regional Medical Center (Closed)"/>
    <s v="Short Term Acute Care Hospital"/>
    <s v="Coalinga"/>
    <n v="1.3"/>
    <n v="3.5"/>
    <m/>
    <m/>
    <m/>
    <n v="0.31"/>
    <m/>
    <m/>
    <n v="327"/>
    <n v="133"/>
  </r>
  <r>
    <x v="1286"/>
    <s v="050492"/>
    <s v="CA"/>
    <s v="CA - Fresno"/>
    <n v="93611"/>
    <s v="Clovis Community Medical Center"/>
    <s v="Short Term Acute Care Hospital"/>
    <s v="Clovis"/>
    <n v="176.9"/>
    <n v="4.7"/>
    <n v="290"/>
    <n v="208"/>
    <n v="24"/>
    <n v="0.31"/>
    <n v="208"/>
    <n v="1.77"/>
    <n v="328"/>
    <n v="15769"/>
  </r>
  <r>
    <x v="1286"/>
    <s v="050708"/>
    <s v="CA"/>
    <s v="CA - Fresno"/>
    <n v="93710"/>
    <s v="Fresno Surgical Hospital"/>
    <s v="Short Term Acute Care Hospital"/>
    <s v="Fresno"/>
    <n v="6.1"/>
    <n v="1.2"/>
    <n v="55"/>
    <n v="27"/>
    <m/>
    <n v="0.31"/>
    <n v="27"/>
    <n v="2.4"/>
    <n v="329"/>
    <n v="1790"/>
  </r>
  <r>
    <x v="1286"/>
    <s v="050710"/>
    <s v="CA"/>
    <s v="CA - Fresno"/>
    <n v="93720"/>
    <s v="Kaiser Permanente - Fresno Medical Center"/>
    <s v="Short Term Acute Care Hospital"/>
    <s v="Fresno"/>
    <n v="81.5"/>
    <n v="3.9"/>
    <n v="236"/>
    <n v="169"/>
    <n v="12"/>
    <n v="0.31"/>
    <n v="169"/>
    <n v="1.57"/>
    <n v="330"/>
    <n v="8227"/>
  </r>
  <r>
    <x v="1286"/>
    <s v="050732"/>
    <s v="CA"/>
    <s v="CA - Fresno"/>
    <n v="93720"/>
    <s v="Fresno Heart &amp; Surgical Hospital"/>
    <s v="Short Term Acute Care Hospital"/>
    <s v="Fresno"/>
    <n v="31.1"/>
    <n v="3.6"/>
    <n v="3"/>
    <n v="57"/>
    <m/>
    <n v="0.31"/>
    <n v="57"/>
    <m/>
    <n v="331"/>
    <n v="3127"/>
  </r>
  <r>
    <x v="1286"/>
    <s v="050682 (Closed)"/>
    <s v="CA"/>
    <s v="CA - Fresno"/>
    <n v="93631"/>
    <s v="Kingsburg Medical Center (Closed 2010)"/>
    <s v="Short Term Acute Care Hospital"/>
    <s v="Kingsburg"/>
    <n v="4"/>
    <n v="1455"/>
    <m/>
    <m/>
    <m/>
    <n v="0.31"/>
    <m/>
    <m/>
    <n v="332"/>
    <n v="1"/>
  </r>
  <r>
    <x v="1286"/>
    <m/>
    <s v="CA"/>
    <s v="CA - Fresno"/>
    <n v="93210"/>
    <s v="DSH - Coalinga (FKA Coalinga State Hospital)"/>
    <s v="Short Term Acute Care Hospital"/>
    <s v="Coalinga"/>
    <m/>
    <m/>
    <n v="4"/>
    <m/>
    <m/>
    <m/>
    <m/>
    <n v="1.1299999999999999"/>
    <n v="550765"/>
    <m/>
  </r>
  <r>
    <x v="1286"/>
    <s v="050121*"/>
    <s v="CA"/>
    <s v="CA - Fresno"/>
    <n v="93662"/>
    <s v="Adventist Health Selma"/>
    <s v="Short Term Acute Care Hospital"/>
    <s v="Selma"/>
    <m/>
    <m/>
    <m/>
    <m/>
    <m/>
    <m/>
    <n v="57"/>
    <m/>
    <n v="550808"/>
    <m/>
  </r>
  <r>
    <x v="1286"/>
    <m/>
    <s v="CA"/>
    <s v="CA - Fresno"/>
    <n v="93702"/>
    <s v="Exodus Fresno Crisis Stabilization Center"/>
    <s v="Short Term Acute Care Hospital"/>
    <s v="Fresno"/>
    <m/>
    <m/>
    <m/>
    <m/>
    <m/>
    <m/>
    <n v="16"/>
    <m/>
    <n v="902434"/>
    <m/>
  </r>
  <r>
    <x v="54"/>
    <s v="050028"/>
    <s v="CA"/>
    <s v="CA - Humboldt"/>
    <n v="95521"/>
    <s v="Mad River Community Hospital"/>
    <s v="Short Term Acute Care Hospital"/>
    <s v="Arcata"/>
    <n v="20.9"/>
    <n v="4.7"/>
    <n v="113"/>
    <n v="49"/>
    <n v="8"/>
    <n v="0.53"/>
    <n v="49"/>
    <n v="1.4"/>
    <n v="336"/>
    <n v="1832"/>
  </r>
  <r>
    <x v="54"/>
    <s v="050006"/>
    <s v="CA"/>
    <s v="CA - Humboldt"/>
    <n v="95501"/>
    <s v="St Joseph Hospital - Eureka"/>
    <s v="Short Term Acute Care Hospital"/>
    <s v="Eureka"/>
    <n v="90.4"/>
    <n v="4.9000000000000004"/>
    <n v="277"/>
    <n v="134"/>
    <n v="12"/>
    <n v="0.53"/>
    <n v="134"/>
    <n v="1.74"/>
    <n v="337"/>
    <n v="6914"/>
  </r>
  <r>
    <x v="1287"/>
    <s v="050045"/>
    <s v="CA"/>
    <s v="CA - Imperial"/>
    <n v="92243"/>
    <s v="El Centro Regional Medical Center"/>
    <s v="Short Term Acute Care Hospital"/>
    <s v="El Centro"/>
    <n v="63.6"/>
    <n v="4.5999999999999996"/>
    <n v="242"/>
    <n v="161"/>
    <n v="20"/>
    <n v="0.51"/>
    <n v="161"/>
    <n v="1.53"/>
    <n v="339"/>
    <n v="5477"/>
  </r>
  <r>
    <x v="1287"/>
    <s v="050342"/>
    <s v="CA"/>
    <s v="CA - Imperial"/>
    <n v="92227"/>
    <s v="Pioneers Memorial Hospital (AKA Pioneers Memorial Healthcare District)"/>
    <s v="Short Term Acute Care Hospital"/>
    <s v="Brawley"/>
    <n v="47.1"/>
    <n v="4.0999999999999996"/>
    <n v="114"/>
    <n v="107"/>
    <n v="8"/>
    <n v="0.51"/>
    <n v="107"/>
    <n v="1.54"/>
    <n v="340"/>
    <n v="4992"/>
  </r>
  <r>
    <x v="56"/>
    <s v="050315"/>
    <s v="CA"/>
    <s v="CA - Kern"/>
    <n v="93306"/>
    <s v="Kern Medical (FKA Kern Medical Center)"/>
    <s v="Short Term Acute Care Hospital"/>
    <s v="Bakersfield"/>
    <n v="129.9"/>
    <n v="5.0999999999999996"/>
    <n v="188"/>
    <n v="222"/>
    <n v="12"/>
    <n v="0.18"/>
    <n v="222"/>
    <n v="1.65"/>
    <n v="345"/>
    <n v="10057"/>
  </r>
  <r>
    <x v="56"/>
    <s v="050295"/>
    <s v="CA"/>
    <s v="CA - Kern"/>
    <n v="93301"/>
    <s v="Mercy Hospital Downtown - Bakersfield"/>
    <s v="Short Term Acute Care Hospital"/>
    <s v="Bakersfield"/>
    <n v="110.1"/>
    <n v="3.7"/>
    <n v="123"/>
    <n v="226"/>
    <n v="28"/>
    <n v="0.18"/>
    <n v="144"/>
    <n v="1.63"/>
    <n v="346"/>
    <n v="11632"/>
  </r>
  <r>
    <x v="56"/>
    <s v="050257"/>
    <s v="CA"/>
    <s v="CA - Kern"/>
    <n v="93309"/>
    <s v="Good Samaritan Hospital"/>
    <s v="Short Term Acute Care Hospital"/>
    <s v="Bakersfield"/>
    <n v="12.6"/>
    <n v="4.0999999999999996"/>
    <n v="22"/>
    <n v="43"/>
    <n v="4"/>
    <n v="0.18"/>
    <n v="43"/>
    <n v="1.29"/>
    <n v="347"/>
    <n v="1120"/>
  </r>
  <r>
    <x v="56"/>
    <s v="050608"/>
    <s v="CA"/>
    <s v="CA - Kern"/>
    <n v="93215"/>
    <s v="Delano Regional Medical Center (AKA Adventist Health Delano)"/>
    <s v="Short Term Acute Care Hospital"/>
    <s v="Delano"/>
    <n v="20.7"/>
    <n v="3.7"/>
    <n v="132"/>
    <n v="105"/>
    <n v="10"/>
    <n v="0.18"/>
    <n v="105"/>
    <n v="1.53"/>
    <n v="348"/>
    <n v="2370"/>
  </r>
  <r>
    <x v="56"/>
    <s v="050724"/>
    <s v="CA"/>
    <s v="CA - Kern"/>
    <n v="93308"/>
    <s v="Bakersfield Heart Hospital"/>
    <s v="Short Term Acute Care Hospital"/>
    <s v="Bakersfield"/>
    <n v="34.299999999999997"/>
    <n v="4"/>
    <n v="36"/>
    <n v="47"/>
    <m/>
    <n v="0.18"/>
    <n v="47"/>
    <n v="2.15"/>
    <n v="349"/>
    <n v="3098"/>
  </r>
  <r>
    <x v="56"/>
    <s v="050455"/>
    <s v="CA"/>
    <s v="CA - Kern"/>
    <n v="93301"/>
    <s v="Adventist Health Bakersfield (FKA San Joaquin Community Hospital)"/>
    <s v="Short Term Acute Care Hospital"/>
    <s v="Bakersfield"/>
    <n v="174.6"/>
    <n v="3.9"/>
    <n v="510"/>
    <n v="254"/>
    <n v="34"/>
    <n v="0.18"/>
    <n v="254"/>
    <n v="1.77"/>
    <n v="351"/>
    <n v="17389"/>
  </r>
  <r>
    <x v="56"/>
    <s v="050036"/>
    <s v="CA"/>
    <s v="CA - Kern"/>
    <n v="93301"/>
    <s v="Memorial Hospital - Bakersfield (FKA Bakersfield Memorial Hospital)"/>
    <s v="Short Term Acute Care Hospital"/>
    <s v="Bakersfield"/>
    <n v="183.8"/>
    <n v="4.2"/>
    <n v="225"/>
    <n v="421"/>
    <n v="41"/>
    <n v="0.18"/>
    <n v="421"/>
    <n v="1.85"/>
    <n v="352"/>
    <n v="17245"/>
  </r>
  <r>
    <x v="56"/>
    <s v="050295*"/>
    <s v="CA"/>
    <s v="CA - Kern"/>
    <n v="93311"/>
    <s v="Mercy Hospital Southwest - Bakersfield"/>
    <s v="Short Term Acute Care Hospital"/>
    <s v="Bakersfield"/>
    <m/>
    <m/>
    <n v="1"/>
    <m/>
    <m/>
    <m/>
    <n v="78"/>
    <m/>
    <n v="553291"/>
    <m/>
  </r>
  <r>
    <x v="1288"/>
    <s v="050349 (Closed)"/>
    <s v="CA"/>
    <s v="CA - Kings"/>
    <n v="93212"/>
    <s v="Corcoran District Hospital (Closed)"/>
    <s v="Short Term Acute Care Hospital"/>
    <s v="Corcoran"/>
    <n v="3.2"/>
    <n v="3.7"/>
    <m/>
    <m/>
    <m/>
    <n v="0.57999999999999996"/>
    <m/>
    <m/>
    <n v="353"/>
    <n v="312"/>
  </r>
  <r>
    <x v="1288"/>
    <s v="050196 (Closed)"/>
    <s v="CA"/>
    <s v="CA - Kings"/>
    <n v="93230"/>
    <s v="Central Valley General Hospital (Closed)"/>
    <s v="Short Term Acute Care Hospital"/>
    <s v="Hanford"/>
    <n v="14"/>
    <n v="3.6"/>
    <m/>
    <m/>
    <m/>
    <n v="0.57999999999999996"/>
    <m/>
    <m/>
    <n v="354"/>
    <n v="2531"/>
  </r>
  <r>
    <x v="1288"/>
    <s v="050121"/>
    <s v="CA"/>
    <s v="CA - Kings"/>
    <n v="93230"/>
    <s v="Adventist Health Hanford"/>
    <s v="Short Term Acute Care Hospital"/>
    <s v="Hanford"/>
    <n v="118.3"/>
    <n v="5"/>
    <n v="306"/>
    <n v="230"/>
    <n v="22"/>
    <n v="0.57999999999999996"/>
    <n v="142"/>
    <n v="1.57"/>
    <n v="355"/>
    <n v="9455"/>
  </r>
  <r>
    <x v="59"/>
    <s v="050124"/>
    <s v="CA"/>
    <s v="CA - Los Angeles"/>
    <n v="91208"/>
    <s v="USC Verdugo Hills Hospital"/>
    <s v="Short Term Acute Care Hospital"/>
    <s v="Glendale"/>
    <n v="49.9"/>
    <n v="3.3"/>
    <n v="153"/>
    <n v="123"/>
    <n v="12"/>
    <n v="0.03"/>
    <n v="123"/>
    <n v="1.49"/>
    <n v="362"/>
    <n v="5749"/>
  </r>
  <r>
    <x v="59"/>
    <s v="050126"/>
    <s v="CA"/>
    <s v="CA - Los Angeles"/>
    <n v="91405"/>
    <s v="Valley Presbyterian Hospital"/>
    <s v="Short Term Acute Care Hospital"/>
    <s v="Van Nuys"/>
    <n v="211.1"/>
    <n v="5.5"/>
    <n v="236"/>
    <n v="333"/>
    <n v="20"/>
    <n v="0.03"/>
    <n v="333"/>
    <n v="1.92"/>
    <n v="363"/>
    <n v="12965"/>
  </r>
  <r>
    <x v="59"/>
    <s v="050132"/>
    <s v="CA"/>
    <s v="CA - Los Angeles"/>
    <n v="91776"/>
    <s v="San Gabriel Valley Medical Center"/>
    <s v="Short Term Acute Care Hospital"/>
    <s v="San Gabriel"/>
    <n v="102"/>
    <n v="4.9000000000000004"/>
    <n v="213"/>
    <n v="187"/>
    <n v="19"/>
    <n v="0.03"/>
    <n v="187"/>
    <n v="1.56"/>
    <n v="364"/>
    <n v="8411"/>
  </r>
  <r>
    <x v="59"/>
    <s v="050137"/>
    <s v="CA"/>
    <s v="CA - Los Angeles"/>
    <n v="91402"/>
    <s v="Panorama City Medical Center"/>
    <s v="Short Term Acute Care Hospital"/>
    <s v="Panorama City"/>
    <n v="80.5"/>
    <n v="3.8"/>
    <n v="685"/>
    <n v="218"/>
    <n v="24"/>
    <n v="0.03"/>
    <n v="218"/>
    <n v="2.14"/>
    <n v="365"/>
    <n v="8693"/>
  </r>
  <r>
    <x v="59"/>
    <s v="050138"/>
    <s v="CA"/>
    <s v="CA - Los Angeles"/>
    <n v="90027"/>
    <s v="Los Angeles Medical Center"/>
    <s v="Short Term Acute Care Hospital"/>
    <s v="Los Angeles"/>
    <n v="334.8"/>
    <n v="5.2"/>
    <n v="993"/>
    <n v="460"/>
    <n v="96"/>
    <n v="0.03"/>
    <n v="460"/>
    <n v="2.25"/>
    <n v="366"/>
    <n v="24306"/>
  </r>
  <r>
    <x v="59"/>
    <s v="050139"/>
    <s v="CA"/>
    <s v="CA - Los Angeles"/>
    <n v="90242"/>
    <s v="Downey Medical Center"/>
    <s v="Short Term Acute Care Hospital"/>
    <s v="Downey"/>
    <n v="176.1"/>
    <n v="4.4000000000000004"/>
    <n v="825"/>
    <n v="352"/>
    <n v="38"/>
    <n v="0.03"/>
    <n v="352"/>
    <n v="1.91"/>
    <n v="367"/>
    <n v="15856"/>
  </r>
  <r>
    <x v="59"/>
    <s v="050191"/>
    <s v="CA"/>
    <s v="CA - Los Angeles"/>
    <n v="90813"/>
    <s v="St Mary Medical Center Long Beach"/>
    <s v="Short Term Acute Care Hospital"/>
    <s v="Long Beach"/>
    <n v="144.9"/>
    <n v="4.9000000000000004"/>
    <n v="202"/>
    <n v="250"/>
    <n v="30"/>
    <n v="0.03"/>
    <n v="250"/>
    <n v="1.79"/>
    <n v="368"/>
    <n v="11687"/>
  </r>
  <r>
    <x v="59"/>
    <s v="050169"/>
    <s v="CA"/>
    <s v="CA - Los Angeles"/>
    <n v="90602"/>
    <s v="PIH Health Hospital - Whittier (FKA Presbyterian Intercommunity Hospital)"/>
    <s v="Short Term Acute Care Hospital"/>
    <s v="Whittier"/>
    <n v="201.8"/>
    <n v="4.0999999999999996"/>
    <n v="536"/>
    <n v="352"/>
    <n v="48"/>
    <n v="0.03"/>
    <n v="352"/>
    <n v="1.77"/>
    <n v="369"/>
    <n v="18850"/>
  </r>
  <r>
    <x v="59"/>
    <s v="050146"/>
    <s v="CA"/>
    <s v="CA - Los Angeles"/>
    <n v="91010"/>
    <s v="City of Hope Helford Clinical Research Hospital"/>
    <s v="Short Term Acute Care Hospital"/>
    <s v="Duarte"/>
    <n v="201.5"/>
    <n v="11.6"/>
    <n v="489"/>
    <n v="217"/>
    <n v="18"/>
    <n v="0.03"/>
    <n v="217"/>
    <n v="2.62"/>
    <n v="370"/>
    <n v="6328"/>
  </r>
  <r>
    <x v="59"/>
    <s v="050149"/>
    <s v="CA"/>
    <s v="CA - Los Angeles"/>
    <n v="90015"/>
    <s v="California Hospital Medical Center"/>
    <s v="Short Term Acute Care Hospital"/>
    <s v="Los Angeles"/>
    <n v="194.2"/>
    <n v="4.3"/>
    <n v="244"/>
    <n v="318"/>
    <n v="28"/>
    <n v="0.03"/>
    <n v="318"/>
    <n v="1.68"/>
    <n v="371"/>
    <n v="18083"/>
  </r>
  <r>
    <x v="59"/>
    <s v="050135"/>
    <s v="CA"/>
    <s v="CA - Los Angeles"/>
    <n v="90028"/>
    <s v="Southern California Hospital at Hollywood (FKA Hollywood Community Hospital)"/>
    <s v="Short Term Acute Care Hospital"/>
    <s v="Los Angeles"/>
    <n v="293.39999999999998"/>
    <n v="5.5"/>
    <n v="107"/>
    <n v="559"/>
    <n v="15"/>
    <n v="0.03"/>
    <n v="100"/>
    <n v="1.46"/>
    <n v="372"/>
    <n v="19465"/>
  </r>
  <r>
    <x v="59"/>
    <s v="050158"/>
    <s v="CA"/>
    <s v="CA - Los Angeles"/>
    <n v="91436"/>
    <s v="Encino Hospital Medical Center"/>
    <s v="Short Term Acute Care Hospital"/>
    <s v="Encino"/>
    <n v="33.6"/>
    <n v="4"/>
    <n v="52"/>
    <n v="82"/>
    <m/>
    <n v="0.03"/>
    <n v="82"/>
    <n v="1.46"/>
    <n v="373"/>
    <n v="3066"/>
  </r>
  <r>
    <x v="59"/>
    <s v="050091"/>
    <s v="CA"/>
    <s v="CA - Los Angeles"/>
    <n v="90255"/>
    <s v="Community Hospital of Huntington Park"/>
    <s v="Short Term Acute Care Hospital"/>
    <s v="Huntington Park"/>
    <n v="38"/>
    <n v="4.0999999999999996"/>
    <n v="33"/>
    <n v="81"/>
    <n v="4"/>
    <n v="0.03"/>
    <n v="81"/>
    <n v="1.5"/>
    <n v="374"/>
    <n v="3385"/>
  </r>
  <r>
    <x v="59"/>
    <s v="050096"/>
    <s v="CA"/>
    <s v="CA - Los Angeles"/>
    <n v="91790"/>
    <s v="West Covina Medical Center (AKA Doctors Hospital of West Covina)"/>
    <s v="Short Term Acute Care Hospital"/>
    <s v="West Covina"/>
    <n v="5.0999999999999996"/>
    <n v="3.3"/>
    <n v="13"/>
    <n v="13"/>
    <m/>
    <n v="0.03"/>
    <n v="13"/>
    <n v="0.99"/>
    <n v="375"/>
    <n v="563"/>
  </r>
  <r>
    <x v="59"/>
    <s v="050103"/>
    <s v="CA"/>
    <s v="CA - Los Angeles"/>
    <n v="90033"/>
    <s v="Adventist Health White Memorial (FKA White Memorial Medical Center)"/>
    <s v="Short Term Acute Care Hospital"/>
    <s v="Los Angeles"/>
    <n v="208.7"/>
    <n v="4.3"/>
    <n v="389"/>
    <n v="310"/>
    <n v="34"/>
    <n v="0.03"/>
    <n v="353"/>
    <n v="1.7"/>
    <n v="376"/>
    <n v="18937"/>
  </r>
  <r>
    <x v="59"/>
    <s v="050104"/>
    <s v="CA"/>
    <s v="CA - Los Angeles"/>
    <n v="90262"/>
    <s v="St Francis Medical Center"/>
    <s v="Short Term Acute Care Hospital"/>
    <s v="Lynwood"/>
    <n v="253.2"/>
    <n v="5.0999999999999996"/>
    <n v="289"/>
    <n v="344"/>
    <n v="36"/>
    <n v="0.03"/>
    <n v="384"/>
    <n v="1.61"/>
    <n v="377"/>
    <n v="19807"/>
  </r>
  <r>
    <x v="59"/>
    <s v="050111 (Closed)"/>
    <s v="CA"/>
    <s v="CA - Los Angeles"/>
    <n v="90004"/>
    <s v="Temple Community Hospital (Closed September 2014)"/>
    <s v="Short Term Acute Care Hospital"/>
    <s v="Los Angeles"/>
    <n v="15"/>
    <n v="5.3"/>
    <m/>
    <m/>
    <m/>
    <n v="0.03"/>
    <m/>
    <m/>
    <n v="378"/>
    <n v="1112"/>
  </r>
  <r>
    <x v="59"/>
    <s v="050112"/>
    <s v="CA"/>
    <s v="CA - Los Angeles"/>
    <n v="90404"/>
    <s v="UCLA Medical Center - Santa Monica"/>
    <s v="Short Term Acute Care Hospital"/>
    <s v="Santa Monica"/>
    <n v="211.1"/>
    <n v="5.0999999999999996"/>
    <n v="588"/>
    <n v="281"/>
    <n v="22"/>
    <n v="0.03"/>
    <n v="281"/>
    <n v="1.76"/>
    <n v="379"/>
    <n v="15321"/>
  </r>
  <r>
    <x v="59"/>
    <s v="050116"/>
    <s v="CA"/>
    <s v="CA - Los Angeles"/>
    <n v="91325"/>
    <s v="Northridge Hospital Medical Center"/>
    <s v="Short Term Acute Care Hospital"/>
    <s v="Northridge"/>
    <n v="144.30000000000001"/>
    <n v="4.2"/>
    <n v="300"/>
    <n v="318"/>
    <n v="46"/>
    <n v="0.03"/>
    <n v="318"/>
    <n v="1.8"/>
    <n v="380"/>
    <n v="12692"/>
  </r>
  <r>
    <x v="59"/>
    <s v="050063"/>
    <s v="CA"/>
    <s v="CA - Los Angeles"/>
    <n v="90027"/>
    <s v="CHA Hollywood Presbyterian Medical Center"/>
    <s v="Short Term Acute Care Hospital"/>
    <s v="Los Angeles"/>
    <n v="139.9"/>
    <n v="4.8"/>
    <n v="222"/>
    <n v="317"/>
    <n v="36"/>
    <n v="0.03"/>
    <n v="317"/>
    <n v="1.76"/>
    <n v="381"/>
    <n v="12157"/>
  </r>
  <r>
    <x v="59"/>
    <s v="050058"/>
    <s v="CA"/>
    <s v="CA - Los Angeles"/>
    <n v="91204"/>
    <s v="Glendale Memorial Hospital"/>
    <s v="Short Term Acute Care Hospital"/>
    <s v="Glendale"/>
    <n v="82.2"/>
    <n v="4.2"/>
    <n v="152"/>
    <n v="241"/>
    <n v="24"/>
    <n v="0.03"/>
    <n v="241"/>
    <n v="1.74"/>
    <n v="382"/>
    <n v="7901"/>
  </r>
  <r>
    <x v="59"/>
    <s v="050078"/>
    <s v="CA"/>
    <s v="CA - Los Angeles"/>
    <n v="90732"/>
    <s v="Providence Little Company of Mary Medical Center San Pedro"/>
    <s v="Short Term Acute Care Hospital"/>
    <s v="San Pedro"/>
    <n v="65.2"/>
    <n v="4.5999999999999996"/>
    <n v="136"/>
    <n v="186"/>
    <n v="12"/>
    <n v="0.03"/>
    <n v="186"/>
    <n v="1.42"/>
    <n v="383"/>
    <n v="5330"/>
  </r>
  <r>
    <x v="59"/>
    <s v="050771"/>
    <s v="CA"/>
    <s v="CA - Los Angeles"/>
    <n v="90650"/>
    <s v="Coast Plaza Hospital"/>
    <s v="Short Term Acute Care Hospital"/>
    <s v="Norwalk"/>
    <n v="29.7"/>
    <n v="4.5"/>
    <n v="42"/>
    <n v="117"/>
    <n v="7"/>
    <n v="0.03"/>
    <n v="117"/>
    <n v="1.69"/>
    <n v="384"/>
    <n v="2401"/>
  </r>
  <r>
    <x v="59"/>
    <s v="050204"/>
    <s v="CA"/>
    <s v="CA - Los Angeles"/>
    <n v="93551"/>
    <s v="Palmdale Regional Medical Center"/>
    <s v="Short Term Acute Care Hospital"/>
    <s v="Palmdale"/>
    <n v="92.3"/>
    <n v="4.0999999999999996"/>
    <n v="161"/>
    <n v="157"/>
    <n v="18"/>
    <n v="0.03"/>
    <n v="157"/>
    <n v="1.66"/>
    <n v="385"/>
    <n v="8196"/>
  </r>
  <r>
    <x v="59"/>
    <s v="050205"/>
    <s v="CA"/>
    <s v="CA - Los Angeles"/>
    <n v="91740"/>
    <s v="Glendora Oaks Behavioral Health Hospital (FKA Glendora Community Hospital)"/>
    <s v="Short Term Acute Care Hospital"/>
    <s v="Glendora"/>
    <n v="27.6"/>
    <n v="5.5"/>
    <n v="27"/>
    <n v="107"/>
    <n v="10"/>
    <n v="0.03"/>
    <n v="107"/>
    <n v="1.42"/>
    <n v="386"/>
    <n v="1817"/>
  </r>
  <r>
    <x v="59"/>
    <s v="050231"/>
    <s v="CA"/>
    <s v="CA - Los Angeles"/>
    <n v="91767"/>
    <s v="Pomona Valley Hospital Medical Center"/>
    <s v="Short Term Acute Care Hospital"/>
    <s v="Pomona"/>
    <n v="248.2"/>
    <n v="4.7"/>
    <n v="540"/>
    <n v="412"/>
    <n v="40"/>
    <n v="0.03"/>
    <n v="412"/>
    <n v="1.95"/>
    <n v="387"/>
    <n v="21427"/>
  </r>
  <r>
    <x v="59"/>
    <s v="050235"/>
    <s v="CA"/>
    <s v="CA - Los Angeles"/>
    <n v="91505"/>
    <s v="Providence Saint Joseph Medical Center"/>
    <s v="Short Term Acute Care Hospital"/>
    <s v="Burbank"/>
    <n v="190.7"/>
    <n v="4.5999999999999996"/>
    <n v="436"/>
    <n v="377"/>
    <n v="38"/>
    <n v="0.03"/>
    <n v="377"/>
    <n v="1.82"/>
    <n v="388"/>
    <n v="15964"/>
  </r>
  <r>
    <x v="59"/>
    <s v="050238"/>
    <s v="CA"/>
    <s v="CA - Los Angeles"/>
    <n v="91007"/>
    <s v="Methodist Hospital of Southern California"/>
    <s v="Short Term Acute Care Hospital"/>
    <s v="Arcadia"/>
    <n v="182.7"/>
    <n v="4.9000000000000004"/>
    <n v="309"/>
    <n v="318"/>
    <n v="49"/>
    <n v="0.03"/>
    <n v="318"/>
    <n v="1.65"/>
    <n v="389"/>
    <n v="14208"/>
  </r>
  <r>
    <x v="59"/>
    <s v="050239"/>
    <s v="CA"/>
    <s v="CA - Los Angeles"/>
    <n v="91206"/>
    <s v="Adventist Health Glendale (FKA Glendale Adventist Medical Center)"/>
    <s v="Short Term Acute Care Hospital"/>
    <s v="Glendale"/>
    <n v="209.8"/>
    <n v="4.5"/>
    <n v="512"/>
    <n v="323"/>
    <m/>
    <n v="0.03"/>
    <n v="323"/>
    <n v="1.71"/>
    <n v="390"/>
    <n v="17633"/>
  </r>
  <r>
    <x v="59"/>
    <s v="050776"/>
    <s v="CA"/>
    <s v="CA - Los Angeles"/>
    <n v="90806"/>
    <s v="College Medical Center (FKA Pacific Hospital of Long Beach)"/>
    <s v="Short Term Acute Care Hospital"/>
    <s v="Long Beach"/>
    <n v="174.5"/>
    <n v="7.1"/>
    <n v="46"/>
    <n v="221"/>
    <n v="8"/>
    <n v="0.03"/>
    <n v="221"/>
    <n v="1.33"/>
    <n v="391"/>
    <n v="8949"/>
  </r>
  <r>
    <x v="59"/>
    <s v="050278"/>
    <s v="CA"/>
    <s v="CA - Los Angeles"/>
    <n v="91345"/>
    <s v="Providence Holy Cross Medical Center"/>
    <s v="Short Term Acute Care Hospital"/>
    <s v="Mission Hills"/>
    <n v="207.6"/>
    <n v="4.5999999999999996"/>
    <n v="466"/>
    <n v="316"/>
    <n v="24"/>
    <n v="0.03"/>
    <n v="316"/>
    <n v="1.83"/>
    <n v="392"/>
    <n v="17839"/>
  </r>
  <r>
    <x v="59"/>
    <s v="050290"/>
    <s v="CA"/>
    <s v="CA - Los Angeles"/>
    <n v="90404"/>
    <s v="Providence Saint Johns Health Center (FKA St Johns Health Center)"/>
    <s v="Short Term Acute Care Hospital"/>
    <s v="Santa Monica"/>
    <n v="147.1"/>
    <n v="4.7"/>
    <n v="660"/>
    <n v="266"/>
    <n v="23"/>
    <n v="0.03"/>
    <n v="266"/>
    <n v="1.95"/>
    <n v="393"/>
    <n v="12400"/>
  </r>
  <r>
    <x v="59"/>
    <s v="050262"/>
    <s v="CA"/>
    <s v="CA - Los Angeles"/>
    <n v="90095"/>
    <s v="Ronald Reagan UCLA Medical Center"/>
    <s v="Short Term Acute Care Hospital"/>
    <s v="Los Angeles"/>
    <n v="432.1"/>
    <n v="7.2"/>
    <n v="1665"/>
    <n v="445"/>
    <n v="120"/>
    <n v="0.03"/>
    <n v="445"/>
    <n v="2.54"/>
    <n v="395"/>
    <n v="22945"/>
  </r>
  <r>
    <x v="59"/>
    <s v="050281"/>
    <s v="CA"/>
    <s v="CA - Los Angeles"/>
    <n v="91801"/>
    <s v="Alhambra Hospital Medical Center"/>
    <s v="Short Term Acute Care Hospital"/>
    <s v="Alhambra"/>
    <n v="55"/>
    <n v="4.2"/>
    <n v="115"/>
    <n v="101"/>
    <n v="13"/>
    <n v="0.03"/>
    <n v="101"/>
    <n v="1.48"/>
    <n v="396"/>
    <n v="4792"/>
  </r>
  <r>
    <x v="59"/>
    <s v="050353"/>
    <s v="CA"/>
    <s v="CA - Los Angeles"/>
    <n v="90503"/>
    <s v="Providence Little Company of Mary Medical Center Torrance"/>
    <s v="Short Term Acute Care Hospital"/>
    <s v="Torrance"/>
    <n v="190"/>
    <n v="4.0999999999999996"/>
    <n v="405"/>
    <n v="327"/>
    <n v="28"/>
    <n v="0.03"/>
    <n v="327"/>
    <n v="1.88"/>
    <n v="397"/>
    <n v="17980"/>
  </r>
  <r>
    <x v="59"/>
    <s v="050350"/>
    <s v="CA"/>
    <s v="CA - Los Angeles"/>
    <n v="90640"/>
    <s v="Beverly Hospital"/>
    <s v="Short Term Acute Care Hospital"/>
    <s v="Montebello"/>
    <n v="105.7"/>
    <n v="3.9"/>
    <n v="166"/>
    <n v="224"/>
    <n v="25"/>
    <n v="0.03"/>
    <n v="224"/>
    <n v="1.62"/>
    <n v="398"/>
    <n v="10290"/>
  </r>
  <r>
    <x v="59"/>
    <s v="050351"/>
    <s v="CA"/>
    <s v="CA - Los Angeles"/>
    <n v="90505"/>
    <s v="Torrance Memorial Medical Center"/>
    <s v="Short Term Acute Care Hospital"/>
    <s v="Torrance"/>
    <n v="269.5"/>
    <n v="4"/>
    <n v="1089"/>
    <n v="493"/>
    <n v="44"/>
    <n v="0.03"/>
    <n v="493"/>
    <n v="1.8"/>
    <n v="399"/>
    <n v="26020"/>
  </r>
  <r>
    <x v="59"/>
    <s v="050378"/>
    <s v="CA"/>
    <s v="CA - Los Angeles"/>
    <n v="91352"/>
    <s v="Pacifica Hospital of the Valley"/>
    <s v="Short Term Acute Care Hospital"/>
    <s v="Sun Valley"/>
    <n v="48.8"/>
    <n v="4.7"/>
    <n v="21"/>
    <n v="133"/>
    <m/>
    <n v="0.03"/>
    <n v="133"/>
    <n v="1.1399999999999999"/>
    <n v="400"/>
    <n v="3812"/>
  </r>
  <r>
    <x v="59"/>
    <s v="050382"/>
    <s v="CA"/>
    <s v="CA - Los Angeles"/>
    <n v="91723"/>
    <s v="Emanate Health Inter-Community Hospital (FKA Inter-Community Hospital)"/>
    <s v="Short Term Acute Care Hospital"/>
    <s v="Covina"/>
    <n v="261.8"/>
    <n v="4.4000000000000004"/>
    <n v="328"/>
    <n v="481"/>
    <n v="20"/>
    <n v="0.03"/>
    <n v="481"/>
    <n v="1.63"/>
    <n v="401"/>
    <n v="23279"/>
  </r>
  <r>
    <x v="59"/>
    <s v="050393"/>
    <s v="CA"/>
    <s v="CA - Los Angeles"/>
    <n v="90241"/>
    <s v="PIH Health Hospital - Downey (FKA Downey Regional Medical Center and Downey Medical Group)"/>
    <s v="Short Term Acute Care Hospital"/>
    <s v="Downey"/>
    <n v="84.9"/>
    <n v="3.5"/>
    <n v="179"/>
    <n v="199"/>
    <n v="18"/>
    <n v="0.03"/>
    <n v="199"/>
    <n v="1.52"/>
    <n v="402"/>
    <n v="9258"/>
  </r>
  <r>
    <x v="59"/>
    <s v="050438"/>
    <s v="CA"/>
    <s v="CA - Los Angeles"/>
    <n v="91105"/>
    <s v="Huntington Hospital (FKA Huntington Memorial Hospital)"/>
    <s v="Short Term Acute Care Hospital"/>
    <s v="Pasadena"/>
    <n v="297"/>
    <n v="4.2"/>
    <n v="754"/>
    <n v="503"/>
    <n v="30"/>
    <n v="0.03"/>
    <n v="503"/>
    <n v="1.74"/>
    <n v="403"/>
    <n v="27431"/>
  </r>
  <r>
    <x v="59"/>
    <s v="050411"/>
    <s v="CA"/>
    <s v="CA - Los Angeles"/>
    <n v="90710"/>
    <s v="South Bay Medical Center"/>
    <s v="Short Term Acute Care Hospital"/>
    <s v="Harbor City"/>
    <n v="99.6"/>
    <n v="3.7"/>
    <n v="619"/>
    <n v="257"/>
    <n v="20"/>
    <n v="0.03"/>
    <n v="257"/>
    <n v="1.89"/>
    <n v="404"/>
    <n v="10793"/>
  </r>
  <r>
    <x v="59"/>
    <s v="050468"/>
    <s v="CA"/>
    <s v="CA - Los Angeles"/>
    <n v="90247"/>
    <s v="Memorial Hospital of Gardena"/>
    <s v="Short Term Acute Care Hospital"/>
    <s v="Gardena"/>
    <n v="63.8"/>
    <n v="3.9"/>
    <n v="58"/>
    <n v="103"/>
    <n v="10"/>
    <n v="0.03"/>
    <n v="103"/>
    <n v="1.55"/>
    <n v="405"/>
    <n v="6412"/>
  </r>
  <r>
    <x v="59"/>
    <s v="050471"/>
    <s v="CA"/>
    <s v="CA - Los Angeles"/>
    <n v="90017"/>
    <s v="PIH Health Good Samaritan Hospital"/>
    <s v="Short Term Acute Care Hospital"/>
    <s v="Los Angeles"/>
    <n v="179.4"/>
    <n v="6.1"/>
    <n v="250"/>
    <n v="310"/>
    <n v="39"/>
    <n v="0.03"/>
    <n v="310"/>
    <n v="2.2999999999999998"/>
    <n v="406"/>
    <n v="11622"/>
  </r>
  <r>
    <x v="59"/>
    <s v="050481"/>
    <s v="CA"/>
    <s v="CA - Los Angeles"/>
    <n v="91307"/>
    <s v="West Hills Hospital &amp; Medical Center"/>
    <s v="Short Term Acute Care Hospital"/>
    <s v="West Hills"/>
    <n v="110.8"/>
    <n v="4.8"/>
    <n v="248"/>
    <n v="228"/>
    <n v="25"/>
    <n v="0.03"/>
    <n v="228"/>
    <n v="1.71"/>
    <n v="407"/>
    <n v="8802"/>
  </r>
  <r>
    <x v="59"/>
    <s v="050485"/>
    <s v="CA"/>
    <s v="CA - Los Angeles"/>
    <n v="90806"/>
    <s v="Long Beach Medical Center (FKA Long Beach Memorial Medical Center)"/>
    <s v="Short Term Acute Care Hospital"/>
    <s v="Long Beach"/>
    <n v="238.6"/>
    <n v="4.5"/>
    <n v="731"/>
    <n v="369"/>
    <n v="60"/>
    <n v="0.03"/>
    <n v="369"/>
    <n v="1.84"/>
    <n v="408"/>
    <n v="21321"/>
  </r>
  <r>
    <x v="59"/>
    <s v="050502"/>
    <s v="CA"/>
    <s v="CA - Los Angeles"/>
    <n v="90057"/>
    <s v="St Vincent Medical Center (Temporarily Open due to COVID-19)"/>
    <s v="Short Term Acute Care Hospital"/>
    <s v="Los Angeles"/>
    <n v="120.1"/>
    <n v="4.9000000000000004"/>
    <n v="170"/>
    <m/>
    <m/>
    <n v="0.03"/>
    <n v="320"/>
    <n v="1.94"/>
    <n v="409"/>
    <n v="8922"/>
  </r>
  <r>
    <x v="59"/>
    <m/>
    <s v="CA"/>
    <s v="CA - Los Angeles"/>
    <n v="90706"/>
    <s v="Los Angeles Community Hospital at Bellflower (FKA Bellflower Medical Center)"/>
    <s v="Short Term Acute Care Hospital"/>
    <s v="Bellflower"/>
    <n v="34"/>
    <n v="5.8"/>
    <m/>
    <n v="144"/>
    <n v="10"/>
    <n v="0.03"/>
    <n v="144"/>
    <m/>
    <n v="410"/>
    <n v="2469"/>
  </r>
  <r>
    <x v="59"/>
    <s v="050545 (Closed)"/>
    <s v="CA"/>
    <s v="CA - Los Angeles"/>
    <n v="91768"/>
    <s v="Lanterman Developmental Center (Closed May 2014)"/>
    <s v="Short Term Acute Care Hospital"/>
    <s v="Pomona"/>
    <n v="0.1"/>
    <n v="8.1999999999999993"/>
    <m/>
    <m/>
    <m/>
    <n v="0.03"/>
    <m/>
    <m/>
    <n v="411"/>
    <n v="5"/>
  </r>
  <r>
    <x v="59"/>
    <s v="050552 (Closed)"/>
    <s v="CA"/>
    <s v="CA - Los Angeles"/>
    <n v="91364"/>
    <s v="Jack H Skirball Health Center (FKA Motion Picture &amp; Television Hospital - Closed No Longer Offers Inpatient Services)"/>
    <s v="Short Term Acute Care Hospital"/>
    <s v="Woodland Hills"/>
    <m/>
    <m/>
    <m/>
    <m/>
    <m/>
    <n v="0.03"/>
    <m/>
    <n v="1.2"/>
    <n v="412"/>
    <m/>
  </r>
  <r>
    <x v="59"/>
    <s v="050561"/>
    <s v="CA"/>
    <s v="CA - Los Angeles"/>
    <n v="90034"/>
    <s v="West Los Angeles Medical Center"/>
    <s v="Short Term Acute Care Hospital"/>
    <s v="Los Angeles"/>
    <n v="78.8"/>
    <n v="3.5"/>
    <n v="602"/>
    <n v="265"/>
    <n v="31"/>
    <n v="0.03"/>
    <n v="265"/>
    <n v="2.0099999999999998"/>
    <n v="413"/>
    <n v="8946"/>
  </r>
  <r>
    <x v="59"/>
    <s v="050723"/>
    <s v="CA"/>
    <s v="CA - Los Angeles"/>
    <n v="91706"/>
    <s v="Baldwin Park Medical Center"/>
    <s v="Short Term Acute Care Hospital"/>
    <s v="Baldwin Park"/>
    <n v="100.7"/>
    <n v="3.8"/>
    <n v="631"/>
    <n v="257"/>
    <n v="12"/>
    <n v="0.03"/>
    <n v="257"/>
    <n v="1.96"/>
    <n v="414"/>
    <n v="11026"/>
  </r>
  <r>
    <x v="59"/>
    <s v="050735"/>
    <s v="CA"/>
    <s v="CA - Los Angeles"/>
    <n v="90605"/>
    <s v="Whittier Hospital Medical Center"/>
    <s v="Short Term Acute Care Hospital"/>
    <s v="Whittier"/>
    <n v="65"/>
    <n v="4"/>
    <n v="152"/>
    <n v="156"/>
    <n v="16"/>
    <n v="0.03"/>
    <n v="156"/>
    <n v="1.39"/>
    <n v="415"/>
    <n v="7029"/>
  </r>
  <r>
    <x v="59"/>
    <s v="050736"/>
    <s v="CA"/>
    <s v="CA - Los Angeles"/>
    <n v="91754"/>
    <s v="Monterey Park Hospital"/>
    <s v="Short Term Acute Care Hospital"/>
    <s v="Monterey Park"/>
    <n v="50.6"/>
    <n v="4.3"/>
    <n v="95"/>
    <n v="101"/>
    <n v="4"/>
    <n v="0.03"/>
    <n v="101"/>
    <n v="1.49"/>
    <n v="416"/>
    <n v="4898"/>
  </r>
  <r>
    <x v="59"/>
    <s v="050737"/>
    <s v="CA"/>
    <s v="CA - Los Angeles"/>
    <n v="91754"/>
    <s v="Garfield Medical Center"/>
    <s v="Short Term Acute Care Hospital"/>
    <s v="Monterey Park"/>
    <n v="131.19999999999999"/>
    <n v="5.3"/>
    <n v="183"/>
    <n v="182"/>
    <n v="10"/>
    <n v="0.03"/>
    <n v="182"/>
    <n v="1.71"/>
    <n v="417"/>
    <n v="9833"/>
  </r>
  <r>
    <x v="59"/>
    <s v="050738"/>
    <s v="CA"/>
    <s v="CA - Los Angeles"/>
    <n v="91733"/>
    <s v="Greater El Monte Community Hospital"/>
    <s v="Short Term Acute Care Hospital"/>
    <s v="South El Monte"/>
    <n v="39.700000000000003"/>
    <n v="4.7"/>
    <n v="38"/>
    <n v="104"/>
    <n v="10"/>
    <n v="0.03"/>
    <n v="104"/>
    <n v="1.68"/>
    <n v="418"/>
    <n v="3144"/>
  </r>
  <r>
    <x v="59"/>
    <s v="050739"/>
    <s v="CA"/>
    <s v="CA - Los Angeles"/>
    <n v="90301"/>
    <s v="Centinela Hospital Medical Center"/>
    <s v="Short Term Acute Care Hospital"/>
    <s v="Inglewood"/>
    <n v="168.4"/>
    <n v="4"/>
    <n v="227"/>
    <n v="313"/>
    <n v="31"/>
    <n v="0.03"/>
    <n v="313"/>
    <n v="1.87"/>
    <n v="419"/>
    <n v="15776"/>
  </r>
  <r>
    <x v="59"/>
    <s v="050740"/>
    <s v="CA"/>
    <s v="CA - Los Angeles"/>
    <n v="90292"/>
    <s v="Cedars-Sinai Marina Del Rey Hospital"/>
    <s v="Short Term Acute Care Hospital"/>
    <s v="Marina Del Rey"/>
    <n v="43.3"/>
    <n v="3.4"/>
    <n v="135"/>
    <n v="103"/>
    <n v="12"/>
    <n v="0.03"/>
    <n v="103"/>
    <n v="1.87"/>
    <n v="420"/>
    <n v="4680"/>
  </r>
  <r>
    <x v="59"/>
    <s v="050742"/>
    <s v="CA"/>
    <s v="CA - Los Angeles"/>
    <n v="90036"/>
    <s v="Olympia Medical Center"/>
    <s v="Short Term Acute Care Hospital"/>
    <s v="Los Angeles"/>
    <n v="64.7"/>
    <n v="5"/>
    <n v="106"/>
    <n v="204"/>
    <m/>
    <n v="0.03"/>
    <n v="204"/>
    <n v="1.58"/>
    <n v="421"/>
    <n v="4692"/>
  </r>
  <r>
    <x v="59"/>
    <s v="050761"/>
    <s v="CA"/>
    <s v="CA - Los Angeles"/>
    <n v="91356"/>
    <s v="Providence Tarzana Medical Center"/>
    <s v="Short Term Acute Care Hospital"/>
    <s v="Tarzana"/>
    <n v="129.69999999999999"/>
    <n v="4.0999999999999996"/>
    <n v="379"/>
    <n v="246"/>
    <n v="27"/>
    <n v="0.03"/>
    <n v="246"/>
    <n v="1.65"/>
    <n v="422"/>
    <n v="12823"/>
  </r>
  <r>
    <x v="59"/>
    <s v="050763"/>
    <s v="CA"/>
    <s v="CA - Los Angeles"/>
    <n v="90026"/>
    <s v="LA Downtown Medical Center - Downtown Campus (FKA Silver Lake Medical Center - Downtown Campus)"/>
    <s v="Short Term Acute Care Hospital"/>
    <s v="Los Angeles"/>
    <n v="145.69999999999999"/>
    <n v="8.9"/>
    <n v="75"/>
    <n v="234"/>
    <n v="12"/>
    <n v="0.03"/>
    <n v="212"/>
    <n v="1.28"/>
    <n v="423"/>
    <n v="6508"/>
  </r>
  <r>
    <x v="59"/>
    <s v="050751 (Closed)"/>
    <s v="CA"/>
    <s v="CA - Los Angeles"/>
    <n v="90036"/>
    <s v="Miracle Mile Medical Center (Closed)"/>
    <s v="Short Term Acute Care Hospital"/>
    <s v="Los Angeles"/>
    <n v="0.2"/>
    <n v="1.7"/>
    <m/>
    <m/>
    <m/>
    <n v="0.03"/>
    <m/>
    <n v="3.12"/>
    <n v="424"/>
    <n v="124"/>
  </r>
  <r>
    <x v="59"/>
    <s v="050135*"/>
    <s v="CA"/>
    <s v="CA - Los Angeles"/>
    <n v="90232"/>
    <s v="Southern California Hospital at Culver City (FKA Hollywood Community Hospital at Brotman Medical Center)"/>
    <s v="Short Term Acute Care Hospital"/>
    <s v="Culver City"/>
    <m/>
    <m/>
    <n v="11"/>
    <m/>
    <m/>
    <m/>
    <n v="420"/>
    <m/>
    <n v="425"/>
    <m/>
  </r>
  <r>
    <x v="59"/>
    <s v="050755"/>
    <s v="CA"/>
    <s v="CA - Los Angeles"/>
    <n v="91403"/>
    <s v="Sherman Oaks Hospital"/>
    <s v="Short Term Acute Care Hospital"/>
    <s v="Sherman Oaks"/>
    <n v="56.3"/>
    <n v="4.0999999999999996"/>
    <n v="73"/>
    <n v="112"/>
    <n v="16"/>
    <n v="0.03"/>
    <n v="112"/>
    <n v="1.78"/>
    <n v="426"/>
    <n v="5070"/>
  </r>
  <r>
    <x v="59"/>
    <s v="050727 (Closed)"/>
    <s v="CA"/>
    <s v="CA - Los Angeles"/>
    <n v="90804"/>
    <s v="MemorialCare Community Medical Center Long Beach (Temporarily Open due to COVID-19) (Closed)"/>
    <s v="Short Term Acute Care Hospital"/>
    <s v="Long Beach"/>
    <n v="32.5"/>
    <n v="4.0999999999999996"/>
    <m/>
    <m/>
    <m/>
    <n v="0.03"/>
    <m/>
    <n v="1.38"/>
    <n v="427"/>
    <n v="3288"/>
  </r>
  <r>
    <x v="59"/>
    <s v="050624"/>
    <s v="CA"/>
    <s v="CA - Los Angeles"/>
    <n v="91355"/>
    <s v="Henry Mayo Newhall Memorial Hospital"/>
    <s v="Short Term Acute Care Hospital"/>
    <s v="Valencia"/>
    <n v="123.8"/>
    <n v="4.3"/>
    <n v="321"/>
    <n v="196"/>
    <n v="18"/>
    <n v="0.03"/>
    <n v="196"/>
    <n v="1.66"/>
    <n v="429"/>
    <n v="11167"/>
  </r>
  <r>
    <x v="59"/>
    <s v="050625"/>
    <s v="CA"/>
    <s v="CA - Los Angeles"/>
    <n v="90048"/>
    <s v="Cedars-Sinai Medical Center"/>
    <s v="Short Term Acute Care Hospital"/>
    <s v="Los Angeles"/>
    <n v="727.7"/>
    <n v="4.9000000000000004"/>
    <n v="2116"/>
    <n v="880"/>
    <n v="48"/>
    <n v="0.03"/>
    <n v="880"/>
    <n v="2.21"/>
    <n v="430"/>
    <n v="55908"/>
  </r>
  <r>
    <x v="59"/>
    <s v="050575 (Closed)"/>
    <s v="CA"/>
    <s v="CA - Los Angeles"/>
    <n v="90716"/>
    <s v="Gardens Regional Hospital and Medical Center (FKA Tri - City Regional Hospital and Medical Center - Closed)"/>
    <s v="Short Term Acute Care Hospital"/>
    <s v="Hawaiian Gardens"/>
    <n v="24.9"/>
    <n v="5.0999999999999996"/>
    <m/>
    <m/>
    <m/>
    <n v="0.03"/>
    <m/>
    <m/>
    <n v="431"/>
    <n v="1768"/>
  </r>
  <r>
    <x v="59"/>
    <s v="050581"/>
    <s v="CA"/>
    <s v="CA - Los Angeles"/>
    <n v="90712"/>
    <s v="Lakewood Regional Medical Center"/>
    <s v="Short Term Acute Care Hospital"/>
    <s v="Lakewood"/>
    <n v="112"/>
    <n v="4.7"/>
    <n v="190"/>
    <n v="172"/>
    <n v="32"/>
    <n v="0.03"/>
    <n v="172"/>
    <n v="1.7"/>
    <n v="432"/>
    <n v="8720"/>
  </r>
  <r>
    <x v="59"/>
    <s v="050588"/>
    <s v="CA"/>
    <s v="CA - Los Angeles"/>
    <n v="91773"/>
    <s v="San Dimas Community Hospital"/>
    <s v="Short Term Acute Care Hospital"/>
    <s v="San Dimas"/>
    <n v="33.4"/>
    <n v="3.7"/>
    <n v="48"/>
    <n v="95"/>
    <n v="8"/>
    <n v="0.03"/>
    <n v="95"/>
    <n v="1.64"/>
    <n v="433"/>
    <n v="3578"/>
  </r>
  <r>
    <x v="59"/>
    <s v="050597"/>
    <s v="CA"/>
    <s v="CA - Los Angeles"/>
    <n v="91740"/>
    <s v="Emanate Health Foothill Presbyterian Hospital (FKA Foothill Presbyterian Hospital)"/>
    <s v="Short Term Acute Care Hospital"/>
    <s v="Glendora"/>
    <n v="62.4"/>
    <n v="4.2"/>
    <n v="90"/>
    <n v="105"/>
    <n v="18"/>
    <n v="0.03"/>
    <n v="105"/>
    <n v="1.49"/>
    <n v="434"/>
    <n v="5685"/>
  </r>
  <r>
    <x v="59"/>
    <s v="050641"/>
    <s v="CA"/>
    <s v="CA - Los Angeles"/>
    <n v="90023"/>
    <s v="East Los Angeles Doctors Hospital"/>
    <s v="Short Term Acute Care Hospital"/>
    <s v="Los Angeles"/>
    <n v="33.799999999999997"/>
    <n v="4.8"/>
    <n v="31"/>
    <n v="102"/>
    <n v="10"/>
    <n v="0.03"/>
    <n v="102"/>
    <n v="1.49"/>
    <n v="435"/>
    <n v="2865"/>
  </r>
  <r>
    <x v="59"/>
    <s v="050644 (Closed)"/>
    <s v="CA"/>
    <s v="CA - Los Angeles"/>
    <n v="90018"/>
    <s v="Los Angeles Metropolitan Medical Center - LA Campus (Closed April 2013)"/>
    <s v="Short Term Acute Care Hospital"/>
    <s v="Los Angeles"/>
    <n v="43.3"/>
    <n v="6.1"/>
    <m/>
    <m/>
    <m/>
    <n v="0.03"/>
    <m/>
    <m/>
    <n v="436"/>
    <n v="2599"/>
  </r>
  <r>
    <x v="59"/>
    <s v="050660"/>
    <s v="CA"/>
    <s v="CA - Los Angeles"/>
    <n v="90089"/>
    <s v="USC Kenneth Norris Jr Cancer Hospital"/>
    <s v="Short Term Acute Care Hospital"/>
    <s v="Los Angeles"/>
    <n v="40.299999999999997"/>
    <n v="9.6"/>
    <n v="215"/>
    <n v="60"/>
    <n v="7"/>
    <n v="0.03"/>
    <n v="60"/>
    <n v="1.97"/>
    <n v="437"/>
    <n v="1529"/>
  </r>
  <r>
    <x v="59"/>
    <s v="050663"/>
    <s v="CA"/>
    <s v="CA - Los Angeles"/>
    <n v="90023"/>
    <s v="Los Angeles Community Hospital"/>
    <s v="Short Term Acute Care Hospital"/>
    <s v="Los Angeles"/>
    <n v="142.69999999999999"/>
    <n v="4.9000000000000004"/>
    <n v="62"/>
    <n v="285"/>
    <n v="22"/>
    <n v="0.03"/>
    <n v="285"/>
    <n v="1.59"/>
    <n v="438"/>
    <n v="10549"/>
  </r>
  <r>
    <x v="59"/>
    <s v="050677"/>
    <s v="CA"/>
    <s v="CA - Los Angeles"/>
    <n v="91367"/>
    <s v="Woodland Hills Medical Center"/>
    <s v="Short Term Acute Care Hospital"/>
    <s v="Woodland Hills"/>
    <n v="80"/>
    <n v="3.9"/>
    <n v="566"/>
    <n v="252"/>
    <n v="22"/>
    <n v="0.03"/>
    <n v="262"/>
    <n v="1.66"/>
    <n v="439"/>
    <n v="8564"/>
  </r>
  <r>
    <x v="59"/>
    <s v="050696"/>
    <s v="CA"/>
    <s v="CA - Los Angeles"/>
    <n v="90033"/>
    <s v="Keck Hospital of USC (FKA USC University Hospital)"/>
    <s v="Short Term Acute Care Hospital"/>
    <s v="Los Angeles"/>
    <n v="215.7"/>
    <n v="6.7"/>
    <n v="654"/>
    <n v="301"/>
    <n v="46"/>
    <n v="0.03"/>
    <n v="301"/>
    <n v="3.06"/>
    <n v="440"/>
    <n v="11725"/>
  </r>
  <r>
    <x v="59"/>
    <s v="050704"/>
    <s v="CA"/>
    <s v="CA - Los Angeles"/>
    <n v="91402"/>
    <s v="Mission Community Hospital"/>
    <s v="Short Term Acute Care Hospital"/>
    <s v="Panorama City"/>
    <n v="122.5"/>
    <n v="4.9000000000000004"/>
    <n v="64"/>
    <n v="145"/>
    <n v="10"/>
    <n v="0.03"/>
    <n v="60"/>
    <n v="1.67"/>
    <n v="441"/>
    <n v="9046"/>
  </r>
  <r>
    <x v="59"/>
    <s v="050018 (Closed)"/>
    <s v="CA"/>
    <s v="CA - Los Angeles"/>
    <n v="90012"/>
    <s v="Pacific Alliance Medical Center (Closed)"/>
    <s v="Short Term Acute Care Hospital"/>
    <s v="Los Angeles"/>
    <n v="47.1"/>
    <n v="4.3"/>
    <m/>
    <m/>
    <m/>
    <n v="0.03"/>
    <m/>
    <m/>
    <n v="442"/>
    <n v="4516"/>
  </r>
  <r>
    <x v="59"/>
    <s v="050040"/>
    <s v="CA"/>
    <s v="CA - Los Angeles"/>
    <n v="91342"/>
    <s v="Olive View - UCLA Medical Center"/>
    <s v="Short Term Acute Care Hospital"/>
    <s v="Sylmar"/>
    <n v="141"/>
    <n v="4.8"/>
    <n v="311"/>
    <n v="270"/>
    <n v="18"/>
    <m/>
    <n v="270"/>
    <n v="1.53"/>
    <n v="443"/>
    <n v="10939"/>
  </r>
  <r>
    <x v="59"/>
    <s v="050056"/>
    <s v="CA"/>
    <s v="CA - Los Angeles"/>
    <n v="93534"/>
    <s v="Antelope Valley Hospital (FKA Antelope Valley Hospital Medical Center)"/>
    <s v="Short Term Acute Care Hospital"/>
    <s v="Lancaster"/>
    <n v="217.6"/>
    <n v="4.5"/>
    <n v="462"/>
    <n v="393"/>
    <n v="21"/>
    <n v="0.03"/>
    <n v="393"/>
    <n v="1.83"/>
    <n v="444"/>
    <n v="19155"/>
  </r>
  <r>
    <x v="59"/>
    <s v="050373"/>
    <s v="CA"/>
    <s v="CA - Los Angeles"/>
    <n v="90033"/>
    <s v="LAC &amp; USC Medical Center"/>
    <s v="Short Term Acute Care Hospital"/>
    <s v="Los Angeles"/>
    <n v="475.9"/>
    <n v="5.8"/>
    <n v="793"/>
    <n v="594"/>
    <n v="128"/>
    <n v="0.03"/>
    <n v="594"/>
    <n v="1.97"/>
    <n v="476"/>
    <n v="30230"/>
  </r>
  <r>
    <x v="59"/>
    <s v="050376"/>
    <s v="CA"/>
    <s v="CA - Los Angeles"/>
    <n v="90509"/>
    <s v="Harbor - UCLA Medical Center"/>
    <s v="Short Term Acute Care Hospital"/>
    <s v="Torrance"/>
    <n v="240"/>
    <n v="5.2"/>
    <n v="614"/>
    <n v="390"/>
    <n v="46"/>
    <n v="0.03"/>
    <n v="390"/>
    <n v="1.77"/>
    <n v="477"/>
    <n v="17504"/>
  </r>
  <r>
    <x v="59"/>
    <s v="050717"/>
    <s v="CA"/>
    <s v="CA - Los Angeles"/>
    <n v="90242"/>
    <s v="Rancho Los Amigos National Rehabilitation Center"/>
    <s v="Short Term Acute Care Hospital"/>
    <s v="Downey"/>
    <n v="60.2"/>
    <n v="10.3"/>
    <n v="111"/>
    <n v="114"/>
    <n v="12"/>
    <n v="0.03"/>
    <n v="114"/>
    <n v="1.63"/>
    <n v="488"/>
    <n v="2130"/>
  </r>
  <r>
    <x v="59"/>
    <s v="050382*"/>
    <s v="CA"/>
    <s v="CA - Los Angeles"/>
    <n v="91790"/>
    <s v="Emanate Health Queen of the Valley Hospital (FKA Queen of the Valley Hospital)"/>
    <s v="Short Term Acute Care Hospital"/>
    <s v="West Covina"/>
    <m/>
    <m/>
    <n v="100"/>
    <m/>
    <m/>
    <m/>
    <m/>
    <m/>
    <n v="541960"/>
    <m/>
  </r>
  <r>
    <x v="59"/>
    <s v="050135*"/>
    <s v="CA"/>
    <s v="CA - Los Angeles"/>
    <n v="91401"/>
    <s v="Southern California Hospital at Van Nuys (FKA Van Nuys Community Hospital)"/>
    <s v="Short Term Acute Care Hospital"/>
    <s v="Van Nuys"/>
    <m/>
    <m/>
    <m/>
    <m/>
    <m/>
    <m/>
    <n v="55"/>
    <m/>
    <n v="541989"/>
    <m/>
  </r>
  <r>
    <x v="59"/>
    <s v="050663*"/>
    <s v="CA"/>
    <s v="CA - Los Angeles"/>
    <n v="90650"/>
    <s v="Norwalk Community Hospital"/>
    <s v="Short Term Acute Care Hospital"/>
    <s v="Norwalk"/>
    <m/>
    <m/>
    <m/>
    <m/>
    <m/>
    <m/>
    <n v="50"/>
    <m/>
    <n v="550816"/>
    <m/>
  </r>
  <r>
    <x v="59"/>
    <s v="050779"/>
    <s v="CA"/>
    <s v="CA - Los Angeles"/>
    <n v="90059"/>
    <s v="Martin Luther King Jr Community Hospital"/>
    <s v="Short Term Acute Care Hospital"/>
    <s v="Los Angeles"/>
    <n v="98.1"/>
    <n v="4"/>
    <n v="218"/>
    <n v="131"/>
    <n v="20"/>
    <n v="0.03"/>
    <n v="131"/>
    <n v="1.48"/>
    <n v="553251"/>
    <n v="9301"/>
  </r>
  <r>
    <x v="59"/>
    <m/>
    <s v="CA"/>
    <s v="CA - Los Angeles"/>
    <n v="91768"/>
    <s v="American Recovery Center"/>
    <s v="Short Term Acute Care Hospital"/>
    <s v="Pomona"/>
    <m/>
    <m/>
    <m/>
    <m/>
    <m/>
    <m/>
    <m/>
    <m/>
    <n v="577359"/>
    <m/>
  </r>
  <r>
    <x v="59"/>
    <m/>
    <s v="CA"/>
    <s v="CA - Los Angeles"/>
    <n v="91302"/>
    <s v="Pacific Shores Hospital (Closed Nov 2014)"/>
    <s v="Short Term Acute Care Hospital"/>
    <s v="Calabasas"/>
    <m/>
    <m/>
    <m/>
    <m/>
    <m/>
    <m/>
    <m/>
    <m/>
    <n v="577377"/>
    <m/>
  </r>
  <r>
    <x v="59"/>
    <m/>
    <s v="CA"/>
    <s v="CA - Los Angeles"/>
    <n v="90505"/>
    <s v="Star View Adolescent Center"/>
    <s v="Short Term Acute Care Hospital"/>
    <s v="Torrance"/>
    <m/>
    <m/>
    <m/>
    <m/>
    <m/>
    <m/>
    <n v="16"/>
    <m/>
    <n v="577389"/>
    <m/>
  </r>
  <r>
    <x v="59"/>
    <s v="050763*"/>
    <s v="CA"/>
    <s v="CA - Los Angeles"/>
    <n v="91770"/>
    <s v="LA Downtown Medical Center - Ingleside Campus (FKA Silver Lake Medical Center - Ingleside Campus)"/>
    <s v="Short Term Acute Care Hospital"/>
    <s v="Rosemead"/>
    <m/>
    <m/>
    <m/>
    <m/>
    <m/>
    <m/>
    <n v="118"/>
    <m/>
    <n v="833115"/>
    <m/>
  </r>
  <r>
    <x v="59"/>
    <m/>
    <s v="CA"/>
    <s v="CA - Los Angeles"/>
    <n v="90015"/>
    <s v="Los Angeles Convention Center Field Hospital (Temporarily Open due to COVID-19)"/>
    <s v="Short Term Acute Care Hospital"/>
    <s v="Los Angeles"/>
    <m/>
    <m/>
    <m/>
    <m/>
    <m/>
    <m/>
    <m/>
    <m/>
    <n v="1012053"/>
    <m/>
  </r>
  <r>
    <x v="59"/>
    <m/>
    <s v="CA"/>
    <s v="CA - Los Angeles"/>
    <n v="90057"/>
    <s v="Los Ageles Field Hospital (Temporarily Open due to COVID-19)"/>
    <s v="Short Term Acute Care Hospital"/>
    <s v="Los Angeles"/>
    <m/>
    <m/>
    <m/>
    <m/>
    <m/>
    <m/>
    <m/>
    <m/>
    <n v="1012523"/>
    <m/>
  </r>
  <r>
    <x v="59"/>
    <s v="050782"/>
    <s v="CA"/>
    <s v="CA - Los Angeles"/>
    <n v="91769"/>
    <s v="Casa Colina Hospital and Centers for Healthcare (FKA Casa Colina Hospital for Rehab Medicine)"/>
    <s v="Short Term Acute Care Hospital"/>
    <s v="Pomona"/>
    <n v="12"/>
    <n v="3.7"/>
    <n v="108"/>
    <n v="31"/>
    <n v="6"/>
    <n v="0.03"/>
    <n v="31"/>
    <n v="1.59"/>
    <n v="6114"/>
    <n v="1195"/>
  </r>
  <r>
    <x v="1289"/>
    <s v="050568"/>
    <s v="CA"/>
    <s v="CA - Madera"/>
    <n v="93637"/>
    <s v="Madera Community Hospital"/>
    <s v="Short Term Acute Care Hospital"/>
    <s v="Madera"/>
    <n v="38.200000000000003"/>
    <n v="4.3"/>
    <n v="137"/>
    <n v="106"/>
    <n v="10"/>
    <n v="0.79"/>
    <n v="106"/>
    <n v="1.51"/>
    <n v="445"/>
    <n v="3658"/>
  </r>
  <r>
    <x v="1290"/>
    <s v="050510"/>
    <s v="CA"/>
    <s v="CA - Marin"/>
    <n v="94903"/>
    <s v="Kaiser Permanente - San Rafael Medical Center"/>
    <s v="Short Term Acute Care Hospital"/>
    <s v="San Rafael"/>
    <n v="41.1"/>
    <n v="3.6"/>
    <n v="342"/>
    <n v="116"/>
    <n v="12"/>
    <n v="7.0000000000000007E-2"/>
    <n v="116"/>
    <n v="1.67"/>
    <n v="446"/>
    <n v="4133"/>
  </r>
  <r>
    <x v="1290"/>
    <s v="050131"/>
    <s v="CA"/>
    <s v="CA - Marin"/>
    <n v="94945"/>
    <s v="Novato Community Hospital"/>
    <s v="Short Term Acute Care Hospital"/>
    <s v="Novato"/>
    <n v="16.899999999999999"/>
    <n v="3.2"/>
    <n v="128"/>
    <n v="47"/>
    <n v="8"/>
    <n v="7.0000000000000007E-2"/>
    <n v="47"/>
    <n v="1.51"/>
    <n v="448"/>
    <n v="1945"/>
  </r>
  <r>
    <x v="1290"/>
    <s v="050360"/>
    <s v="CA"/>
    <s v="CA - Marin"/>
    <n v="94904"/>
    <s v="MarinHealth Medical Center (FKA Marin General Hospital)"/>
    <s v="Short Term Acute Care Hospital"/>
    <s v="Greenbrae"/>
    <n v="101.1"/>
    <n v="4.3"/>
    <n v="562"/>
    <n v="218"/>
    <n v="10"/>
    <n v="7.0000000000000007E-2"/>
    <n v="218"/>
    <n v="1.68"/>
    <n v="447"/>
    <n v="9248"/>
  </r>
  <r>
    <x v="61"/>
    <s v="050301"/>
    <s v="CA"/>
    <s v="CA - Mendocino"/>
    <n v="95482"/>
    <s v="Adventist Health Ukiah Valley (FKA Ukiah Valley Medical Center)"/>
    <s v="Short Term Acute Care Hospital"/>
    <s v="Ukiah"/>
    <n v="31.2"/>
    <n v="3.7"/>
    <n v="180"/>
    <n v="50"/>
    <n v="6"/>
    <n v="0.41"/>
    <n v="50"/>
    <n v="1.44"/>
    <n v="452"/>
    <n v="3451"/>
  </r>
  <r>
    <x v="1291"/>
    <s v="050444"/>
    <s v="CA"/>
    <s v="CA - Merced"/>
    <n v="95340"/>
    <s v="Mercy Medical Center Merced"/>
    <s v="Short Term Acute Care Hospital"/>
    <s v="Merced"/>
    <n v="121.8"/>
    <n v="4.0999999999999996"/>
    <n v="240"/>
    <n v="186"/>
    <n v="20"/>
    <n v="0.71"/>
    <n v="186"/>
    <n v="1.51"/>
    <n v="453"/>
    <n v="11860"/>
  </r>
  <r>
    <x v="1291"/>
    <s v="050528"/>
    <s v="CA"/>
    <s v="CA - Merced"/>
    <n v="93635"/>
    <s v="Memorial Hospital Los Banos"/>
    <s v="Short Term Acute Care Hospital"/>
    <s v="Los Banos"/>
    <n v="10.199999999999999"/>
    <n v="4.0999999999999996"/>
    <n v="52"/>
    <n v="40"/>
    <n v="4"/>
    <n v="0.71"/>
    <n v="40"/>
    <n v="1.47"/>
    <n v="454"/>
    <n v="1199"/>
  </r>
  <r>
    <x v="1292"/>
    <s v="050334"/>
    <s v="CA"/>
    <s v="CA - Monterey"/>
    <n v="93901"/>
    <s v="Salinas Valley Memorial Hospital"/>
    <s v="Short Term Acute Care Hospital"/>
    <s v="Salinas"/>
    <n v="124.4"/>
    <n v="4.2"/>
    <n v="283"/>
    <n v="240"/>
    <n v="13"/>
    <n v="0.34"/>
    <n v="240"/>
    <n v="1.8"/>
    <n v="456"/>
    <n v="11385"/>
  </r>
  <r>
    <x v="1292"/>
    <s v="050248"/>
    <s v="CA"/>
    <s v="CA - Monterey"/>
    <n v="93906"/>
    <s v="Natividad Medical Center"/>
    <s v="Short Term Acute Care Hospital"/>
    <s v="Salinas"/>
    <n v="83.6"/>
    <n v="4.2"/>
    <n v="212"/>
    <n v="148"/>
    <n v="10"/>
    <n v="0.34"/>
    <n v="148"/>
    <n v="1.38"/>
    <n v="457"/>
    <n v="8488"/>
  </r>
  <r>
    <x v="1292"/>
    <s v="050145"/>
    <s v="CA"/>
    <s v="CA - Monterey"/>
    <n v="93940"/>
    <s v="Community Hospital of the Monterey Peninsula (AKA Montage Health)"/>
    <s v="Short Term Acute Care Hospital"/>
    <s v="Monterey"/>
    <n v="141.6"/>
    <n v="5.0999999999999996"/>
    <n v="519"/>
    <n v="227"/>
    <n v="20"/>
    <n v="0.34"/>
    <n v="227"/>
    <n v="1.73"/>
    <n v="458"/>
    <n v="10600"/>
  </r>
  <r>
    <x v="1292"/>
    <s v="050189"/>
    <s v="CA"/>
    <s v="CA - Monterey"/>
    <n v="93930"/>
    <s v="Mee Memorial Hospital (FKA George L Mee Memorial Hospital)"/>
    <s v="Short Term Acute Care Hospital"/>
    <s v="King City"/>
    <n v="34.6"/>
    <n v="15.8"/>
    <n v="47"/>
    <n v="76"/>
    <n v="4"/>
    <n v="0.34"/>
    <n v="94"/>
    <n v="1.1100000000000001"/>
    <n v="459"/>
    <n v="844"/>
  </r>
  <r>
    <x v="1293"/>
    <s v="050009"/>
    <s v="CA"/>
    <s v="CA - Napa"/>
    <n v="94558"/>
    <s v="Queen of the Valley Medical Center"/>
    <s v="Short Term Acute Care Hospital"/>
    <s v="Napa"/>
    <n v="77.5"/>
    <n v="4.5999999999999996"/>
    <n v="301"/>
    <n v="152"/>
    <n v="36"/>
    <n v="0.44"/>
    <n v="152"/>
    <n v="1.73"/>
    <n v="460"/>
    <n v="6423"/>
  </r>
  <r>
    <x v="1293"/>
    <s v="050013"/>
    <s v="CA"/>
    <s v="CA - Napa"/>
    <n v="94574"/>
    <s v="Adventist Health St Helena (FKA St Helena Hospital - Napa Valley)"/>
    <s v="Short Term Acute Care Hospital"/>
    <s v="Saint Helena"/>
    <n v="54"/>
    <n v="6.2"/>
    <n v="143"/>
    <n v="117"/>
    <n v="12"/>
    <n v="0.44"/>
    <n v="117"/>
    <n v="2.23"/>
    <n v="461"/>
    <n v="3690"/>
  </r>
  <r>
    <x v="1293"/>
    <s v="050667 (Closed)"/>
    <s v="CA"/>
    <s v="CA - Napa"/>
    <n v="94599"/>
    <s v="N M Holderman Memorial Hospital (Closed Hospital Services)"/>
    <s v="Short Term Acute Care Hospital"/>
    <s v="Yountville"/>
    <n v="1.3"/>
    <n v="4"/>
    <m/>
    <m/>
    <m/>
    <n v="0.44"/>
    <m/>
    <m/>
    <n v="4778"/>
    <n v="115"/>
  </r>
  <r>
    <x v="64"/>
    <s v="050150"/>
    <s v="CA"/>
    <s v="CA - Nevada"/>
    <n v="95945"/>
    <s v="Sierra Nevada Memorial Hospital"/>
    <s v="Short Term Acute Care Hospital"/>
    <s v="Grass Valley"/>
    <n v="51.3"/>
    <n v="3.7"/>
    <n v="179"/>
    <n v="104"/>
    <n v="4"/>
    <n v="0.5"/>
    <n v="104"/>
    <n v="1.41"/>
    <n v="462"/>
    <n v="5365"/>
  </r>
  <r>
    <x v="1294"/>
    <s v="050168"/>
    <s v="CA"/>
    <s v="CA - Orange"/>
    <n v="92835"/>
    <s v="St Jude Medical Center"/>
    <s v="Short Term Acute Care Hospital"/>
    <s v="Fullerton"/>
    <n v="162.1"/>
    <n v="4.5"/>
    <n v="543"/>
    <n v="290"/>
    <n v="51"/>
    <n v="0.03"/>
    <n v="290"/>
    <n v="1.93"/>
    <n v="464"/>
    <n v="14179"/>
  </r>
  <r>
    <x v="1294"/>
    <s v="050069"/>
    <s v="CA"/>
    <s v="CA - Orange"/>
    <n v="92868"/>
    <s v="St Joseph Hospital Orange"/>
    <s v="Short Term Acute Care Hospital"/>
    <s v="Orange"/>
    <n v="199"/>
    <n v="4.2"/>
    <n v="658"/>
    <n v="409"/>
    <n v="32"/>
    <n v="0.03"/>
    <n v="409"/>
    <n v="2.2799999999999998"/>
    <n v="465"/>
    <n v="19280"/>
  </r>
  <r>
    <x v="1294"/>
    <s v="050226"/>
    <s v="CA"/>
    <s v="CA - Orange"/>
    <n v="92801"/>
    <s v="AHMC Anaheim Regional Medical Center"/>
    <s v="Short Term Acute Care Hospital"/>
    <s v="Anaheim"/>
    <n v="122.1"/>
    <n v="4.5"/>
    <n v="243"/>
    <n v="223"/>
    <n v="32"/>
    <n v="0.03"/>
    <n v="223"/>
    <n v="1.65"/>
    <n v="466"/>
    <n v="10240"/>
  </r>
  <r>
    <x v="1294"/>
    <s v="050224"/>
    <s v="CA"/>
    <s v="CA - Orange"/>
    <n v="92663"/>
    <s v="Hoag Hospital Newport Beach"/>
    <s v="Short Term Acute Care Hospital"/>
    <s v="Newport Beach"/>
    <n v="324.2"/>
    <n v="4.2"/>
    <n v="1534"/>
    <n v="518"/>
    <n v="31"/>
    <n v="0.03"/>
    <n v="443"/>
    <n v="1.82"/>
    <n v="467"/>
    <n v="31135"/>
  </r>
  <r>
    <x v="1294"/>
    <s v="050230"/>
    <s v="CA"/>
    <s v="CA - Orange"/>
    <n v="92843"/>
    <s v="Garden Grove Hospital Medical Center"/>
    <s v="Short Term Acute Care Hospital"/>
    <s v="Garden Grove"/>
    <n v="48.9"/>
    <n v="3.9"/>
    <n v="105"/>
    <n v="167"/>
    <n v="12"/>
    <n v="0.03"/>
    <n v="167"/>
    <n v="1.75"/>
    <n v="468"/>
    <n v="5058"/>
  </r>
  <r>
    <x v="1294"/>
    <s v="050567*"/>
    <s v="CA"/>
    <s v="CA - Orange"/>
    <n v="92651"/>
    <s v="Mission Hospital Laguna Beach"/>
    <s v="Short Term Acute Care Hospital"/>
    <s v="Laguna Beach"/>
    <m/>
    <m/>
    <m/>
    <m/>
    <m/>
    <m/>
    <m/>
    <m/>
    <n v="469"/>
    <m/>
  </r>
  <r>
    <x v="1294"/>
    <s v="050348"/>
    <s v="CA"/>
    <s v="CA - Orange"/>
    <n v="92868"/>
    <s v="UC Irvine Medical Center (AKA UCI Health)"/>
    <s v="Short Term Acute Care Hospital"/>
    <s v="Orange"/>
    <n v="280.60000000000002"/>
    <n v="5"/>
    <n v="963"/>
    <n v="352"/>
    <n v="50"/>
    <n v="0.03"/>
    <n v="352"/>
    <n v="1.98"/>
    <n v="470"/>
    <n v="20911"/>
  </r>
  <r>
    <x v="1294"/>
    <s v="050526"/>
    <s v="CA"/>
    <s v="CA - Orange"/>
    <n v="92647"/>
    <s v="Huntington Beach Hospital"/>
    <s v="Short Term Acute Care Hospital"/>
    <s v="Huntington Beach"/>
    <n v="44.4"/>
    <n v="5"/>
    <n v="41"/>
    <n v="82"/>
    <n v="12"/>
    <n v="0.03"/>
    <n v="82"/>
    <n v="1.45"/>
    <n v="471"/>
    <n v="3264"/>
  </r>
  <r>
    <x v="1294"/>
    <s v="050570"/>
    <s v="CA"/>
    <s v="CA - Orange"/>
    <n v="92708"/>
    <s v="Fountain Valley Regional Hospital &amp; Medical Center"/>
    <s v="Short Term Acute Care Hospital"/>
    <s v="Fountain Valley"/>
    <n v="231.2"/>
    <n v="4.8"/>
    <n v="329"/>
    <n v="400"/>
    <n v="36"/>
    <n v="0.03"/>
    <n v="400"/>
    <n v="1.71"/>
    <n v="472"/>
    <n v="19041"/>
  </r>
  <r>
    <x v="1294"/>
    <s v="050567"/>
    <s v="CA"/>
    <s v="CA - Orange"/>
    <n v="92691"/>
    <s v="Mission Hospital Mission Viejo"/>
    <s v="Short Term Acute Care Hospital"/>
    <s v="Mission Viejo"/>
    <n v="179.9"/>
    <n v="4"/>
    <n v="681"/>
    <n v="465"/>
    <n v="73"/>
    <n v="0.03"/>
    <n v="523"/>
    <n v="1.88"/>
    <n v="473"/>
    <n v="17856"/>
  </r>
  <r>
    <x v="1294"/>
    <s v="050543"/>
    <s v="CA"/>
    <s v="CA - Orange"/>
    <n v="92627"/>
    <s v="College Hospital Costa Mesa"/>
    <s v="Short Term Acute Care Hospital"/>
    <s v="Costa Mesa"/>
    <n v="111.5"/>
    <n v="10.199999999999999"/>
    <n v="10"/>
    <n v="122"/>
    <m/>
    <n v="0.03"/>
    <n v="122"/>
    <n v="0.9"/>
    <n v="474"/>
    <n v="4001"/>
  </r>
  <r>
    <x v="1294"/>
    <s v="050551"/>
    <s v="CA"/>
    <s v="CA - Orange"/>
    <n v="90720"/>
    <s v="Los Alamitos Medical Center"/>
    <s v="Short Term Acute Care Hospital"/>
    <s v="Los Alamitos"/>
    <n v="109.4"/>
    <n v="4.7"/>
    <n v="269"/>
    <n v="146"/>
    <n v="17"/>
    <n v="0.03"/>
    <n v="146"/>
    <n v="1.58"/>
    <n v="475"/>
    <n v="8858"/>
  </r>
  <r>
    <x v="1294"/>
    <s v="050426"/>
    <s v="CA"/>
    <s v="CA - Orange"/>
    <n v="92804"/>
    <s v="West Anaheim Medical Center"/>
    <s v="Short Term Acute Care Hospital"/>
    <s v="Anaheim"/>
    <n v="67"/>
    <n v="3.7"/>
    <n v="74"/>
    <n v="167"/>
    <n v="20"/>
    <n v="0.03"/>
    <n v="167"/>
    <n v="1.83"/>
    <n v="478"/>
    <n v="6551"/>
  </r>
  <r>
    <x v="1294"/>
    <s v="050678"/>
    <s v="CA"/>
    <s v="CA - Orange"/>
    <n v="92708"/>
    <s v="Orange Coast Medical Center (FKA Orange Coast Memorial Medical Center)"/>
    <s v="Short Term Acute Care Hospital"/>
    <s v="Fountain Valley"/>
    <n v="118"/>
    <n v="3.8"/>
    <n v="368"/>
    <n v="218"/>
    <n v="21"/>
    <n v="0.03"/>
    <n v="218"/>
    <n v="1.84"/>
    <n v="479"/>
    <n v="11962"/>
  </r>
  <r>
    <x v="1294"/>
    <s v="050589"/>
    <s v="CA"/>
    <s v="CA - Orange"/>
    <n v="92870"/>
    <s v="Placentia-Linda Hospital"/>
    <s v="Short Term Acute Care Hospital"/>
    <s v="Placentia"/>
    <n v="26.7"/>
    <n v="3.3"/>
    <n v="126"/>
    <n v="114"/>
    <n v="8"/>
    <n v="0.03"/>
    <n v="114"/>
    <n v="1.36"/>
    <n v="480"/>
    <n v="2967"/>
  </r>
  <r>
    <x v="1294"/>
    <s v="050580"/>
    <s v="CA"/>
    <s v="CA - Orange"/>
    <n v="90623"/>
    <s v="La Palma Intercommunity Hospital"/>
    <s v="Short Term Acute Care Hospital"/>
    <s v="La Palma"/>
    <n v="29.9"/>
    <n v="3.9"/>
    <n v="58"/>
    <n v="124"/>
    <n v="8"/>
    <n v="0.03"/>
    <n v="124"/>
    <n v="1.59"/>
    <n v="481"/>
    <n v="2890"/>
  </r>
  <r>
    <x v="1294"/>
    <s v="050609"/>
    <s v="CA"/>
    <s v="CA - Orange"/>
    <n v="92806"/>
    <s v="Orange County - Anaheim Medical Center"/>
    <s v="Short Term Acute Care Hospital"/>
    <s v="Anaheim"/>
    <n v="252.2"/>
    <n v="4"/>
    <n v="1248"/>
    <n v="484"/>
    <n v="60"/>
    <n v="0.03"/>
    <n v="219"/>
    <n v="1.87"/>
    <n v="482"/>
    <n v="24383"/>
  </r>
  <r>
    <x v="1294"/>
    <s v="050603"/>
    <s v="CA"/>
    <s v="CA - Orange"/>
    <n v="92653"/>
    <s v="Saddleback Medical Center (FKA Saddleback Memorial Medical Center - Laguna Hills)"/>
    <s v="Short Term Acute Care Hospital"/>
    <s v="Laguna Hills"/>
    <n v="111.6"/>
    <n v="3.9"/>
    <n v="453"/>
    <n v="248"/>
    <n v="22"/>
    <n v="0.03"/>
    <n v="248"/>
    <n v="1.79"/>
    <n v="483"/>
    <n v="11939"/>
  </r>
  <r>
    <x v="1294"/>
    <s v="050744"/>
    <s v="CA"/>
    <s v="CA - Orange"/>
    <n v="92805"/>
    <s v="Anaheim Global Medical Center (FKA Western Medical Center Hospital Anaheim)"/>
    <s v="Short Term Acute Care Hospital"/>
    <s v="Anaheim"/>
    <n v="41.8"/>
    <n v="6.1"/>
    <n v="29"/>
    <n v="103"/>
    <n v="22"/>
    <n v="0.03"/>
    <n v="189"/>
    <n v="1.48"/>
    <n v="484"/>
    <n v="2759"/>
  </r>
  <r>
    <x v="1294"/>
    <s v="050745"/>
    <s v="CA"/>
    <s v="CA - Orange"/>
    <n v="92869"/>
    <s v="Chapman Global Medical Center (FKA Chapman Medical Center)"/>
    <s v="Short Term Acute Care Hospital"/>
    <s v="Orange"/>
    <n v="20.100000000000001"/>
    <n v="3.7"/>
    <n v="27"/>
    <n v="75"/>
    <n v="12"/>
    <n v="0.03"/>
    <n v="75"/>
    <n v="1.38"/>
    <n v="485"/>
    <n v="2001"/>
  </r>
  <r>
    <x v="1294"/>
    <s v="050746"/>
    <s v="CA"/>
    <s v="CA - Orange"/>
    <n v="92705"/>
    <s v="Orange County Global Medical Center (FKA Western Medical Center Santa Ana)"/>
    <s v="Short Term Acute Care Hospital"/>
    <s v="Santa Ana"/>
    <n v="109.1"/>
    <n v="5.5"/>
    <n v="70"/>
    <n v="254"/>
    <n v="42"/>
    <n v="0.03"/>
    <n v="254"/>
    <n v="1.86"/>
    <n v="486"/>
    <n v="7691"/>
  </r>
  <r>
    <x v="1294"/>
    <s v="050747"/>
    <s v="CA"/>
    <s v="CA - Orange"/>
    <n v="92704"/>
    <s v="South Coast Global Medical Center (FKA Coastal Communities Hospital)"/>
    <s v="Short Term Acute Care Hospital"/>
    <s v="Santa Ana"/>
    <n v="33.200000000000003"/>
    <n v="4.2"/>
    <n v="35"/>
    <n v="109"/>
    <n v="9"/>
    <n v="0.03"/>
    <n v="109"/>
    <n v="1.46"/>
    <n v="487"/>
    <n v="3617"/>
  </r>
  <r>
    <x v="1294"/>
    <s v="050693 (Closed)"/>
    <s v="CA"/>
    <s v="CA - Orange"/>
    <n v="92618"/>
    <s v="Irvine Regional Hospital &amp; Medical Center (Closed January 2009)"/>
    <s v="Short Term Acute Care Hospital"/>
    <s v="Irvine"/>
    <n v="60.3"/>
    <n v="3.6"/>
    <m/>
    <m/>
    <m/>
    <n v="0.03"/>
    <m/>
    <m/>
    <n v="4779"/>
    <n v="6706"/>
  </r>
  <r>
    <x v="1294"/>
    <s v="050768 (Closed)"/>
    <s v="CA"/>
    <s v="CA - Orange"/>
    <n v="92804"/>
    <s v="Anaheim General Hospital (Closed May 2013)"/>
    <s v="Short Term Acute Care Hospital"/>
    <s v="Anaheim"/>
    <n v="15"/>
    <n v="5.5"/>
    <m/>
    <m/>
    <m/>
    <n v="0.03"/>
    <m/>
    <m/>
    <n v="4771"/>
    <n v="990"/>
  </r>
  <r>
    <x v="1294"/>
    <s v="050548"/>
    <s v="CA"/>
    <s v="CA - Orange"/>
    <n v="92626"/>
    <s v="Fairview Developmental Center"/>
    <s v="Short Term Acute Care Hospital"/>
    <s v="Costa Mesa"/>
    <n v="0.3"/>
    <n v="6.4"/>
    <n v="4"/>
    <n v="30"/>
    <m/>
    <n v="0.03"/>
    <n v="30"/>
    <n v="0.94"/>
    <n v="4777"/>
    <n v="18"/>
  </r>
  <r>
    <x v="1294"/>
    <s v="050780"/>
    <s v="CA"/>
    <s v="CA - Orange"/>
    <n v="92780"/>
    <s v="Foothill Regional Medical Center (FKA Newport Specialty Hospital)"/>
    <s v="Short Term Acute Care Hospital"/>
    <s v="Tustin"/>
    <n v="28.3"/>
    <n v="4"/>
    <n v="16"/>
    <n v="135"/>
    <n v="15"/>
    <n v="0.03"/>
    <n v="135"/>
    <n v="1.51"/>
    <n v="6414"/>
    <n v="2601"/>
  </r>
  <r>
    <x v="1294"/>
    <s v="050609*"/>
    <s v="CA"/>
    <s v="CA - Orange"/>
    <n v="92618"/>
    <s v="Orange County - Irvine Medical Center"/>
    <s v="Short Term Acute Care Hospital"/>
    <s v="Irvine"/>
    <m/>
    <m/>
    <m/>
    <m/>
    <m/>
    <m/>
    <n v="150"/>
    <m/>
    <n v="541869"/>
    <m/>
  </r>
  <r>
    <x v="1294"/>
    <s v="050603* (Closed)"/>
    <s v="CA"/>
    <s v="CA - Orange"/>
    <n v="92673"/>
    <s v="Saddleback Memorial Medical Center - San Clemente (Closed)"/>
    <s v="Short Term Acute Care Hospital"/>
    <s v="San Clemente"/>
    <m/>
    <m/>
    <m/>
    <m/>
    <m/>
    <m/>
    <m/>
    <m/>
    <n v="541884"/>
    <m/>
  </r>
  <r>
    <x v="1294"/>
    <s v="050224*"/>
    <s v="CA"/>
    <s v="CA - Orange"/>
    <n v="92618"/>
    <s v="Hoag Hospital Irvine"/>
    <s v="Short Term Acute Care Hospital"/>
    <s v="Irvine"/>
    <m/>
    <m/>
    <n v="7"/>
    <m/>
    <m/>
    <m/>
    <n v="84"/>
    <m/>
    <n v="560433"/>
    <m/>
  </r>
  <r>
    <x v="1294"/>
    <s v="050769"/>
    <s v="CA"/>
    <s v="CA - Orange"/>
    <n v="92618"/>
    <s v="Hoag Orthopedic Institute"/>
    <s v="Short Term Acute Care Hospital"/>
    <s v="Irvine"/>
    <n v="22.8"/>
    <n v="1.8"/>
    <n v="46"/>
    <n v="70"/>
    <m/>
    <n v="0.03"/>
    <n v="70"/>
    <n v="2.52"/>
    <n v="577363"/>
    <n v="4585"/>
  </r>
  <r>
    <x v="1294"/>
    <s v="050609* (Closed)"/>
    <s v="CA"/>
    <s v="CA - Orange"/>
    <n v="92806"/>
    <s v="Orange County - Lakeview (Closed September 2012)"/>
    <s v="Short Term Acute Care Hospital"/>
    <s v="Anaheim"/>
    <m/>
    <m/>
    <m/>
    <m/>
    <m/>
    <m/>
    <m/>
    <m/>
    <n v="577387"/>
    <m/>
  </r>
  <r>
    <x v="1295"/>
    <s v="050498"/>
    <s v="CA"/>
    <s v="CA - Placer"/>
    <n v="95603"/>
    <s v="Sutter Auburn Faith Hospital"/>
    <s v="Short Term Acute Care Hospital"/>
    <s v="Auburn"/>
    <n v="28.1"/>
    <n v="3.3"/>
    <n v="202"/>
    <n v="64"/>
    <n v="8"/>
    <n v="0.13"/>
    <n v="64"/>
    <n v="1.6"/>
    <n v="489"/>
    <n v="3070"/>
  </r>
  <r>
    <x v="1295"/>
    <s v="050309"/>
    <s v="CA"/>
    <s v="CA - Placer"/>
    <n v="95661"/>
    <s v="Sutter Roseville Medical Center"/>
    <s v="Short Term Acute Care Hospital"/>
    <s v="Roseville"/>
    <n v="196.4"/>
    <n v="4.3"/>
    <n v="623"/>
    <n v="273"/>
    <n v="32"/>
    <n v="0.13"/>
    <n v="273"/>
    <n v="1.67"/>
    <n v="490"/>
    <n v="17463"/>
  </r>
  <r>
    <x v="1295"/>
    <s v="050772"/>
    <s v="CA"/>
    <s v="CA - Placer"/>
    <n v="95661"/>
    <s v="Kaiser Permanente - Roseville Medical Center"/>
    <s v="Short Term Acute Care Hospital"/>
    <s v="Roseville"/>
    <n v="229.2"/>
    <n v="4"/>
    <n v="773"/>
    <n v="340"/>
    <n v="30"/>
    <n v="0.13"/>
    <n v="340"/>
    <n v="1.6"/>
    <n v="553293"/>
    <n v="23533"/>
  </r>
  <r>
    <x v="1296"/>
    <s v="050765"/>
    <s v="CA"/>
    <s v="CA - Riverside"/>
    <n v="92555"/>
    <s v="Moreno Valley Medical Center"/>
    <s v="Short Term Acute Care Hospital"/>
    <s v="Moreno Valley"/>
    <n v="35.799999999999997"/>
    <n v="3.1"/>
    <n v="91"/>
    <n v="94"/>
    <n v="10"/>
    <n v="0.14000000000000001"/>
    <n v="94"/>
    <n v="1.81"/>
    <n v="494"/>
    <n v="4720"/>
  </r>
  <r>
    <x v="1296"/>
    <s v="050684"/>
    <s v="CA"/>
    <s v="CA - Riverside"/>
    <n v="92585"/>
    <s v="Menifee Global Medical Center (FKA Menifee Valley Medical Center)"/>
    <s v="Short Term Acute Care Hospital"/>
    <s v="Menifee"/>
    <n v="34.6"/>
    <n v="4.2"/>
    <n v="69"/>
    <n v="84"/>
    <n v="10"/>
    <n v="0.14000000000000001"/>
    <n v="84"/>
    <n v="1.37"/>
    <n v="495"/>
    <n v="3028"/>
  </r>
  <r>
    <x v="1296"/>
    <s v="050686"/>
    <s v="CA"/>
    <s v="CA - Riverside"/>
    <n v="92505"/>
    <s v="Riverside Medical Center"/>
    <s v="Short Term Acute Care Hospital"/>
    <s v="Riverside"/>
    <n v="109.4"/>
    <n v="4.4000000000000004"/>
    <n v="782"/>
    <n v="226"/>
    <n v="22"/>
    <n v="0.14000000000000001"/>
    <n v="226"/>
    <n v="2.19"/>
    <n v="496"/>
    <n v="10014"/>
  </r>
  <r>
    <x v="1296"/>
    <s v="050573"/>
    <s v="CA"/>
    <s v="CA - Riverside"/>
    <n v="92270"/>
    <s v="Eisenhower Health (FKA Eisenhower Medical Center)"/>
    <s v="Short Term Acute Care Hospital"/>
    <s v="Rancho Mirage"/>
    <n v="175.3"/>
    <n v="3.5"/>
    <n v="737"/>
    <n v="345"/>
    <n v="34"/>
    <n v="0.14000000000000001"/>
    <n v="345"/>
    <n v="1.85"/>
    <n v="497"/>
    <n v="19581"/>
  </r>
  <r>
    <x v="1296"/>
    <s v="050534"/>
    <s v="CA"/>
    <s v="CA - Riverside"/>
    <n v="92201"/>
    <s v="JFK Memorial Hospital"/>
    <s v="Short Term Acute Care Hospital"/>
    <s v="Indio"/>
    <n v="49.7"/>
    <n v="3.2"/>
    <n v="61"/>
    <n v="130"/>
    <n v="16"/>
    <n v="0.14000000000000001"/>
    <n v="130"/>
    <n v="1.62"/>
    <n v="498"/>
    <n v="6626"/>
  </r>
  <r>
    <x v="1296"/>
    <s v="050423"/>
    <s v="CA"/>
    <s v="CA - Riverside"/>
    <n v="92225"/>
    <s v="Palo Verde Hospital"/>
    <s v="Short Term Acute Care Hospital"/>
    <s v="Blythe"/>
    <n v="6.4"/>
    <n v="3.2"/>
    <n v="17"/>
    <n v="51"/>
    <n v="4"/>
    <n v="0.14000000000000001"/>
    <n v="51"/>
    <n v="1.1599999999999999"/>
    <n v="499"/>
    <n v="832"/>
  </r>
  <r>
    <x v="1296"/>
    <s v="050390"/>
    <s v="CA"/>
    <s v="CA - Riverside"/>
    <n v="92543"/>
    <s v="Hemet Valley Medical Center"/>
    <s v="Short Term Acute Care Hospital"/>
    <s v="Hemet"/>
    <n v="113.3"/>
    <n v="4.3"/>
    <n v="106"/>
    <n v="304"/>
    <n v="18"/>
    <n v="0.14000000000000001"/>
    <n v="304"/>
    <n v="1.64"/>
    <n v="500"/>
    <n v="9970"/>
  </r>
  <r>
    <x v="1296"/>
    <s v="050329"/>
    <s v="CA"/>
    <s v="CA - Riverside"/>
    <n v="92882"/>
    <s v="Corona Regional Medical Center - Main Street Campus"/>
    <s v="Short Term Acute Care Hospital"/>
    <s v="Corona"/>
    <n v="80.2"/>
    <n v="4.2"/>
    <n v="175"/>
    <n v="160"/>
    <n v="22"/>
    <n v="0.14000000000000001"/>
    <n v="160"/>
    <n v="1.63"/>
    <n v="501"/>
    <n v="7314"/>
  </r>
  <r>
    <x v="1296"/>
    <s v="050292"/>
    <s v="CA"/>
    <s v="CA - Riverside"/>
    <n v="92555"/>
    <s v="Riverside University Health System Medical Center (FKA Riverside County Regional Medical Center)"/>
    <s v="Short Term Acute Care Hospital"/>
    <s v="Moreno Valley"/>
    <n v="305.2"/>
    <n v="5.8"/>
    <n v="315"/>
    <n v="423"/>
    <n v="45"/>
    <n v="0.14000000000000001"/>
    <n v="423"/>
    <n v="1.68"/>
    <n v="502"/>
    <n v="19790"/>
  </r>
  <r>
    <x v="1296"/>
    <s v="050243"/>
    <s v="CA"/>
    <s v="CA - Riverside"/>
    <n v="92262"/>
    <s v="Desert Regional Medical Center"/>
    <s v="Short Term Acute Care Hospital"/>
    <s v="Palm Springs"/>
    <n v="230.3"/>
    <n v="4.5999999999999996"/>
    <n v="315"/>
    <n v="325"/>
    <n v="31"/>
    <n v="0.14000000000000001"/>
    <n v="325"/>
    <n v="1.76"/>
    <n v="503"/>
    <n v="19134"/>
  </r>
  <r>
    <x v="1296"/>
    <s v="050102"/>
    <s v="CA"/>
    <s v="CA - Riverside"/>
    <n v="92503"/>
    <s v="Parkview Community Hospital Medical Center"/>
    <s v="Short Term Acute Care Hospital"/>
    <s v="Riverside"/>
    <n v="91"/>
    <n v="4.5"/>
    <n v="105"/>
    <n v="191"/>
    <n v="13"/>
    <n v="0.14000000000000001"/>
    <n v="191"/>
    <n v="1.67"/>
    <n v="504"/>
    <n v="8149"/>
  </r>
  <r>
    <x v="1296"/>
    <s v="050054"/>
    <s v="CA"/>
    <s v="CA - Riverside"/>
    <n v="92220"/>
    <s v="San Gorgonio Memorial Hospital"/>
    <s v="Short Term Acute Care Hospital"/>
    <s v="Banning"/>
    <n v="27.4"/>
    <n v="3.7"/>
    <n v="87"/>
    <n v="61"/>
    <n v="6"/>
    <n v="0.14000000000000001"/>
    <n v="61"/>
    <n v="1.37"/>
    <n v="505"/>
    <n v="2858"/>
  </r>
  <r>
    <x v="1296"/>
    <s v="050022"/>
    <s v="CA"/>
    <s v="CA - Riverside"/>
    <n v="92501"/>
    <s v="Riverside Community Hospital"/>
    <s v="Short Term Acute Care Hospital"/>
    <s v="Riverside"/>
    <n v="322.89999999999998"/>
    <n v="5"/>
    <n v="424"/>
    <n v="478"/>
    <n v="69"/>
    <n v="0.14000000000000001"/>
    <n v="478"/>
    <n v="1.93"/>
    <n v="506"/>
    <n v="24300"/>
  </r>
  <r>
    <x v="1296"/>
    <s v="050701"/>
    <s v="CA"/>
    <s v="CA - Riverside"/>
    <n v="92562"/>
    <s v="Rancho Springs Medical Center"/>
    <s v="Short Term Acute Care Hospital"/>
    <s v="Murrieta"/>
    <n v="129.80000000000001"/>
    <n v="3.3"/>
    <n v="324"/>
    <n v="240"/>
    <n v="25"/>
    <n v="0.14000000000000001"/>
    <n v="120"/>
    <n v="1.57"/>
    <n v="4781"/>
    <n v="15834"/>
  </r>
  <r>
    <x v="1296"/>
    <s v="050701*"/>
    <s v="CA"/>
    <s v="CA - Riverside"/>
    <n v="92595"/>
    <s v="Inland Valley Medical Center"/>
    <s v="Short Term Acute Care Hospital"/>
    <s v="Wildomar"/>
    <m/>
    <m/>
    <m/>
    <m/>
    <m/>
    <m/>
    <n v="130"/>
    <m/>
    <n v="541953"/>
    <m/>
  </r>
  <r>
    <x v="1296"/>
    <s v="050770"/>
    <s v="CA"/>
    <s v="CA - Riverside"/>
    <n v="92563"/>
    <s v="Loma Linda University Medical Center Murrieta"/>
    <s v="Short Term Acute Care Hospital"/>
    <s v="Murrieta"/>
    <n v="96.3"/>
    <n v="4.2"/>
    <n v="167"/>
    <n v="111"/>
    <n v="12"/>
    <n v="0.14000000000000001"/>
    <n v="111"/>
    <n v="1.81"/>
    <n v="550030"/>
    <n v="8925"/>
  </r>
  <r>
    <x v="1296"/>
    <s v="050775"/>
    <s v="CA"/>
    <s v="CA - Riverside"/>
    <n v="92592"/>
    <s v="Temecula Valley Hospital"/>
    <s v="Short Term Acute Care Hospital"/>
    <s v="Temecula"/>
    <n v="99.4"/>
    <n v="4"/>
    <n v="115"/>
    <n v="140"/>
    <n v="20"/>
    <n v="0.14000000000000001"/>
    <n v="140"/>
    <n v="1.61"/>
    <n v="550797"/>
    <n v="8989"/>
  </r>
  <r>
    <x v="1297"/>
    <s v="050017"/>
    <s v="CA"/>
    <s v="CA - Sacramento"/>
    <n v="95819"/>
    <s v="Mercy General Hospital"/>
    <s v="Short Term Acute Care Hospital"/>
    <s v="Sacramento"/>
    <n v="162"/>
    <n v="4.3"/>
    <n v="488"/>
    <n v="389"/>
    <m/>
    <n v="0.13"/>
    <n v="342"/>
    <n v="2.19"/>
    <n v="507"/>
    <n v="14085"/>
  </r>
  <r>
    <x v="1297"/>
    <s v="050108"/>
    <s v="CA"/>
    <s v="CA - Sacramento"/>
    <n v="95816"/>
    <s v="Sutter Medical Center - Ose Adams Medical Pavilion (FKA Sutter General Hospital)"/>
    <s v="Short Term Acute Care Hospital"/>
    <s v="Sacramento"/>
    <n v="349.5"/>
    <n v="5.7"/>
    <n v="833"/>
    <n v="523"/>
    <n v="80"/>
    <n v="0.13"/>
    <n v="523"/>
    <n v="2.4300000000000002"/>
    <n v="508"/>
    <n v="24722"/>
  </r>
  <r>
    <x v="1297"/>
    <s v="050425"/>
    <s v="CA"/>
    <s v="CA - Sacramento"/>
    <n v="95825"/>
    <s v="Kaiser Permanente - Sacramento Medical Center"/>
    <s v="Short Term Acute Care Hospital"/>
    <s v="Sacramento"/>
    <n v="136.4"/>
    <n v="4.0999999999999996"/>
    <n v="765"/>
    <n v="287"/>
    <n v="34"/>
    <n v="0.13"/>
    <n v="287"/>
    <n v="1.83"/>
    <n v="510"/>
    <n v="12242"/>
  </r>
  <r>
    <x v="1297"/>
    <s v="050414"/>
    <s v="CA"/>
    <s v="CA - Sacramento"/>
    <n v="95630"/>
    <s v="Mercy Hospital of Folsom"/>
    <s v="Short Term Acute Care Hospital"/>
    <s v="Folsom"/>
    <n v="65.8"/>
    <n v="3.7"/>
    <n v="139"/>
    <n v="106"/>
    <n v="8"/>
    <n v="0.13"/>
    <n v="106"/>
    <n v="1.49"/>
    <n v="511"/>
    <n v="6827"/>
  </r>
  <r>
    <x v="1297"/>
    <s v="050516"/>
    <s v="CA"/>
    <s v="CA - Sacramento"/>
    <n v="95608"/>
    <s v="Mercy San Juan Medical Center"/>
    <s v="Short Term Acute Care Hospital"/>
    <s v="Carmichael"/>
    <n v="253.6"/>
    <n v="4.7"/>
    <n v="379"/>
    <n v="370"/>
    <n v="56"/>
    <n v="0.13"/>
    <n v="370"/>
    <n v="1.84"/>
    <n v="512"/>
    <n v="20296"/>
  </r>
  <r>
    <x v="1297"/>
    <s v="050674"/>
    <s v="CA"/>
    <s v="CA - Sacramento"/>
    <n v="95823"/>
    <s v="Kaiser Permanente - South Sacramento Medical Center"/>
    <s v="Short Term Acute Care Hospital"/>
    <s v="Sacramento"/>
    <n v="140.1"/>
    <n v="3.8"/>
    <n v="717"/>
    <n v="209"/>
    <n v="30"/>
    <n v="0.13"/>
    <n v="209"/>
    <n v="1.76"/>
    <n v="513"/>
    <n v="14971"/>
  </r>
  <r>
    <x v="1297"/>
    <s v="050590"/>
    <s v="CA"/>
    <s v="CA - Sacramento"/>
    <n v="95823"/>
    <s v="Methodist Hospital of Sacramento"/>
    <s v="Short Term Acute Care Hospital"/>
    <s v="Sacramento"/>
    <n v="91.8"/>
    <n v="3.9"/>
    <n v="219"/>
    <n v="158"/>
    <n v="20"/>
    <n v="0.13"/>
    <n v="158"/>
    <n v="1.62"/>
    <n v="514"/>
    <n v="9319"/>
  </r>
  <r>
    <x v="1297"/>
    <s v="050599"/>
    <s v="CA"/>
    <s v="CA - Sacramento"/>
    <n v="95817"/>
    <s v="University of California Davis Medical Center (AKA UC Davis Medical Center)"/>
    <s v="Short Term Acute Care Hospital"/>
    <s v="Sacramento"/>
    <n v="506.2"/>
    <n v="6.3"/>
    <n v="1727"/>
    <n v="598"/>
    <n v="34"/>
    <n v="0.13"/>
    <n v="598"/>
    <n v="2.25"/>
    <n v="515"/>
    <n v="29526"/>
  </r>
  <r>
    <x v="1298"/>
    <s v="055462"/>
    <s v="CA"/>
    <s v="CA - San Benito"/>
    <n v="95023"/>
    <s v="Hazel Hawkins Memorial Hospital"/>
    <s v="Short Term Acute Care Hospital"/>
    <s v="Hollister"/>
    <n v="16.399999999999999"/>
    <n v="3.8"/>
    <n v="99"/>
    <n v="49"/>
    <n v="8"/>
    <n v="0.26"/>
    <n v="49"/>
    <n v="1.19"/>
    <n v="516"/>
    <n v="1795"/>
  </r>
  <r>
    <x v="66"/>
    <s v="050298"/>
    <s v="CA"/>
    <s v="CA - San Bernardino"/>
    <n v="92311"/>
    <s v="Barstow Community Hospital"/>
    <s v="Short Term Acute Care Hospital"/>
    <s v="Barstow"/>
    <n v="17.3"/>
    <n v="3.3"/>
    <n v="59"/>
    <n v="30"/>
    <n v="4"/>
    <n v="0.14000000000000001"/>
    <n v="30"/>
    <n v="1.43"/>
    <n v="517"/>
    <n v="2099"/>
  </r>
  <r>
    <x v="66"/>
    <s v="050300"/>
    <s v="CA"/>
    <s v="CA - San Bernardino"/>
    <n v="92307"/>
    <s v="St Mary Medical Center"/>
    <s v="Short Term Acute Care Hospital"/>
    <s v="Apple Valley"/>
    <n v="178.9"/>
    <n v="4.8"/>
    <n v="233"/>
    <n v="212"/>
    <n v="20"/>
    <n v="0.14000000000000001"/>
    <n v="212"/>
    <n v="1.76"/>
    <n v="518"/>
    <n v="14145"/>
  </r>
  <r>
    <x v="66"/>
    <s v="050327"/>
    <s v="CA"/>
    <s v="CA - San Bernardino"/>
    <n v="92354"/>
    <s v="Loma Linda University Medical Center"/>
    <s v="Short Term Acute Care Hospital"/>
    <s v="Loma Linda"/>
    <n v="329"/>
    <n v="5.3"/>
    <n v="1190"/>
    <n v="463"/>
    <n v="41"/>
    <n v="0.14000000000000001"/>
    <n v="463"/>
    <n v="2.14"/>
    <n v="519"/>
    <n v="22810"/>
  </r>
  <r>
    <x v="66"/>
    <s v="050245"/>
    <s v="CA"/>
    <s v="CA - San Bernardino"/>
    <n v="92324"/>
    <s v="Arrowhead Regional Medical Center"/>
    <s v="Short Term Acute Care Hospital"/>
    <s v="Colton"/>
    <n v="258.5"/>
    <n v="5.2"/>
    <n v="308"/>
    <n v="366"/>
    <n v="32"/>
    <n v="0.14000000000000001"/>
    <n v="366"/>
    <n v="1.49"/>
    <n v="520"/>
    <n v="19145"/>
  </r>
  <r>
    <x v="66"/>
    <s v="050279"/>
    <s v="CA"/>
    <s v="CA - San Bernardino"/>
    <n v="92252"/>
    <s v="Hi Desert Medical Center"/>
    <s v="Short Term Acute Care Hospital"/>
    <s v="Joshua Tree"/>
    <n v="13.4"/>
    <n v="2.8"/>
    <n v="109"/>
    <n v="55"/>
    <n v="4"/>
    <n v="0.14000000000000001"/>
    <n v="55"/>
    <n v="1.33"/>
    <n v="521"/>
    <n v="1945"/>
  </r>
  <r>
    <x v="66"/>
    <s v="050272"/>
    <s v="CA"/>
    <s v="CA - San Bernardino"/>
    <n v="92373"/>
    <s v="Redlands Community Hospital"/>
    <s v="Short Term Acute Care Hospital"/>
    <s v="Redlands"/>
    <n v="124.2"/>
    <n v="4.2"/>
    <n v="328"/>
    <n v="195"/>
    <n v="12"/>
    <n v="0.14000000000000001"/>
    <n v="195"/>
    <n v="1.8"/>
    <n v="522"/>
    <n v="11603"/>
  </r>
  <r>
    <x v="66"/>
    <s v="050099"/>
    <s v="CA"/>
    <s v="CA - San Bernardino"/>
    <n v="91786"/>
    <s v="San Antonio Regional Hospital (FKA San Antonio Community Hospital)"/>
    <s v="Short Term Acute Care Hospital"/>
    <s v="Upland"/>
    <n v="195.4"/>
    <n v="4"/>
    <n v="458"/>
    <n v="363"/>
    <n v="24"/>
    <n v="0.14000000000000001"/>
    <n v="363"/>
    <n v="1.81"/>
    <n v="523"/>
    <n v="17726"/>
  </r>
  <r>
    <x v="66"/>
    <s v="050089"/>
    <s v="CA"/>
    <s v="CA - San Bernardino"/>
    <n v="92411"/>
    <s v="Community Hospital of San Bernardino"/>
    <s v="Short Term Acute Care Hospital"/>
    <s v="San Bernardino"/>
    <n v="77.2"/>
    <n v="4.4000000000000004"/>
    <n v="70"/>
    <n v="185"/>
    <n v="21"/>
    <n v="0.14000000000000001"/>
    <n v="185"/>
    <n v="1.35"/>
    <n v="524"/>
    <n v="7284"/>
  </r>
  <r>
    <x v="66"/>
    <s v="050129"/>
    <s v="CA"/>
    <s v="CA - San Bernardino"/>
    <n v="92404"/>
    <s v="St Bernardine Medical Center"/>
    <s v="Short Term Acute Care Hospital"/>
    <s v="San Bernardino"/>
    <n v="177.1"/>
    <n v="4.4000000000000004"/>
    <n v="258"/>
    <n v="328"/>
    <n v="47"/>
    <n v="0.14000000000000001"/>
    <n v="328"/>
    <n v="2"/>
    <n v="525"/>
    <n v="15307"/>
  </r>
  <r>
    <x v="66"/>
    <s v="050140"/>
    <s v="CA"/>
    <s v="CA - San Bernardino"/>
    <n v="92335"/>
    <s v="Fontana Medical Center"/>
    <s v="Short Term Acute Care Hospital"/>
    <s v="Fontana"/>
    <n v="363.2"/>
    <n v="4.3"/>
    <n v="1270"/>
    <n v="626"/>
    <n v="80"/>
    <n v="0.14000000000000001"/>
    <n v="626"/>
    <n v="2.1"/>
    <n v="526"/>
    <n v="32864"/>
  </r>
  <r>
    <x v="66"/>
    <s v="050586"/>
    <s v="CA"/>
    <s v="CA - San Bernardino"/>
    <n v="91710"/>
    <s v="Chino Valley Medical Center"/>
    <s v="Short Term Acute Care Hospital"/>
    <s v="Chino"/>
    <n v="41.3"/>
    <n v="2.9"/>
    <n v="60"/>
    <n v="112"/>
    <n v="14"/>
    <n v="0.14000000000000001"/>
    <n v="112"/>
    <n v="1.74"/>
    <n v="527"/>
    <n v="5235"/>
  </r>
  <r>
    <x v="66"/>
    <s v="050758"/>
    <s v="CA"/>
    <s v="CA - San Bernardino"/>
    <n v="91763"/>
    <s v="Montclair Hospital Medical Center"/>
    <s v="Short Term Acute Care Hospital"/>
    <s v="Montclair"/>
    <n v="25.5"/>
    <n v="3.3"/>
    <n v="25"/>
    <n v="106"/>
    <n v="8"/>
    <n v="0.14000000000000001"/>
    <n v="106"/>
    <n v="1.88"/>
    <n v="529"/>
    <n v="3218"/>
  </r>
  <r>
    <x v="66"/>
    <s v="050709"/>
    <s v="CA"/>
    <s v="CA - San Bernardino"/>
    <n v="92395"/>
    <s v="Desert Valley Hospital"/>
    <s v="Short Term Acute Care Hospital"/>
    <s v="Victorville"/>
    <n v="110.7"/>
    <n v="4.4000000000000004"/>
    <n v="101"/>
    <n v="148"/>
    <n v="18"/>
    <n v="0.14000000000000001"/>
    <n v="148"/>
    <n v="1.87"/>
    <n v="531"/>
    <n v="9285"/>
  </r>
  <r>
    <x v="66"/>
    <s v="050517"/>
    <s v="CA"/>
    <s v="CA - San Bernardino"/>
    <n v="92395"/>
    <s v="Victor Valley Global Medical Center"/>
    <s v="Short Term Acute Care Hospital"/>
    <s v="Victorville"/>
    <n v="53.7"/>
    <n v="4.0999999999999996"/>
    <n v="34"/>
    <n v="101"/>
    <n v="10"/>
    <n v="0.14000000000000001"/>
    <n v="101"/>
    <n v="1.55"/>
    <n v="532"/>
    <n v="5263"/>
  </r>
  <r>
    <x v="66"/>
    <s v="050778"/>
    <s v="CA"/>
    <s v="CA - San Bernardino"/>
    <n v="92354"/>
    <s v="Loma Linda University Childrens Hospital"/>
    <s v="Short Term Acute Care Hospital"/>
    <s v="Loma Linda"/>
    <n v="230"/>
    <n v="8.1999999999999993"/>
    <n v="110"/>
    <n v="343"/>
    <m/>
    <n v="0.14000000000000001"/>
    <n v="343"/>
    <n v="1.44"/>
    <n v="550028"/>
    <n v="10859"/>
  </r>
  <r>
    <x v="66"/>
    <s v="050327*"/>
    <s v="CA"/>
    <s v="CA - San Bernardino"/>
    <n v="92373"/>
    <s v="Loma Linda University Surgical Hospital"/>
    <s v="Short Term Acute Care Hospital"/>
    <s v="Redlands"/>
    <m/>
    <m/>
    <m/>
    <m/>
    <m/>
    <m/>
    <n v="28"/>
    <m/>
    <n v="550029"/>
    <m/>
  </r>
  <r>
    <x v="66"/>
    <s v="050327*"/>
    <s v="CA"/>
    <s v="CA - San Bernardino"/>
    <n v="92354"/>
    <s v="Loma Linda University Medical Center East Campus"/>
    <s v="Short Term Acute Care Hospital"/>
    <s v="Loma Linda"/>
    <m/>
    <m/>
    <m/>
    <m/>
    <m/>
    <m/>
    <n v="134"/>
    <m/>
    <n v="577361"/>
    <m/>
  </r>
  <r>
    <x v="66"/>
    <m/>
    <s v="CA"/>
    <s v="CA - San Bernardino"/>
    <n v="91761"/>
    <s v="Ontario Medical Center"/>
    <s v="Short Term Acute Care Hospital"/>
    <s v="Ontario"/>
    <m/>
    <m/>
    <n v="34"/>
    <m/>
    <m/>
    <m/>
    <n v="224"/>
    <m/>
    <n v="577388"/>
    <m/>
  </r>
  <r>
    <x v="66"/>
    <m/>
    <s v="CA"/>
    <s v="CA - San Bernardino"/>
    <n v="92392"/>
    <s v="St Mary Medical Center at Victorville Oasis for Health and Wellness (Opening 2020)"/>
    <s v="Short Term Acute Care Hospital"/>
    <s v="Victorville"/>
    <m/>
    <m/>
    <m/>
    <m/>
    <m/>
    <m/>
    <m/>
    <m/>
    <n v="842953"/>
    <m/>
  </r>
  <r>
    <x v="1299"/>
    <s v="050515"/>
    <s v="CA"/>
    <s v="CA - San Diego"/>
    <n v="92120"/>
    <s v="Kaiser Permanente Zion Medical Center"/>
    <s v="Short Term Acute Care Hospital"/>
    <s v="San Diego"/>
    <n v="265.60000000000002"/>
    <n v="4.3"/>
    <n v="1393"/>
    <n v="536"/>
    <n v="32"/>
    <n v="0.11"/>
    <n v="536"/>
    <n v="1.84"/>
    <n v="535"/>
    <n v="25202"/>
  </r>
  <r>
    <x v="1299"/>
    <s v="050503"/>
    <s v="CA"/>
    <s v="CA - San Diego"/>
    <n v="92024"/>
    <s v="Scripps Memorial Hospital Encinitas"/>
    <s v="Short Term Acute Care Hospital"/>
    <s v="Encinitas"/>
    <n v="118.9"/>
    <n v="3.9"/>
    <n v="530"/>
    <n v="171"/>
    <n v="12"/>
    <n v="0.11"/>
    <n v="171"/>
    <n v="1.66"/>
    <n v="536"/>
    <n v="11960"/>
  </r>
  <r>
    <x v="1299"/>
    <s v="050424"/>
    <s v="CA"/>
    <s v="CA - San Diego"/>
    <n v="92037"/>
    <s v="Scripps Green Hospital"/>
    <s v="Short Term Acute Care Hospital"/>
    <s v="La Jolla"/>
    <n v="77.5"/>
    <n v="3.5"/>
    <n v="573"/>
    <n v="150"/>
    <n v="24"/>
    <n v="0.11"/>
    <n v="150"/>
    <n v="2.2999999999999998"/>
    <n v="537"/>
    <n v="8198"/>
  </r>
  <r>
    <x v="1299"/>
    <s v="050435 (Closed)"/>
    <s v="CA"/>
    <s v="CA - San Diego"/>
    <n v="92028"/>
    <s v="Fallbrook Hospital (Closed Inpatient December 2014)"/>
    <s v="Short Term Acute Care Hospital"/>
    <s v="Fallbrook"/>
    <m/>
    <m/>
    <m/>
    <m/>
    <m/>
    <m/>
    <m/>
    <m/>
    <n v="538"/>
    <m/>
  </r>
  <r>
    <x v="1299"/>
    <s v="050757"/>
    <s v="CA"/>
    <s v="CA - San Diego"/>
    <n v="92120"/>
    <s v="Alvarado Hospital Medical Center"/>
    <s v="Short Term Acute Care Hospital"/>
    <s v="San Diego"/>
    <n v="64.400000000000006"/>
    <n v="4.9000000000000004"/>
    <n v="124"/>
    <n v="254"/>
    <n v="28"/>
    <n v="0.11"/>
    <n v="254"/>
    <n v="2.12"/>
    <n v="540"/>
    <n v="4832"/>
  </r>
  <r>
    <x v="1299"/>
    <s v="050636"/>
    <s v="CA"/>
    <s v="CA - San Diego"/>
    <n v="92064"/>
    <s v="Palomar Medical Center Poway (FKA Pomerado Hospital)"/>
    <s v="Short Term Acute Care Hospital"/>
    <s v="Poway"/>
    <n v="50.4"/>
    <n v="3.5"/>
    <n v="173"/>
    <n v="95"/>
    <n v="12"/>
    <n v="0.11"/>
    <n v="95"/>
    <n v="1.68"/>
    <n v="541"/>
    <n v="5635"/>
  </r>
  <r>
    <x v="1299"/>
    <s v="050115"/>
    <s v="CA"/>
    <s v="CA - San Diego"/>
    <n v="92025"/>
    <s v="Palomar Medical Center Downtown Escondido (FKA Palomar Health Downtown Campus)"/>
    <s v="Short Term Acute Care Hospital"/>
    <s v="Escondido"/>
    <n v="231.3"/>
    <n v="3.7"/>
    <n v="297"/>
    <n v="286"/>
    <n v="48"/>
    <n v="0.11"/>
    <n v="286"/>
    <n v="1.84"/>
    <n v="542"/>
    <n v="24148"/>
  </r>
  <r>
    <x v="1299"/>
    <s v="050128"/>
    <s v="CA"/>
    <s v="CA - San Diego"/>
    <n v="92056"/>
    <s v="Tri-City Medical Center"/>
    <s v="Short Term Acute Care Hospital"/>
    <s v="Oceanside"/>
    <n v="150.9"/>
    <n v="4.8"/>
    <n v="446"/>
    <n v="290"/>
    <n v="28"/>
    <n v="0.11"/>
    <n v="290"/>
    <n v="1.95"/>
    <n v="543"/>
    <n v="11454"/>
  </r>
  <r>
    <x v="1299"/>
    <s v="050077"/>
    <s v="CA"/>
    <s v="CA - San Diego"/>
    <n v="92103"/>
    <s v="Scripps Mercy Hospital San Diego"/>
    <s v="Short Term Acute Care Hospital"/>
    <s v="San Diego"/>
    <n v="349.9"/>
    <n v="4.5"/>
    <n v="790"/>
    <n v="487"/>
    <n v="56"/>
    <n v="0.11"/>
    <n v="487"/>
    <n v="1.79"/>
    <n v="544"/>
    <n v="29643"/>
  </r>
  <r>
    <x v="1299"/>
    <s v="050100"/>
    <s v="CA"/>
    <s v="CA - San Diego"/>
    <n v="92123"/>
    <s v="Sharp Memorial Hospital"/>
    <s v="Short Term Acute Care Hospital"/>
    <s v="San Diego"/>
    <n v="416.6"/>
    <n v="5.0999999999999996"/>
    <n v="856"/>
    <n v="832"/>
    <n v="74"/>
    <n v="0.11"/>
    <n v="459"/>
    <n v="2.06"/>
    <n v="545"/>
    <n v="32692"/>
  </r>
  <r>
    <x v="1299"/>
    <s v="050234"/>
    <s v="CA"/>
    <s v="CA - San Diego"/>
    <n v="92118"/>
    <s v="Sharp Coronado Hospital"/>
    <s v="Short Term Acute Care Hospital"/>
    <s v="Coronado"/>
    <n v="19.100000000000001"/>
    <n v="3.4"/>
    <n v="117"/>
    <n v="59"/>
    <n v="7"/>
    <n v="0.11"/>
    <n v="59"/>
    <n v="1.74"/>
    <n v="546"/>
    <n v="2083"/>
  </r>
  <r>
    <x v="1299"/>
    <s v="050222"/>
    <s v="CA"/>
    <s v="CA - San Diego"/>
    <n v="91911"/>
    <s v="Sharp Chula Vista Medical Center"/>
    <s v="Short Term Acute Care Hospital"/>
    <s v="Chula Vista"/>
    <n v="194.6"/>
    <n v="4.8"/>
    <n v="287"/>
    <n v="243"/>
    <n v="35"/>
    <n v="0.11"/>
    <n v="243"/>
    <n v="1.81"/>
    <n v="547"/>
    <n v="15528"/>
  </r>
  <r>
    <x v="1299"/>
    <s v="050324"/>
    <s v="CA"/>
    <s v="CA - San Diego"/>
    <n v="92037"/>
    <s v="Scripps Memorial Hospital La Jolla"/>
    <s v="Short Term Acute Care Hospital"/>
    <s v="La Jolla"/>
    <n v="233"/>
    <n v="4.8"/>
    <n v="650"/>
    <n v="365"/>
    <n v="59"/>
    <n v="0.11"/>
    <n v="365"/>
    <n v="2.3199999999999998"/>
    <n v="548"/>
    <n v="19216"/>
  </r>
  <r>
    <x v="1299"/>
    <s v="050024"/>
    <s v="CA"/>
    <s v="CA - San Diego"/>
    <n v="91950"/>
    <s v="Paradise Valley Hospital"/>
    <s v="Short Term Acute Care Hospital"/>
    <s v="National City"/>
    <n v="121.5"/>
    <n v="5.5"/>
    <n v="120"/>
    <n v="230"/>
    <n v="15"/>
    <n v="0.11"/>
    <n v="291"/>
    <n v="1.41"/>
    <n v="549"/>
    <n v="8313"/>
  </r>
  <r>
    <x v="1299"/>
    <s v="050025"/>
    <s v="CA"/>
    <s v="CA - San Diego"/>
    <n v="92103"/>
    <s v="UC San Diego Medical Center - Hillcrest"/>
    <s v="Short Term Acute Care Hospital"/>
    <s v="San Diego"/>
    <n v="553.70000000000005"/>
    <n v="6.2"/>
    <n v="1623"/>
    <n v="669"/>
    <m/>
    <n v="0.11"/>
    <n v="381"/>
    <n v="2.3199999999999998"/>
    <n v="550"/>
    <n v="33464"/>
  </r>
  <r>
    <x v="1299"/>
    <s v="050026"/>
    <s v="CA"/>
    <s v="CA - San Diego"/>
    <n v="91942"/>
    <s v="Sharp Grossmont Hospital"/>
    <s v="Short Term Acute Care Hospital"/>
    <s v="La Mesa"/>
    <n v="305"/>
    <n v="4.4000000000000004"/>
    <n v="664"/>
    <n v="443"/>
    <n v="48"/>
    <n v="0.11"/>
    <n v="443"/>
    <n v="1.74"/>
    <n v="551"/>
    <n v="26552"/>
  </r>
  <r>
    <x v="1299"/>
    <s v="050100*"/>
    <s v="CA"/>
    <s v="CA - San Diego"/>
    <n v="92123"/>
    <s v="Sharp Mary Birch Hospital for Women &amp; Newborns"/>
    <s v="Short Term Acute Care Hospital"/>
    <s v="San Diego"/>
    <m/>
    <m/>
    <m/>
    <m/>
    <m/>
    <m/>
    <n v="206"/>
    <m/>
    <n v="4783"/>
    <m/>
  </r>
  <r>
    <x v="1299"/>
    <s v="050698 (Closed)"/>
    <s v="CA"/>
    <s v="CA - San Diego"/>
    <n v="92103"/>
    <s v="San Diego Hospice Acute (Closed 2013)"/>
    <s v="Short Term Acute Care Hospital"/>
    <s v="San Diego"/>
    <m/>
    <m/>
    <m/>
    <m/>
    <m/>
    <m/>
    <m/>
    <m/>
    <n v="5200"/>
    <m/>
  </r>
  <r>
    <x v="1299"/>
    <s v="050025*"/>
    <s v="CA"/>
    <s v="CA - San Diego"/>
    <n v="92037"/>
    <s v="Thornton Pavilion (FKA John M and Sally B Thornton Hospital)"/>
    <s v="Short Term Acute Care Hospital"/>
    <s v="La Jolla"/>
    <m/>
    <m/>
    <m/>
    <m/>
    <m/>
    <m/>
    <n v="119"/>
    <m/>
    <n v="550794"/>
    <m/>
  </r>
  <r>
    <x v="1299"/>
    <s v="050115*"/>
    <s v="CA"/>
    <s v="CA - San Diego"/>
    <n v="92029"/>
    <s v="Palomar Medical Center Escondido"/>
    <s v="Short Term Acute Care Hospital"/>
    <s v="Escondido"/>
    <m/>
    <m/>
    <n v="213"/>
    <m/>
    <m/>
    <m/>
    <n v="288"/>
    <m/>
    <n v="560481"/>
    <m/>
  </r>
  <r>
    <x v="1299"/>
    <s v="050077*"/>
    <s v="CA"/>
    <s v="CA - San Diego"/>
    <n v="91910"/>
    <s v="Scripps Mercy Hospital Chula Vista"/>
    <s v="Short Term Acute Care Hospital"/>
    <s v="Chula Vista"/>
    <m/>
    <m/>
    <m/>
    <m/>
    <m/>
    <m/>
    <n v="183"/>
    <m/>
    <n v="577380"/>
    <m/>
  </r>
  <r>
    <x v="1299"/>
    <m/>
    <s v="CA"/>
    <s v="CA - San Diego"/>
    <n v="92111"/>
    <s v="Sharp McDonald Center"/>
    <s v="Short Term Acute Care Hospital"/>
    <s v="San Diego"/>
    <m/>
    <m/>
    <n v="1"/>
    <m/>
    <m/>
    <m/>
    <n v="16"/>
    <m/>
    <n v="577381"/>
    <m/>
  </r>
  <r>
    <x v="1299"/>
    <s v="050025*"/>
    <s v="CA"/>
    <s v="CA - San Diego"/>
    <n v="92037"/>
    <s v="UC San Diego Health - La Jolla Jacobs Medical Center"/>
    <s v="Short Term Acute Care Hospital"/>
    <s v="La Jolla"/>
    <m/>
    <m/>
    <m/>
    <m/>
    <m/>
    <m/>
    <n v="245"/>
    <m/>
    <n v="842965"/>
    <m/>
  </r>
  <r>
    <x v="1299"/>
    <s v="050025*"/>
    <s v="CA"/>
    <s v="CA - San Diego"/>
    <n v="92037"/>
    <s v="UC San Diego Health - La Jolla Sulpizio Cardiovascular Center"/>
    <s v="Short Term Acute Care Hospital"/>
    <s v="La Jolla"/>
    <m/>
    <m/>
    <m/>
    <m/>
    <m/>
    <m/>
    <n v="54"/>
    <m/>
    <n v="851202"/>
    <m/>
  </r>
  <r>
    <x v="1299"/>
    <m/>
    <s v="CA"/>
    <s v="CA - San Diego"/>
    <n v="92123"/>
    <s v="Kaiser Permanente San Diego Medical Center"/>
    <s v="Short Term Acute Care Hospital"/>
    <s v="San Diego"/>
    <m/>
    <m/>
    <m/>
    <m/>
    <m/>
    <m/>
    <n v="321"/>
    <m/>
    <n v="867141"/>
    <m/>
  </r>
  <r>
    <x v="1300"/>
    <s v="050055"/>
    <s v="CA"/>
    <s v="CA - San Francisco"/>
    <n v="94110"/>
    <s v="California Pacific Medical Center - Mission Bernal Campus (FKA California Pacific Medical Center - St Lukes Campus)"/>
    <s v="Short Term Acute Care Hospital"/>
    <s v="San Francisco"/>
    <n v="39"/>
    <n v="4.9000000000000004"/>
    <n v="267"/>
    <n v="120"/>
    <n v="10"/>
    <n v="7.0000000000000007E-2"/>
    <n v="120"/>
    <n v="1.57"/>
    <n v="552"/>
    <n v="3348"/>
  </r>
  <r>
    <x v="1300"/>
    <s v="050008"/>
    <s v="CA"/>
    <s v="CA - San Francisco"/>
    <n v="94114"/>
    <s v="California Pacific Medical Center - Davies Campus"/>
    <s v="Short Term Acute Care Hospital"/>
    <s v="San Francisco"/>
    <n v="43.1"/>
    <n v="5"/>
    <n v="284"/>
    <n v="137"/>
    <n v="8"/>
    <n v="7.0000000000000007E-2"/>
    <n v="137"/>
    <n v="1.76"/>
    <n v="553"/>
    <n v="3123"/>
  </r>
  <r>
    <x v="1300"/>
    <s v="050228"/>
    <s v="CA"/>
    <s v="CA - San Francisco"/>
    <n v="94110"/>
    <s v="Zuckerberg San Francisco General Hospital (FKA San Francisco General Hospital)"/>
    <s v="Short Term Acute Care Hospital"/>
    <s v="San Francisco"/>
    <n v="226.8"/>
    <n v="5.7"/>
    <n v="812"/>
    <n v="284"/>
    <n v="58"/>
    <n v="7.0000000000000007E-2"/>
    <n v="284"/>
    <n v="1.58"/>
    <n v="554"/>
    <n v="15244"/>
  </r>
  <r>
    <x v="1300"/>
    <s v="050076"/>
    <s v="CA"/>
    <s v="CA - San Francisco"/>
    <n v="94115"/>
    <s v="Kaiser Permanente - San Francisco Medical Center"/>
    <s v="Short Term Acute Care Hospital"/>
    <s v="San Francisco"/>
    <n v="145.5"/>
    <n v="5"/>
    <n v="555"/>
    <n v="239"/>
    <n v="32"/>
    <n v="7.0000000000000007E-2"/>
    <n v="239"/>
    <n v="2.38"/>
    <n v="555"/>
    <n v="11811"/>
  </r>
  <r>
    <x v="1300"/>
    <m/>
    <s v="CA"/>
    <s v="CA - San Francisco"/>
    <n v="94115"/>
    <s v="California Pacific Medical Center - Pacific Campus (Closed- All Inpatient Services Moved to Van Ness Campus)"/>
    <s v="Short Term Acute Care Hospital"/>
    <s v="San Francisco"/>
    <m/>
    <m/>
    <m/>
    <m/>
    <m/>
    <m/>
    <m/>
    <n v="2.09"/>
    <n v="556"/>
    <m/>
  </r>
  <r>
    <x v="1300"/>
    <s v="050152"/>
    <s v="CA"/>
    <s v="CA - San Francisco"/>
    <n v="94109"/>
    <s v="Saint Francis Memorial Hospital"/>
    <s v="Short Term Acute Care Hospital"/>
    <s v="San Francisco"/>
    <n v="48.6"/>
    <n v="4.9000000000000004"/>
    <n v="167"/>
    <n v="156"/>
    <n v="18"/>
    <n v="7.0000000000000007E-2"/>
    <n v="156"/>
    <n v="1.65"/>
    <n v="557"/>
    <n v="3621"/>
  </r>
  <r>
    <x v="1300"/>
    <s v="050668"/>
    <s v="CA"/>
    <s v="CA - San Francisco"/>
    <n v="94116"/>
    <s v="Laguna Honda Hospital and Rehabilitation Center"/>
    <s v="Short Term Acute Care Hospital"/>
    <s v="San Francisco"/>
    <n v="0.3"/>
    <n v="3.9"/>
    <n v="12"/>
    <n v="6"/>
    <m/>
    <n v="7.0000000000000007E-2"/>
    <n v="6"/>
    <n v="1.05"/>
    <n v="558"/>
    <n v="24"/>
  </r>
  <r>
    <x v="1300"/>
    <s v="050457"/>
    <s v="CA"/>
    <s v="CA - San Francisco"/>
    <n v="94117"/>
    <s v="St Marys Medical Center"/>
    <s v="Short Term Acute Care Hospital"/>
    <s v="San Francisco"/>
    <n v="53.7"/>
    <n v="5.0999999999999996"/>
    <n v="232"/>
    <n v="113"/>
    <n v="19"/>
    <n v="7.0000000000000007E-2"/>
    <n v="113"/>
    <n v="1.73"/>
    <n v="559"/>
    <n v="3875"/>
  </r>
  <r>
    <x v="1300"/>
    <s v="050454"/>
    <s v="CA"/>
    <s v="CA - San Francisco"/>
    <n v="94143"/>
    <s v="UCSF Helen Diller Medical Center at Parnassus Heights"/>
    <s v="Short Term Acute Care Hospital"/>
    <s v="San Francisco"/>
    <n v="643.29999999999995"/>
    <n v="6.8"/>
    <n v="2157"/>
    <n v="785"/>
    <n v="106"/>
    <n v="7.0000000000000007E-2"/>
    <n v="785"/>
    <n v="2.57"/>
    <n v="560"/>
    <n v="35170"/>
  </r>
  <r>
    <x v="1300"/>
    <s v="050407"/>
    <s v="CA"/>
    <s v="CA - San Francisco"/>
    <n v="94133"/>
    <s v="Chinese Hospital"/>
    <s v="Short Term Acute Care Hospital"/>
    <s v="San Francisco"/>
    <n v="14.7"/>
    <n v="4.5"/>
    <n v="161"/>
    <n v="65"/>
    <n v="6"/>
    <n v="7.0000000000000007E-2"/>
    <n v="65"/>
    <n v="1.43"/>
    <n v="561"/>
    <n v="1188"/>
  </r>
  <r>
    <x v="1300"/>
    <s v="050047* (Closed)"/>
    <s v="CA"/>
    <s v="CA - San Francisco"/>
    <n v="94118"/>
    <s v="California Pacific Medical Center - California Campus (Closed)"/>
    <s v="Short Term Acute Care Hospital"/>
    <s v="San Francisco"/>
    <m/>
    <m/>
    <m/>
    <m/>
    <m/>
    <m/>
    <m/>
    <m/>
    <n v="541983"/>
    <m/>
  </r>
  <r>
    <x v="1300"/>
    <s v="050454*"/>
    <s v="CA"/>
    <s v="CA - San Francisco"/>
    <n v="94115"/>
    <s v="UCSF Medical Center at Mount Zion (Temporarily Open due to COVID-19)"/>
    <s v="Short Term Acute Care Hospital"/>
    <s v="San Francisco"/>
    <m/>
    <m/>
    <n v="20"/>
    <m/>
    <m/>
    <m/>
    <m/>
    <m/>
    <n v="551803"/>
    <m/>
  </r>
  <r>
    <x v="1300"/>
    <m/>
    <s v="CA"/>
    <s v="CA - San Francisco"/>
    <n v="94158"/>
    <s v="UCSF Medical Center at Mission Bay"/>
    <s v="Short Term Acute Care Hospital"/>
    <s v="San Francisco"/>
    <m/>
    <m/>
    <n v="58"/>
    <m/>
    <m/>
    <m/>
    <n v="289"/>
    <m/>
    <n v="812339"/>
    <m/>
  </r>
  <r>
    <x v="1300"/>
    <m/>
    <s v="CA"/>
    <s v="CA - San Francisco"/>
    <n v="94143"/>
    <s v="UCSF Betty Irene Moore Womens Hospital and UCSF Bakar Cancer Hospital"/>
    <s v="Short Term Acute Care Hospital"/>
    <s v="San Francisco"/>
    <m/>
    <m/>
    <m/>
    <m/>
    <m/>
    <m/>
    <n v="70"/>
    <m/>
    <n v="977039"/>
    <m/>
  </r>
  <r>
    <x v="1300"/>
    <s v="050047"/>
    <s v="CA"/>
    <s v="CA - San Francisco"/>
    <n v="94109"/>
    <s v="California Pacific Medical Center - Van Ness Campus"/>
    <s v="Short Term Acute Care Hospital"/>
    <s v="San Francisco"/>
    <n v="245"/>
    <n v="6.4"/>
    <n v="348"/>
    <n v="464"/>
    <n v="36"/>
    <n v="7.0000000000000007E-2"/>
    <n v="274"/>
    <m/>
    <n v="975508"/>
    <n v="15879"/>
  </r>
  <r>
    <x v="1301"/>
    <s v="050336"/>
    <s v="CA"/>
    <s v="CA - San Joaquin"/>
    <n v="95240"/>
    <s v="Adventist Health Lodi Memorial"/>
    <s v="Short Term Acute Care Hospital"/>
    <s v="Lodi"/>
    <n v="89.3"/>
    <n v="3.8"/>
    <n v="262"/>
    <n v="182"/>
    <n v="10"/>
    <n v="0.27"/>
    <n v="182"/>
    <n v="1.46"/>
    <n v="563"/>
    <n v="8990"/>
  </r>
  <r>
    <x v="1301"/>
    <s v="050748"/>
    <s v="CA"/>
    <s v="CA - San Joaquin"/>
    <n v="95337"/>
    <s v="Kaiser Permanente - Manteca Medical Center"/>
    <s v="Short Term Acute Care Hospital"/>
    <s v="Manteca"/>
    <n v="102.6"/>
    <n v="3.6"/>
    <n v="530"/>
    <n v="213"/>
    <n v="26"/>
    <n v="0.27"/>
    <n v="213"/>
    <n v="1.64"/>
    <n v="564"/>
    <n v="11793"/>
  </r>
  <r>
    <x v="1301"/>
    <s v="050167"/>
    <s v="CA"/>
    <s v="CA - San Joaquin"/>
    <n v="95231"/>
    <s v="San Joaquin General Hospital"/>
    <s v="Short Term Acute Care Hospital"/>
    <s v="French Camp"/>
    <n v="123.8"/>
    <n v="4.5999999999999996"/>
    <n v="244"/>
    <n v="196"/>
    <n v="16"/>
    <n v="0.27"/>
    <n v="196"/>
    <n v="1.7"/>
    <n v="565"/>
    <n v="10432"/>
  </r>
  <r>
    <x v="1301"/>
    <s v="050122"/>
    <s v="CA"/>
    <s v="CA - San Joaquin"/>
    <n v="95203"/>
    <s v="Dameron Hospital"/>
    <s v="Short Term Acute Care Hospital"/>
    <s v="Stockton"/>
    <n v="36.4"/>
    <n v="3.8"/>
    <n v="89"/>
    <n v="170"/>
    <n v="12"/>
    <n v="0.27"/>
    <n v="170"/>
    <n v="1.91"/>
    <n v="566"/>
    <n v="3523"/>
  </r>
  <r>
    <x v="1301"/>
    <s v="050084"/>
    <s v="CA"/>
    <s v="CA - San Joaquin"/>
    <n v="95204"/>
    <s v="St Josephs Medical Center"/>
    <s v="Short Term Acute Care Hospital"/>
    <s v="Stockton"/>
    <n v="250.9"/>
    <n v="4.7"/>
    <n v="376"/>
    <n v="348"/>
    <n v="30"/>
    <n v="0.27"/>
    <n v="348"/>
    <n v="2.04"/>
    <n v="567"/>
    <n v="20618"/>
  </r>
  <r>
    <x v="1301"/>
    <s v="050118"/>
    <s v="CA"/>
    <s v="CA - San Joaquin"/>
    <n v="95336"/>
    <s v="Doctors Hospital of Manteca"/>
    <s v="Short Term Acute Care Hospital"/>
    <s v="Manteca"/>
    <n v="40.1"/>
    <n v="4.0999999999999996"/>
    <n v="114"/>
    <n v="73"/>
    <n v="8"/>
    <n v="0.27"/>
    <n v="73"/>
    <n v="1.35"/>
    <n v="568"/>
    <n v="3789"/>
  </r>
  <r>
    <x v="1301"/>
    <s v="050313"/>
    <s v="CA"/>
    <s v="CA - San Joaquin"/>
    <n v="95376"/>
    <s v="Sutter Tracy Community Hospital"/>
    <s v="Short Term Acute Care Hospital"/>
    <s v="Tracy"/>
    <n v="30.1"/>
    <n v="3.5"/>
    <n v="127"/>
    <n v="77"/>
    <n v="8"/>
    <n v="0.27"/>
    <n v="77"/>
    <n v="1.47"/>
    <n v="569"/>
    <n v="3405"/>
  </r>
  <r>
    <x v="1302"/>
    <s v="050232"/>
    <s v="CA"/>
    <s v="CA - San Luis Obispo"/>
    <n v="93401"/>
    <s v="French Hospital Medical Center"/>
    <s v="Short Term Acute Care Hospital"/>
    <s v="San Luis Obispo"/>
    <n v="47.1"/>
    <n v="4"/>
    <n v="302"/>
    <n v="98"/>
    <n v="11"/>
    <n v="0.25"/>
    <n v="98"/>
    <n v="1.92"/>
    <n v="570"/>
    <n v="4722"/>
  </r>
  <r>
    <x v="1302"/>
    <s v="050633"/>
    <s v="CA"/>
    <s v="CA - San Luis Obispo"/>
    <n v="93465"/>
    <s v="Twin Cities Community Hospital"/>
    <s v="Short Term Acute Care Hospital"/>
    <s v="Templeton"/>
    <n v="46.4"/>
    <n v="4"/>
    <n v="139"/>
    <n v="122"/>
    <n v="18"/>
    <n v="0.25"/>
    <n v="122"/>
    <n v="1.38"/>
    <n v="571"/>
    <n v="4538"/>
  </r>
  <r>
    <x v="1302"/>
    <s v="050506"/>
    <s v="CA"/>
    <s v="CA - San Luis Obispo"/>
    <n v="93405"/>
    <s v="Sierra Vista Regional Medical Center (FKA Sierra Vista Regional Medical Center)"/>
    <s v="Short Term Acute Care Hospital"/>
    <s v="San Luis Obispo"/>
    <n v="66.3"/>
    <n v="4.7"/>
    <n v="92"/>
    <n v="162"/>
    <n v="17"/>
    <n v="0.25"/>
    <n v="162"/>
    <n v="1.79"/>
    <n v="572"/>
    <n v="5615"/>
  </r>
  <r>
    <x v="1302"/>
    <m/>
    <s v="CA"/>
    <s v="CA - San Luis Obispo"/>
    <n v="93420"/>
    <s v="Arroyo Grande Community Hospital"/>
    <s v="Short Term Acute Care Hospital"/>
    <s v="Arroyo Grande"/>
    <n v="20.8"/>
    <n v="3.3"/>
    <n v="6"/>
    <n v="53"/>
    <n v="8"/>
    <n v="0.25"/>
    <n v="53"/>
    <m/>
    <n v="573"/>
    <n v="4309"/>
  </r>
  <r>
    <x v="1302"/>
    <m/>
    <s v="CA"/>
    <s v="CA - San Luis Obispo"/>
    <n v="93409"/>
    <s v="California Mens Colony (AKA CMC)"/>
    <s v="Short Term Acute Care Hospital"/>
    <s v="San Luis Obispo"/>
    <m/>
    <m/>
    <m/>
    <m/>
    <m/>
    <m/>
    <n v="50"/>
    <m/>
    <n v="581793"/>
    <m/>
  </r>
  <r>
    <x v="1303"/>
    <s v="050007"/>
    <s v="CA"/>
    <s v="CA - San Mateo"/>
    <n v="94010"/>
    <s v="Mills-Peninsula Medical Center"/>
    <s v="Short Term Acute Care Hospital"/>
    <s v="Burlingame"/>
    <n v="129.80000000000001"/>
    <n v="5.0999999999999996"/>
    <n v="747"/>
    <n v="241"/>
    <n v="24"/>
    <n v="7.0000000000000007E-2"/>
    <n v="241"/>
    <n v="1.96"/>
    <n v="574"/>
    <n v="10158"/>
  </r>
  <r>
    <x v="1303"/>
    <s v="050541"/>
    <s v="CA"/>
    <s v="CA - San Mateo"/>
    <n v="94063"/>
    <s v="Kaiser Permanente - Redwood City Medical Center"/>
    <s v="Short Term Acute Care Hospital"/>
    <s v="Redwood City"/>
    <n v="69.900000000000006"/>
    <n v="3.6"/>
    <n v="299"/>
    <n v="149"/>
    <n v="20"/>
    <n v="7.0000000000000007E-2"/>
    <n v="149"/>
    <n v="2.0499999999999998"/>
    <n v="575"/>
    <n v="8205"/>
  </r>
  <r>
    <x v="1303"/>
    <s v="050754"/>
    <s v="CA"/>
    <s v="CA - San Mateo"/>
    <n v="94025"/>
    <s v="Menlo Park Surgical Hospital"/>
    <s v="Short Term Acute Care Hospital"/>
    <s v="Menlo Park"/>
    <n v="0.8"/>
    <n v="1.6"/>
    <n v="17"/>
    <n v="16"/>
    <m/>
    <n v="7.0000000000000007E-2"/>
    <n v="16"/>
    <n v="2.02"/>
    <n v="576"/>
    <n v="186"/>
  </r>
  <r>
    <x v="1303"/>
    <s v="050197"/>
    <s v="CA"/>
    <s v="CA - San Mateo"/>
    <n v="94062"/>
    <s v="Sequoia Hospital"/>
    <s v="Short Term Acute Care Hospital"/>
    <s v="Redwood City"/>
    <n v="51.4"/>
    <n v="4"/>
    <n v="270"/>
    <n v="208"/>
    <n v="16"/>
    <n v="7.0000000000000007E-2"/>
    <n v="208"/>
    <n v="2.08"/>
    <n v="577"/>
    <n v="5423"/>
  </r>
  <r>
    <x v="1303"/>
    <s v="050289"/>
    <s v="CA"/>
    <s v="CA - San Mateo"/>
    <n v="94015"/>
    <s v="Seton Medical Center (Temporarily Opening due to COVID-19)"/>
    <s v="Short Term Acute Care Hospital"/>
    <s v="Daly City"/>
    <n v="53.1"/>
    <n v="4.3"/>
    <n v="175"/>
    <n v="255"/>
    <n v="28"/>
    <n v="7.0000000000000007E-2"/>
    <n v="255"/>
    <n v="1.77"/>
    <n v="578"/>
    <n v="4477"/>
  </r>
  <r>
    <x v="1303"/>
    <s v="050113"/>
    <s v="CA"/>
    <s v="CA - San Mateo"/>
    <n v="94403"/>
    <s v="San Mateo Medical Center (AKA San Mateo County Health System)"/>
    <s v="Short Term Acute Care Hospital"/>
    <s v="San Mateo"/>
    <n v="39.1"/>
    <n v="6.4"/>
    <n v="215"/>
    <n v="69"/>
    <n v="7"/>
    <n v="7.0000000000000007E-2"/>
    <n v="69"/>
    <n v="1.36"/>
    <n v="579"/>
    <n v="2221"/>
  </r>
  <r>
    <x v="1303"/>
    <s v="050070"/>
    <s v="CA"/>
    <s v="CA - San Mateo"/>
    <n v="94080"/>
    <s v="Kaiser Permanente - South San Francisco Medical Center"/>
    <s v="Short Term Acute Care Hospital"/>
    <s v="South San Francisco"/>
    <n v="54.4"/>
    <n v="3.5"/>
    <n v="313"/>
    <n v="120"/>
    <n v="15"/>
    <n v="7.0000000000000007E-2"/>
    <n v="120"/>
    <n v="1.62"/>
    <n v="580"/>
    <n v="5617"/>
  </r>
  <r>
    <x v="1303"/>
    <s v="050007*"/>
    <s v="CA"/>
    <s v="CA - San Mateo"/>
    <n v="94401"/>
    <s v="Mills Health Center"/>
    <s v="Short Term Acute Care Hospital"/>
    <s v="San Mateo"/>
    <m/>
    <m/>
    <m/>
    <m/>
    <m/>
    <m/>
    <m/>
    <m/>
    <n v="541907"/>
    <m/>
  </r>
  <r>
    <x v="1303"/>
    <m/>
    <s v="CA"/>
    <s v="CA - San Mateo"/>
    <n v="94038"/>
    <s v="Seton Medical Center Coastside"/>
    <s v="Short Term Acute Care Hospital"/>
    <s v="Moss Beach"/>
    <m/>
    <m/>
    <n v="3"/>
    <m/>
    <m/>
    <m/>
    <n v="116"/>
    <m/>
    <n v="542252"/>
    <m/>
  </r>
  <r>
    <x v="67"/>
    <s v="050110"/>
    <s v="CA"/>
    <s v="CA - Santa Barbara"/>
    <n v="93436"/>
    <s v="Lompoc Valley Medical Center Hospital"/>
    <s v="Short Term Acute Care Hospital"/>
    <s v="Lompoc"/>
    <n v="17.8"/>
    <n v="4"/>
    <n v="115"/>
    <n v="60"/>
    <n v="6"/>
    <n v="0.38"/>
    <n v="60"/>
    <n v="1.31"/>
    <n v="581"/>
    <n v="1808"/>
  </r>
  <r>
    <x v="67"/>
    <s v="050107"/>
    <s v="CA"/>
    <s v="CA - Santa Barbara"/>
    <n v="93454"/>
    <s v="Marian Regional Medical Center"/>
    <s v="Short Term Acute Care Hospital"/>
    <s v="Santa Maria"/>
    <n v="151.4"/>
    <n v="4.0999999999999996"/>
    <n v="705"/>
    <n v="273"/>
    <n v="28"/>
    <n v="0.38"/>
    <n v="191"/>
    <n v="1.7"/>
    <n v="582"/>
    <n v="14933"/>
  </r>
  <r>
    <x v="67"/>
    <s v="050357"/>
    <s v="CA"/>
    <s v="CA - Santa Barbara"/>
    <n v="93111"/>
    <s v="Goleta Valley Cottage Hospital"/>
    <s v="Short Term Acute Care Hospital"/>
    <s v="Goleta"/>
    <n v="9.9"/>
    <n v="2.2000000000000002"/>
    <n v="114"/>
    <n v="28"/>
    <n v="8"/>
    <n v="0.38"/>
    <n v="28"/>
    <n v="1.97"/>
    <n v="583"/>
    <n v="1687"/>
  </r>
  <r>
    <x v="67"/>
    <s v="050396"/>
    <s v="CA"/>
    <s v="CA - Santa Barbara"/>
    <n v="93105"/>
    <s v="Santa Barbara Cottage Hospital"/>
    <s v="Short Term Acute Care Hospital"/>
    <s v="Santa Barbara"/>
    <n v="226.5"/>
    <n v="4.9000000000000004"/>
    <n v="468"/>
    <n v="325"/>
    <n v="20"/>
    <n v="0.38"/>
    <n v="325"/>
    <n v="1.9"/>
    <n v="584"/>
    <n v="17068"/>
  </r>
  <r>
    <x v="1304"/>
    <s v="050380"/>
    <s v="CA"/>
    <s v="CA - Santa Clara"/>
    <n v="95124"/>
    <s v="Good Samaritan Hospital"/>
    <s v="Short Term Acute Care Hospital"/>
    <s v="San Jose"/>
    <n v="203.7"/>
    <n v="4.9000000000000004"/>
    <n v="611"/>
    <n v="309"/>
    <n v="24"/>
    <n v="0.26"/>
    <n v="309"/>
    <n v="1.73"/>
    <n v="587"/>
    <n v="16472"/>
  </r>
  <r>
    <x v="1304"/>
    <s v="050441"/>
    <s v="CA"/>
    <s v="CA - Santa Clara"/>
    <n v="94304"/>
    <s v="Stanford Hospital"/>
    <s v="Short Term Acute Care Hospital"/>
    <s v="Palo Alto"/>
    <n v="403.8"/>
    <n v="5.6"/>
    <n v="2285"/>
    <n v="447"/>
    <n v="59"/>
    <n v="0.26"/>
    <n v="447"/>
    <n v="2.5099999999999998"/>
    <n v="588"/>
    <n v="26371"/>
  </r>
  <r>
    <x v="1304"/>
    <s v="050604"/>
    <s v="CA"/>
    <s v="CA - Santa Clara"/>
    <n v="95119"/>
    <s v="Kaiser Permanente - San Jose Medical Center"/>
    <s v="Short Term Acute Care Hospital"/>
    <s v="San Jose"/>
    <n v="101"/>
    <n v="3.6"/>
    <n v="565"/>
    <n v="235"/>
    <n v="24"/>
    <n v="0.26"/>
    <n v="235"/>
    <n v="1.71"/>
    <n v="589"/>
    <n v="11607"/>
  </r>
  <r>
    <x v="1304"/>
    <s v="050688"/>
    <s v="CA"/>
    <s v="CA - Santa Clara"/>
    <n v="95020"/>
    <s v="St Louise Regional Hospital"/>
    <s v="Short Term Acute Care Hospital"/>
    <s v="Gilroy"/>
    <n v="29.7"/>
    <n v="3.8"/>
    <n v="53"/>
    <n v="72"/>
    <n v="8"/>
    <n v="0.26"/>
    <n v="72"/>
    <n v="1.48"/>
    <n v="590"/>
    <n v="3023"/>
  </r>
  <r>
    <x v="1304"/>
    <s v="050308"/>
    <s v="CA"/>
    <s v="CA - Santa Clara"/>
    <n v="94040"/>
    <s v="El Camino Hospital - Mountain View Campus"/>
    <s v="Short Term Acute Care Hospital"/>
    <s v="Mountain View"/>
    <n v="198.3"/>
    <n v="3.7"/>
    <n v="618"/>
    <n v="388"/>
    <n v="39"/>
    <n v="0.26"/>
    <n v="388"/>
    <n v="1.8"/>
    <n v="592"/>
    <n v="22400"/>
  </r>
  <r>
    <x v="1304"/>
    <s v="050071"/>
    <s v="CA"/>
    <s v="CA - Santa Clara"/>
    <n v="95051"/>
    <s v="Kaiser Permanente - Santa Clara Medical Center"/>
    <s v="Short Term Acute Care Hospital"/>
    <s v="Santa Clara"/>
    <n v="205.6"/>
    <n v="4.5"/>
    <n v="969"/>
    <n v="327"/>
    <n v="38"/>
    <m/>
    <n v="327"/>
    <n v="2.06"/>
    <n v="593"/>
    <n v="18661"/>
  </r>
  <r>
    <x v="1304"/>
    <s v="050125"/>
    <s v="CA"/>
    <s v="CA - Santa Clara"/>
    <n v="95116"/>
    <s v="Regional Medical Center of San Jose"/>
    <s v="Short Term Acute Care Hospital"/>
    <s v="San Jose"/>
    <n v="216"/>
    <n v="5.4"/>
    <n v="324"/>
    <n v="258"/>
    <n v="34"/>
    <n v="0.26"/>
    <n v="258"/>
    <n v="1.7"/>
    <n v="594"/>
    <n v="14893"/>
  </r>
  <r>
    <x v="1304"/>
    <s v="050153"/>
    <s v="CA"/>
    <s v="CA - Santa Clara"/>
    <n v="95128"/>
    <s v="OConnor Hospital"/>
    <s v="Short Term Acute Care Hospital"/>
    <s v="San Jose"/>
    <n v="95.1"/>
    <n v="4.2"/>
    <n v="166"/>
    <n v="324"/>
    <n v="22"/>
    <n v="0.26"/>
    <n v="324"/>
    <n v="1.82"/>
    <n v="595"/>
    <n v="9357"/>
  </r>
  <r>
    <x v="1304"/>
    <s v="050038"/>
    <s v="CA"/>
    <s v="CA - Santa Clara"/>
    <n v="95128"/>
    <s v="Santa Clara Valley Medical Center"/>
    <s v="Short Term Acute Care Hospital"/>
    <s v="San Jose"/>
    <n v="431.9"/>
    <n v="5.7"/>
    <n v="883"/>
    <n v="852"/>
    <n v="35"/>
    <n v="0.26"/>
    <n v="852"/>
    <n v="1.79"/>
    <n v="596"/>
    <n v="21100"/>
  </r>
  <r>
    <x v="1304"/>
    <s v="050308*"/>
    <s v="CA"/>
    <s v="CA - Santa Clara"/>
    <n v="95032"/>
    <s v="El Camino Hospital - Los Gatos Campus"/>
    <s v="Short Term Acute Care Hospital"/>
    <s v="Los Gatos"/>
    <m/>
    <m/>
    <n v="6"/>
    <m/>
    <m/>
    <m/>
    <n v="143"/>
    <m/>
    <n v="4772"/>
    <m/>
  </r>
  <r>
    <x v="1304"/>
    <s v="050662 (Closed)"/>
    <s v="CA"/>
    <s v="CA - Santa Clara"/>
    <n v="95134"/>
    <s v="Agnews Developmental Center (Closed 2009)"/>
    <s v="Short Term Acute Care Hospital"/>
    <s v="San Jose"/>
    <m/>
    <m/>
    <m/>
    <m/>
    <m/>
    <m/>
    <m/>
    <m/>
    <n v="5530"/>
    <m/>
  </r>
  <r>
    <x v="1304"/>
    <s v="050380*"/>
    <s v="CA"/>
    <s v="CA - Santa Clara"/>
    <n v="95032"/>
    <s v="Mission Oaks Campus of Good Samaritan Hospital"/>
    <s v="Short Term Acute Care Hospital"/>
    <s v="Los Gatos"/>
    <m/>
    <m/>
    <m/>
    <m/>
    <m/>
    <m/>
    <m/>
    <m/>
    <n v="585568"/>
    <m/>
  </r>
  <r>
    <x v="1305"/>
    <s v="050194"/>
    <s v="CA"/>
    <s v="CA - Santa Cruz"/>
    <n v="95076"/>
    <s v="Watsonville Community Hospital"/>
    <s v="Short Term Acute Care Hospital"/>
    <s v="Watsonville"/>
    <n v="36.299999999999997"/>
    <n v="4.3"/>
    <n v="145"/>
    <n v="106"/>
    <n v="6"/>
    <n v="0.53"/>
    <n v="106"/>
    <n v="1.41"/>
    <n v="597"/>
    <n v="3642"/>
  </r>
  <r>
    <x v="1305"/>
    <s v="050242"/>
    <s v="CA"/>
    <s v="CA - Santa Cruz"/>
    <n v="95065"/>
    <s v="Dominican Hospital"/>
    <s v="Short Term Acute Care Hospital"/>
    <s v="Santa Cruz"/>
    <n v="126.7"/>
    <n v="4.7"/>
    <n v="368"/>
    <n v="202"/>
    <n v="16"/>
    <n v="0.53"/>
    <n v="202"/>
    <n v="1.76"/>
    <n v="598"/>
    <n v="10129"/>
  </r>
  <r>
    <x v="1305"/>
    <s v="050714"/>
    <s v="CA"/>
    <s v="CA - Santa Cruz"/>
    <n v="95065"/>
    <s v="Sutter Maternity &amp; Surgery Center of Santa Cruz"/>
    <s v="Short Term Acute Care Hospital"/>
    <s v="Santa Cruz"/>
    <n v="7.5"/>
    <n v="6.9"/>
    <n v="103"/>
    <n v="30"/>
    <m/>
    <n v="0.53"/>
    <n v="30"/>
    <n v="2.19"/>
    <n v="599"/>
    <n v="678"/>
  </r>
  <r>
    <x v="68"/>
    <s v="050764"/>
    <s v="CA"/>
    <s v="CA - Shasta"/>
    <n v="96001"/>
    <s v="Shasta Regional Medical Center"/>
    <s v="Short Term Acute Care Hospital"/>
    <s v="Redding"/>
    <n v="82.9"/>
    <n v="4.5"/>
    <n v="112"/>
    <n v="205"/>
    <n v="37"/>
    <n v="0.57999999999999996"/>
    <n v="205"/>
    <n v="1.85"/>
    <n v="600"/>
    <n v="6736"/>
  </r>
  <r>
    <x v="68"/>
    <s v="050697"/>
    <s v="CA"/>
    <s v="CA - Shasta"/>
    <n v="96001"/>
    <s v="Patients Hospital of Redding"/>
    <s v="Short Term Acute Care Hospital"/>
    <s v="Redding"/>
    <n v="0.8"/>
    <n v="1.9"/>
    <n v="9"/>
    <n v="10"/>
    <m/>
    <n v="0.57999999999999996"/>
    <n v="10"/>
    <n v="1.74"/>
    <n v="601"/>
    <n v="159"/>
  </r>
  <r>
    <x v="68"/>
    <s v="050280"/>
    <s v="CA"/>
    <s v="CA - Shasta"/>
    <n v="96001"/>
    <s v="Mercy Medical Center Redding"/>
    <s v="Short Term Acute Care Hospital"/>
    <s v="Redding"/>
    <n v="167.6"/>
    <n v="4.7"/>
    <n v="284"/>
    <n v="267"/>
    <n v="44"/>
    <n v="0.57999999999999996"/>
    <n v="267"/>
    <n v="1.87"/>
    <n v="602"/>
    <n v="13749"/>
  </r>
  <r>
    <x v="1306"/>
    <s v="050073"/>
    <s v="CA"/>
    <s v="CA - Solano"/>
    <n v="94589"/>
    <s v="Kaiser Permanente - Vallejo Medical Center"/>
    <s v="Short Term Acute Care Hospital"/>
    <s v="Vallejo"/>
    <n v="84.6"/>
    <n v="4.0999999999999996"/>
    <n v="486"/>
    <n v="200"/>
    <n v="40"/>
    <n v="0.33"/>
    <n v="200"/>
    <n v="1.66"/>
    <n v="606"/>
    <n v="8475"/>
  </r>
  <r>
    <x v="1306"/>
    <s v="050101"/>
    <s v="CA"/>
    <s v="CA - Solano"/>
    <n v="94589"/>
    <s v="Sutter Solano Medical Center"/>
    <s v="Short Term Acute Care Hospital"/>
    <s v="Vallejo"/>
    <n v="47.3"/>
    <n v="4.8"/>
    <n v="144"/>
    <n v="106"/>
    <n v="12"/>
    <n v="0.33"/>
    <n v="106"/>
    <n v="1.71"/>
    <n v="607"/>
    <n v="3786"/>
  </r>
  <r>
    <x v="1306"/>
    <s v="050367*"/>
    <s v="CA"/>
    <s v="CA - Solano"/>
    <n v="95687"/>
    <s v="NorthBay VacaValley Hospital"/>
    <s v="Short Term Acute Care Hospital"/>
    <s v="Vacaville"/>
    <m/>
    <m/>
    <n v="23"/>
    <m/>
    <m/>
    <m/>
    <n v="50"/>
    <m/>
    <n v="608"/>
    <m/>
  </r>
  <r>
    <x v="1306"/>
    <s v="050367"/>
    <s v="CA"/>
    <s v="CA - Solano"/>
    <n v="94533"/>
    <s v="NorthBay Medical Center"/>
    <s v="Short Term Acute Care Hospital"/>
    <s v="Fairfield"/>
    <n v="115.3"/>
    <n v="4.5999999999999996"/>
    <n v="281"/>
    <n v="182"/>
    <n v="24"/>
    <n v="0.33"/>
    <n v="132"/>
    <n v="1.66"/>
    <n v="609"/>
    <n v="9516"/>
  </r>
  <r>
    <x v="1306"/>
    <s v="050767"/>
    <s v="CA"/>
    <s v="CA - Solano"/>
    <n v="95688"/>
    <s v="Kaiser Permanente - Vacaville Medical Center"/>
    <s v="Short Term Acute Care Hospital"/>
    <s v="Vacaville"/>
    <n v="64.7"/>
    <n v="4.3"/>
    <n v="340"/>
    <n v="140"/>
    <n v="16"/>
    <n v="0.33"/>
    <n v="140"/>
    <n v="1.9"/>
    <n v="541855"/>
    <n v="5904"/>
  </r>
  <r>
    <x v="1306"/>
    <m/>
    <s v="CA"/>
    <s v="CA - Solano"/>
    <n v="95696"/>
    <s v="California Medical Facility"/>
    <s v="Short Term Acute Care Hospital"/>
    <s v="Vacaville"/>
    <m/>
    <m/>
    <m/>
    <m/>
    <m/>
    <m/>
    <n v="64"/>
    <m/>
    <n v="581792"/>
    <m/>
  </r>
  <r>
    <x v="70"/>
    <s v="050547 (Closed)"/>
    <s v="CA"/>
    <s v="CA - Sonoma"/>
    <n v="95431"/>
    <s v="Sonoma Developmental Center (Closed)"/>
    <s v="Short Term Acute Care Hospital"/>
    <s v="Eldridge"/>
    <n v="2.8"/>
    <n v="17.399999999999999"/>
    <m/>
    <m/>
    <m/>
    <n v="0.3"/>
    <m/>
    <n v="1.06"/>
    <n v="611"/>
    <n v="59"/>
  </r>
  <r>
    <x v="70"/>
    <s v="050690"/>
    <s v="CA"/>
    <s v="CA - Sonoma"/>
    <n v="95403"/>
    <s v="Kaiser Permanente - Santa Rosa Medical Center"/>
    <s v="Short Term Acute Care Hospital"/>
    <s v="Santa Rosa"/>
    <n v="86.2"/>
    <n v="3.8"/>
    <n v="446"/>
    <n v="173"/>
    <n v="20"/>
    <n v="0.3"/>
    <n v="173"/>
    <n v="1.5"/>
    <n v="612"/>
    <n v="9456"/>
  </r>
  <r>
    <x v="70"/>
    <s v="050090"/>
    <s v="CA"/>
    <s v="CA - Sonoma"/>
    <n v="95476"/>
    <s v="Sonoma Valley Hospital"/>
    <s v="Short Term Acute Care Hospital"/>
    <s v="Sonoma"/>
    <n v="10.5"/>
    <n v="3.9"/>
    <n v="83"/>
    <n v="48"/>
    <n v="6"/>
    <n v="0.3"/>
    <n v="48"/>
    <n v="1.51"/>
    <n v="613"/>
    <n v="1022"/>
  </r>
  <r>
    <x v="70"/>
    <s v="050136"/>
    <s v="CA"/>
    <s v="CA - Sonoma"/>
    <n v="94954"/>
    <s v="Petaluma Valley Hospital"/>
    <s v="Short Term Acute Care Hospital"/>
    <s v="Petaluma"/>
    <n v="27.5"/>
    <n v="4"/>
    <n v="140"/>
    <n v="80"/>
    <n v="9"/>
    <n v="0.3"/>
    <n v="80"/>
    <n v="1.44"/>
    <n v="614"/>
    <n v="2700"/>
  </r>
  <r>
    <x v="70"/>
    <s v="050174"/>
    <s v="CA"/>
    <s v="CA - Sonoma"/>
    <n v="95405"/>
    <s v="Santa Rosa Memorial Hospital"/>
    <s v="Short Term Acute Care Hospital"/>
    <s v="Santa Rosa"/>
    <n v="188.7"/>
    <n v="5.6"/>
    <n v="479"/>
    <n v="282"/>
    <n v="26"/>
    <n v="0.3"/>
    <n v="282"/>
    <n v="1.95"/>
    <n v="615"/>
    <n v="12004"/>
  </r>
  <r>
    <x v="70"/>
    <s v="050291"/>
    <s v="CA"/>
    <s v="CA - Sonoma"/>
    <n v="95404"/>
    <s v="Sutter Santa Rosa Regional Hospital (FKA Sutter Medical Center of Santa Rosa)"/>
    <s v="Short Term Acute Care Hospital"/>
    <s v="Santa Rosa"/>
    <n v="65.099999999999994"/>
    <n v="5.0999999999999996"/>
    <n v="220"/>
    <n v="84"/>
    <n v="12"/>
    <n v="0.3"/>
    <n v="84"/>
    <n v="1.88"/>
    <n v="616"/>
    <n v="5603"/>
  </r>
  <r>
    <x v="70"/>
    <s v="050291* (Closed)"/>
    <s v="CA"/>
    <s v="CA - Sonoma"/>
    <n v="95405"/>
    <s v="Sutter Medical Center of Santa Rosa Warrack Campus (Closed Inpatient Services)"/>
    <s v="Short Term Acute Care Hospital"/>
    <s v="Santa Rosa"/>
    <m/>
    <m/>
    <m/>
    <m/>
    <m/>
    <m/>
    <m/>
    <m/>
    <n v="541986"/>
    <m/>
  </r>
  <r>
    <x v="1307"/>
    <s v="050179"/>
    <s v="CA"/>
    <s v="CA - Stanislaus"/>
    <n v="95382"/>
    <s v="Emanuel Medical Center"/>
    <s v="Short Term Acute Care Hospital"/>
    <s v="Turlock"/>
    <n v="93.2"/>
    <n v="4"/>
    <n v="194"/>
    <n v="209"/>
    <n v="12"/>
    <n v="0.33"/>
    <n v="209"/>
    <n v="1.43"/>
    <n v="618"/>
    <n v="9059"/>
  </r>
  <r>
    <x v="1307"/>
    <s v="050067"/>
    <s v="CA"/>
    <s v="CA - Stanislaus"/>
    <n v="95361"/>
    <s v="Oak Valley District Hospital"/>
    <s v="Short Term Acute Care Hospital"/>
    <s v="Oakdale"/>
    <n v="7.9"/>
    <n v="4.3"/>
    <n v="60"/>
    <n v="35"/>
    <n v="5"/>
    <n v="0.33"/>
    <n v="35"/>
    <n v="1.1399999999999999"/>
    <n v="619"/>
    <n v="680"/>
  </r>
  <r>
    <x v="1307"/>
    <s v="050726"/>
    <s v="CA"/>
    <s v="CA - Stanislaus"/>
    <n v="95355"/>
    <s v="Stanislaus Surgical Hospital"/>
    <s v="Short Term Acute Care Hospital"/>
    <s v="Modesto"/>
    <n v="2.4"/>
    <n v="1.9"/>
    <n v="75"/>
    <n v="23"/>
    <m/>
    <n v="0.33"/>
    <n v="23"/>
    <n v="2.1"/>
    <n v="620"/>
    <n v="476"/>
  </r>
  <r>
    <x v="1307"/>
    <s v="050557"/>
    <s v="CA"/>
    <s v="CA - Stanislaus"/>
    <n v="95355"/>
    <s v="Memorial Medical Center"/>
    <s v="Short Term Acute Care Hospital"/>
    <s v="Modesto"/>
    <n v="206.3"/>
    <n v="4.9000000000000004"/>
    <n v="493"/>
    <n v="419"/>
    <n v="35"/>
    <n v="0.33"/>
    <n v="419"/>
    <n v="1.84"/>
    <n v="621"/>
    <n v="15932"/>
  </r>
  <r>
    <x v="1307"/>
    <s v="050464"/>
    <s v="CA"/>
    <s v="CA - Stanislaus"/>
    <n v="95350"/>
    <s v="Doctors Medical Center Modesto"/>
    <s v="Short Term Acute Care Hospital"/>
    <s v="Modesto"/>
    <n v="305.2"/>
    <n v="5.0999999999999996"/>
    <n v="276"/>
    <n v="380"/>
    <n v="22"/>
    <n v="0.33"/>
    <n v="380"/>
    <n v="1.82"/>
    <n v="622"/>
    <n v="22967"/>
  </r>
  <r>
    <x v="1307"/>
    <m/>
    <s v="CA"/>
    <s v="CA - Stanislaus"/>
    <n v="95356"/>
    <s v="Kaiser Permanente - Modesto Medical Center"/>
    <s v="Short Term Acute Care Hospital"/>
    <s v="Modesto"/>
    <m/>
    <m/>
    <m/>
    <m/>
    <m/>
    <m/>
    <n v="152"/>
    <m/>
    <n v="541854"/>
    <m/>
  </r>
  <r>
    <x v="1308"/>
    <s v="050766"/>
    <s v="CA"/>
    <s v="CA - Sutter"/>
    <n v="95991"/>
    <s v="Sutter Surgical Hospital North Valley"/>
    <s v="Short Term Acute Care Hospital"/>
    <s v="Yuba City"/>
    <n v="3.2"/>
    <n v="2.4"/>
    <n v="26"/>
    <n v="14"/>
    <m/>
    <n v="0.89"/>
    <n v="14"/>
    <n v="2.14"/>
    <n v="623"/>
    <n v="485"/>
  </r>
  <r>
    <x v="1308"/>
    <s v="050133* (Closed)"/>
    <s v="CA"/>
    <s v="CA - Sutter"/>
    <n v="95991"/>
    <s v="Fremont Medical Center (Closed)"/>
    <s v="Short Term Acute Care Hospital"/>
    <s v="Yuba City"/>
    <m/>
    <m/>
    <m/>
    <m/>
    <m/>
    <m/>
    <m/>
    <m/>
    <n v="550784"/>
    <m/>
  </r>
  <r>
    <x v="1309"/>
    <s v="050042"/>
    <s v="CA"/>
    <s v="CA - Tehama"/>
    <n v="96080"/>
    <s v="St Elizabeth Community Hospital"/>
    <s v="Short Term Acute Care Hospital"/>
    <s v="Red Bluff"/>
    <n v="27.1"/>
    <n v="3.4"/>
    <n v="125"/>
    <n v="49"/>
    <n v="8"/>
    <n v="1"/>
    <n v="49"/>
    <n v="1.41"/>
    <n v="624"/>
    <n v="3191"/>
  </r>
  <r>
    <x v="1309"/>
    <m/>
    <s v="CA"/>
    <s v="CA - Tehama"/>
    <n v="96080"/>
    <s v="Restpadd Psychiatric Health Facility - Red Bluff"/>
    <s v="Short Term Acute Care Hospital"/>
    <s v="Red Bluff"/>
    <m/>
    <m/>
    <m/>
    <m/>
    <m/>
    <m/>
    <n v="16"/>
    <m/>
    <n v="965949"/>
    <m/>
  </r>
  <r>
    <x v="1310"/>
    <s v="050057"/>
    <s v="CA"/>
    <s v="CA - Tulare"/>
    <n v="93291"/>
    <s v="Kaweah Delta Medical Center"/>
    <s v="Short Term Acute Care Hospital"/>
    <s v="Visalia"/>
    <n v="298.3"/>
    <n v="4.9000000000000004"/>
    <n v="594"/>
    <n v="403"/>
    <n v="41"/>
    <n v="0.48"/>
    <n v="403"/>
    <n v="1.72"/>
    <n v="626"/>
    <n v="23675"/>
  </r>
  <r>
    <x v="1310"/>
    <s v="050784"/>
    <s v="CA"/>
    <s v="CA - Tulare"/>
    <n v="93274"/>
    <s v="Adventist Health Tulare (FKA Tulare Regional Medical Center)"/>
    <s v="Short Term Acute Care Hospital"/>
    <s v="Tulare"/>
    <n v="9.1999999999999993"/>
    <n v="4.9000000000000004"/>
    <n v="76"/>
    <n v="108"/>
    <n v="14"/>
    <n v="0.48"/>
    <n v="108"/>
    <m/>
    <n v="627"/>
    <n v="703"/>
  </r>
  <r>
    <x v="1310"/>
    <s v="050261"/>
    <s v="CA"/>
    <s v="CA - Tulare"/>
    <n v="93257"/>
    <s v="Sierra View Medical Center (FKA Sierra View District Hospital)"/>
    <s v="Short Term Acute Care Hospital"/>
    <s v="Porterville"/>
    <n v="64.900000000000006"/>
    <n v="4.3"/>
    <n v="180"/>
    <n v="128"/>
    <n v="10"/>
    <n v="0.48"/>
    <n v="128"/>
    <n v="1.51"/>
    <n v="628"/>
    <n v="6182"/>
  </r>
  <r>
    <x v="1310"/>
    <s v="050546"/>
    <s v="CA"/>
    <s v="CA - Tulare"/>
    <n v="93257"/>
    <s v="Porterville Developmental Center"/>
    <s v="Short Term Acute Care Hospital"/>
    <s v="Porterville"/>
    <n v="3.2"/>
    <n v="31.2"/>
    <n v="8"/>
    <n v="44"/>
    <m/>
    <n v="0.48"/>
    <n v="44"/>
    <n v="0.82"/>
    <n v="4776"/>
    <n v="37"/>
  </r>
  <r>
    <x v="1310"/>
    <m/>
    <s v="CA"/>
    <s v="CA - Tulare"/>
    <n v="93277"/>
    <s v="Kaweah Delta Mental Health Hospital"/>
    <s v="Short Term Acute Care Hospital"/>
    <s v="Visalia"/>
    <m/>
    <m/>
    <m/>
    <m/>
    <m/>
    <m/>
    <n v="63"/>
    <m/>
    <n v="577376"/>
    <m/>
  </r>
  <r>
    <x v="1311"/>
    <s v="050335"/>
    <s v="CA"/>
    <s v="CA - Tuolumne"/>
    <n v="95370"/>
    <s v="Adventist Health Sonora (FKA Sonora Regional Medical Center)"/>
    <s v="Short Term Acute Care Hospital"/>
    <s v="Sonora"/>
    <n v="42.6"/>
    <n v="4"/>
    <n v="231"/>
    <n v="84"/>
    <n v="6"/>
    <n v="1"/>
    <n v="84"/>
    <n v="1.67"/>
    <n v="629"/>
    <n v="4158"/>
  </r>
  <r>
    <x v="1311"/>
    <s v="050325 (Closed)"/>
    <s v="CA"/>
    <s v="CA - Tuolumne"/>
    <n v="95370"/>
    <s v="Tuolumne General Medical Facility (Closed December 2011)"/>
    <s v="Short Term Acute Care Hospital"/>
    <s v="Sonora"/>
    <m/>
    <m/>
    <m/>
    <m/>
    <m/>
    <m/>
    <m/>
    <m/>
    <n v="4773"/>
    <m/>
  </r>
  <r>
    <x v="72"/>
    <s v="050236"/>
    <s v="CA"/>
    <s v="CA - Ventura"/>
    <n v="93065"/>
    <s v="Adventist Health Simi Valley (FKA Simi Valley Hospital &amp; Health Care Services)"/>
    <s v="Short Term Acute Care Hospital"/>
    <s v="Simi Valley"/>
    <n v="71.2"/>
    <n v="4.0999999999999996"/>
    <n v="196"/>
    <n v="144"/>
    <n v="24"/>
    <n v="0.2"/>
    <n v="144"/>
    <n v="1.45"/>
    <n v="630"/>
    <n v="6574"/>
  </r>
  <r>
    <x v="72"/>
    <s v="050082"/>
    <s v="CA"/>
    <s v="CA - Ventura"/>
    <n v="93030"/>
    <s v="St Johns Regional Medical Center"/>
    <s v="Short Term Acute Care Hospital"/>
    <s v="Oxnard"/>
    <n v="130"/>
    <n v="4.7"/>
    <n v="236"/>
    <n v="242"/>
    <n v="20"/>
    <n v="0.2"/>
    <n v="242"/>
    <n v="1.85"/>
    <n v="631"/>
    <n v="10593"/>
  </r>
  <r>
    <x v="72"/>
    <s v="050159"/>
    <s v="CA"/>
    <s v="CA - Ventura"/>
    <n v="93003"/>
    <s v="Ventura County Medical Center"/>
    <s v="Short Term Acute Care Hospital"/>
    <s v="Ventura"/>
    <n v="117"/>
    <n v="3.4"/>
    <n v="402"/>
    <n v="272"/>
    <n v="60"/>
    <n v="0.2"/>
    <n v="272"/>
    <n v="1.45"/>
    <n v="632"/>
    <n v="13606"/>
  </r>
  <r>
    <x v="72"/>
    <s v="050549*"/>
    <s v="CA"/>
    <s v="CA - Ventura"/>
    <n v="91361"/>
    <s v="Los Robles Health System - Thousand Oaks Surgical Hospital"/>
    <s v="Short Term Acute Care Hospital"/>
    <s v="Thousand Oaks"/>
    <m/>
    <m/>
    <m/>
    <m/>
    <m/>
    <m/>
    <n v="21"/>
    <m/>
    <n v="633"/>
    <m/>
  </r>
  <r>
    <x v="72"/>
    <s v="050616"/>
    <s v="CA"/>
    <s v="CA - Ventura"/>
    <n v="93010"/>
    <s v="St Johns Pleasant Valley Hospital"/>
    <s v="Short Term Acute Care Hospital"/>
    <s v="Camarillo"/>
    <n v="40"/>
    <n v="3.8"/>
    <n v="97"/>
    <n v="81"/>
    <n v="8"/>
    <n v="0.2"/>
    <n v="81"/>
    <n v="1.53"/>
    <n v="634"/>
    <n v="3806"/>
  </r>
  <r>
    <x v="72"/>
    <s v="050394"/>
    <s v="CA"/>
    <s v="CA - Ventura"/>
    <n v="93003"/>
    <s v="Community Memorial Hospital"/>
    <s v="Short Term Acute Care Hospital"/>
    <s v="Ventura"/>
    <n v="125.9"/>
    <n v="4.3"/>
    <n v="455"/>
    <n v="201"/>
    <n v="21"/>
    <n v="0.2"/>
    <n v="201"/>
    <n v="1.81"/>
    <n v="635"/>
    <n v="11698"/>
  </r>
  <r>
    <x v="72"/>
    <s v="050549"/>
    <s v="CA"/>
    <s v="CA - Ventura"/>
    <n v="91360"/>
    <s v="Los Robles Health System - Los Robles Regional Medical Center"/>
    <s v="Short Term Acute Care Hospital"/>
    <s v="Thousand Oaks"/>
    <n v="192.5"/>
    <n v="4.8"/>
    <n v="418"/>
    <n v="287"/>
    <n v="24"/>
    <n v="0.2"/>
    <n v="287"/>
    <n v="1.83"/>
    <n v="636"/>
    <n v="15484"/>
  </r>
  <r>
    <x v="72"/>
    <m/>
    <s v="CA"/>
    <s v="CA - Ventura"/>
    <n v="93061"/>
    <s v="Santa Paula Hospital"/>
    <s v="Short Term Acute Care Hospital"/>
    <s v="Santa Paula"/>
    <m/>
    <m/>
    <m/>
    <m/>
    <m/>
    <m/>
    <n v="49"/>
    <m/>
    <n v="577386"/>
    <m/>
  </r>
  <r>
    <x v="1312"/>
    <s v="050537"/>
    <s v="CA"/>
    <s v="CA - Yolo"/>
    <n v="95616"/>
    <s v="Sutter Davis Hospital"/>
    <s v="Short Term Acute Care Hospital"/>
    <s v="Davis"/>
    <n v="29.3"/>
    <n v="4.3"/>
    <n v="149"/>
    <n v="48"/>
    <n v="6"/>
    <n v="0.13"/>
    <n v="48"/>
    <n v="1.58"/>
    <n v="638"/>
    <n v="3038"/>
  </r>
  <r>
    <x v="1312"/>
    <s v="050127"/>
    <s v="CA"/>
    <s v="CA - Yolo"/>
    <n v="95695"/>
    <s v="Woodland Memorial Hospital"/>
    <s v="Short Term Acute Care Hospital"/>
    <s v="Woodland"/>
    <n v="26.3"/>
    <n v="3.1"/>
    <n v="214"/>
    <n v="77"/>
    <n v="8"/>
    <n v="0.13"/>
    <n v="77"/>
    <n v="1.64"/>
    <n v="639"/>
    <n v="3497"/>
  </r>
  <r>
    <x v="1313"/>
    <s v="050133"/>
    <s v="CA"/>
    <s v="CA - Yuba"/>
    <n v="95901"/>
    <s v="Rideout - Adventist Health and Rideout (FKA Rideout Memorial Hospital)"/>
    <s v="Short Term Acute Care Hospital"/>
    <s v="Marysville"/>
    <n v="147.80000000000001"/>
    <n v="4.9000000000000004"/>
    <n v="274"/>
    <n v="209"/>
    <n v="24"/>
    <n v="0.89"/>
    <n v="149"/>
    <n v="1.67"/>
    <n v="640"/>
    <n v="11677"/>
  </r>
  <r>
    <x v="1314"/>
    <s v="060004"/>
    <s v="CO"/>
    <s v="CO - Adams"/>
    <n v="80601"/>
    <s v="Platte Valley Medical Center"/>
    <s v="Short Term Acute Care Hospital"/>
    <s v="Brighton"/>
    <n v="30"/>
    <n v="3.9"/>
    <n v="184"/>
    <n v="89"/>
    <n v="8"/>
    <n v="0.09"/>
    <n v="89"/>
    <n v="1.82"/>
    <n v="641"/>
    <n v="3063"/>
  </r>
  <r>
    <x v="1314"/>
    <s v="060024"/>
    <s v="CO"/>
    <s v="CO - Adams"/>
    <n v="80045"/>
    <s v="UCHealth University of Colorado Hospital"/>
    <s v="Short Term Acute Care Hospital"/>
    <s v="Aurora"/>
    <n v="543.1"/>
    <n v="5.9"/>
    <n v="2013"/>
    <n v="650"/>
    <n v="101"/>
    <n v="0.09"/>
    <n v="650"/>
    <n v="2.41"/>
    <n v="642"/>
    <n v="34516"/>
  </r>
  <r>
    <x v="1314"/>
    <s v="060065"/>
    <s v="CO"/>
    <s v="CO - Adams"/>
    <n v="80229"/>
    <s v="North Suburban Medical Center"/>
    <s v="Short Term Acute Care Hospital"/>
    <s v="Thornton"/>
    <n v="72.5"/>
    <n v="3.9"/>
    <n v="185"/>
    <n v="127"/>
    <n v="16"/>
    <n v="0.09"/>
    <n v="127"/>
    <n v="1.76"/>
    <n v="643"/>
    <n v="7623"/>
  </r>
  <r>
    <x v="1314"/>
    <m/>
    <s v="CO"/>
    <s v="CO - Adams"/>
    <n v="80233"/>
    <s v="SCL Health Community Hospital Northglenn (AKA Saint Joseph Emergency - Northglenn)"/>
    <s v="Short Term Acute Care Hospital"/>
    <s v="Northglenn"/>
    <m/>
    <m/>
    <m/>
    <m/>
    <m/>
    <m/>
    <n v="8"/>
    <m/>
    <n v="849623"/>
    <m/>
  </r>
  <r>
    <x v="1315"/>
    <s v="060008"/>
    <s v="CO"/>
    <s v="CO - Alamosa"/>
    <n v="81101"/>
    <s v="SLV Health Regional Medical Center"/>
    <s v="Short Term Acute Care Hospital"/>
    <s v="Alamosa"/>
    <n v="18.5"/>
    <n v="3.9"/>
    <n v="112"/>
    <n v="49"/>
    <n v="6"/>
    <m/>
    <n v="49"/>
    <n v="1.58"/>
    <n v="645"/>
    <n v="1926"/>
  </r>
  <r>
    <x v="1316"/>
    <s v="060100"/>
    <s v="CO"/>
    <s v="CO - Arapahoe"/>
    <n v="80012"/>
    <s v="The Medical Center of Aurora - Main Campus"/>
    <s v="Short Term Acute Care Hospital"/>
    <s v="Aurora"/>
    <n v="209.1"/>
    <n v="4.8"/>
    <n v="489"/>
    <n v="309"/>
    <n v="45"/>
    <n v="0.09"/>
    <n v="309"/>
    <n v="1.92"/>
    <n v="646"/>
    <n v="16424"/>
  </r>
  <r>
    <x v="1316"/>
    <s v="060034"/>
    <s v="CO"/>
    <s v="CO - Arapahoe"/>
    <n v="80113"/>
    <s v="Swedish Medical Center"/>
    <s v="Short Term Acute Care Hospital"/>
    <s v="Englewood"/>
    <n v="249"/>
    <n v="4.9000000000000004"/>
    <n v="644"/>
    <n v="327"/>
    <n v="58"/>
    <n v="0.09"/>
    <n v="327"/>
    <n v="2.04"/>
    <n v="647"/>
    <n v="19362"/>
  </r>
  <r>
    <x v="1316"/>
    <s v="060113"/>
    <s v="CO"/>
    <s v="CO - Arapahoe"/>
    <n v="80122"/>
    <s v="Littleton Adventist Hospital"/>
    <s v="Short Term Acute Care Hospital"/>
    <s v="Littleton"/>
    <n v="105"/>
    <n v="4.2"/>
    <n v="472"/>
    <n v="159"/>
    <n v="24"/>
    <n v="0.09"/>
    <n v="159"/>
    <n v="1.77"/>
    <n v="649"/>
    <n v="9833"/>
  </r>
  <r>
    <x v="1316"/>
    <m/>
    <s v="CO"/>
    <s v="CO - Arapahoe"/>
    <n v="80016"/>
    <s v="SCL Health Community Hospital Aurora (AKA Saint Joseph Emergency - Aurora)"/>
    <s v="Short Term Acute Care Hospital"/>
    <s v="Aurora"/>
    <m/>
    <m/>
    <m/>
    <m/>
    <m/>
    <m/>
    <n v="8"/>
    <m/>
    <n v="849622"/>
    <m/>
  </r>
  <r>
    <x v="1317"/>
    <s v="060116"/>
    <s v="CO"/>
    <s v="CO - Boulder"/>
    <n v="80026"/>
    <s v="Good Samaritan Medical Center (FKA Exempla Good Samaritan Medical Center LLC)"/>
    <s v="Short Term Acute Care Hospital"/>
    <s v="Lafayette"/>
    <n v="127.5"/>
    <n v="4.0999999999999996"/>
    <n v="633"/>
    <n v="183"/>
    <n v="24"/>
    <n v="0.28999999999999998"/>
    <n v="183"/>
    <n v="1.75"/>
    <n v="651"/>
    <n v="12173"/>
  </r>
  <r>
    <x v="1317"/>
    <s v="060103"/>
    <s v="CO"/>
    <s v="CO - Boulder"/>
    <n v="80027"/>
    <s v="Avista Adventist Hospital"/>
    <s v="Short Term Acute Care Hospital"/>
    <s v="Louisville"/>
    <n v="37.799999999999997"/>
    <n v="3.7"/>
    <n v="208"/>
    <n v="108"/>
    <n v="8"/>
    <n v="0.28999999999999998"/>
    <n v="108"/>
    <n v="1.84"/>
    <n v="652"/>
    <n v="4716"/>
  </r>
  <r>
    <x v="1317"/>
    <s v="060027* (Closed)"/>
    <s v="CO"/>
    <s v="CO - Boulder"/>
    <n v="80304"/>
    <s v="Boulder Community Hospital (Closed)"/>
    <s v="Short Term Acute Care Hospital"/>
    <s v="Boulder"/>
    <m/>
    <m/>
    <m/>
    <m/>
    <m/>
    <m/>
    <m/>
    <m/>
    <n v="653"/>
    <m/>
  </r>
  <r>
    <x v="1317"/>
    <s v="060003"/>
    <s v="CO"/>
    <s v="CO - Boulder"/>
    <n v="80501"/>
    <s v="Longmont United Hospital"/>
    <s v="Short Term Acute Care Hospital"/>
    <s v="Longmont"/>
    <n v="50.5"/>
    <n v="4.2"/>
    <n v="172"/>
    <n v="131"/>
    <n v="16"/>
    <n v="0.28999999999999998"/>
    <n v="131"/>
    <n v="1.61"/>
    <n v="654"/>
    <n v="4621"/>
  </r>
  <r>
    <x v="1317"/>
    <s v="060027"/>
    <s v="CO"/>
    <s v="CO - Boulder"/>
    <n v="80303"/>
    <s v="Boulder Community Foothills Hospital"/>
    <s v="Short Term Acute Care Hospital"/>
    <s v="Boulder"/>
    <n v="69.3"/>
    <n v="3.5"/>
    <n v="512"/>
    <n v="139"/>
    <n v="18"/>
    <n v="0.28999999999999998"/>
    <n v="139"/>
    <n v="1.9"/>
    <n v="581788"/>
    <n v="7637"/>
  </r>
  <r>
    <x v="1318"/>
    <s v="060104"/>
    <s v="CO"/>
    <s v="CO - Broomfield"/>
    <n v="80023"/>
    <s v="St Anthony North Health Campus"/>
    <s v="Short Term Acute Care Hospital"/>
    <s v="Westminster"/>
    <n v="51.5"/>
    <n v="3.4"/>
    <n v="213"/>
    <n v="92"/>
    <n v="20"/>
    <n v="0.09"/>
    <n v="92"/>
    <n v="1.7"/>
    <n v="675"/>
    <n v="5982"/>
  </r>
  <r>
    <x v="1318"/>
    <s v="060127 (Closed)"/>
    <s v="CO"/>
    <s v="CO - Broomfield"/>
    <n v="80020"/>
    <s v="SCL Health Community Hospital - Westminster (Closed)"/>
    <s v="Short Term Acute Care Hospital"/>
    <s v="Westminster"/>
    <n v="0.1"/>
    <n v="1.4"/>
    <m/>
    <m/>
    <m/>
    <n v="0.09"/>
    <m/>
    <n v="1.1499999999999999"/>
    <n v="849620"/>
    <n v="27"/>
  </r>
  <r>
    <x v="1319"/>
    <s v="060043"/>
    <s v="CO"/>
    <s v="CO - Cheyenne"/>
    <n v="80810"/>
    <s v="Keefe Memorial Hospital"/>
    <s v="Short Term Acute Care Hospital"/>
    <s v="Cheyenne Wells"/>
    <n v="0.6"/>
    <n v="4.0999999999999996"/>
    <n v="6"/>
    <m/>
    <m/>
    <m/>
    <n v="11"/>
    <n v="0.89"/>
    <n v="656"/>
    <n v="56"/>
  </r>
  <r>
    <x v="1320"/>
    <s v="060071"/>
    <s v="CO"/>
    <s v="CO - Delta"/>
    <n v="81416"/>
    <s v="Delta Memorial Hospital"/>
    <s v="Short Term Acute Care Hospital"/>
    <s v="Delta"/>
    <n v="13.4"/>
    <n v="3.2"/>
    <n v="99"/>
    <n v="49"/>
    <n v="6"/>
    <m/>
    <n v="49"/>
    <n v="1.39"/>
    <n v="657"/>
    <n v="1586"/>
  </r>
  <r>
    <x v="1321"/>
    <s v="060107"/>
    <s v="CO"/>
    <s v="CO - Denver"/>
    <n v="80206"/>
    <s v="National Jewish Health"/>
    <s v="Short Term Acute Care Hospital"/>
    <s v="Denver"/>
    <n v="0.5"/>
    <n v="3.7"/>
    <n v="218"/>
    <n v="24"/>
    <m/>
    <n v="0.09"/>
    <n v="24"/>
    <n v="1.38"/>
    <n v="658"/>
    <n v="50"/>
  </r>
  <r>
    <x v="1321"/>
    <s v="060032"/>
    <s v="CO"/>
    <s v="CO - Denver"/>
    <n v="80220"/>
    <s v="Rose Medical Center"/>
    <s v="Short Term Acute Care Hospital"/>
    <s v="Denver"/>
    <n v="110.3"/>
    <n v="4.3"/>
    <n v="479"/>
    <n v="226"/>
    <n v="35"/>
    <n v="0.09"/>
    <n v="226"/>
    <n v="2.0299999999999998"/>
    <n v="659"/>
    <n v="11221"/>
  </r>
  <r>
    <x v="1321"/>
    <s v="060064"/>
    <s v="CO"/>
    <s v="CO - Denver"/>
    <n v="80210"/>
    <s v="Porter Adventist Hospital"/>
    <s v="Short Term Acute Care Hospital"/>
    <s v="Denver"/>
    <n v="90.2"/>
    <n v="4.3"/>
    <n v="264"/>
    <n v="176"/>
    <n v="36"/>
    <n v="0.09"/>
    <n v="176"/>
    <n v="2.19"/>
    <n v="661"/>
    <n v="7686"/>
  </r>
  <r>
    <x v="1321"/>
    <s v="060028"/>
    <s v="CO"/>
    <s v="CO - Denver"/>
    <n v="80218"/>
    <s v="Saint Joseph Hospital (FKA Exempla St Joseph Hospital)"/>
    <s v="Short Term Acute Care Hospital"/>
    <s v="Denver"/>
    <n v="229.4"/>
    <n v="4.8"/>
    <n v="560"/>
    <n v="361"/>
    <n v="30"/>
    <n v="0.09"/>
    <n v="361"/>
    <n v="2.14"/>
    <n v="662"/>
    <n v="18901"/>
  </r>
  <r>
    <x v="1321"/>
    <s v="060011"/>
    <s v="CO"/>
    <s v="CO - Denver"/>
    <n v="80204"/>
    <s v="Denver Health Main Campus"/>
    <s v="Short Term Acute Care Hospital"/>
    <s v="Denver"/>
    <n v="242.4"/>
    <n v="5.4"/>
    <n v="852"/>
    <n v="378"/>
    <n v="32"/>
    <n v="0.09"/>
    <n v="378"/>
    <n v="1.92"/>
    <n v="663"/>
    <n v="17751"/>
  </r>
  <r>
    <x v="1321"/>
    <s v="060014"/>
    <s v="CO"/>
    <s v="CO - Denver"/>
    <n v="80218"/>
    <s v="Presbyterian/St Lukes Medical Center"/>
    <s v="Short Term Acute Care Hospital"/>
    <s v="Denver"/>
    <n v="183.3"/>
    <n v="7.8"/>
    <n v="354"/>
    <n v="307"/>
    <n v="59"/>
    <n v="0.09"/>
    <n v="307"/>
    <n v="2.69"/>
    <n v="664"/>
    <n v="10706"/>
  </r>
  <r>
    <x v="1321"/>
    <m/>
    <s v="CO"/>
    <s v="CO - Denver"/>
    <n v="80205"/>
    <s v="Rocky Mountain Hospital for Children"/>
    <s v="Short Term Acute Care Hospital"/>
    <s v="Denver"/>
    <m/>
    <m/>
    <n v="2"/>
    <m/>
    <m/>
    <m/>
    <n v="279"/>
    <m/>
    <n v="550084"/>
    <m/>
  </r>
  <r>
    <x v="1322"/>
    <s v="060112"/>
    <s v="CO"/>
    <s v="CO - Douglas"/>
    <n v="80124"/>
    <s v="Sky Ridge Medical Center"/>
    <s v="Short Term Acute Care Hospital"/>
    <s v="Lone Tree"/>
    <n v="143.4"/>
    <n v="3.6"/>
    <n v="485"/>
    <n v="272"/>
    <n v="30"/>
    <n v="0.09"/>
    <n v="284"/>
    <n v="2.19"/>
    <n v="648"/>
    <n v="16241"/>
  </r>
  <r>
    <x v="1322"/>
    <s v="060114"/>
    <s v="CO"/>
    <s v="CO - Douglas"/>
    <n v="80138"/>
    <s v="Parker Adventist Hospital"/>
    <s v="Short Term Acute Care Hospital"/>
    <s v="Parker"/>
    <n v="79.7"/>
    <n v="3.8"/>
    <n v="285"/>
    <n v="165"/>
    <n v="16"/>
    <n v="0.09"/>
    <n v="165"/>
    <n v="1.95"/>
    <n v="666"/>
    <n v="8362"/>
  </r>
  <r>
    <x v="1322"/>
    <s v="060125"/>
    <s v="CO"/>
    <s v="CO - Douglas"/>
    <n v="80109"/>
    <s v="Castle Rock Adventist Hospital"/>
    <s v="Short Term Acute Care Hospital"/>
    <s v="Castle Rock"/>
    <n v="28.2"/>
    <n v="3.2"/>
    <n v="124"/>
    <n v="53"/>
    <n v="8"/>
    <n v="0.09"/>
    <n v="53"/>
    <n v="1.75"/>
    <n v="582539"/>
    <n v="3677"/>
  </r>
  <r>
    <x v="1322"/>
    <s v="060132"/>
    <s v="CO"/>
    <s v="CO - Douglas"/>
    <n v="80129"/>
    <s v="UCHealth Highlands Ranch Hospital"/>
    <s v="Short Term Acute Care Hospital"/>
    <s v="Highlands Ranch"/>
    <m/>
    <m/>
    <n v="60"/>
    <m/>
    <m/>
    <m/>
    <n v="87"/>
    <m/>
    <n v="858212"/>
    <m/>
  </r>
  <r>
    <x v="1323"/>
    <s v="060096"/>
    <s v="CO"/>
    <s v="CO - Eagle"/>
    <n v="81657"/>
    <s v="Vail Health (FKA Vail Valley Medical Center)"/>
    <s v="Short Term Acute Care Hospital"/>
    <s v="Vail"/>
    <n v="13.9"/>
    <n v="3"/>
    <n v="200"/>
    <n v="56"/>
    <n v="5"/>
    <n v="1"/>
    <n v="56"/>
    <n v="2.11"/>
    <n v="667"/>
    <n v="2077"/>
  </r>
  <r>
    <x v="1324"/>
    <s v="060022"/>
    <s v="CO"/>
    <s v="CO - El Paso"/>
    <n v="80909"/>
    <s v="UCHealth Memorial Hospital Central"/>
    <s v="Short Term Acute Care Hospital"/>
    <s v="Colorado Springs"/>
    <n v="332.5"/>
    <n v="4.9000000000000004"/>
    <n v="981"/>
    <n v="515"/>
    <n v="46"/>
    <n v="0.48"/>
    <n v="515"/>
    <n v="1.88"/>
    <n v="668"/>
    <n v="25575"/>
  </r>
  <r>
    <x v="1324"/>
    <s v="060031"/>
    <s v="CO"/>
    <s v="CO - El Paso"/>
    <n v="80907"/>
    <s v="Penrose Hospital"/>
    <s v="Short Term Acute Care Hospital"/>
    <s v="Colorado Springs"/>
    <n v="264.7"/>
    <n v="4"/>
    <n v="766"/>
    <n v="445"/>
    <n v="45"/>
    <n v="0.48"/>
    <m/>
    <n v="1.93"/>
    <n v="669"/>
    <n v="24836"/>
  </r>
  <r>
    <x v="1324"/>
    <s v="060022*"/>
    <s v="CO"/>
    <s v="CO - El Paso"/>
    <n v="80920"/>
    <s v="UCHealth Memorial Hospital North"/>
    <s v="Short Term Acute Care Hospital"/>
    <s v="Colorado Springs"/>
    <m/>
    <m/>
    <m/>
    <m/>
    <m/>
    <m/>
    <n v="86"/>
    <m/>
    <n v="274323"/>
    <m/>
  </r>
  <r>
    <x v="1324"/>
    <s v="060031*"/>
    <s v="CO"/>
    <s v="CO - El Paso"/>
    <n v="80923"/>
    <s v="St Francis Medical Center"/>
    <s v="Short Term Acute Care Hospital"/>
    <s v="Colorado Springs"/>
    <m/>
    <m/>
    <n v="21"/>
    <m/>
    <m/>
    <m/>
    <n v="117"/>
    <m/>
    <n v="560404"/>
    <m/>
  </r>
  <r>
    <x v="1324"/>
    <s v="060130"/>
    <s v="CO"/>
    <s v="CO - El Paso"/>
    <n v="80918"/>
    <s v="UCHealth Grandview Hospital"/>
    <s v="Short Term Acute Care Hospital"/>
    <s v="Colorado Springs"/>
    <n v="5.4"/>
    <n v="2.2000000000000002"/>
    <n v="4"/>
    <n v="22"/>
    <m/>
    <n v="0.48"/>
    <n v="22"/>
    <n v="1.87"/>
    <n v="856000"/>
    <n v="890"/>
  </r>
  <r>
    <x v="78"/>
    <s v="060075"/>
    <s v="CO"/>
    <s v="CO - Garfield"/>
    <n v="81601"/>
    <s v="Valley View Hospital"/>
    <s v="Short Term Acute Care Hospital"/>
    <s v="Glenwood Springs"/>
    <n v="33"/>
    <n v="4.4000000000000004"/>
    <n v="178"/>
    <n v="41"/>
    <n v="5"/>
    <n v="0.44"/>
    <n v="41"/>
    <n v="1.76"/>
    <n v="671"/>
    <n v="3028"/>
  </r>
  <r>
    <x v="1325"/>
    <s v="060015"/>
    <s v="CO"/>
    <s v="CO - Jefferson"/>
    <n v="80228"/>
    <s v="St Anthony Hospital"/>
    <s v="Short Term Acute Care Hospital"/>
    <s v="Lakewood"/>
    <n v="153.6"/>
    <n v="4.8"/>
    <n v="498"/>
    <n v="220"/>
    <n v="28"/>
    <n v="0.09"/>
    <n v="220"/>
    <n v="1.96"/>
    <n v="665"/>
    <n v="11621"/>
  </r>
  <r>
    <x v="1325"/>
    <s v="060009"/>
    <s v="CO"/>
    <s v="CO - Jefferson"/>
    <n v="80033"/>
    <s v="Lutheran Medical Center (FKA Exempla Lutheran Medical Center)"/>
    <s v="Short Term Acute Care Hospital"/>
    <s v="Wheat Ridge"/>
    <n v="118.3"/>
    <n v="4.2"/>
    <n v="589"/>
    <n v="186"/>
    <n v="18"/>
    <n v="0.09"/>
    <n v="186"/>
    <n v="1.75"/>
    <n v="676"/>
    <n v="11169"/>
  </r>
  <r>
    <x v="1325"/>
    <s v="060124"/>
    <s v="CO"/>
    <s v="CO - Jefferson"/>
    <n v="80228"/>
    <s v="OrthoColorado Hospital"/>
    <s v="Short Term Acute Care Hospital"/>
    <s v="Lakewood"/>
    <n v="14.8"/>
    <n v="1.9"/>
    <n v="71"/>
    <n v="48"/>
    <m/>
    <n v="0.09"/>
    <n v="48"/>
    <n v="2.66"/>
    <n v="274123"/>
    <n v="2889"/>
  </r>
  <r>
    <x v="1325"/>
    <s v="060129"/>
    <s v="CO"/>
    <s v="CO - Jefferson"/>
    <n v="80021"/>
    <s v="UCHealth Broomfield Hospital"/>
    <s v="Short Term Acute Care Hospital"/>
    <s v="Broomfield"/>
    <n v="6.3"/>
    <n v="8.1999999999999993"/>
    <n v="15"/>
    <n v="22"/>
    <m/>
    <n v="0.09"/>
    <n v="22"/>
    <n v="1.58"/>
    <n v="842954"/>
    <n v="280"/>
  </r>
  <r>
    <x v="1325"/>
    <m/>
    <s v="CO"/>
    <s v="CO - Jefferson"/>
    <n v="80123"/>
    <s v="SCL Health Community Hospital Southwest (AKA Saint Joseph Emergency - Littleton)"/>
    <s v="Short Term Acute Care Hospital"/>
    <s v="Littleton"/>
    <m/>
    <m/>
    <m/>
    <m/>
    <m/>
    <m/>
    <m/>
    <m/>
    <n v="849621"/>
    <m/>
  </r>
  <r>
    <x v="1326"/>
    <s v="060117"/>
    <s v="CO"/>
    <s v="CO - La Plata"/>
    <n v="81301"/>
    <s v="Animas Surgical Hospital"/>
    <s v="Short Term Acute Care Hospital"/>
    <s v="Durango"/>
    <n v="2.4"/>
    <n v="1.8"/>
    <n v="59"/>
    <n v="12"/>
    <m/>
    <n v="0.79"/>
    <n v="12"/>
    <n v="2.12"/>
    <n v="679"/>
    <n v="505"/>
  </r>
  <r>
    <x v="1326"/>
    <s v="060013"/>
    <s v="CO"/>
    <s v="CO - La Plata"/>
    <n v="81301"/>
    <s v="Mercy Regional Medical Center"/>
    <s v="Short Term Acute Care Hospital"/>
    <s v="Durango"/>
    <n v="36.799999999999997"/>
    <n v="3.5"/>
    <n v="233"/>
    <n v="82"/>
    <n v="11"/>
    <n v="0.79"/>
    <n v="82"/>
    <n v="1.96"/>
    <n v="680"/>
    <n v="4296"/>
  </r>
  <r>
    <x v="85"/>
    <s v="060030"/>
    <s v="CO"/>
    <s v="CO - Larimer"/>
    <n v="80538"/>
    <s v="McKee Medical Center"/>
    <s v="Short Term Acute Care Hospital"/>
    <s v="Loveland"/>
    <n v="26.2"/>
    <n v="3.5"/>
    <n v="183"/>
    <n v="115"/>
    <n v="11"/>
    <n v="0.37"/>
    <n v="115"/>
    <n v="1.62"/>
    <n v="681"/>
    <n v="3057"/>
  </r>
  <r>
    <x v="85"/>
    <s v="060010"/>
    <s v="CO"/>
    <s v="CO - Larimer"/>
    <n v="80524"/>
    <s v="UCHealth Poudre Valley Hospital"/>
    <s v="Short Term Acute Care Hospital"/>
    <s v="Fort Collins"/>
    <n v="135.4"/>
    <n v="4.3"/>
    <n v="698"/>
    <n v="225"/>
    <n v="12"/>
    <n v="0.37"/>
    <n v="225"/>
    <n v="1.75"/>
    <n v="682"/>
    <n v="12300"/>
  </r>
  <r>
    <x v="85"/>
    <s v="060119"/>
    <s v="CO"/>
    <s v="CO - Larimer"/>
    <n v="80538"/>
    <s v="UCHealth Medical Center of the Rockies"/>
    <s v="Short Term Acute Care Hospital"/>
    <s v="Loveland"/>
    <n v="132.9"/>
    <n v="4.3"/>
    <n v="375"/>
    <n v="174"/>
    <n v="20"/>
    <n v="0.37"/>
    <n v="174"/>
    <n v="2.33"/>
    <n v="684"/>
    <n v="12220"/>
  </r>
  <r>
    <x v="85"/>
    <s v="060126"/>
    <s v="CO"/>
    <s v="CO - Larimer"/>
    <n v="80528"/>
    <s v="Banner Fort Collins Medical Center"/>
    <s v="Short Term Acute Care Hospital"/>
    <s v="Fort Collins"/>
    <n v="8"/>
    <n v="3.1"/>
    <n v="56"/>
    <n v="23"/>
    <m/>
    <n v="0.37"/>
    <n v="23"/>
    <n v="1.89"/>
    <n v="585468"/>
    <n v="1202"/>
  </r>
  <r>
    <x v="1327"/>
    <s v="060076"/>
    <s v="CO"/>
    <s v="CO - Logan"/>
    <n v="80751"/>
    <s v="Sterling Regional MedCenter"/>
    <s v="Short Term Acute Care Hospital"/>
    <s v="Sterling"/>
    <n v="8.1"/>
    <n v="3"/>
    <n v="68"/>
    <n v="25"/>
    <n v="4"/>
    <n v="1"/>
    <n v="25"/>
    <n v="1.46"/>
    <n v="686"/>
    <n v="1100"/>
  </r>
  <r>
    <x v="88"/>
    <s v="060054"/>
    <s v="CO"/>
    <s v="CO - Mesa"/>
    <n v="81505"/>
    <s v="Community Hospital (AKA Colorado West Healthcare System)"/>
    <s v="Short Term Acute Care Hospital"/>
    <s v="Grand Junction"/>
    <n v="17.100000000000001"/>
    <n v="2.5"/>
    <n v="190"/>
    <n v="53"/>
    <n v="12"/>
    <n v="0.55000000000000004"/>
    <n v="53"/>
    <n v="1.82"/>
    <n v="688"/>
    <n v="2777"/>
  </r>
  <r>
    <x v="88"/>
    <s v="060023"/>
    <s v="CO"/>
    <s v="CO - Mesa"/>
    <n v="81501"/>
    <s v="St Marys Medical Center (FKA St Marys Hospital and Medical Center)"/>
    <s v="Short Term Acute Care Hospital"/>
    <s v="Grand Junction"/>
    <n v="155.19999999999999"/>
    <n v="3.7"/>
    <n v="530"/>
    <n v="257"/>
    <n v="18"/>
    <n v="0.55000000000000004"/>
    <n v="257"/>
    <n v="1.93"/>
    <n v="689"/>
    <n v="15864"/>
  </r>
  <r>
    <x v="1328"/>
    <s v="060006"/>
    <s v="CO"/>
    <s v="CO - Montrose"/>
    <n v="81401"/>
    <s v="Montrose Memorial Hospital"/>
    <s v="Short Term Acute Care Hospital"/>
    <s v="Montrose"/>
    <n v="18.3"/>
    <n v="2.4"/>
    <n v="177"/>
    <n v="50"/>
    <n v="8"/>
    <n v="1"/>
    <n v="50"/>
    <n v="1.42"/>
    <n v="692"/>
    <n v="3031"/>
  </r>
  <r>
    <x v="91"/>
    <s v="060044"/>
    <s v="CO"/>
    <s v="CO - Morgan"/>
    <n v="80701"/>
    <s v="Colorado Plains Medical Center"/>
    <s v="Short Term Acute Care Hospital"/>
    <s v="Fort Morgan"/>
    <n v="5.2"/>
    <n v="2.6"/>
    <n v="54"/>
    <n v="36"/>
    <n v="6"/>
    <n v="0.53"/>
    <n v="36"/>
    <n v="1.32"/>
    <n v="693"/>
    <n v="950"/>
  </r>
  <r>
    <x v="1329"/>
    <s v="060012"/>
    <s v="CO"/>
    <s v="CO - Pueblo"/>
    <n v="81004"/>
    <s v="St Mary-Corwin Medical Center"/>
    <s v="Short Term Acute Care Hospital"/>
    <s v="Pueblo"/>
    <n v="22"/>
    <n v="4"/>
    <n v="190"/>
    <n v="42"/>
    <n v="6"/>
    <n v="0.61"/>
    <n v="42"/>
    <n v="1.78"/>
    <n v="699"/>
    <n v="2027"/>
  </r>
  <r>
    <x v="1329"/>
    <s v="060020"/>
    <s v="CO"/>
    <s v="CO - Pueblo"/>
    <n v="81003"/>
    <s v="Parkview Medical Center"/>
    <s v="Short Term Acute Care Hospital"/>
    <s v="Pueblo"/>
    <n v="185.8"/>
    <n v="5.2"/>
    <n v="537"/>
    <n v="276"/>
    <n v="12"/>
    <n v="0.61"/>
    <n v="276"/>
    <n v="1.71"/>
    <n v="700"/>
    <n v="13976"/>
  </r>
  <r>
    <x v="1329"/>
    <m/>
    <s v="CO"/>
    <s v="CO - Pueblo"/>
    <n v="81008"/>
    <s v="PFC James Dunn VA Clinic (AKA Pueblo VA Clinic)"/>
    <s v="Short Term Acute Care Hospital"/>
    <s v="Pueblo"/>
    <m/>
    <m/>
    <m/>
    <m/>
    <m/>
    <m/>
    <m/>
    <m/>
    <n v="1012697"/>
    <m/>
  </r>
  <r>
    <x v="1330"/>
    <s v="060049"/>
    <s v="CO"/>
    <s v="CO - Routt"/>
    <n v="80487"/>
    <s v="UCHealth Yampa Valley Medical Center"/>
    <s v="Short Term Acute Care Hospital"/>
    <s v="Steamboat Springs"/>
    <n v="8.6999999999999993"/>
    <n v="2.8"/>
    <n v="106"/>
    <n v="39"/>
    <n v="4"/>
    <n v="1"/>
    <n v="39"/>
    <n v="1.97"/>
    <n v="704"/>
    <n v="1334"/>
  </r>
  <r>
    <x v="1331"/>
    <s v="060118"/>
    <s v="CO"/>
    <s v="CO - Summit"/>
    <n v="80443"/>
    <s v="St Anthony Summit Medical Center"/>
    <s v="Short Term Acute Care Hospital"/>
    <s v="Frisco"/>
    <n v="8.6"/>
    <n v="3"/>
    <n v="94"/>
    <n v="34"/>
    <n v="8"/>
    <n v="1"/>
    <n v="34"/>
    <n v="1.72"/>
    <n v="705"/>
    <n v="1286"/>
  </r>
  <r>
    <x v="1332"/>
    <s v="060001"/>
    <s v="CO"/>
    <s v="CO - Weld"/>
    <n v="80631"/>
    <s v="North Colorado Medical Center"/>
    <s v="Short Term Acute Care Hospital"/>
    <s v="Greeley"/>
    <n v="117.8"/>
    <n v="4.5999999999999996"/>
    <n v="387"/>
    <n v="225"/>
    <n v="16"/>
    <n v="0.69"/>
    <n v="225"/>
    <n v="1.94"/>
    <n v="707"/>
    <n v="10375"/>
  </r>
  <r>
    <x v="1332"/>
    <s v="060128"/>
    <s v="CO"/>
    <s v="CO - Weld"/>
    <n v="80504"/>
    <s v="UCHealth Longs Peak Hospital"/>
    <s v="Short Term Acute Care Hospital"/>
    <s v="Longmont"/>
    <n v="24.5"/>
    <n v="5.2"/>
    <n v="133"/>
    <n v="50"/>
    <n v="6"/>
    <n v="0.69"/>
    <n v="50"/>
    <n v="1.64"/>
    <n v="825639"/>
    <n v="2011"/>
  </r>
  <r>
    <x v="1332"/>
    <s v="060131"/>
    <s v="CO"/>
    <s v="CO - Weld"/>
    <n v="80634"/>
    <s v="UCHealth Greeley Hospital"/>
    <s v="Short Term Acute Care Hospital"/>
    <s v="Greeley"/>
    <m/>
    <m/>
    <n v="41"/>
    <m/>
    <m/>
    <m/>
    <m/>
    <m/>
    <n v="856909"/>
    <m/>
  </r>
  <r>
    <x v="1333"/>
    <s v="070028"/>
    <s v="CT"/>
    <s v="CT - Fairfield"/>
    <s v="06606"/>
    <s v="St Vincents Medical Center"/>
    <s v="Short Term Acute Care Hospital"/>
    <s v="Bridgeport"/>
    <n v="127.1"/>
    <n v="4.7"/>
    <n v="404"/>
    <n v="191"/>
    <n v="14"/>
    <n v="0.18"/>
    <n v="191"/>
    <n v="1.77"/>
    <n v="711"/>
    <n v="10371"/>
  </r>
  <r>
    <x v="1333"/>
    <s v="070010"/>
    <s v="CT"/>
    <s v="CT - Fairfield"/>
    <s v="06610"/>
    <s v="Bridgeport Hospital"/>
    <s v="Short Term Acute Care Hospital"/>
    <s v="Bridgeport"/>
    <n v="245.5"/>
    <n v="4.7"/>
    <n v="914"/>
    <n v="348"/>
    <n v="19"/>
    <n v="0.18"/>
    <n v="348"/>
    <n v="1.68"/>
    <n v="712"/>
    <n v="19997"/>
  </r>
  <r>
    <x v="1333"/>
    <s v="070018"/>
    <s v="CT"/>
    <s v="CT - Fairfield"/>
    <s v="06830"/>
    <s v="Greenwich Hospital"/>
    <s v="Short Term Acute Care Hospital"/>
    <s v="Greenwich"/>
    <n v="111"/>
    <n v="4.5"/>
    <n v="504"/>
    <n v="181"/>
    <n v="10"/>
    <n v="0.18"/>
    <n v="181"/>
    <n v="1.65"/>
    <n v="713"/>
    <n v="10325"/>
  </r>
  <r>
    <x v="1333"/>
    <s v="070033"/>
    <s v="CT"/>
    <s v="CT - Fairfield"/>
    <s v="06810"/>
    <s v="Danbury Hospital"/>
    <s v="Short Term Acute Care Hospital"/>
    <s v="Danbury"/>
    <n v="216.2"/>
    <n v="4.4000000000000004"/>
    <n v="970"/>
    <n v="350"/>
    <n v="39"/>
    <n v="0.18"/>
    <n v="350"/>
    <n v="1.59"/>
    <n v="714"/>
    <n v="19036"/>
  </r>
  <r>
    <x v="1333"/>
    <s v="070034"/>
    <s v="CT"/>
    <s v="CT - Fairfield"/>
    <s v="06850"/>
    <s v="Norwalk Hospital"/>
    <s v="Short Term Acute Care Hospital"/>
    <s v="Norwalk"/>
    <n v="117.7"/>
    <n v="4.3"/>
    <n v="399"/>
    <n v="235"/>
    <n v="40"/>
    <n v="0.18"/>
    <n v="235"/>
    <n v="1.51"/>
    <n v="715"/>
    <n v="10693"/>
  </r>
  <r>
    <x v="1333"/>
    <s v="070006"/>
    <s v="CT"/>
    <s v="CT - Fairfield"/>
    <s v="06902"/>
    <s v="Stamford Hospital (AKA Stamford Health)"/>
    <s v="Short Term Acute Care Hospital"/>
    <s v="Stamford"/>
    <n v="169.1"/>
    <n v="4.5"/>
    <n v="853"/>
    <n v="288"/>
    <n v="36"/>
    <n v="0.18"/>
    <n v="288"/>
    <n v="1.69"/>
    <n v="710"/>
    <n v="14882"/>
  </r>
  <r>
    <x v="1334"/>
    <s v="070035"/>
    <s v="CT"/>
    <s v="CT - Hartford"/>
    <s v="06489"/>
    <s v="The Hospital of Central Connecticut - Bradley Memorial Campus"/>
    <s v="Short Term Acute Care Hospital"/>
    <s v="Southington"/>
    <n v="150.19999999999999"/>
    <n v="4.9000000000000004"/>
    <n v="380"/>
    <n v="246"/>
    <n v="24"/>
    <n v="0.19"/>
    <n v="84"/>
    <n v="1.67"/>
    <n v="716"/>
    <n v="11910"/>
  </r>
  <r>
    <x v="1334"/>
    <s v="070036"/>
    <s v="CT"/>
    <s v="CT - Hartford"/>
    <s v="06030"/>
    <s v="UConn John Dempsey Hospital (AKA UConn Health Center)"/>
    <s v="Short Term Acute Care Hospital"/>
    <s v="Farmington"/>
    <n v="88.8"/>
    <n v="3.5"/>
    <n v="567"/>
    <n v="138"/>
    <n v="20"/>
    <n v="0.19"/>
    <n v="138"/>
    <n v="1.72"/>
    <n v="717"/>
    <n v="9620"/>
  </r>
  <r>
    <x v="1334"/>
    <s v="070025"/>
    <s v="CT"/>
    <s v="CT - Hartford"/>
    <s v="06102"/>
    <s v="Hartford Hospital"/>
    <s v="Short Term Acute Care Hospital"/>
    <s v="Hartford"/>
    <n v="571"/>
    <n v="4.9000000000000004"/>
    <n v="1671"/>
    <n v="702"/>
    <n v="87"/>
    <n v="0.19"/>
    <n v="702"/>
    <n v="2.06"/>
    <n v="718"/>
    <n v="44019"/>
  </r>
  <r>
    <x v="1334"/>
    <s v="070027"/>
    <s v="CT"/>
    <s v="CT - Hartford"/>
    <s v="06040"/>
    <s v="Manchester Memorial Hospital"/>
    <s v="Short Term Acute Care Hospital"/>
    <s v="Manchester"/>
    <n v="75.099999999999994"/>
    <n v="4.5999999999999996"/>
    <n v="386"/>
    <n v="140"/>
    <n v="32"/>
    <n v="0.19"/>
    <n v="140"/>
    <n v="1.45"/>
    <n v="719"/>
    <n v="6505"/>
  </r>
  <r>
    <x v="1334"/>
    <s v="070029"/>
    <s v="CT"/>
    <s v="CT - Hartford"/>
    <s v="06010"/>
    <s v="Bristol Hospital"/>
    <s v="Short Term Acute Care Hospital"/>
    <s v="Bristol"/>
    <n v="61.2"/>
    <n v="3.7"/>
    <n v="271"/>
    <n v="106"/>
    <n v="14"/>
    <m/>
    <n v="106"/>
    <n v="1.46"/>
    <n v="720"/>
    <n v="6425"/>
  </r>
  <r>
    <x v="1334"/>
    <s v="070040"/>
    <s v="CT"/>
    <s v="CT - Hartford"/>
    <s v="06117"/>
    <s v="Hebrew Senior Care"/>
    <s v="Short Term Acute Care Hospital"/>
    <s v="West Hartford"/>
    <n v="0.2"/>
    <n v="5.4"/>
    <n v="6"/>
    <n v="23"/>
    <m/>
    <n v="0.19"/>
    <n v="23"/>
    <n v="1.1599999999999999"/>
    <n v="721"/>
    <n v="11"/>
  </r>
  <r>
    <x v="1334"/>
    <s v="070002"/>
    <s v="CT"/>
    <s v="CT - Hartford"/>
    <s v="06105"/>
    <s v="Saint Francis Hospital and Medical Center"/>
    <s v="Short Term Acute Care Hospital"/>
    <s v="Hartford"/>
    <n v="302.5"/>
    <n v="4.0999999999999996"/>
    <n v="932"/>
    <n v="474"/>
    <n v="42"/>
    <n v="0.19"/>
    <n v="474"/>
    <n v="1.83"/>
    <n v="723"/>
    <n v="28738"/>
  </r>
  <r>
    <x v="1334"/>
    <s v="070035*"/>
    <s v="CT"/>
    <s v="CT - Hartford"/>
    <s v="06052"/>
    <s v="The Hospital of Central Connecticut - New Britain General Campus"/>
    <s v="Short Term Acute Care Hospital"/>
    <s v="New Britain"/>
    <m/>
    <m/>
    <n v="78"/>
    <m/>
    <m/>
    <m/>
    <n v="330"/>
    <m/>
    <n v="550201"/>
    <m/>
  </r>
  <r>
    <x v="1334"/>
    <m/>
    <s v="CT"/>
    <s v="CT - Hartford"/>
    <s v="06112"/>
    <s v="Capitol Region Mental Health Center"/>
    <s v="Short Term Acute Care Hospital"/>
    <s v="Hartford"/>
    <m/>
    <m/>
    <m/>
    <m/>
    <m/>
    <m/>
    <n v="16"/>
    <m/>
    <n v="581786"/>
    <m/>
  </r>
  <r>
    <x v="1334"/>
    <m/>
    <s v="CT"/>
    <s v="CT - Hartford"/>
    <s v="06112"/>
    <s v="InterCommunity Blue Hills (FKA St Francis Hospital &amp; Medical Center - Mount Sinai Campus)"/>
    <s v="Short Term Acute Care Hospital"/>
    <s v="Hartford"/>
    <m/>
    <m/>
    <m/>
    <m/>
    <m/>
    <m/>
    <n v="617"/>
    <m/>
    <n v="794509"/>
    <m/>
  </r>
  <r>
    <x v="1335"/>
    <s v="070004"/>
    <s v="CT"/>
    <s v="CT - Litchfield"/>
    <s v="06069"/>
    <s v="Sharon Hospital"/>
    <s v="Short Term Acute Care Hospital"/>
    <s v="Sharon"/>
    <n v="12.4"/>
    <n v="2.8"/>
    <n v="104"/>
    <n v="66"/>
    <n v="11"/>
    <n v="0.61"/>
    <n v="66"/>
    <n v="1.24"/>
    <n v="724"/>
    <n v="1784"/>
  </r>
  <r>
    <x v="1335"/>
    <s v="070011"/>
    <s v="CT"/>
    <s v="CT - Litchfield"/>
    <s v="06790"/>
    <s v="Charlotte Hungerford Hospital"/>
    <s v="Short Term Acute Care Hospital"/>
    <s v="Torrington"/>
    <n v="55.3"/>
    <n v="4.2"/>
    <n v="233"/>
    <n v="91"/>
    <n v="10"/>
    <n v="0.61"/>
    <n v="91"/>
    <n v="1.42"/>
    <n v="725"/>
    <n v="5023"/>
  </r>
  <r>
    <x v="1335"/>
    <s v="070033*"/>
    <s v="CT"/>
    <s v="CT - Litchfield"/>
    <s v="06776"/>
    <s v="New Milford Hospital"/>
    <s v="Short Term Acute Care Hospital"/>
    <s v="New Milford"/>
    <m/>
    <m/>
    <n v="9"/>
    <m/>
    <m/>
    <m/>
    <n v="85"/>
    <m/>
    <n v="726"/>
    <m/>
  </r>
  <r>
    <x v="1336"/>
    <s v="070020"/>
    <s v="CT"/>
    <s v="CT - Middlesex"/>
    <s v="06457"/>
    <s v="Middlesex Hospital (AKA Middlesex Health System)"/>
    <s v="Short Term Acute Care Hospital"/>
    <s v="Middletown"/>
    <n v="116.7"/>
    <n v="4.0999999999999996"/>
    <n v="656"/>
    <n v="187"/>
    <n v="24"/>
    <n v="0.19"/>
    <n v="187"/>
    <n v="1.5"/>
    <n v="727"/>
    <n v="10920"/>
  </r>
  <r>
    <x v="1336"/>
    <m/>
    <s v="CT"/>
    <s v="CT - Middlesex"/>
    <s v="06457"/>
    <s v="Whiting Forensic Hospital"/>
    <s v="Short Term Acute Care Hospital"/>
    <s v="Middletown"/>
    <m/>
    <m/>
    <m/>
    <m/>
    <m/>
    <m/>
    <n v="91"/>
    <m/>
    <n v="957412"/>
    <m/>
  </r>
  <r>
    <x v="1337"/>
    <m/>
    <s v="CT"/>
    <s v="CT - New Haven"/>
    <s v="06460"/>
    <s v="Bridgeport Hospital Milford Campus (FKA Milford Hospital)"/>
    <s v="Short Term Acute Care Hospital"/>
    <s v="Milford"/>
    <n v="27.1"/>
    <n v="4.9000000000000004"/>
    <n v="57"/>
    <n v="106"/>
    <n v="10"/>
    <n v="0.54"/>
    <n v="106"/>
    <n v="1.54"/>
    <n v="728"/>
    <n v="2035"/>
  </r>
  <r>
    <x v="1337"/>
    <s v="070016"/>
    <s v="CT"/>
    <s v="CT - New Haven"/>
    <s v="06706"/>
    <s v="Saint Marys Hospital"/>
    <s v="Short Term Acute Care Hospital"/>
    <s v="Waterbury"/>
    <n v="98.9"/>
    <n v="3.7"/>
    <n v="455"/>
    <n v="151"/>
    <n v="16"/>
    <n v="0.54"/>
    <n v="151"/>
    <n v="1.67"/>
    <n v="729"/>
    <n v="10170"/>
  </r>
  <r>
    <x v="1337"/>
    <s v="070017"/>
    <s v="CT"/>
    <s v="CT - New Haven"/>
    <s v="06451"/>
    <s v="MidState Medical Center"/>
    <s v="Short Term Acute Care Hospital"/>
    <s v="Meriden"/>
    <n v="102"/>
    <n v="4.0999999999999996"/>
    <n v="302"/>
    <n v="144"/>
    <m/>
    <n v="0.54"/>
    <n v="144"/>
    <n v="1.69"/>
    <n v="730"/>
    <n v="9504"/>
  </r>
  <r>
    <x v="1337"/>
    <s v="070022"/>
    <s v="CT"/>
    <s v="CT - New Haven"/>
    <s v="06510"/>
    <s v="Yale New Haven Hospital"/>
    <s v="Short Term Acute Care Hospital"/>
    <s v="New Haven"/>
    <n v="1046.4000000000001"/>
    <n v="6.3"/>
    <n v="3044"/>
    <n v="1288"/>
    <n v="48"/>
    <n v="0.54"/>
    <n v="581"/>
    <n v="1.92"/>
    <n v="731"/>
    <n v="62598"/>
  </r>
  <r>
    <x v="1337"/>
    <s v="070038"/>
    <s v="CT"/>
    <s v="CT - New Haven"/>
    <s v="06405"/>
    <s v="The Connecticut Hospice"/>
    <s v="Short Term Acute Care Hospital"/>
    <s v="Branford"/>
    <n v="5"/>
    <n v="11.4"/>
    <n v="1"/>
    <n v="10"/>
    <m/>
    <n v="0.54"/>
    <n v="10"/>
    <n v="1.06"/>
    <n v="732"/>
    <n v="159"/>
  </r>
  <r>
    <x v="1337"/>
    <s v="070039"/>
    <s v="CT"/>
    <s v="CT - New Haven"/>
    <s v="06492"/>
    <s v="Masonicare Health Center"/>
    <s v="Short Term Acute Care Hospital"/>
    <s v="Wallingford"/>
    <n v="5.7"/>
    <n v="4.7"/>
    <n v="32"/>
    <n v="30"/>
    <m/>
    <n v="0.54"/>
    <n v="30"/>
    <n v="1.1299999999999999"/>
    <n v="733"/>
    <n v="443"/>
  </r>
  <r>
    <x v="1337"/>
    <s v="070031"/>
    <s v="CT"/>
    <s v="CT - New Haven"/>
    <s v="06418"/>
    <s v="Griffin Hospital"/>
    <s v="Short Term Acute Care Hospital"/>
    <s v="Derby"/>
    <n v="66.5"/>
    <n v="4"/>
    <n v="309"/>
    <n v="101"/>
    <n v="14"/>
    <n v="0.54"/>
    <n v="101"/>
    <n v="1.45"/>
    <n v="734"/>
    <n v="6296"/>
  </r>
  <r>
    <x v="1337"/>
    <s v="070005"/>
    <s v="CT"/>
    <s v="CT - New Haven"/>
    <s v="06708"/>
    <s v="Waterbury Hospital (AKA Waterbury HEALTH)"/>
    <s v="Short Term Acute Care Hospital"/>
    <s v="Waterbury"/>
    <n v="111.9"/>
    <n v="4.3"/>
    <n v="343"/>
    <n v="213"/>
    <n v="20"/>
    <n v="0.54"/>
    <n v="213"/>
    <n v="1.62"/>
    <n v="735"/>
    <n v="10331"/>
  </r>
  <r>
    <x v="1337"/>
    <s v="070022*"/>
    <s v="CT"/>
    <s v="CT - New Haven"/>
    <s v="06511"/>
    <s v="Yale New Haven Hospital - St Raphael Campus"/>
    <s v="Short Term Acute Care Hospital"/>
    <s v="New Haven"/>
    <m/>
    <m/>
    <n v="1"/>
    <m/>
    <m/>
    <m/>
    <n v="511"/>
    <m/>
    <n v="736"/>
    <m/>
  </r>
  <r>
    <x v="1337"/>
    <s v="070022*"/>
    <s v="CT"/>
    <s v="CT - New Haven"/>
    <s v="06519"/>
    <s v="Smilow Cancer Hospital at Yale New Haven"/>
    <s v="Short Term Acute Care Hospital"/>
    <s v="New Haven"/>
    <m/>
    <m/>
    <m/>
    <m/>
    <m/>
    <m/>
    <m/>
    <m/>
    <n v="550176"/>
    <m/>
  </r>
  <r>
    <x v="1337"/>
    <m/>
    <s v="CT"/>
    <s v="CT - New Haven"/>
    <s v="06515"/>
    <s v="Southern Connecticut State University Field Hospital (Temporarily Open due to COVID-19)"/>
    <s v="Short Term Acute Care Hospital"/>
    <s v="New Haven"/>
    <m/>
    <m/>
    <m/>
    <m/>
    <m/>
    <m/>
    <m/>
    <m/>
    <n v="1012194"/>
    <m/>
  </r>
  <r>
    <x v="1337"/>
    <m/>
    <s v="CT"/>
    <s v="CT - New Haven"/>
    <s v="06511"/>
    <s v="Yale University Lanman Center Field Hospital (Temporarily Open due to COVID-19)"/>
    <s v="Short Term Acute Care Hospital"/>
    <s v="New Haven"/>
    <m/>
    <m/>
    <m/>
    <m/>
    <m/>
    <m/>
    <m/>
    <m/>
    <n v="1012593"/>
    <m/>
  </r>
  <r>
    <x v="1338"/>
    <s v="070007"/>
    <s v="CT"/>
    <s v="CT - New London"/>
    <s v="06320"/>
    <s v="Lawrence &amp; Memorial Hospital"/>
    <s v="Short Term Acute Care Hospital"/>
    <s v="New London"/>
    <n v="153.9"/>
    <n v="4.9000000000000004"/>
    <n v="505"/>
    <n v="236"/>
    <n v="10"/>
    <n v="0.5"/>
    <n v="236"/>
    <n v="1.55"/>
    <n v="737"/>
    <n v="12068"/>
  </r>
  <r>
    <x v="1338"/>
    <s v="070024"/>
    <s v="CT"/>
    <s v="CT - New London"/>
    <s v="06360"/>
    <s v="The William W Backus Hospital (AKA Backus Hospital)"/>
    <s v="Short Term Acute Care Hospital"/>
    <s v="Norwich"/>
    <n v="116.3"/>
    <n v="4.3"/>
    <n v="432"/>
    <n v="165"/>
    <n v="12"/>
    <n v="0.5"/>
    <n v="165"/>
    <n v="1.69"/>
    <n v="738"/>
    <n v="10236"/>
  </r>
  <r>
    <x v="1338"/>
    <m/>
    <s v="CT"/>
    <s v="CT - New London"/>
    <s v="06359"/>
    <s v="Stonington Institute"/>
    <s v="Short Term Acute Care Hospital"/>
    <s v="North Stonington"/>
    <m/>
    <m/>
    <n v="2"/>
    <m/>
    <m/>
    <m/>
    <n v="18"/>
    <m/>
    <n v="854684"/>
    <m/>
  </r>
  <r>
    <x v="1339"/>
    <s v="070012"/>
    <s v="CT"/>
    <s v="CT - Tolland"/>
    <s v="06066"/>
    <s v="Rockville General Hospital"/>
    <s v="Short Term Acute Care Hospital"/>
    <s v="Vernon"/>
    <n v="42"/>
    <n v="7.6"/>
    <n v="87"/>
    <n v="102"/>
    <n v="9"/>
    <n v="0.19"/>
    <n v="102"/>
    <n v="1.45"/>
    <n v="739"/>
    <n v="2026"/>
  </r>
  <r>
    <x v="1339"/>
    <s v="070008"/>
    <s v="CT"/>
    <s v="CT - Tolland"/>
    <s v="06076"/>
    <s v="Johnson Memorial Hospital"/>
    <s v="Short Term Acute Care Hospital"/>
    <s v="Stafford Springs"/>
    <n v="18.600000000000001"/>
    <n v="3.5"/>
    <n v="113"/>
    <n v="50"/>
    <n v="7"/>
    <n v="0.19"/>
    <n v="50"/>
    <n v="1.36"/>
    <n v="740"/>
    <n v="1944"/>
  </r>
  <r>
    <x v="1340"/>
    <s v="070003"/>
    <s v="CT"/>
    <s v="CT - Windham"/>
    <s v="06260"/>
    <s v="Day Kimball Hospital"/>
    <s v="Short Term Acute Care Hospital"/>
    <s v="Putnam"/>
    <n v="37.700000000000003"/>
    <n v="4.0999999999999996"/>
    <n v="207"/>
    <n v="104"/>
    <n v="6"/>
    <n v="0.3"/>
    <n v="104"/>
    <n v="1.2"/>
    <n v="741"/>
    <n v="3619"/>
  </r>
  <r>
    <x v="1340"/>
    <s v="070021"/>
    <s v="CT"/>
    <s v="CT - Windham"/>
    <s v="06226"/>
    <s v="Windham Hospital (FKA Windham Community Memorial Hospital)"/>
    <s v="Short Term Acute Care Hospital"/>
    <s v="Willimantic"/>
    <n v="27"/>
    <n v="3.9"/>
    <n v="164"/>
    <n v="40"/>
    <m/>
    <n v="0.3"/>
    <n v="40"/>
    <n v="1.46"/>
    <n v="742"/>
    <n v="2599"/>
  </r>
  <r>
    <x v="1341"/>
    <s v="080004"/>
    <s v="DE"/>
    <s v="DE - Kent"/>
    <n v="19901"/>
    <s v="Bayhealth Hospital - Kent Campus"/>
    <s v="Short Term Acute Care Hospital"/>
    <s v="Dover"/>
    <n v="193.2"/>
    <n v="4.9000000000000004"/>
    <n v="523"/>
    <n v="281"/>
    <n v="29"/>
    <n v="1"/>
    <n v="281"/>
    <n v="1.63"/>
    <n v="743"/>
    <n v="15070"/>
  </r>
  <r>
    <x v="1342"/>
    <s v="080001"/>
    <s v="DE"/>
    <s v="DE - New Castle"/>
    <n v="19718"/>
    <s v="Christiana Hospital"/>
    <s v="Short Term Acute Care Hospital"/>
    <s v="Newark"/>
    <n v="777.4"/>
    <n v="5.6"/>
    <n v="1956"/>
    <n v="1097"/>
    <n v="73"/>
    <n v="0.05"/>
    <n v="906"/>
    <n v="1.82"/>
    <n v="744"/>
    <n v="51262"/>
  </r>
  <r>
    <x v="1342"/>
    <s v="080003"/>
    <s v="DE"/>
    <s v="DE - New Castle"/>
    <n v="19805"/>
    <s v="Saint Francis Healthcare"/>
    <s v="Short Term Acute Care Hospital"/>
    <s v="Wilmington"/>
    <n v="58.7"/>
    <n v="3.8"/>
    <n v="168"/>
    <n v="180"/>
    <n v="20"/>
    <n v="0.05"/>
    <n v="180"/>
    <n v="1.61"/>
    <n v="745"/>
    <n v="5815"/>
  </r>
  <r>
    <x v="1342"/>
    <s v="080001*"/>
    <s v="DE"/>
    <s v="DE - New Castle"/>
    <n v="19801"/>
    <s v="Wilmington Hospital (AKA Wilmington Health Center)"/>
    <s v="Short Term Acute Care Hospital"/>
    <s v="Wilmington"/>
    <m/>
    <m/>
    <m/>
    <m/>
    <m/>
    <m/>
    <n v="241"/>
    <m/>
    <n v="550103"/>
    <m/>
  </r>
  <r>
    <x v="1343"/>
    <s v="080006"/>
    <s v="DE"/>
    <s v="DE - Sussex"/>
    <n v="19973"/>
    <s v="Nanticoke Memorial Hospital"/>
    <s v="Short Term Acute Care Hospital"/>
    <s v="Seaford"/>
    <n v="50.2"/>
    <n v="3.1"/>
    <n v="212"/>
    <n v="94"/>
    <n v="9"/>
    <n v="0.22"/>
    <n v="94"/>
    <n v="1.58"/>
    <n v="746"/>
    <n v="6414"/>
  </r>
  <r>
    <x v="1343"/>
    <s v="080007"/>
    <s v="DE"/>
    <s v="DE - Sussex"/>
    <n v="19958"/>
    <s v="Beebe Healthcare - Margaret H Rollins Lewes Campus (FKA Beebe Medical Center)"/>
    <s v="Short Term Acute Care Hospital"/>
    <s v="Lewes"/>
    <n v="123.9"/>
    <n v="4.4000000000000004"/>
    <n v="490"/>
    <n v="195"/>
    <m/>
    <n v="0.22"/>
    <n v="195"/>
    <n v="1.69"/>
    <n v="747"/>
    <n v="10655"/>
  </r>
  <r>
    <x v="1343"/>
    <m/>
    <s v="DE"/>
    <s v="DE - Sussex"/>
    <n v="19963"/>
    <s v="Bayhealth Milford Memorial Hospital (Closed)"/>
    <s v="Short Term Acute Care Hospital"/>
    <s v="Milford"/>
    <n v="61.1"/>
    <n v="5"/>
    <m/>
    <m/>
    <m/>
    <n v="0.22"/>
    <m/>
    <m/>
    <n v="6342"/>
    <n v="4685"/>
  </r>
  <r>
    <x v="1343"/>
    <s v="080009"/>
    <s v="DE"/>
    <s v="DE - Sussex"/>
    <n v="19963"/>
    <s v="Bayhealth Hospital - Sussex Campus"/>
    <s v="Short Term Acute Care Hospital"/>
    <s v="Milford"/>
    <n v="50.2"/>
    <n v="4.0999999999999996"/>
    <n v="106"/>
    <n v="114"/>
    <n v="9"/>
    <n v="0.22"/>
    <n v="128"/>
    <n v="1.42"/>
    <n v="926574"/>
    <n v="4689"/>
  </r>
  <r>
    <x v="1343"/>
    <m/>
    <s v="DE"/>
    <s v="DE - Sussex"/>
    <n v="19971"/>
    <s v="Beebe Specialty Surgical Hospital (Opening 2022)"/>
    <s v="Short Term Acute Care Hospital"/>
    <s v="Rehoboth Beach"/>
    <m/>
    <m/>
    <m/>
    <m/>
    <m/>
    <m/>
    <m/>
    <m/>
    <n v="1008920"/>
    <m/>
  </r>
  <r>
    <x v="1344"/>
    <s v="090001"/>
    <s v="DC"/>
    <s v="DC - District Of Columbia"/>
    <n v="20037"/>
    <s v="George Washington University Hospital"/>
    <s v="Short Term Acute Care Hospital"/>
    <s v="Washington"/>
    <n v="302"/>
    <n v="5.0999999999999996"/>
    <n v="903"/>
    <n v="329"/>
    <n v="56"/>
    <n v="0.05"/>
    <n v="329"/>
    <n v="1.91"/>
    <n v="748"/>
    <n v="22598"/>
  </r>
  <r>
    <x v="1344"/>
    <s v="090003"/>
    <s v="DC"/>
    <s v="DC - District Of Columbia"/>
    <n v="20060"/>
    <s v="Howard University Hospital"/>
    <s v="Short Term Acute Care Hospital"/>
    <s v="Washington"/>
    <n v="112.1"/>
    <n v="6"/>
    <n v="290"/>
    <n v="200"/>
    <n v="36"/>
    <n v="0.05"/>
    <n v="200"/>
    <n v="1.49"/>
    <n v="749"/>
    <n v="7749"/>
  </r>
  <r>
    <x v="1344"/>
    <s v="090004"/>
    <s v="DC"/>
    <s v="DC - District Of Columbia"/>
    <n v="20007"/>
    <s v="MedStar Georgetown University Hospital"/>
    <s v="Short Term Acute Care Hospital"/>
    <s v="Washington"/>
    <n v="331.9"/>
    <n v="7.8"/>
    <n v="880"/>
    <n v="393"/>
    <n v="19"/>
    <n v="0.05"/>
    <n v="393"/>
    <n v="2.2400000000000002"/>
    <n v="750"/>
    <n v="15751"/>
  </r>
  <r>
    <x v="1344"/>
    <s v="090005"/>
    <s v="DC"/>
    <s v="DC - District Of Columbia"/>
    <n v="20016"/>
    <s v="Sibley Memorial Hospital"/>
    <s v="Short Term Acute Care Hospital"/>
    <s v="Washington"/>
    <n v="111.1"/>
    <n v="4.7"/>
    <n v="782"/>
    <n v="189"/>
    <m/>
    <n v="0.05"/>
    <n v="189"/>
    <n v="1.72"/>
    <n v="751"/>
    <n v="11192"/>
  </r>
  <r>
    <x v="1344"/>
    <s v="090006 (Closed)"/>
    <s v="DC"/>
    <s v="DC - District Of Columbia"/>
    <n v="20017"/>
    <s v="Providence Hospital - Washington (Closed)"/>
    <s v="Short Term Acute Care Hospital"/>
    <s v="Washington"/>
    <n v="37.1"/>
    <n v="6.5"/>
    <m/>
    <m/>
    <m/>
    <n v="0.05"/>
    <m/>
    <n v="1.67"/>
    <n v="752"/>
    <n v="2099"/>
  </r>
  <r>
    <x v="1344"/>
    <s v="090008"/>
    <s v="DC"/>
    <s v="DC - District Of Columbia"/>
    <n v="20032"/>
    <s v="United Medical Center (AKA Not for Profit Hospital Corporation)"/>
    <s v="Short Term Acute Care Hospital"/>
    <s v="Washington"/>
    <n v="80.400000000000006"/>
    <n v="5.9"/>
    <n v="178"/>
    <n v="157"/>
    <n v="13"/>
    <n v="0.05"/>
    <n v="157"/>
    <n v="1.66"/>
    <n v="753"/>
    <n v="4981"/>
  </r>
  <r>
    <x v="1344"/>
    <s v="090011"/>
    <s v="DC"/>
    <s v="DC - District Of Columbia"/>
    <n v="20010"/>
    <s v="MedStar Washington Hospital Center"/>
    <s v="Short Term Acute Care Hospital"/>
    <s v="Washington"/>
    <n v="578.9"/>
    <n v="7.1"/>
    <n v="1368"/>
    <n v="701"/>
    <n v="37"/>
    <n v="0.05"/>
    <n v="701"/>
    <n v="2.41"/>
    <n v="754"/>
    <n v="30954"/>
  </r>
  <r>
    <x v="1344"/>
    <m/>
    <s v="DC"/>
    <s v="DC - District Of Columbia"/>
    <n v="20001"/>
    <s v="Walter E Washington Convention Center Field Hospital (Temporarily Open due to COVID-19)"/>
    <s v="Short Term Acute Care Hospital"/>
    <s v="Washington"/>
    <m/>
    <m/>
    <m/>
    <m/>
    <m/>
    <m/>
    <m/>
    <m/>
    <n v="1012820"/>
    <m/>
  </r>
  <r>
    <x v="1345"/>
    <n v="100113"/>
    <s v="FL"/>
    <s v="FL - Alachua"/>
    <n v="32608"/>
    <s v="UF Health Shands Hospital (FKA Shands at the University of Florida)"/>
    <s v="Short Term Acute Care Hospital"/>
    <s v="Gainesville"/>
    <n v="767"/>
    <n v="6.2"/>
    <n v="1329"/>
    <n v="921"/>
    <n v="66"/>
    <n v="0.62"/>
    <n v="742"/>
    <n v="2.09"/>
    <n v="756"/>
    <n v="47352"/>
  </r>
  <r>
    <x v="1345"/>
    <n v="100204"/>
    <s v="FL"/>
    <s v="FL - Alachua"/>
    <n v="32605"/>
    <s v="North Florida Regional Medical Center"/>
    <s v="Short Term Acute Care Hospital"/>
    <s v="Gainesville"/>
    <n v="310.39999999999998"/>
    <n v="5"/>
    <n v="550"/>
    <n v="381"/>
    <m/>
    <n v="0.62"/>
    <n v="381"/>
    <n v="1.81"/>
    <n v="757"/>
    <n v="23847"/>
  </r>
  <r>
    <x v="1345"/>
    <s v="100113*"/>
    <s v="FL"/>
    <s v="FL - Alachua"/>
    <n v="32608"/>
    <s v="UF Health Shands Cancer Hospital (FKA Shands Cancer Hospital at University of Florida)"/>
    <s v="Short Term Acute Care Hospital"/>
    <s v="Gainesville"/>
    <m/>
    <m/>
    <m/>
    <m/>
    <m/>
    <m/>
    <n v="425"/>
    <m/>
    <n v="553363"/>
    <m/>
  </r>
  <r>
    <x v="1345"/>
    <m/>
    <s v="FL"/>
    <s v="FL - Alachua"/>
    <n v="32608"/>
    <s v="UF Health Neuromedicine Heart &amp; Vascular Hospital"/>
    <s v="Short Term Acute Care Hospital"/>
    <s v="Gainesville"/>
    <m/>
    <m/>
    <m/>
    <m/>
    <m/>
    <m/>
    <n v="48"/>
    <m/>
    <n v="928333"/>
    <m/>
  </r>
  <r>
    <x v="1346"/>
    <n v="100134"/>
    <s v="FL"/>
    <s v="FL - Baker"/>
    <n v="32063"/>
    <s v="Baker County Medical Services (FKA Ed Fraser Memorial Hospital)"/>
    <s v="Short Term Acute Care Hospital"/>
    <s v="Macclenny"/>
    <n v="2.9"/>
    <n v="3.4"/>
    <n v="54"/>
    <n v="21"/>
    <m/>
    <n v="0.15"/>
    <n v="21"/>
    <n v="0.94"/>
    <n v="4788"/>
    <n v="312"/>
  </r>
  <r>
    <x v="1347"/>
    <n v="100242"/>
    <s v="FL"/>
    <s v="FL - Bay"/>
    <n v="32405"/>
    <s v="Gulf Coast Regional Medical Center"/>
    <s v="Short Term Acute Care Hospital"/>
    <s v="Panama City"/>
    <n v="154.4"/>
    <n v="4.5"/>
    <n v="292"/>
    <n v="222"/>
    <n v="20"/>
    <n v="0.5"/>
    <n v="222"/>
    <n v="1.7"/>
    <n v="758"/>
    <n v="12143"/>
  </r>
  <r>
    <x v="1347"/>
    <n v="100026"/>
    <s v="FL"/>
    <s v="FL - Bay"/>
    <n v="32401"/>
    <s v="Ascension Sacred Heart Hospital Bay (AKA Bay Medical Sacred Heart)"/>
    <s v="Short Term Acute Care Hospital"/>
    <s v="Panama City"/>
    <n v="162.9"/>
    <n v="5.3"/>
    <n v="258"/>
    <n v="293"/>
    <n v="57"/>
    <n v="0.5"/>
    <n v="293"/>
    <n v="1.77"/>
    <n v="759"/>
    <n v="11247"/>
  </r>
  <r>
    <x v="1348"/>
    <n v="100291"/>
    <s v="FL"/>
    <s v="FL - Brevard"/>
    <n v="32935"/>
    <s v="Melbourne Regional Medical Center (FKA Wuesthoff Medical Center - Melbourne)"/>
    <s v="Short Term Acute Care Hospital"/>
    <s v="Melbourne"/>
    <n v="30.3"/>
    <n v="4"/>
    <n v="72"/>
    <n v="113"/>
    <n v="12"/>
    <n v="0.24"/>
    <n v="113"/>
    <n v="1.98"/>
    <n v="761"/>
    <n v="2776"/>
  </r>
  <r>
    <x v="1348"/>
    <n v="100019"/>
    <s v="FL"/>
    <s v="FL - Brevard"/>
    <n v="32901"/>
    <s v="Holmes Regional Medical Center"/>
    <s v="Short Term Acute Care Hospital"/>
    <s v="Melbourne"/>
    <n v="381.6"/>
    <n v="4.3"/>
    <n v="751"/>
    <n v="514"/>
    <n v="54"/>
    <n v="0.24"/>
    <n v="514"/>
    <n v="1.9"/>
    <n v="763"/>
    <n v="33333"/>
  </r>
  <r>
    <x v="1348"/>
    <n v="100092"/>
    <s v="FL"/>
    <s v="FL - Brevard"/>
    <n v="32955"/>
    <s v="Rockledge Regional Medical Center (FKA Wuesthoff Medical Center - Rockledge)"/>
    <s v="Short Term Acute Care Hospital"/>
    <s v="Rockledge"/>
    <n v="111.8"/>
    <n v="5.3"/>
    <n v="252"/>
    <n v="274"/>
    <n v="31"/>
    <n v="0.24"/>
    <n v="274"/>
    <n v="1.6"/>
    <n v="764"/>
    <n v="7766"/>
  </r>
  <r>
    <x v="1348"/>
    <n v="100177"/>
    <s v="FL"/>
    <s v="FL - Brevard"/>
    <n v="32931"/>
    <s v="Cape Canaveral Hospital"/>
    <s v="Short Term Acute Care Hospital"/>
    <s v="Cocoa Beach"/>
    <n v="73.7"/>
    <n v="3.6"/>
    <n v="170"/>
    <n v="150"/>
    <n v="12"/>
    <n v="0.24"/>
    <n v="150"/>
    <n v="1.52"/>
    <n v="765"/>
    <n v="8013"/>
  </r>
  <r>
    <x v="1348"/>
    <n v="100316"/>
    <s v="FL"/>
    <s v="FL - Brevard"/>
    <n v="32907"/>
    <s v="Palm Bay Hospital"/>
    <s v="Short Term Acute Care Hospital"/>
    <s v="Palm Bay"/>
    <n v="70.7"/>
    <n v="3.8"/>
    <n v="100"/>
    <n v="120"/>
    <n v="12"/>
    <n v="0.24"/>
    <n v="120"/>
    <n v="1.45"/>
    <n v="541871"/>
    <n v="6865"/>
  </r>
  <r>
    <x v="1348"/>
    <n v="100315"/>
    <s v="FL"/>
    <s v="FL - Brevard"/>
    <n v="32940"/>
    <s v="Viera Hospital"/>
    <s v="Short Term Acute Care Hospital"/>
    <s v="Melbourne"/>
    <n v="49"/>
    <n v="3.5"/>
    <n v="115"/>
    <n v="84"/>
    <n v="20"/>
    <n v="0.24"/>
    <n v="84"/>
    <n v="1.45"/>
    <n v="541872"/>
    <n v="5137"/>
  </r>
  <r>
    <x v="1348"/>
    <n v="100028"/>
    <s v="FL"/>
    <s v="FL - Brevard"/>
    <n v="32796"/>
    <s v="Parrish Medical Center (AKA Parrish Healthcare)"/>
    <s v="Short Term Acute Care Hospital"/>
    <s v="Titusville"/>
    <n v="71"/>
    <n v="4.3"/>
    <n v="275"/>
    <n v="210"/>
    <n v="8"/>
    <n v="0.24"/>
    <n v="210"/>
    <n v="1.57"/>
    <n v="762"/>
    <n v="6279"/>
  </r>
  <r>
    <x v="1349"/>
    <n v="100167"/>
    <s v="FL"/>
    <s v="FL - Broward"/>
    <n v="33317"/>
    <s v="Plantation General Hospital"/>
    <s v="Short Term Acute Care Hospital"/>
    <s v="Plantation"/>
    <n v="276.5"/>
    <n v="5.0999999999999996"/>
    <n v="405"/>
    <n v="589"/>
    <n v="61"/>
    <n v="0.04"/>
    <n v="264"/>
    <n v="1.54"/>
    <n v="766"/>
    <n v="21688"/>
  </r>
  <r>
    <x v="1349"/>
    <n v="100228"/>
    <s v="FL"/>
    <s v="FL - Broward"/>
    <n v="33324"/>
    <s v="Westside Regional Medical Center"/>
    <s v="Short Term Acute Care Hospital"/>
    <s v="Plantation"/>
    <n v="164"/>
    <n v="4.4000000000000004"/>
    <n v="277"/>
    <n v="224"/>
    <n v="32"/>
    <n v="0.04"/>
    <n v="224"/>
    <n v="1.68"/>
    <n v="767"/>
    <n v="13562"/>
  </r>
  <r>
    <x v="1349"/>
    <n v="100230"/>
    <s v="FL"/>
    <s v="FL - Broward"/>
    <n v="33024"/>
    <s v="Memorial Hospital Pembroke"/>
    <s v="Short Term Acute Care Hospital"/>
    <s v="Pembroke Pines"/>
    <n v="85.8"/>
    <n v="4.8"/>
    <n v="226"/>
    <n v="301"/>
    <n v="24"/>
    <n v="0.04"/>
    <n v="301"/>
    <n v="1.51"/>
    <n v="768"/>
    <n v="6501"/>
  </r>
  <r>
    <x v="1349"/>
    <n v="100189"/>
    <s v="FL"/>
    <s v="FL - Broward"/>
    <n v="33063"/>
    <s v="Northwest Medical Center"/>
    <s v="Short Term Acute Care Hospital"/>
    <s v="Margate"/>
    <n v="158"/>
    <n v="4.3"/>
    <n v="252"/>
    <n v="228"/>
    <n v="24"/>
    <n v="0.04"/>
    <n v="228"/>
    <n v="1.57"/>
    <n v="769"/>
    <n v="14230"/>
  </r>
  <r>
    <x v="1349"/>
    <n v="100200"/>
    <s v="FL"/>
    <s v="FL - Broward"/>
    <n v="33308"/>
    <s v="Broward Health Imperial Point (FKA Imperial Point Medical Center)"/>
    <s v="Short Term Acute Care Hospital"/>
    <s v="Fort Lauderdale"/>
    <n v="70.099999999999994"/>
    <n v="4.7"/>
    <n v="218"/>
    <n v="129"/>
    <n v="10"/>
    <n v="0.04"/>
    <n v="129"/>
    <n v="1.48"/>
    <n v="770"/>
    <n v="5477"/>
  </r>
  <r>
    <x v="1349"/>
    <n v="100224"/>
    <s v="FL"/>
    <s v="FL - Broward"/>
    <n v="33321"/>
    <s v="University Hospital &amp; Medical Center"/>
    <s v="Short Term Acute Care Hospital"/>
    <s v="Tamarac"/>
    <n v="81.3"/>
    <n v="4.0999999999999996"/>
    <n v="171"/>
    <n v="245"/>
    <n v="15"/>
    <n v="0.04"/>
    <n v="245"/>
    <n v="1.38"/>
    <n v="771"/>
    <n v="7158"/>
  </r>
  <r>
    <x v="1349"/>
    <n v="100086"/>
    <s v="FL"/>
    <s v="FL - Broward"/>
    <n v="33064"/>
    <s v="Broward Health North (FKA North Broward Medical Center)"/>
    <s v="Short Term Acute Care Hospital"/>
    <s v="Deerfield Beach"/>
    <n v="179.8"/>
    <n v="5.0999999999999996"/>
    <n v="246"/>
    <n v="304"/>
    <n v="29"/>
    <n v="0.04"/>
    <n v="304"/>
    <n v="1.63"/>
    <n v="772"/>
    <n v="12749"/>
  </r>
  <r>
    <x v="1349"/>
    <n v="100073"/>
    <s v="FL"/>
    <s v="FL - Broward"/>
    <n v="33308"/>
    <s v="Holy Cross Hospital"/>
    <s v="Short Term Acute Care Hospital"/>
    <s v="Fort Lauderdale"/>
    <n v="184.3"/>
    <n v="4.2"/>
    <n v="538"/>
    <n v="319"/>
    <n v="42"/>
    <n v="0.04"/>
    <n v="319"/>
    <n v="1.82"/>
    <n v="773"/>
    <n v="15923"/>
  </r>
  <r>
    <x v="1349"/>
    <n v="100038"/>
    <s v="FL"/>
    <s v="FL - Broward"/>
    <n v="33021"/>
    <s v="Memorial Regional Hospital"/>
    <s v="Short Term Acute Care Hospital"/>
    <s v="Hollywood"/>
    <n v="504.8"/>
    <n v="6.5"/>
    <n v="975"/>
    <n v="870"/>
    <n v="92"/>
    <n v="0.04"/>
    <n v="553"/>
    <n v="1.79"/>
    <n v="774"/>
    <n v="30148"/>
  </r>
  <r>
    <x v="1349"/>
    <n v="100039"/>
    <s v="FL"/>
    <s v="FL - Broward"/>
    <n v="33316"/>
    <s v="Broward Health Medical Center (FKA Broward General Medical Center)"/>
    <s v="Short Term Acute Care Hospital"/>
    <s v="Fort Lauderdale"/>
    <n v="347.7"/>
    <n v="6"/>
    <n v="416"/>
    <n v="572"/>
    <n v="57"/>
    <n v="0.04"/>
    <n v="572"/>
    <n v="1.9"/>
    <n v="775"/>
    <n v="22268"/>
  </r>
  <r>
    <x v="1349"/>
    <n v="100289"/>
    <s v="FL"/>
    <s v="FL - Broward"/>
    <n v="33331"/>
    <s v="Cleveland Clinic Florida"/>
    <s v="Short Term Acute Care Hospital"/>
    <s v="Weston"/>
    <n v="175.2"/>
    <n v="4.5"/>
    <n v="521"/>
    <n v="206"/>
    <n v="48"/>
    <n v="0.04"/>
    <n v="206"/>
    <n v="2.2799999999999998"/>
    <n v="776"/>
    <n v="11392"/>
  </r>
  <r>
    <x v="1349"/>
    <n v="100285"/>
    <s v="FL"/>
    <s v="FL - Broward"/>
    <n v="33029"/>
    <s v="Memorial Hospital Miramar"/>
    <s v="Short Term Acute Care Hospital"/>
    <s v="Miramar"/>
    <n v="81.7"/>
    <n v="4.2"/>
    <n v="237"/>
    <n v="178"/>
    <n v="18"/>
    <n v="0.04"/>
    <n v="178"/>
    <n v="1.36"/>
    <n v="777"/>
    <n v="8883"/>
  </r>
  <r>
    <x v="1349"/>
    <n v="100276"/>
    <s v="FL"/>
    <s v="FL - Broward"/>
    <n v="33065"/>
    <s v="Broward Health Coral Springs (FKA Coral Springs Medical Center)"/>
    <s v="Short Term Acute Care Hospital"/>
    <s v="Coral Springs"/>
    <n v="100.5"/>
    <n v="4.3"/>
    <n v="297"/>
    <n v="196"/>
    <n v="16"/>
    <n v="0.04"/>
    <n v="196"/>
    <n v="1.44"/>
    <n v="778"/>
    <n v="10900"/>
  </r>
  <r>
    <x v="1349"/>
    <n v="100281"/>
    <s v="FL"/>
    <s v="FL - Broward"/>
    <n v="33028"/>
    <s v="Memorial Hospital West"/>
    <s v="Short Term Acute Care Hospital"/>
    <s v="Pembroke Pines"/>
    <n v="275.8"/>
    <n v="5.4"/>
    <n v="519"/>
    <n v="486"/>
    <n v="32"/>
    <n v="0.04"/>
    <n v="486"/>
    <n v="1.66"/>
    <n v="779"/>
    <n v="19937"/>
  </r>
  <r>
    <x v="1349"/>
    <s v="100029*"/>
    <s v="FL"/>
    <s v="FL - Broward"/>
    <n v="33313"/>
    <s v="Florida Medical Center (FKA North Shore Medical Center FMC Campus)"/>
    <s v="Short Term Acute Care Hospital"/>
    <s v="Lauderdale Lakes"/>
    <m/>
    <m/>
    <n v="80"/>
    <m/>
    <m/>
    <m/>
    <n v="459"/>
    <m/>
    <n v="4789"/>
    <m/>
  </r>
  <r>
    <x v="1349"/>
    <s v="100237 (Closed)"/>
    <s v="FL"/>
    <s v="FL - Broward"/>
    <n v="33334"/>
    <s v="North Ridge Medical Center (Closed 2008)"/>
    <s v="Short Term Acute Care Hospital"/>
    <s v="Fort Lauderdale"/>
    <n v="48.7"/>
    <n v="4.5"/>
    <m/>
    <m/>
    <m/>
    <n v="0.04"/>
    <m/>
    <m/>
    <n v="5912"/>
    <n v="3976"/>
  </r>
  <r>
    <x v="1349"/>
    <s v="100038*"/>
    <s v="FL"/>
    <s v="FL - Broward"/>
    <n v="33021"/>
    <s v="Memorial Regional Hospital South"/>
    <s v="Short Term Acute Care Hospital"/>
    <s v="Hollywood"/>
    <m/>
    <m/>
    <n v="49"/>
    <m/>
    <m/>
    <m/>
    <n v="180"/>
    <m/>
    <n v="541999"/>
    <m/>
  </r>
  <r>
    <x v="1349"/>
    <m/>
    <s v="FL"/>
    <s v="FL - Broward"/>
    <n v="33328"/>
    <s v="Plantation General Hospital - Nova Southeastern University Campus (Opening Early 2021)"/>
    <s v="Short Term Acute Care Hospital"/>
    <s v="Davie"/>
    <m/>
    <m/>
    <m/>
    <m/>
    <m/>
    <m/>
    <m/>
    <m/>
    <n v="1010890"/>
    <m/>
  </r>
  <r>
    <x v="1350"/>
    <n v="100047"/>
    <s v="FL"/>
    <s v="FL - Charlotte"/>
    <n v="33950"/>
    <s v="Bayfront Health - Punta Gorda (FKA Charlotte Regional Medical Center)"/>
    <s v="Short Term Acute Care Hospital"/>
    <s v="Punta Gorda"/>
    <n v="47.6"/>
    <n v="4.4000000000000004"/>
    <n v="95"/>
    <n v="136"/>
    <n v="22"/>
    <n v="0.38"/>
    <n v="136"/>
    <n v="1.44"/>
    <n v="780"/>
    <n v="3990"/>
  </r>
  <r>
    <x v="1350"/>
    <n v="100077"/>
    <s v="FL"/>
    <s v="FL - Charlotte"/>
    <n v="33952"/>
    <s v="Bayfront Health - Port Charlotte (FKA Peace River Regional Medical Center)"/>
    <s v="Short Term Acute Care Hospital"/>
    <s v="Port Charlotte"/>
    <n v="132.1"/>
    <n v="4.7"/>
    <n v="137"/>
    <n v="254"/>
    <n v="22"/>
    <n v="0.38"/>
    <n v="254"/>
    <n v="1.68"/>
    <n v="781"/>
    <n v="10620"/>
  </r>
  <r>
    <x v="1350"/>
    <n v="100236"/>
    <s v="FL"/>
    <s v="FL - Charlotte"/>
    <n v="33952"/>
    <s v="Fawcett Memorial Hospital"/>
    <s v="Short Term Acute Care Hospital"/>
    <s v="Port Charlotte"/>
    <n v="141.19999999999999"/>
    <n v="4.8"/>
    <n v="254"/>
    <n v="217"/>
    <n v="19"/>
    <n v="0.38"/>
    <n v="217"/>
    <n v="1.75"/>
    <n v="782"/>
    <n v="10640"/>
  </r>
  <r>
    <x v="1351"/>
    <n v="100249"/>
    <s v="FL"/>
    <s v="FL - Citrus"/>
    <n v="34428"/>
    <s v="Bayfront Health - Seven Rivers (FKA Seven Rivers Regional Medical Center)"/>
    <s v="Short Term Acute Care Hospital"/>
    <s v="Crystal River"/>
    <n v="68.599999999999994"/>
    <n v="4.3"/>
    <n v="104"/>
    <n v="128"/>
    <n v="16"/>
    <n v="0.54"/>
    <n v="128"/>
    <n v="1.63"/>
    <n v="783"/>
    <n v="5963"/>
  </r>
  <r>
    <x v="1351"/>
    <n v="100023"/>
    <s v="FL"/>
    <s v="FL - Citrus"/>
    <n v="34452"/>
    <s v="Citrus Memorial Hospital"/>
    <s v="Short Term Acute Care Hospital"/>
    <s v="Inverness"/>
    <n v="123.3"/>
    <n v="4.3"/>
    <n v="295"/>
    <n v="204"/>
    <n v="24"/>
    <n v="0.54"/>
    <n v="204"/>
    <n v="1.58"/>
    <n v="784"/>
    <n v="10707"/>
  </r>
  <r>
    <x v="1352"/>
    <n v="100226"/>
    <s v="FL"/>
    <s v="FL - Clay"/>
    <n v="32073"/>
    <s v="Orange Park Medical Center"/>
    <s v="Short Term Acute Care Hospital"/>
    <s v="Orange Park"/>
    <n v="215.4"/>
    <n v="4.5999999999999996"/>
    <n v="320"/>
    <n v="273"/>
    <n v="28"/>
    <n v="0.15"/>
    <n v="273"/>
    <n v="1.84"/>
    <n v="785"/>
    <n v="17604"/>
  </r>
  <r>
    <x v="1352"/>
    <n v="100321"/>
    <s v="FL"/>
    <s v="FL - Clay"/>
    <n v="32068"/>
    <s v="Ascension St Vincents Clay County Hospital"/>
    <s v="Short Term Acute Care Hospital"/>
    <s v="Middleburg"/>
    <n v="59.9"/>
    <n v="3.3"/>
    <n v="133"/>
    <n v="106"/>
    <n v="8"/>
    <n v="0.15"/>
    <n v="106"/>
    <n v="1.51"/>
    <n v="274355"/>
    <n v="6948"/>
  </r>
  <r>
    <x v="1353"/>
    <n v="100286"/>
    <s v="FL"/>
    <s v="FL - Collier"/>
    <n v="34119"/>
    <s v="Physicians Regional Medical Center - Pine Ridge"/>
    <s v="Short Term Acute Care Hospital"/>
    <s v="Naples"/>
    <n v="141.9"/>
    <n v="4.0999999999999996"/>
    <n v="345"/>
    <n v="201"/>
    <n v="24"/>
    <n v="0.54"/>
    <n v="101"/>
    <n v="1.65"/>
    <n v="787"/>
    <n v="12571"/>
  </r>
  <r>
    <x v="1353"/>
    <n v="100018"/>
    <s v="FL"/>
    <s v="FL - Collier"/>
    <n v="34102"/>
    <s v="NCH Baker Hospital Downtown (FKA NCH Downtown Naples Hospital Campus)"/>
    <s v="Short Term Acute Care Hospital"/>
    <s v="Naples"/>
    <n v="338.3"/>
    <n v="5.3"/>
    <n v="765"/>
    <n v="535"/>
    <n v="34"/>
    <n v="0.54"/>
    <n v="535"/>
    <n v="1.67"/>
    <n v="7159"/>
    <n v="24467"/>
  </r>
  <r>
    <x v="1353"/>
    <s v="100018*"/>
    <s v="FL"/>
    <s v="FL - Collier"/>
    <n v="34110"/>
    <s v="NCH North Naples Hospital"/>
    <s v="Short Term Acute Care Hospital"/>
    <s v="Naples"/>
    <m/>
    <m/>
    <m/>
    <m/>
    <m/>
    <m/>
    <n v="261"/>
    <m/>
    <n v="7160"/>
    <m/>
  </r>
  <r>
    <x v="1353"/>
    <s v="100286*"/>
    <s v="FL"/>
    <s v="FL - Collier"/>
    <n v="34114"/>
    <s v="Physicians Regional Medical Center - Collier Boulevard"/>
    <s v="Short Term Acute Care Hospital"/>
    <s v="Naples"/>
    <m/>
    <m/>
    <n v="14"/>
    <m/>
    <m/>
    <m/>
    <n v="100"/>
    <m/>
    <n v="553431"/>
    <m/>
  </r>
  <r>
    <x v="1354"/>
    <n v="100102"/>
    <s v="FL"/>
    <s v="FL - Columbia"/>
    <n v="32055"/>
    <s v="Shands Lake Shore Regional Medical Center"/>
    <s v="Short Term Acute Care Hospital"/>
    <s v="Lake City"/>
    <n v="25.5"/>
    <n v="4.5"/>
    <n v="52"/>
    <n v="87"/>
    <n v="9"/>
    <n v="0.62"/>
    <n v="87"/>
    <n v="1.18"/>
    <n v="788"/>
    <n v="2311"/>
  </r>
  <r>
    <x v="1354"/>
    <n v="100156"/>
    <s v="FL"/>
    <s v="FL - Columbia"/>
    <n v="32055"/>
    <s v="Lake City Medical Center"/>
    <s v="Short Term Acute Care Hospital"/>
    <s v="Lake City"/>
    <n v="60.9"/>
    <n v="3.7"/>
    <n v="112"/>
    <n v="91"/>
    <n v="18"/>
    <n v="0.62"/>
    <n v="91"/>
    <n v="1.31"/>
    <n v="789"/>
    <n v="6083"/>
  </r>
  <r>
    <x v="1355"/>
    <n v="100175"/>
    <s v="FL"/>
    <s v="FL - Desoto"/>
    <n v="34266"/>
    <s v="Desoto Memorial Hospital"/>
    <s v="Short Term Acute Care Hospital"/>
    <s v="Arcadia"/>
    <n v="8.5"/>
    <n v="3.5"/>
    <n v="70"/>
    <n v="49"/>
    <n v="8"/>
    <n v="1"/>
    <n v="49"/>
    <n v="1.27"/>
    <n v="790"/>
    <n v="877"/>
  </r>
  <r>
    <x v="1356"/>
    <n v="100179"/>
    <s v="FL"/>
    <s v="FL - Duval"/>
    <n v="32216"/>
    <s v="Memorial Hospital Jacksonville"/>
    <s v="Short Term Acute Care Hospital"/>
    <s v="Jacksonville"/>
    <n v="277.60000000000002"/>
    <n v="5.2"/>
    <n v="404"/>
    <n v="377"/>
    <n v="51"/>
    <n v="0.15"/>
    <n v="377"/>
    <n v="1.79"/>
    <n v="791"/>
    <n v="19782"/>
  </r>
  <r>
    <x v="1356"/>
    <n v="100151"/>
    <s v="FL"/>
    <s v="FL - Duval"/>
    <n v="32224"/>
    <s v="Mayo Clinic Hospital - Florida"/>
    <s v="Short Term Acute Care Hospital"/>
    <s v="Jacksonville"/>
    <n v="201.4"/>
    <n v="5"/>
    <n v="1051"/>
    <n v="277"/>
    <n v="54"/>
    <n v="0.15"/>
    <n v="277"/>
    <n v="2.2999999999999998"/>
    <n v="792"/>
    <n v="14727"/>
  </r>
  <r>
    <x v="1356"/>
    <n v="100117"/>
    <s v="FL"/>
    <s v="FL - Duval"/>
    <n v="32250"/>
    <s v="Baptist Medical Center Beaches"/>
    <s v="Short Term Acute Care Hospital"/>
    <s v="Jacksonville Beach"/>
    <n v="74"/>
    <n v="3.4"/>
    <n v="275"/>
    <n v="135"/>
    <m/>
    <n v="0.15"/>
    <n v="135"/>
    <n v="1.36"/>
    <n v="793"/>
    <n v="8586"/>
  </r>
  <r>
    <x v="1356"/>
    <s v="100088*"/>
    <s v="FL"/>
    <s v="FL - Duval"/>
    <n v="32207"/>
    <s v="Baptist Heart Hospital"/>
    <s v="Short Term Acute Care Hospital"/>
    <s v="Jacksonville"/>
    <m/>
    <m/>
    <n v="3"/>
    <m/>
    <m/>
    <m/>
    <n v="120"/>
    <m/>
    <n v="794"/>
    <m/>
  </r>
  <r>
    <x v="1356"/>
    <n v="100001"/>
    <s v="FL"/>
    <s v="FL - Duval"/>
    <n v="32209"/>
    <s v="UF Health Jacksonville"/>
    <s v="Short Term Acute Care Hospital"/>
    <s v="Jacksonville"/>
    <n v="404.6"/>
    <n v="5.3"/>
    <n v="685"/>
    <n v="533"/>
    <n v="80"/>
    <n v="0.15"/>
    <n v="533"/>
    <n v="1.79"/>
    <n v="795"/>
    <n v="29255"/>
  </r>
  <r>
    <x v="1356"/>
    <n v="100040"/>
    <s v="FL"/>
    <s v="FL - Duval"/>
    <n v="32204"/>
    <s v="Ascension St Vincents Riverside Hospital"/>
    <s v="Short Term Acute Care Hospital"/>
    <s v="Jacksonville"/>
    <n v="265.60000000000002"/>
    <n v="4.5"/>
    <n v="966"/>
    <n v="479"/>
    <n v="29"/>
    <n v="0.15"/>
    <n v="479"/>
    <n v="2.11"/>
    <n v="796"/>
    <n v="22120"/>
  </r>
  <r>
    <x v="1356"/>
    <n v="100307"/>
    <s v="FL"/>
    <s v="FL - Duval"/>
    <n v="32216"/>
    <s v="Ascension St Vincents Southside Hospital"/>
    <s v="Short Term Acute Care Hospital"/>
    <s v="Jacksonville"/>
    <n v="93.1"/>
    <n v="3.6"/>
    <n v="194"/>
    <n v="260"/>
    <n v="17"/>
    <n v="0.15"/>
    <n v="260"/>
    <n v="1.89"/>
    <n v="797"/>
    <n v="10336"/>
  </r>
  <r>
    <x v="1356"/>
    <s v="100088*"/>
    <s v="FL"/>
    <s v="FL - Duval"/>
    <n v="32258"/>
    <s v="Baptist Medical Center South"/>
    <s v="Short Term Acute Care Hospital"/>
    <s v="Jacksonville"/>
    <m/>
    <m/>
    <m/>
    <m/>
    <m/>
    <m/>
    <n v="192"/>
    <m/>
    <n v="550780"/>
    <m/>
  </r>
  <r>
    <x v="1356"/>
    <n v="100088"/>
    <s v="FL"/>
    <s v="FL - Duval"/>
    <n v="32207"/>
    <s v="Baptist Medical Center Jacksonville (FKA BMC Downtown)"/>
    <s v="Short Term Acute Care Hospital"/>
    <s v="Jacksonville"/>
    <n v="644.5"/>
    <n v="5.0999999999999996"/>
    <n v="1342"/>
    <n v="855"/>
    <n v="120"/>
    <n v="0.15"/>
    <n v="439"/>
    <n v="1.73"/>
    <n v="576749"/>
    <n v="47629"/>
  </r>
  <r>
    <x v="1356"/>
    <m/>
    <s v="FL"/>
    <s v="FL - Duval"/>
    <n v="32218"/>
    <s v="UF Health North"/>
    <s v="Short Term Acute Care Hospital"/>
    <s v="Jacksonville"/>
    <m/>
    <m/>
    <m/>
    <m/>
    <m/>
    <m/>
    <n v="92"/>
    <m/>
    <n v="929413"/>
    <m/>
  </r>
  <r>
    <x v="1356"/>
    <m/>
    <s v="FL"/>
    <s v="FL - Duval"/>
    <n v="32202"/>
    <s v="TIAA Bank Field Hospital (Temporarily Open due to COVID-19)"/>
    <s v="Short Term Acute Care Hospital"/>
    <s v="Jacksonville"/>
    <m/>
    <m/>
    <m/>
    <m/>
    <m/>
    <m/>
    <m/>
    <m/>
    <n v="1012056"/>
    <m/>
  </r>
  <r>
    <x v="1357"/>
    <n v="100025"/>
    <s v="FL"/>
    <s v="FL - Escambia"/>
    <n v="32504"/>
    <s v="Ascension Sacred Heart Hospital Pensacola"/>
    <s v="Short Term Acute Care Hospital"/>
    <s v="Pensacola"/>
    <n v="329.5"/>
    <n v="5.2"/>
    <n v="805"/>
    <n v="561"/>
    <n v="34"/>
    <n v="0.31"/>
    <n v="561"/>
    <n v="1.87"/>
    <n v="798"/>
    <n v="24138"/>
  </r>
  <r>
    <x v="1357"/>
    <n v="100093"/>
    <s v="FL"/>
    <s v="FL - Escambia"/>
    <n v="32501"/>
    <s v="Baptist Hospital"/>
    <s v="Short Term Acute Care Hospital"/>
    <s v="Pensacola"/>
    <n v="197.3"/>
    <n v="5"/>
    <n v="483"/>
    <n v="266"/>
    <n v="25"/>
    <n v="0.31"/>
    <n v="266"/>
    <n v="1.99"/>
    <n v="799"/>
    <n v="15016"/>
  </r>
  <r>
    <x v="1357"/>
    <n v="100231"/>
    <s v="FL"/>
    <s v="FL - Escambia"/>
    <n v="32514"/>
    <s v="West Florida Hospital (AKA West Florida Healthcare)"/>
    <s v="Short Term Acute Care Hospital"/>
    <s v="Pensacola"/>
    <n v="229.2"/>
    <n v="4.5"/>
    <n v="333"/>
    <n v="356"/>
    <n v="26"/>
    <n v="0.31"/>
    <n v="356"/>
    <n v="1.56"/>
    <n v="800"/>
    <n v="19029"/>
  </r>
  <r>
    <x v="1357"/>
    <s v="100025* (Closed)"/>
    <s v="FL"/>
    <s v="FL - Escambia"/>
    <n v="32504"/>
    <s v="Ascension Sacred Heart Womens Hospital (Closed - Absorbed by Sacred Heart Hospital Pensacola)"/>
    <s v="Short Term Acute Care Hospital"/>
    <s v="Pensacola"/>
    <m/>
    <m/>
    <m/>
    <m/>
    <m/>
    <m/>
    <m/>
    <m/>
    <n v="550105"/>
    <m/>
  </r>
  <r>
    <x v="1358"/>
    <n v="100118"/>
    <s v="FL"/>
    <s v="FL - Flagler"/>
    <n v="32164"/>
    <s v="AdventHealth Palm Coast (FKA Florida Hospital Flagler)"/>
    <s v="Short Term Acute Care Hospital"/>
    <s v="Palm Coast"/>
    <n v="89.5"/>
    <n v="4"/>
    <n v="203"/>
    <n v="99"/>
    <n v="18"/>
    <n v="0.21"/>
    <n v="99"/>
    <n v="1.53"/>
    <n v="801"/>
    <n v="8093"/>
  </r>
  <r>
    <x v="1359"/>
    <n v="100298"/>
    <s v="FL"/>
    <s v="FL - Gadsden"/>
    <n v="32324"/>
    <s v="Florida State Hospital"/>
    <s v="Short Term Acute Care Hospital"/>
    <s v="Chattahoochee"/>
    <n v="4.7"/>
    <m/>
    <n v="9"/>
    <n v="24"/>
    <m/>
    <n v="0.61"/>
    <n v="24"/>
    <m/>
    <n v="802"/>
    <m/>
  </r>
  <r>
    <x v="1360"/>
    <n v="100313"/>
    <s v="FL"/>
    <s v="FL - Gulf"/>
    <n v="32456"/>
    <s v="Ascension Sacred Heart Hospital on the Gulf"/>
    <s v="Short Term Acute Care Hospital"/>
    <s v="Port St Joe"/>
    <n v="3.9"/>
    <n v="3.6"/>
    <n v="30"/>
    <n v="19"/>
    <m/>
    <m/>
    <n v="19"/>
    <n v="1.1499999999999999"/>
    <n v="274237"/>
    <n v="396"/>
  </r>
  <r>
    <x v="1361"/>
    <n v="100264"/>
    <s v="FL"/>
    <s v="FL - Hernando"/>
    <n v="34613"/>
    <s v="Oak Hill Hospital"/>
    <s v="Short Term Acute Care Hospital"/>
    <s v="Brooksville"/>
    <n v="235.2"/>
    <n v="4.5999999999999996"/>
    <n v="381"/>
    <n v="280"/>
    <n v="24"/>
    <n v="7.0000000000000007E-2"/>
    <n v="280"/>
    <n v="1.52"/>
    <n v="805"/>
    <n v="19220"/>
  </r>
  <r>
    <x v="1361"/>
    <n v="100071"/>
    <s v="FL"/>
    <s v="FL - Hernando"/>
    <n v="34601"/>
    <s v="Bayfront Health - Brooksville (FKA Brooksville Regional Hospital)"/>
    <s v="Short Term Acute Care Hospital"/>
    <s v="Brooksville"/>
    <n v="106.8"/>
    <n v="3.9"/>
    <n v="112"/>
    <n v="244"/>
    <n v="20"/>
    <n v="7.0000000000000007E-2"/>
    <n v="120"/>
    <n v="1.4"/>
    <n v="806"/>
    <n v="10167"/>
  </r>
  <r>
    <x v="1361"/>
    <s v="100071*"/>
    <s v="FL"/>
    <s v="FL - Hernando"/>
    <n v="34609"/>
    <s v="Bayfront Health - Spring Hill (FKA Spring Hill Regional Hospital)"/>
    <s v="Short Term Acute Care Hospital"/>
    <s v="Spring Hill"/>
    <m/>
    <m/>
    <n v="29"/>
    <m/>
    <m/>
    <m/>
    <n v="124"/>
    <m/>
    <n v="274164"/>
    <m/>
  </r>
  <r>
    <x v="1362"/>
    <n v="100049"/>
    <s v="FL"/>
    <s v="FL - Highlands"/>
    <n v="33870"/>
    <s v="Highlands Regional Medical Center"/>
    <s v="Short Term Acute Care Hospital"/>
    <s v="Sebring"/>
    <n v="33.700000000000003"/>
    <n v="4"/>
    <n v="74"/>
    <n v="110"/>
    <n v="16"/>
    <n v="0.7"/>
    <n v="110"/>
    <n v="1.53"/>
    <n v="807"/>
    <n v="3269"/>
  </r>
  <r>
    <x v="1362"/>
    <n v="100109"/>
    <s v="FL"/>
    <s v="FL - Highlands"/>
    <n v="33871"/>
    <s v="AdventHealth Sebring (FKA Florida Hospital Heartland Medical Center)"/>
    <s v="Short Term Acute Care Hospital"/>
    <s v="Sebring"/>
    <n v="120.3"/>
    <n v="4.2"/>
    <n v="284"/>
    <n v="180"/>
    <n v="22"/>
    <n v="0.7"/>
    <n v="180"/>
    <n v="1.62"/>
    <n v="808"/>
    <n v="10927"/>
  </r>
  <r>
    <x v="1362"/>
    <s v="100109*"/>
    <s v="FL"/>
    <s v="FL - Highlands"/>
    <n v="33852"/>
    <s v="AdventHealth Lake Placid (FKA Florida Hospital Lake Placid)"/>
    <s v="Short Term Acute Care Hospital"/>
    <s v="Lake Placid"/>
    <m/>
    <m/>
    <m/>
    <m/>
    <m/>
    <m/>
    <n v="33"/>
    <m/>
    <n v="577628"/>
    <m/>
  </r>
  <r>
    <x v="1363"/>
    <n v="100128"/>
    <s v="FL"/>
    <s v="FL - Hillsborough"/>
    <n v="33606"/>
    <s v="Tampa General Hospital"/>
    <s v="Short Term Acute Care Hospital"/>
    <s v="Tampa"/>
    <n v="723.1"/>
    <n v="5.8"/>
    <n v="1309"/>
    <n v="920"/>
    <n v="77"/>
    <n v="7.0000000000000007E-2"/>
    <n v="920"/>
    <n v="2.04"/>
    <n v="809"/>
    <n v="47752"/>
  </r>
  <r>
    <x v="1363"/>
    <n v="100132"/>
    <s v="FL"/>
    <s v="FL - Hillsborough"/>
    <n v="33563"/>
    <s v="South Florida Baptist Hospital"/>
    <s v="Short Term Acute Care Hospital"/>
    <s v="Plant City"/>
    <n v="72"/>
    <n v="3.7"/>
    <n v="142"/>
    <n v="147"/>
    <n v="25"/>
    <n v="7.0000000000000007E-2"/>
    <n v="147"/>
    <n v="1.47"/>
    <n v="810"/>
    <n v="7317"/>
  </r>
  <r>
    <x v="1363"/>
    <n v="100243"/>
    <s v="FL"/>
    <s v="FL - Hillsborough"/>
    <n v="33511"/>
    <s v="Brandon Regional Hospital"/>
    <s v="Short Term Acute Care Hospital"/>
    <s v="Brandon"/>
    <n v="246.9"/>
    <n v="4"/>
    <n v="421"/>
    <n v="393"/>
    <n v="54"/>
    <n v="7.0000000000000007E-2"/>
    <n v="393"/>
    <n v="1.63"/>
    <n v="811"/>
    <n v="24027"/>
  </r>
  <r>
    <x v="1363"/>
    <n v="100173"/>
    <s v="FL"/>
    <s v="FL - Hillsborough"/>
    <n v="33613"/>
    <s v="AdventHealth Tampa (FKA Florida Hospital Tampa)"/>
    <s v="Short Term Acute Care Hospital"/>
    <s v="Tampa"/>
    <n v="311.7"/>
    <n v="5.4"/>
    <n v="570"/>
    <n v="506"/>
    <n v="58"/>
    <n v="7.0000000000000007E-2"/>
    <n v="506"/>
    <n v="1.83"/>
    <n v="812"/>
    <n v="21845"/>
  </r>
  <r>
    <x v="1363"/>
    <n v="100206"/>
    <s v="FL"/>
    <s v="FL - Hillsborough"/>
    <n v="33609"/>
    <s v="Memorial Hospital of Tampa (FKA IASIS Memorial Hospital of Tampa)"/>
    <s v="Short Term Acute Care Hospital"/>
    <s v="Tampa"/>
    <n v="44"/>
    <n v="4"/>
    <n v="190"/>
    <n v="147"/>
    <n v="12"/>
    <n v="7.0000000000000007E-2"/>
    <n v="147"/>
    <n v="1.45"/>
    <n v="813"/>
    <n v="4039"/>
  </r>
  <r>
    <x v="1363"/>
    <n v="100075"/>
    <s v="FL"/>
    <s v="FL - Hillsborough"/>
    <n v="33607"/>
    <s v="St Josephs Hospital"/>
    <s v="Short Term Acute Care Hospital"/>
    <s v="Tampa"/>
    <n v="701.8"/>
    <n v="5.3"/>
    <n v="1540"/>
    <n v="1062"/>
    <n v="106"/>
    <n v="7.0000000000000007E-2"/>
    <n v="527"/>
    <n v="1.67"/>
    <n v="814"/>
    <n v="51623"/>
  </r>
  <r>
    <x v="1363"/>
    <n v="100069"/>
    <s v="FL"/>
    <s v="FL - Hillsborough"/>
    <n v="33614"/>
    <s v="AdventHealth Carrollwood (FKA Florida Hospital Carrollwood)"/>
    <s v="Short Term Acute Care Hospital"/>
    <s v="Tampa"/>
    <n v="53.1"/>
    <n v="3.8"/>
    <n v="123"/>
    <n v="103"/>
    <n v="8"/>
    <n v="7.0000000000000007E-2"/>
    <n v="103"/>
    <n v="1.96"/>
    <n v="815"/>
    <n v="5157"/>
  </r>
  <r>
    <x v="1363"/>
    <m/>
    <s v="FL"/>
    <s v="FL - Hillsborough"/>
    <n v="33615"/>
    <s v="Tampa Community Hospital (FKA Town &amp; Country Hospital)"/>
    <s v="Short Term Acute Care Hospital"/>
    <s v="Tampa"/>
    <n v="40.9"/>
    <n v="4.7"/>
    <n v="15"/>
    <n v="182"/>
    <n v="11"/>
    <n v="7.0000000000000007E-2"/>
    <n v="182"/>
    <n v="1.34"/>
    <n v="816"/>
    <n v="3184"/>
  </r>
  <r>
    <x v="1363"/>
    <n v="100259"/>
    <s v="FL"/>
    <s v="FL - Hillsborough"/>
    <n v="33573"/>
    <s v="South Bay Hospital"/>
    <s v="Short Term Acute Care Hospital"/>
    <s v="Sun City Center"/>
    <n v="67.3"/>
    <n v="3.9"/>
    <n v="106"/>
    <n v="138"/>
    <n v="12"/>
    <n v="7.0000000000000007E-2"/>
    <n v="138"/>
    <n v="1.37"/>
    <n v="817"/>
    <n v="6366"/>
  </r>
  <r>
    <x v="1363"/>
    <n v="100271"/>
    <s v="FL"/>
    <s v="FL - Hillsborough"/>
    <n v="33612"/>
    <s v="Moffitt Cancer Center (AKA H Lee Moffitt Cancer Center &amp; Research Institute)"/>
    <s v="Short Term Acute Care Hospital"/>
    <s v="Tampa"/>
    <n v="165.2"/>
    <n v="6.4"/>
    <n v="751"/>
    <n v="206"/>
    <n v="30"/>
    <n v="7.0000000000000007E-2"/>
    <n v="206"/>
    <n v="2.31"/>
    <n v="818"/>
    <n v="9422"/>
  </r>
  <r>
    <x v="1363"/>
    <s v="100075*"/>
    <s v="FL"/>
    <s v="FL - Hillsborough"/>
    <n v="33607"/>
    <s v="St Josephs Womens Hospital"/>
    <s v="Short Term Acute Care Hospital"/>
    <s v="Tampa"/>
    <m/>
    <m/>
    <n v="54"/>
    <m/>
    <m/>
    <m/>
    <n v="157"/>
    <m/>
    <n v="541849"/>
    <m/>
  </r>
  <r>
    <x v="1363"/>
    <s v="100075*"/>
    <s v="FL"/>
    <s v="FL - Hillsborough"/>
    <n v="33558"/>
    <s v="St Josephs Hospital - North"/>
    <s v="Short Term Acute Care Hospital"/>
    <s v="Lutz"/>
    <m/>
    <m/>
    <m/>
    <m/>
    <m/>
    <m/>
    <m/>
    <m/>
    <n v="541850"/>
    <m/>
  </r>
  <r>
    <x v="1363"/>
    <s v="100173*"/>
    <s v="FL"/>
    <s v="FL - Hillsborough"/>
    <n v="33613"/>
    <s v="AdventHealth Pepin Heart Institute (FKA Florida Hospital Pepin Heart Institute)"/>
    <s v="Short Term Acute Care Hospital"/>
    <s v="Tampa"/>
    <m/>
    <m/>
    <m/>
    <m/>
    <m/>
    <m/>
    <m/>
    <m/>
    <n v="553328"/>
    <m/>
  </r>
  <r>
    <x v="1363"/>
    <s v="100075*"/>
    <s v="FL"/>
    <s v="FL - Hillsborough"/>
    <n v="33578"/>
    <s v="St Josephs Hospital - South"/>
    <s v="Short Term Acute Care Hospital"/>
    <s v="Riverview"/>
    <m/>
    <m/>
    <m/>
    <m/>
    <m/>
    <m/>
    <n v="90"/>
    <m/>
    <n v="577765"/>
    <m/>
  </r>
  <r>
    <x v="1363"/>
    <m/>
    <s v="FL"/>
    <s v="FL - Hillsborough"/>
    <n v="33549"/>
    <s v="Morton Plant North Bay Hospital Recovery Center"/>
    <s v="Short Term Acute Care Hospital"/>
    <s v="Lutz"/>
    <m/>
    <m/>
    <m/>
    <m/>
    <m/>
    <m/>
    <n v="72"/>
    <m/>
    <n v="968533"/>
    <m/>
  </r>
  <r>
    <x v="1364"/>
    <n v="100105"/>
    <s v="FL"/>
    <s v="FL - Indian River"/>
    <n v="32960"/>
    <s v="Cleveland Clinic Indian River Hospital (FKA Indian River Medical Center)"/>
    <s v="Short Term Acute Care Hospital"/>
    <s v="Vero Beach"/>
    <n v="151.80000000000001"/>
    <n v="4.2"/>
    <n v="437"/>
    <n v="310"/>
    <n v="24"/>
    <n v="0.57999999999999996"/>
    <n v="310"/>
    <n v="1.75"/>
    <n v="821"/>
    <n v="13462"/>
  </r>
  <r>
    <x v="1364"/>
    <n v="100217"/>
    <s v="FL"/>
    <s v="FL - Indian River"/>
    <n v="32958"/>
    <s v="Sebastian River Medical Center"/>
    <s v="Short Term Acute Care Hospital"/>
    <s v="Sebastian"/>
    <n v="56.9"/>
    <n v="4.4000000000000004"/>
    <n v="145"/>
    <n v="121"/>
    <n v="16"/>
    <n v="0.57999999999999996"/>
    <n v="121"/>
    <n v="1.58"/>
    <n v="822"/>
    <n v="4738"/>
  </r>
  <r>
    <x v="107"/>
    <n v="100142"/>
    <s v="FL"/>
    <s v="FL - Jackson"/>
    <n v="32446"/>
    <s v="Jackson Hospital"/>
    <s v="Short Term Acute Care Hospital"/>
    <s v="Marianna"/>
    <n v="34.700000000000003"/>
    <n v="5.2"/>
    <n v="84"/>
    <n v="66"/>
    <n v="7"/>
    <m/>
    <n v="66"/>
    <n v="1.2"/>
    <n v="823"/>
    <n v="2567"/>
  </r>
  <r>
    <x v="1365"/>
    <n v="100290"/>
    <s v="FL"/>
    <s v="FL - Lake"/>
    <n v="32159"/>
    <s v="UF Health the Villages Hospital (FKA the Villages Regional Hospital)"/>
    <s v="Short Term Acute Care Hospital"/>
    <s v="The Villages"/>
    <n v="161.6"/>
    <n v="4.5999999999999996"/>
    <n v="260"/>
    <n v="277"/>
    <n v="56"/>
    <n v="0.24"/>
    <n v="277"/>
    <n v="1.52"/>
    <n v="825"/>
    <n v="12745"/>
  </r>
  <r>
    <x v="1365"/>
    <n v="100084"/>
    <s v="FL"/>
    <s v="FL - Lake"/>
    <n v="34748"/>
    <s v="UF Health Leesburg Hospital (FKA Leesburg Regional Medical Center)"/>
    <s v="Short Term Acute Care Hospital"/>
    <s v="Leesburg"/>
    <n v="182.7"/>
    <n v="4.8"/>
    <n v="236"/>
    <n v="308"/>
    <n v="46"/>
    <n v="0.24"/>
    <n v="308"/>
    <n v="1.78"/>
    <n v="826"/>
    <n v="13986"/>
  </r>
  <r>
    <x v="1365"/>
    <n v="100057"/>
    <s v="FL"/>
    <s v="FL - Lake"/>
    <n v="32778"/>
    <s v="AdventHealth Waterman (FKA Florida Hospital Waterman)"/>
    <s v="Short Term Acute Care Hospital"/>
    <s v="Tavares"/>
    <n v="175.2"/>
    <n v="4.3"/>
    <n v="302"/>
    <n v="269"/>
    <m/>
    <n v="0.24"/>
    <n v="269"/>
    <n v="1.74"/>
    <n v="827"/>
    <n v="15150"/>
  </r>
  <r>
    <x v="1365"/>
    <n v="100051"/>
    <s v="FL"/>
    <s v="FL - Lake"/>
    <n v="34711"/>
    <s v="Orlando Health South Lake Hospital"/>
    <s v="Short Term Acute Care Hospital"/>
    <s v="Clermont"/>
    <n v="122.1"/>
    <n v="3.2"/>
    <n v="349"/>
    <n v="140"/>
    <n v="16"/>
    <n v="0.24"/>
    <n v="140"/>
    <n v="1.4"/>
    <n v="828"/>
    <n v="14409"/>
  </r>
  <r>
    <x v="1366"/>
    <n v="100107"/>
    <s v="FL"/>
    <s v="FL - Lee"/>
    <n v="33936"/>
    <s v="Lehigh Regional Medical Center"/>
    <s v="Short Term Acute Care Hospital"/>
    <s v="Lehigh Acres"/>
    <n v="25.9"/>
    <n v="3.8"/>
    <n v="62"/>
    <n v="78"/>
    <n v="8"/>
    <n v="0.43"/>
    <n v="78"/>
    <n v="1.83"/>
    <n v="829"/>
    <n v="2473"/>
  </r>
  <r>
    <x v="1366"/>
    <n v="100012"/>
    <s v="FL"/>
    <s v="FL - Lee"/>
    <n v="33901"/>
    <s v="Lee Memorial Hospital"/>
    <s v="Short Term Acute Care Hospital"/>
    <s v="Fort Myers"/>
    <n v="536.1"/>
    <n v="4.8"/>
    <n v="1120"/>
    <n v="754"/>
    <n v="75"/>
    <n v="0.43"/>
    <n v="355"/>
    <n v="1.81"/>
    <n v="830"/>
    <n v="42141"/>
  </r>
  <r>
    <x v="1366"/>
    <n v="100220"/>
    <s v="FL"/>
    <s v="FL - Lee"/>
    <n v="33912"/>
    <s v="Gulf Coast Medical Center"/>
    <s v="Short Term Acute Care Hospital"/>
    <s v="Fort Myers"/>
    <n v="272.60000000000002"/>
    <n v="4.5"/>
    <n v="333"/>
    <n v="356"/>
    <n v="36"/>
    <n v="0.43"/>
    <n v="356"/>
    <n v="1.81"/>
    <n v="831"/>
    <n v="21995"/>
  </r>
  <r>
    <x v="1366"/>
    <n v="100244"/>
    <s v="FL"/>
    <s v="FL - Lee"/>
    <n v="33990"/>
    <s v="Cape Coral Hospital"/>
    <s v="Short Term Acute Care Hospital"/>
    <s v="Cape Coral"/>
    <n v="188.5"/>
    <n v="4.2"/>
    <n v="702"/>
    <n v="291"/>
    <n v="22"/>
    <n v="0.43"/>
    <n v="291"/>
    <n v="1.52"/>
    <n v="832"/>
    <n v="16413"/>
  </r>
  <r>
    <x v="1366"/>
    <s v="100012*"/>
    <s v="FL"/>
    <s v="FL - Lee"/>
    <n v="33908"/>
    <s v="HealthPark Medical Center"/>
    <s v="Short Term Acute Care Hospital"/>
    <s v="Fort Myers"/>
    <m/>
    <m/>
    <m/>
    <m/>
    <m/>
    <m/>
    <n v="368"/>
    <m/>
    <n v="553347"/>
    <m/>
  </r>
  <r>
    <x v="1367"/>
    <n v="100254"/>
    <s v="FL"/>
    <s v="FL - Leon"/>
    <n v="32308"/>
    <s v="Capital Regional Medical Center"/>
    <s v="Short Term Acute Care Hospital"/>
    <s v="Tallahassee"/>
    <n v="173.9"/>
    <n v="4"/>
    <n v="235"/>
    <n v="266"/>
    <n v="20"/>
    <n v="0.61"/>
    <n v="266"/>
    <n v="1.48"/>
    <n v="833"/>
    <n v="16269"/>
  </r>
  <r>
    <x v="1367"/>
    <n v="100135"/>
    <s v="FL"/>
    <s v="FL - Leon"/>
    <n v="32308"/>
    <s v="Tallahassee Memorial HealthCare"/>
    <s v="Short Term Acute Care Hospital"/>
    <s v="Tallahassee"/>
    <n v="336.4"/>
    <n v="4.4000000000000004"/>
    <n v="855"/>
    <n v="386"/>
    <n v="30"/>
    <n v="0.61"/>
    <n v="386"/>
    <n v="1.87"/>
    <n v="834"/>
    <n v="29878"/>
  </r>
  <r>
    <x v="1368"/>
    <s v="100322 (Closed)"/>
    <s v="FL"/>
    <s v="FL - Levy"/>
    <n v="32696"/>
    <s v="Regional General Hospital (FKA Tri - County Hospital Williston - Closed)"/>
    <s v="Short Term Acute Care Hospital"/>
    <s v="Williston"/>
    <n v="2"/>
    <n v="3.8"/>
    <m/>
    <m/>
    <m/>
    <n v="0.62"/>
    <m/>
    <n v="0.85"/>
    <n v="835"/>
    <n v="198"/>
  </r>
  <r>
    <x v="1369"/>
    <n v="100213"/>
    <s v="FL"/>
    <s v="FL - Manatee"/>
    <n v="34209"/>
    <s v="Blake Medical Center"/>
    <s v="Short Term Acute Care Hospital"/>
    <s v="Bradenton"/>
    <n v="205.7"/>
    <n v="4.9000000000000004"/>
    <n v="313"/>
    <n v="355"/>
    <n v="43"/>
    <n v="0.27"/>
    <n v="355"/>
    <n v="1.64"/>
    <n v="836"/>
    <n v="13892"/>
  </r>
  <r>
    <x v="1369"/>
    <n v="100035"/>
    <s v="FL"/>
    <s v="FL - Manatee"/>
    <n v="34208"/>
    <s v="Manatee Memorial Hospital"/>
    <s v="Short Term Acute Care Hospital"/>
    <s v="Bradenton"/>
    <n v="211.3"/>
    <n v="4.3"/>
    <n v="352"/>
    <n v="295"/>
    <n v="35"/>
    <n v="0.27"/>
    <n v="295"/>
    <n v="1.8"/>
    <n v="837"/>
    <n v="18448"/>
  </r>
  <r>
    <x v="1369"/>
    <n v="100299"/>
    <s v="FL"/>
    <s v="FL - Manatee"/>
    <n v="34202"/>
    <s v="Lakewood Ranch Medical Center"/>
    <s v="Short Term Acute Care Hospital"/>
    <s v="Bradenton"/>
    <n v="63.8"/>
    <n v="3.8"/>
    <n v="188"/>
    <n v="120"/>
    <n v="20"/>
    <n v="0.27"/>
    <n v="120"/>
    <n v="1.67"/>
    <n v="838"/>
    <n v="6417"/>
  </r>
  <r>
    <x v="1370"/>
    <n v="100062"/>
    <s v="FL"/>
    <s v="FL - Marion"/>
    <n v="34471"/>
    <s v="AdventHealth Ocala (FKA Florida Hospital Ocala)"/>
    <s v="Short Term Acute Care Hospital"/>
    <s v="Ocala"/>
    <n v="215"/>
    <n v="4.3"/>
    <n v="420"/>
    <n v="425"/>
    <n v="44"/>
    <n v="0.54"/>
    <n v="425"/>
    <n v="1.81"/>
    <n v="839"/>
    <n v="19306"/>
  </r>
  <r>
    <x v="1370"/>
    <n v="100212"/>
    <s v="FL"/>
    <s v="FL - Marion"/>
    <n v="34471"/>
    <s v="Ocala Regional Medical Center"/>
    <s v="Short Term Acute Care Hospital"/>
    <s v="Ocala"/>
    <n v="375.5"/>
    <n v="4.5"/>
    <n v="491"/>
    <n v="430"/>
    <n v="66"/>
    <n v="0.54"/>
    <n v="200"/>
    <n v="1.74"/>
    <n v="840"/>
    <n v="27527"/>
  </r>
  <r>
    <x v="1370"/>
    <s v="100212*"/>
    <s v="FL"/>
    <s v="FL - Marion"/>
    <n v="34474"/>
    <s v="West Marion Community Hospital"/>
    <s v="Short Term Acute Care Hospital"/>
    <s v="Ocala"/>
    <m/>
    <m/>
    <m/>
    <m/>
    <m/>
    <m/>
    <n v="70"/>
    <m/>
    <n v="542236"/>
    <m/>
  </r>
  <r>
    <x v="1371"/>
    <n v="100044"/>
    <s v="FL"/>
    <s v="FL - Martin"/>
    <n v="34994"/>
    <s v="Cleveland Clinic Martin North Hospital (FKA Martin Medical Center)"/>
    <s v="Short Term Acute Care Hospital"/>
    <s v="Stuart"/>
    <n v="316.89999999999998"/>
    <n v="4.5999999999999996"/>
    <n v="858"/>
    <n v="521"/>
    <n v="57"/>
    <n v="0.36"/>
    <n v="244"/>
    <n v="1.58"/>
    <n v="841"/>
    <n v="26870"/>
  </r>
  <r>
    <x v="1371"/>
    <s v="100044*"/>
    <s v="FL"/>
    <s v="FL - Martin"/>
    <n v="34997"/>
    <s v="Cleveland Clinic Martin South Hospital (FKA Martin Hospital South)"/>
    <s v="Short Term Acute Care Hospital"/>
    <s v="Stuart"/>
    <m/>
    <m/>
    <m/>
    <m/>
    <m/>
    <m/>
    <n v="100"/>
    <m/>
    <n v="7145"/>
    <m/>
  </r>
  <r>
    <x v="1372"/>
    <n v="100034"/>
    <s v="FL"/>
    <s v="FL - Miami-dade"/>
    <n v="33140"/>
    <s v="Mount Sinai Medical Center (FL)"/>
    <s v="Short Term Acute Care Hospital"/>
    <s v="Miami Beach"/>
    <n v="266.3"/>
    <n v="4.5999999999999996"/>
    <n v="670"/>
    <n v="473"/>
    <n v="72"/>
    <n v="0.04"/>
    <n v="473"/>
    <n v="1.78"/>
    <n v="842"/>
    <n v="22517"/>
  </r>
  <r>
    <x v="1372"/>
    <n v="100050"/>
    <s v="FL"/>
    <s v="FL - Miami-dade"/>
    <n v="33012"/>
    <s v="Larkin Community Hospital - Palm Springs Campus (FKA Palm Springs General Hospital)"/>
    <s v="Short Term Acute Care Hospital"/>
    <s v="Hialeah"/>
    <n v="51.3"/>
    <n v="5.5"/>
    <n v="154"/>
    <n v="119"/>
    <n v="14"/>
    <n v="0.04"/>
    <n v="119"/>
    <n v="1.32"/>
    <n v="843"/>
    <n v="3979"/>
  </r>
  <r>
    <x v="1372"/>
    <n v="100029"/>
    <s v="FL"/>
    <s v="FL - Miami-dade"/>
    <n v="33150"/>
    <s v="North Shore Medical Center"/>
    <s v="Short Term Acute Care Hospital"/>
    <s v="Miami"/>
    <n v="287.89999999999998"/>
    <n v="4.7"/>
    <n v="247"/>
    <n v="748"/>
    <n v="58"/>
    <n v="0.04"/>
    <n v="305"/>
    <n v="1.55"/>
    <n v="844"/>
    <n v="23084"/>
  </r>
  <r>
    <x v="1372"/>
    <n v="100022"/>
    <s v="FL"/>
    <s v="FL - Miami-dade"/>
    <n v="33136"/>
    <s v="Jackson Memorial Hospital"/>
    <s v="Short Term Acute Care Hospital"/>
    <s v="Miami"/>
    <n v="974.7"/>
    <n v="6.3"/>
    <n v="1005"/>
    <n v="1622"/>
    <n v="26"/>
    <n v="0.04"/>
    <n v="1622"/>
    <n v="2"/>
    <n v="845"/>
    <n v="57870"/>
  </r>
  <r>
    <x v="1372"/>
    <n v="100008"/>
    <s v="FL"/>
    <s v="FL - Miami-dade"/>
    <n v="33176"/>
    <s v="Baptist Hospital"/>
    <s v="Short Term Acute Care Hospital"/>
    <s v="Miami"/>
    <n v="514.20000000000005"/>
    <n v="6.4"/>
    <n v="1280"/>
    <n v="705"/>
    <n v="40"/>
    <n v="0.04"/>
    <n v="705"/>
    <n v="1.85"/>
    <n v="846"/>
    <n v="30607"/>
  </r>
  <r>
    <x v="1372"/>
    <s v="100079*"/>
    <s v="FL"/>
    <s v="FL - Miami-dade"/>
    <n v="33136"/>
    <s v="UHealth Tower"/>
    <s v="Short Term Acute Care Hospital"/>
    <s v="Miami"/>
    <m/>
    <m/>
    <n v="200"/>
    <m/>
    <m/>
    <m/>
    <m/>
    <m/>
    <n v="847"/>
    <m/>
  </r>
  <r>
    <x v="1372"/>
    <n v="100053"/>
    <s v="FL"/>
    <s v="FL - Miami-dade"/>
    <n v="33013"/>
    <s v="Hialeah Hospital"/>
    <s v="Short Term Acute Care Hospital"/>
    <s v="Hialeah"/>
    <n v="133.6"/>
    <n v="4"/>
    <n v="156"/>
    <n v="362"/>
    <n v="21"/>
    <n v="0.04"/>
    <n v="362"/>
    <n v="1.32"/>
    <n v="848"/>
    <n v="12735"/>
  </r>
  <r>
    <x v="1372"/>
    <s v="100167*"/>
    <s v="FL"/>
    <s v="FL - Miami-dade"/>
    <n v="33133"/>
    <s v="Mercy Hospital"/>
    <s v="Short Term Acute Care Hospital"/>
    <s v="Miami"/>
    <m/>
    <m/>
    <n v="74"/>
    <m/>
    <m/>
    <m/>
    <n v="488"/>
    <m/>
    <n v="849"/>
    <m/>
  </r>
  <r>
    <x v="1372"/>
    <s v="100076 (Closed)"/>
    <s v="FL"/>
    <s v="FL - Miami-dade"/>
    <n v="33126"/>
    <s v="Metropolitan Hospital of Miami (Closed May 2014)"/>
    <s v="Short Term Acute Care Hospital"/>
    <s v="Miami"/>
    <n v="48.1"/>
    <n v="4.4000000000000004"/>
    <m/>
    <m/>
    <m/>
    <n v="0.04"/>
    <m/>
    <m/>
    <n v="850"/>
    <n v="3982"/>
  </r>
  <r>
    <x v="1372"/>
    <n v="100209"/>
    <s v="FL"/>
    <s v="FL - Miami-dade"/>
    <n v="33175"/>
    <s v="Kendall Regional Medical Center"/>
    <s v="Short Term Acute Care Hospital"/>
    <s v="Miami"/>
    <n v="289.3"/>
    <n v="5.0999999999999996"/>
    <n v="395"/>
    <n v="394"/>
    <n v="52"/>
    <n v="0.04"/>
    <n v="394"/>
    <n v="1.88"/>
    <n v="852"/>
    <n v="21569"/>
  </r>
  <r>
    <x v="1372"/>
    <n v="100181"/>
    <s v="FL"/>
    <s v="FL - Miami-dade"/>
    <n v="33143"/>
    <s v="Larkin Community Hospital - South Miami Campus"/>
    <s v="Short Term Acute Care Hospital"/>
    <s v="South Miami"/>
    <n v="70.099999999999994"/>
    <n v="6.2"/>
    <n v="208"/>
    <n v="111"/>
    <n v="8"/>
    <n v="0.04"/>
    <n v="111"/>
    <n v="1.4"/>
    <n v="853"/>
    <n v="4124"/>
  </r>
  <r>
    <x v="1372"/>
    <n v="100183"/>
    <s v="FL"/>
    <s v="FL - Miami-dade"/>
    <n v="33134"/>
    <s v="Coral Gables Hospital"/>
    <s v="Short Term Acute Care Hospital"/>
    <s v="Coral Gables"/>
    <n v="80.3"/>
    <n v="3.7"/>
    <n v="217"/>
    <n v="245"/>
    <n v="16"/>
    <n v="0.04"/>
    <n v="245"/>
    <n v="1.3"/>
    <n v="854"/>
    <n v="7861"/>
  </r>
  <r>
    <x v="1372"/>
    <n v="100187"/>
    <s v="FL"/>
    <s v="FL - Miami-dade"/>
    <n v="33016"/>
    <s v="Palmetto General Hospital"/>
    <s v="Short Term Acute Care Hospital"/>
    <s v="Hialeah"/>
    <n v="205.4"/>
    <n v="4"/>
    <n v="332"/>
    <n v="367"/>
    <n v="57"/>
    <n v="0.04"/>
    <n v="367"/>
    <n v="1.62"/>
    <n v="855"/>
    <n v="19282"/>
  </r>
  <r>
    <x v="1372"/>
    <s v="100079*"/>
    <s v="FL"/>
    <s v="FL - Miami-dade"/>
    <n v="33136"/>
    <s v="Bascom Palmer Eye Institute (FKA Anne Bates Leach Eye Hospital)"/>
    <s v="Short Term Acute Care Hospital"/>
    <s v="Miami"/>
    <m/>
    <m/>
    <n v="8"/>
    <m/>
    <m/>
    <m/>
    <m/>
    <m/>
    <n v="856"/>
    <m/>
  </r>
  <r>
    <x v="1372"/>
    <n v="100125"/>
    <s v="FL"/>
    <s v="FL - Miami-dade"/>
    <n v="33033"/>
    <s v="Homestead Hospital"/>
    <s v="Short Term Acute Care Hospital"/>
    <s v="Homestead"/>
    <n v="82.4"/>
    <n v="4.2"/>
    <n v="203"/>
    <n v="147"/>
    <n v="16"/>
    <n v="0.04"/>
    <n v="147"/>
    <n v="1.51"/>
    <n v="857"/>
    <n v="7727"/>
  </r>
  <r>
    <x v="1372"/>
    <n v="100154"/>
    <s v="FL"/>
    <s v="FL - Miami-dade"/>
    <n v="33143"/>
    <s v="South Miami Hospital"/>
    <s v="Short Term Acute Care Hospital"/>
    <s v="Miami"/>
    <n v="194.2"/>
    <n v="5.6"/>
    <n v="528"/>
    <n v="436"/>
    <n v="28"/>
    <n v="0.04"/>
    <n v="436"/>
    <n v="1.7"/>
    <n v="858"/>
    <n v="13935"/>
  </r>
  <r>
    <x v="1372"/>
    <n v="100131"/>
    <s v="FL"/>
    <s v="FL - Miami-dade"/>
    <n v="33180"/>
    <s v="Aventura Hospital and Medical Center"/>
    <s v="Short Term Acute Care Hospital"/>
    <s v="Aventura"/>
    <n v="255.4"/>
    <n v="5.3"/>
    <n v="363"/>
    <n v="351"/>
    <n v="77"/>
    <n v="0.04"/>
    <n v="351"/>
    <n v="1.69"/>
    <n v="859"/>
    <n v="17469"/>
  </r>
  <r>
    <x v="1372"/>
    <n v="100296"/>
    <s v="FL"/>
    <s v="FL - Miami-dade"/>
    <n v="33146"/>
    <s v="Doctors Hospital"/>
    <s v="Short Term Acute Care Hospital"/>
    <s v="Coral Gables"/>
    <n v="66.7"/>
    <n v="4.3"/>
    <n v="168"/>
    <n v="281"/>
    <n v="12"/>
    <n v="0.04"/>
    <n v="281"/>
    <n v="1.5"/>
    <n v="860"/>
    <n v="5666"/>
  </r>
  <r>
    <x v="1372"/>
    <n v="100284"/>
    <s v="FL"/>
    <s v="FL - Miami-dade"/>
    <n v="33155"/>
    <s v="Westchester General Hospital"/>
    <s v="Short Term Acute Care Hospital"/>
    <s v="Miami"/>
    <n v="41.8"/>
    <n v="4.9000000000000004"/>
    <n v="62"/>
    <n v="98"/>
    <n v="8"/>
    <n v="0.04"/>
    <n v="125"/>
    <n v="1.18"/>
    <n v="862"/>
    <n v="3099"/>
  </r>
  <r>
    <x v="1372"/>
    <n v="100277"/>
    <s v="FL"/>
    <s v="FL - Miami-dade"/>
    <n v="33137"/>
    <s v="Douglas Gardens Hospital (AKA Miami Jewish Health Systems)"/>
    <s v="Short Term Acute Care Hospital"/>
    <s v="Miami"/>
    <n v="4"/>
    <n v="5"/>
    <n v="36"/>
    <n v="32"/>
    <m/>
    <n v="0.04"/>
    <n v="32"/>
    <n v="0.93"/>
    <n v="863"/>
    <n v="295"/>
  </r>
  <r>
    <x v="1372"/>
    <s v="100022*"/>
    <s v="FL"/>
    <s v="FL - Miami-dade"/>
    <n v="33157"/>
    <s v="Jackson South Medical Center"/>
    <s v="Short Term Acute Care Hospital"/>
    <s v="Miami"/>
    <m/>
    <m/>
    <m/>
    <m/>
    <m/>
    <m/>
    <n v="262"/>
    <m/>
    <n v="274136"/>
    <m/>
  </r>
  <r>
    <x v="1372"/>
    <s v="100022*"/>
    <s v="FL"/>
    <s v="FL - Miami-dade"/>
    <n v="33169"/>
    <s v="Jackson North Medical Center"/>
    <s v="Short Term Acute Care Hospital"/>
    <s v="Miami"/>
    <m/>
    <m/>
    <n v="59"/>
    <m/>
    <m/>
    <m/>
    <n v="382"/>
    <m/>
    <n v="274137"/>
    <m/>
  </r>
  <r>
    <x v="1372"/>
    <n v="100314"/>
    <s v="FL"/>
    <s v="FL - Miami-dade"/>
    <n v="33196"/>
    <s v="West Kendall Baptist Hospital"/>
    <s v="Short Term Acute Care Hospital"/>
    <s v="Miami"/>
    <n v="85.5"/>
    <n v="4.2"/>
    <n v="145"/>
    <n v="133"/>
    <n v="12"/>
    <n v="0.04"/>
    <n v="133"/>
    <n v="1.46"/>
    <n v="550796"/>
    <n v="8006"/>
  </r>
  <r>
    <x v="1372"/>
    <m/>
    <s v="FL"/>
    <s v="FL - Miami-dade"/>
    <n v="33034"/>
    <s v="South Florida Evaluation &amp; Treatment Center"/>
    <s v="Short Term Acute Care Hospital"/>
    <s v="Florida City"/>
    <m/>
    <m/>
    <m/>
    <m/>
    <m/>
    <m/>
    <n v="238"/>
    <m/>
    <n v="581754"/>
    <m/>
  </r>
  <r>
    <x v="1372"/>
    <m/>
    <s v="FL"/>
    <s v="FL - Miami-dade"/>
    <n v="33122"/>
    <s v="Jose Milton Memorial Hospital (AKA Jackson West - Opening late 2020)"/>
    <s v="Short Term Acute Care Hospital"/>
    <s v="Doral"/>
    <m/>
    <m/>
    <m/>
    <m/>
    <m/>
    <m/>
    <n v="100"/>
    <m/>
    <n v="825644"/>
    <m/>
  </r>
  <r>
    <x v="1372"/>
    <s v="100328 (Closed)"/>
    <s v="FL"/>
    <s v="FL - Miami-dade"/>
    <n v="33126"/>
    <s v="The Miami Medical Center (Closed)"/>
    <s v="Short Term Acute Care Hospital"/>
    <s v="Miami"/>
    <m/>
    <m/>
    <m/>
    <m/>
    <m/>
    <m/>
    <m/>
    <m/>
    <n v="856224"/>
    <m/>
  </r>
  <r>
    <x v="1372"/>
    <m/>
    <s v="FL"/>
    <s v="FL - Miami-dade"/>
    <n v="33165"/>
    <s v="Miami Dade Fair Grounds Field Hospital (Temporarily Open due to COVID-19)"/>
    <s v="Short Term Acute Care Hospital"/>
    <s v="Miami"/>
    <m/>
    <m/>
    <m/>
    <m/>
    <m/>
    <m/>
    <m/>
    <m/>
    <n v="1012055"/>
    <m/>
  </r>
  <r>
    <x v="1372"/>
    <m/>
    <s v="FL"/>
    <s v="FL - Miami-dade"/>
    <n v="33139"/>
    <s v="Miami Beach Convention Center Field Hospital (Temporarily Open due to COVID-19)"/>
    <s v="Short Term Acute Care Hospital"/>
    <s v="Miami Beach"/>
    <m/>
    <m/>
    <m/>
    <m/>
    <m/>
    <m/>
    <m/>
    <m/>
    <n v="1012823"/>
    <m/>
  </r>
  <r>
    <x v="1372"/>
    <n v="100079"/>
    <s v="FL"/>
    <s v="FL - Miami-dade"/>
    <n v="33136"/>
    <s v="Sylvester Comprehensive Cancer Center"/>
    <s v="Short Term Acute Care Hospital"/>
    <s v="Miami"/>
    <n v="303.60000000000002"/>
    <n v="5.9"/>
    <n v="1151"/>
    <n v="524"/>
    <n v="23"/>
    <n v="0.04"/>
    <n v="524"/>
    <n v="1.9"/>
    <n v="851"/>
    <n v="18851"/>
  </r>
  <r>
    <x v="109"/>
    <n v="100150"/>
    <s v="FL"/>
    <s v="FL - Monroe"/>
    <n v="33040"/>
    <s v="Lower Keys Medical Center"/>
    <s v="Short Term Acute Care Hospital"/>
    <s v="Key West"/>
    <n v="27.6"/>
    <n v="3.9"/>
    <n v="103"/>
    <n v="99"/>
    <n v="9"/>
    <n v="0.44"/>
    <n v="99"/>
    <n v="1.47"/>
    <n v="864"/>
    <n v="2784"/>
  </r>
  <r>
    <x v="1373"/>
    <n v="100140"/>
    <s v="FL"/>
    <s v="FL - Nassau"/>
    <n v="32034"/>
    <s v="Baptist Medical Center Nassau"/>
    <s v="Short Term Acute Care Hospital"/>
    <s v="Fernandina Beach"/>
    <n v="29.9"/>
    <n v="3.1"/>
    <n v="125"/>
    <n v="54"/>
    <m/>
    <n v="0.15"/>
    <n v="54"/>
    <n v="1.34"/>
    <n v="867"/>
    <n v="3700"/>
  </r>
  <r>
    <x v="1374"/>
    <n v="100122"/>
    <s v="FL"/>
    <s v="FL - Okaloosa"/>
    <n v="32539"/>
    <s v="North Okaloosa Medical Center"/>
    <s v="Short Term Acute Care Hospital"/>
    <s v="Crestview"/>
    <n v="55.5"/>
    <n v="4.0999999999999996"/>
    <n v="110"/>
    <n v="110"/>
    <n v="20"/>
    <n v="0.34"/>
    <n v="110"/>
    <n v="1.6"/>
    <n v="868"/>
    <n v="5130"/>
  </r>
  <r>
    <x v="1374"/>
    <n v="100223"/>
    <s v="FL"/>
    <s v="FL - Okaloosa"/>
    <n v="32547"/>
    <s v="Fort Walton Beach Medical Center"/>
    <s v="Short Term Acute Care Hospital"/>
    <s v="Fort Walton Beach"/>
    <n v="162.19999999999999"/>
    <n v="5"/>
    <n v="319"/>
    <n v="189"/>
    <n v="23"/>
    <n v="0.34"/>
    <n v="189"/>
    <n v="1.79"/>
    <n v="869"/>
    <n v="12172"/>
  </r>
  <r>
    <x v="1374"/>
    <n v="100054"/>
    <s v="FL"/>
    <s v="FL - Okaloosa"/>
    <n v="32578"/>
    <s v="Twin Cities Hospital"/>
    <s v="Short Term Acute Care Hospital"/>
    <s v="Niceville"/>
    <n v="23.3"/>
    <n v="3.7"/>
    <n v="84"/>
    <n v="65"/>
    <n v="8"/>
    <n v="0.34"/>
    <n v="65"/>
    <n v="1.47"/>
    <n v="870"/>
    <n v="2282"/>
  </r>
  <r>
    <x v="1375"/>
    <n v="100252"/>
    <s v="FL"/>
    <s v="FL - Okeechobee"/>
    <n v="34972"/>
    <s v="Raulerson Hospital"/>
    <s v="Short Term Acute Care Hospital"/>
    <s v="Okeechobee"/>
    <n v="47.5"/>
    <n v="4"/>
    <n v="95"/>
    <n v="100"/>
    <n v="8"/>
    <n v="1"/>
    <n v="100"/>
    <n v="1.31"/>
    <n v="871"/>
    <n v="4383"/>
  </r>
  <r>
    <x v="1376"/>
    <n v="100006"/>
    <s v="FL"/>
    <s v="FL - Orange"/>
    <n v="32806"/>
    <s v="Orlando Health Orlando Regional Medical Center"/>
    <s v="Short Term Acute Care Hospital"/>
    <s v="Orlando"/>
    <n v="1027"/>
    <n v="4.4000000000000004"/>
    <n v="1675"/>
    <n v="1468"/>
    <n v="71"/>
    <n v="0.24"/>
    <n v="808"/>
    <n v="1.89"/>
    <n v="872"/>
    <n v="92416"/>
  </r>
  <r>
    <x v="1376"/>
    <n v="100007"/>
    <s v="FL"/>
    <s v="FL - Orange"/>
    <n v="32803"/>
    <s v="AdventHealth Orlando (FKA Florida Hospital Orlando)"/>
    <s v="Short Term Acute Care Hospital"/>
    <s v="Orlando"/>
    <n v="1740.4"/>
    <n v="5.0999999999999996"/>
    <n v="3472"/>
    <n v="2753"/>
    <n v="221"/>
    <n v="0.24"/>
    <n v="2753"/>
    <n v="1.9"/>
    <n v="873"/>
    <n v="128501"/>
  </r>
  <r>
    <x v="1376"/>
    <n v="100030"/>
    <s v="FL"/>
    <s v="FL - Orange"/>
    <n v="34761"/>
    <s v="Orlando Health - Health Central Hospital"/>
    <s v="Short Term Acute Care Hospital"/>
    <s v="Ocoee"/>
    <n v="153.6"/>
    <n v="4.0999999999999996"/>
    <n v="212"/>
    <n v="211"/>
    <n v="14"/>
    <n v="0.24"/>
    <n v="211"/>
    <n v="1.55"/>
    <n v="874"/>
    <n v="13520"/>
  </r>
  <r>
    <x v="1376"/>
    <s v="100006*"/>
    <s v="FL"/>
    <s v="FL - Orange"/>
    <n v="32806"/>
    <s v="Orlando Health Winnie Palmer Hospital for Women and Babies"/>
    <s v="Short Term Acute Care Hospital"/>
    <s v="Orlando"/>
    <m/>
    <m/>
    <n v="4"/>
    <m/>
    <m/>
    <m/>
    <n v="285"/>
    <m/>
    <n v="7270"/>
    <m/>
  </r>
  <r>
    <x v="1376"/>
    <s v="100006*"/>
    <s v="FL"/>
    <s v="FL - Orange"/>
    <n v="32819"/>
    <s v="Orlando Health Dr P Phillips Hospital"/>
    <s v="Short Term Acute Care Hospital"/>
    <s v="Orlando"/>
    <m/>
    <m/>
    <m/>
    <m/>
    <m/>
    <m/>
    <n v="237"/>
    <m/>
    <n v="7271"/>
    <m/>
  </r>
  <r>
    <x v="1376"/>
    <s v="100007*"/>
    <s v="FL"/>
    <s v="FL - Orange"/>
    <n v="32703"/>
    <s v="AdventHealth Apopka (FKA Florida Hospital Apopka)"/>
    <s v="Short Term Acute Care Hospital"/>
    <s v="Apopka"/>
    <m/>
    <m/>
    <m/>
    <m/>
    <m/>
    <m/>
    <m/>
    <m/>
    <n v="274247"/>
    <m/>
  </r>
  <r>
    <x v="1376"/>
    <s v="100007*"/>
    <s v="FL"/>
    <s v="FL - Orange"/>
    <n v="32822"/>
    <s v="AdventHealth East Orlando (FKA Florida Hospital East Orlando)"/>
    <s v="Short Term Acute Care Hospital"/>
    <s v="Orlando"/>
    <m/>
    <m/>
    <m/>
    <m/>
    <m/>
    <m/>
    <n v="295"/>
    <m/>
    <n v="274248"/>
    <m/>
  </r>
  <r>
    <x v="1376"/>
    <s v="100007*"/>
    <s v="FL"/>
    <s v="FL - Orange"/>
    <n v="32792"/>
    <s v="AdventHealth Winter Park (FKA Winter Park Memorial Hospital)"/>
    <s v="Short Term Acute Care Hospital"/>
    <s v="Winter Park"/>
    <m/>
    <m/>
    <n v="21"/>
    <m/>
    <m/>
    <m/>
    <m/>
    <m/>
    <n v="274249"/>
    <m/>
  </r>
  <r>
    <x v="1376"/>
    <s v="100006*"/>
    <s v="FL"/>
    <s v="FL - Orange"/>
    <n v="32806"/>
    <s v="Orlando Health UF Health Cancer Center (FKA MD Anderson Center Orlando)"/>
    <s v="Short Term Acute Care Hospital"/>
    <s v="Orlando"/>
    <m/>
    <m/>
    <n v="1"/>
    <m/>
    <m/>
    <m/>
    <n v="60"/>
    <m/>
    <n v="541936"/>
    <m/>
  </r>
  <r>
    <x v="1376"/>
    <m/>
    <s v="FL"/>
    <s v="FL - Orange"/>
    <n v="34787"/>
    <s v="AdventHealth Winter Garden (FKA Florida Hospital Winter Garden)"/>
    <s v="Short Term Acute Care Hospital"/>
    <s v="Winter Garden"/>
    <m/>
    <m/>
    <m/>
    <m/>
    <m/>
    <m/>
    <n v="24"/>
    <m/>
    <n v="825593"/>
    <m/>
  </r>
  <r>
    <x v="1376"/>
    <s v="100007*"/>
    <s v="FL"/>
    <s v="FL - Orange"/>
    <n v="32803"/>
    <s v="AdventHealth for Women (FKA Florida Hospital for Women)"/>
    <s v="Short Term Acute Care Hospital"/>
    <s v="Orlando"/>
    <m/>
    <m/>
    <m/>
    <m/>
    <m/>
    <m/>
    <m/>
    <m/>
    <n v="916883"/>
    <m/>
  </r>
  <r>
    <x v="1376"/>
    <m/>
    <s v="FL"/>
    <s v="FL - Orange"/>
    <n v="32827"/>
    <s v="UCF Lake Nona Medical Center (Opening 2020)"/>
    <s v="Short Term Acute Care Hospital"/>
    <s v="Orlando"/>
    <m/>
    <m/>
    <m/>
    <m/>
    <m/>
    <m/>
    <m/>
    <m/>
    <n v="976117"/>
    <m/>
  </r>
  <r>
    <x v="1377"/>
    <n v="100110"/>
    <s v="FL"/>
    <s v="FL - Osceola"/>
    <n v="34741"/>
    <s v="Osceola Regional Medical Center"/>
    <s v="Short Term Acute Care Hospital"/>
    <s v="Kissimmee"/>
    <n v="284.7"/>
    <n v="4.7"/>
    <n v="368"/>
    <n v="351"/>
    <n v="52"/>
    <n v="0.24"/>
    <n v="351"/>
    <n v="1.71"/>
    <n v="875"/>
    <n v="22863"/>
  </r>
  <r>
    <x v="1377"/>
    <n v="100302"/>
    <s v="FL"/>
    <s v="FL - Osceola"/>
    <n v="34769"/>
    <s v="St Cloud Regional Medical Center"/>
    <s v="Short Term Acute Care Hospital"/>
    <s v="Saint Cloud"/>
    <n v="43.6"/>
    <n v="3.9"/>
    <n v="96"/>
    <n v="84"/>
    <n v="8"/>
    <n v="0.24"/>
    <n v="84"/>
    <n v="1.41"/>
    <n v="876"/>
    <n v="4051"/>
  </r>
  <r>
    <x v="1377"/>
    <s v="100007*"/>
    <s v="FL"/>
    <s v="FL - Osceola"/>
    <n v="34747"/>
    <s v="AdventHealth Celebration (FKA Florida Hospital Celebration Health)"/>
    <s v="Short Term Acute Care Hospital"/>
    <s v="Celebration"/>
    <m/>
    <m/>
    <n v="7"/>
    <m/>
    <m/>
    <m/>
    <n v="227"/>
    <m/>
    <n v="274245"/>
    <m/>
  </r>
  <r>
    <x v="1377"/>
    <s v="100007*"/>
    <s v="FL"/>
    <s v="FL - Osceola"/>
    <n v="34744"/>
    <s v="AdventHealth Kissimmee (FKA Florida Hospital Kissimmee)"/>
    <s v="Short Term Acute Care Hospital"/>
    <s v="Kissimmee"/>
    <m/>
    <m/>
    <m/>
    <m/>
    <m/>
    <m/>
    <m/>
    <m/>
    <n v="274250"/>
    <m/>
  </r>
  <r>
    <x v="1377"/>
    <n v="100320"/>
    <s v="FL"/>
    <s v="FL - Osceola"/>
    <n v="34758"/>
    <s v="Poinciana Medical Center"/>
    <s v="Short Term Acute Care Hospital"/>
    <s v="Kissimmee"/>
    <n v="43.3"/>
    <n v="3.8"/>
    <n v="86"/>
    <n v="76"/>
    <n v="6"/>
    <n v="0.24"/>
    <n v="76"/>
    <n v="1.35"/>
    <n v="574699"/>
    <n v="4207"/>
  </r>
  <r>
    <x v="1378"/>
    <n v="100258"/>
    <s v="FL"/>
    <s v="FL - Palm Beach"/>
    <n v="33484"/>
    <s v="Delray Medical Center"/>
    <s v="Short Term Acute Care Hospital"/>
    <s v="Delray Beach"/>
    <n v="214.7"/>
    <n v="4.8"/>
    <n v="379"/>
    <n v="356"/>
    <n v="52"/>
    <n v="0.04"/>
    <n v="356"/>
    <n v="1.73"/>
    <n v="877"/>
    <n v="16226"/>
  </r>
  <r>
    <x v="1378"/>
    <n v="100287"/>
    <s v="FL"/>
    <s v="FL - Palm Beach"/>
    <n v="33401"/>
    <s v="Good Samaritan Medical Center"/>
    <s v="Short Term Acute Care Hospital"/>
    <s v="West Palm Beach"/>
    <n v="124.2"/>
    <n v="4.7"/>
    <n v="491"/>
    <n v="333"/>
    <n v="22"/>
    <n v="0.04"/>
    <n v="333"/>
    <n v="1.52"/>
    <n v="879"/>
    <n v="9845"/>
  </r>
  <r>
    <x v="1378"/>
    <n v="100288"/>
    <s v="FL"/>
    <s v="FL - Palm Beach"/>
    <n v="33407"/>
    <s v="St Marys Medical Center"/>
    <s v="Short Term Acute Care Hospital"/>
    <s v="West Palm Beach"/>
    <n v="223.6"/>
    <n v="5.4"/>
    <n v="307"/>
    <n v="370"/>
    <n v="26"/>
    <n v="0.04"/>
    <n v="370"/>
    <n v="1.52"/>
    <n v="880"/>
    <n v="16283"/>
  </r>
  <r>
    <x v="1378"/>
    <n v="100275"/>
    <s v="FL"/>
    <s v="FL - Palm Beach"/>
    <n v="33414"/>
    <s v="Wellington Regional Medical Center"/>
    <s v="Short Term Acute Care Hospital"/>
    <s v="Wellington"/>
    <n v="142.9"/>
    <n v="4.0999999999999996"/>
    <n v="245"/>
    <n v="233"/>
    <n v="16"/>
    <n v="0.04"/>
    <n v="233"/>
    <n v="1.68"/>
    <n v="881"/>
    <n v="13631"/>
  </r>
  <r>
    <x v="1378"/>
    <n v="100268"/>
    <s v="FL"/>
    <s v="FL - Palm Beach"/>
    <n v="33428"/>
    <s v="West Boca Medical Center"/>
    <s v="Short Term Acute Care Hospital"/>
    <s v="Boca Raton"/>
    <n v="98.3"/>
    <n v="3.6"/>
    <n v="252"/>
    <n v="194"/>
    <n v="16"/>
    <n v="0.04"/>
    <n v="194"/>
    <n v="1.33"/>
    <n v="882"/>
    <n v="10905"/>
  </r>
  <r>
    <x v="1378"/>
    <n v="100269"/>
    <s v="FL"/>
    <s v="FL - Palm Beach"/>
    <n v="33470"/>
    <s v="Palms West Hospital"/>
    <s v="Short Term Acute Care Hospital"/>
    <s v="Loxahatchee"/>
    <n v="144.4"/>
    <n v="4.2"/>
    <n v="258"/>
    <n v="204"/>
    <n v="18"/>
    <n v="0.04"/>
    <n v="204"/>
    <n v="1.56"/>
    <n v="883"/>
    <n v="13440"/>
  </r>
  <r>
    <x v="1378"/>
    <n v="100130"/>
    <s v="FL"/>
    <s v="FL - Palm Beach"/>
    <n v="33430"/>
    <s v="Lakeside Medical Center"/>
    <s v="Short Term Acute Care Hospital"/>
    <s v="Belle Glade"/>
    <n v="13.8"/>
    <n v="2.7"/>
    <n v="50"/>
    <n v="54"/>
    <n v="6"/>
    <n v="0.04"/>
    <n v="54"/>
    <n v="1.43"/>
    <n v="884"/>
    <n v="2056"/>
  </r>
  <r>
    <x v="1378"/>
    <n v="100168"/>
    <s v="FL"/>
    <s v="FL - Palm Beach"/>
    <n v="33486"/>
    <s v="Boca Raton Regional Hospital"/>
    <s v="Short Term Acute Care Hospital"/>
    <s v="Boca Raton"/>
    <n v="234.4"/>
    <n v="4.5999999999999996"/>
    <n v="849"/>
    <n v="370"/>
    <n v="30"/>
    <n v="0.04"/>
    <n v="370"/>
    <n v="1.71"/>
    <n v="885"/>
    <n v="19708"/>
  </r>
  <r>
    <x v="1378"/>
    <n v="100176"/>
    <s v="FL"/>
    <s v="FL - Palm Beach"/>
    <n v="33410"/>
    <s v="Palm Beach Gardens Medical Center"/>
    <s v="Short Term Acute Care Hospital"/>
    <s v="Palm Beach Gardens"/>
    <n v="130.19999999999999"/>
    <n v="4.5999999999999996"/>
    <n v="153"/>
    <n v="199"/>
    <n v="44"/>
    <n v="0.04"/>
    <n v="199"/>
    <n v="1.78"/>
    <n v="886"/>
    <n v="10297"/>
  </r>
  <r>
    <x v="1378"/>
    <n v="100253"/>
    <s v="FL"/>
    <s v="FL - Palm Beach"/>
    <n v="33458"/>
    <s v="Jupiter Medical Center"/>
    <s v="Short Term Acute Care Hospital"/>
    <s v="Jupiter"/>
    <n v="131.19999999999999"/>
    <n v="3.8"/>
    <n v="586"/>
    <n v="207"/>
    <n v="17"/>
    <n v="0.04"/>
    <n v="207"/>
    <n v="1.77"/>
    <n v="887"/>
    <n v="13599"/>
  </r>
  <r>
    <x v="1378"/>
    <m/>
    <s v="FL"/>
    <s v="FL - Palm Beach"/>
    <n v="33407"/>
    <s v="JFK Medical Center North Campus (FKA West Palm Hospital)"/>
    <s v="Short Term Acute Care Hospital"/>
    <s v="West Palm Beach"/>
    <n v="65"/>
    <n v="4.2"/>
    <n v="83"/>
    <n v="168"/>
    <n v="20"/>
    <n v="0.04"/>
    <n v="168"/>
    <m/>
    <n v="888"/>
    <n v="5666"/>
  </r>
  <r>
    <x v="1378"/>
    <n v="100002"/>
    <s v="FL"/>
    <s v="FL - Palm Beach"/>
    <n v="33435"/>
    <s v="Bethesda Hospital East (FKA Bethesda Memorial Hospital)"/>
    <s v="Short Term Acute Care Hospital"/>
    <s v="Boynton Beach"/>
    <n v="255.5"/>
    <n v="4.9000000000000004"/>
    <n v="531"/>
    <n v="431"/>
    <n v="40"/>
    <n v="0.04"/>
    <n v="431"/>
    <n v="1.69"/>
    <n v="889"/>
    <n v="19077"/>
  </r>
  <r>
    <x v="1378"/>
    <n v="100080"/>
    <s v="FL"/>
    <s v="FL - Palm Beach"/>
    <n v="33462"/>
    <s v="JFK Medical Center"/>
    <s v="Short Term Acute Care Hospital"/>
    <s v="Atlantis"/>
    <n v="393.2"/>
    <n v="4.4000000000000004"/>
    <n v="501"/>
    <n v="623"/>
    <n v="72"/>
    <n v="0.04"/>
    <n v="486"/>
    <n v="1.81"/>
    <n v="890"/>
    <n v="32869"/>
  </r>
  <r>
    <x v="1378"/>
    <m/>
    <s v="FL"/>
    <s v="FL - Palm Beach"/>
    <n v="33472"/>
    <s v="Bethesda Hospital West"/>
    <s v="Short Term Acute Care Hospital"/>
    <s v="Boynton Beach"/>
    <m/>
    <m/>
    <m/>
    <m/>
    <m/>
    <m/>
    <n v="80"/>
    <m/>
    <n v="274225"/>
    <m/>
  </r>
  <r>
    <x v="1378"/>
    <s v="100002*"/>
    <s v="FL"/>
    <s v="FL - Palm Beach"/>
    <n v="33435"/>
    <s v="Bethesda Heart Hospital"/>
    <s v="Short Term Acute Care Hospital"/>
    <s v="Boynton Beach"/>
    <m/>
    <m/>
    <m/>
    <m/>
    <m/>
    <m/>
    <n v="39"/>
    <m/>
    <n v="553391"/>
    <m/>
  </r>
  <r>
    <x v="1379"/>
    <n v="100046"/>
    <s v="FL"/>
    <s v="FL - Pasco"/>
    <n v="33541"/>
    <s v="AdventHealth Zephyrhills (FKA Florida Hospital Zephyrhills)"/>
    <s v="Short Term Acute Care Hospital"/>
    <s v="Zephyrhills"/>
    <n v="90"/>
    <n v="3.8"/>
    <n v="195"/>
    <n v="149"/>
    <n v="14"/>
    <n v="7.0000000000000007E-2"/>
    <n v="149"/>
    <n v="1.61"/>
    <n v="891"/>
    <n v="8942"/>
  </r>
  <r>
    <x v="1379"/>
    <n v="100063"/>
    <s v="FL"/>
    <s v="FL - Pasco"/>
    <n v="34652"/>
    <s v="Morton Plant North Bay Hospital"/>
    <s v="Short Term Acute Care Hospital"/>
    <s v="New Port Richey"/>
    <n v="145.9"/>
    <n v="4.3"/>
    <n v="98"/>
    <n v="187"/>
    <n v="22"/>
    <n v="7.0000000000000007E-2"/>
    <n v="187"/>
    <n v="1.33"/>
    <n v="892"/>
    <n v="12375"/>
  </r>
  <r>
    <x v="1379"/>
    <n v="100191"/>
    <s v="FL"/>
    <s v="FL - Pasco"/>
    <n v="34655"/>
    <s v="Medical Center of Trinity (FKA Community Hospital)"/>
    <s v="Short Term Acute Care Hospital"/>
    <s v="Trinity"/>
    <n v="164.2"/>
    <n v="4.5"/>
    <n v="274"/>
    <n v="245"/>
    <n v="34"/>
    <n v="7.0000000000000007E-2"/>
    <n v="245"/>
    <n v="1.54"/>
    <n v="893"/>
    <n v="13759"/>
  </r>
  <r>
    <x v="1379"/>
    <n v="100211"/>
    <s v="FL"/>
    <s v="FL - Pasco"/>
    <n v="33525"/>
    <s v="AdventHealth Dade City (FKA Florida Hospital Dade City)"/>
    <s v="Short Term Acute Care Hospital"/>
    <s v="Dade City"/>
    <n v="14.6"/>
    <n v="3.2"/>
    <n v="32"/>
    <n v="75"/>
    <n v="12"/>
    <n v="7.0000000000000007E-2"/>
    <n v="75"/>
    <n v="1.55"/>
    <n v="894"/>
    <n v="2334"/>
  </r>
  <r>
    <x v="1379"/>
    <n v="100256"/>
    <s v="FL"/>
    <s v="FL - Pasco"/>
    <n v="34667"/>
    <s v="Regional Medical Center Bayonet Point"/>
    <s v="Short Term Acute Care Hospital"/>
    <s v="Hudson"/>
    <n v="203"/>
    <n v="4.5"/>
    <n v="236"/>
    <n v="290"/>
    <n v="20"/>
    <n v="7.0000000000000007E-2"/>
    <n v="290"/>
    <n v="1.81"/>
    <n v="895"/>
    <n v="16433"/>
  </r>
  <r>
    <x v="1379"/>
    <n v="100319"/>
    <s v="FL"/>
    <s v="FL - Pasco"/>
    <n v="33544"/>
    <s v="AdventHealth Wesley Chapel (FKA Florida Hospital Wesley Chapel)"/>
    <s v="Short Term Acute Care Hospital"/>
    <s v="Wesley Chapel"/>
    <n v="62.4"/>
    <n v="3"/>
    <n v="193"/>
    <n v="145"/>
    <n v="24"/>
    <n v="7.0000000000000007E-2"/>
    <n v="145"/>
    <n v="1.63"/>
    <n v="553329"/>
    <n v="7822"/>
  </r>
  <r>
    <x v="1380"/>
    <n v="100265"/>
    <s v="FL"/>
    <s v="FL - Pinellas"/>
    <n v="34695"/>
    <s v="Mease Countryside Hospital"/>
    <s v="Short Term Acute Care Hospital"/>
    <s v="Safety Harbor"/>
    <n v="199.3"/>
    <n v="4.8"/>
    <n v="457"/>
    <n v="311"/>
    <n v="26"/>
    <n v="7.0000000000000007E-2"/>
    <n v="311"/>
    <n v="1.59"/>
    <n v="896"/>
    <n v="15981"/>
  </r>
  <r>
    <x v="1380"/>
    <n v="100238"/>
    <s v="FL"/>
    <s v="FL - Pinellas"/>
    <n v="33709"/>
    <s v="Northside Hospital"/>
    <s v="Short Term Acute Care Hospital"/>
    <s v="St Petersburg"/>
    <n v="130"/>
    <n v="4.7"/>
    <n v="159"/>
    <n v="221"/>
    <n v="32"/>
    <n v="7.0000000000000007E-2"/>
    <n v="221"/>
    <n v="1.95"/>
    <n v="897"/>
    <n v="10180"/>
  </r>
  <r>
    <x v="1380"/>
    <s v="100239 (Closed)"/>
    <s v="FL"/>
    <s v="FL - Pinellas"/>
    <n v="33713"/>
    <s v="Edward White Hospital (Closed November 24 2014)"/>
    <s v="Short Term Acute Care Hospital"/>
    <s v="Kenneth City"/>
    <n v="29.1"/>
    <n v="4.2"/>
    <m/>
    <m/>
    <m/>
    <n v="7.0000000000000007E-2"/>
    <m/>
    <m/>
    <n v="898"/>
    <n v="2512"/>
  </r>
  <r>
    <x v="1380"/>
    <n v="100248"/>
    <s v="FL"/>
    <s v="FL - Pinellas"/>
    <n v="33770"/>
    <s v="Largo Medical Center"/>
    <s v="Short Term Acute Care Hospital"/>
    <s v="Largo"/>
    <n v="175.6"/>
    <n v="5.3"/>
    <n v="290"/>
    <n v="262"/>
    <n v="22"/>
    <n v="7.0000000000000007E-2"/>
    <n v="250"/>
    <n v="1.64"/>
    <n v="899"/>
    <n v="12139"/>
  </r>
  <r>
    <x v="1380"/>
    <n v="100180"/>
    <s v="FL"/>
    <s v="FL - Pinellas"/>
    <n v="33710"/>
    <s v="St Petersburg General Hospital"/>
    <s v="Short Term Acute Care Hospital"/>
    <s v="Kenneth City"/>
    <n v="63"/>
    <n v="4.4000000000000004"/>
    <n v="97"/>
    <n v="168"/>
    <n v="21"/>
    <n v="7.0000000000000007E-2"/>
    <n v="168"/>
    <n v="1.62"/>
    <n v="900"/>
    <n v="5482"/>
  </r>
  <r>
    <x v="1380"/>
    <n v="100126"/>
    <s v="FL"/>
    <s v="FL - Pinellas"/>
    <n v="33707"/>
    <s v="Palms of Pasadena Hospital"/>
    <s v="Short Term Acute Care Hospital"/>
    <s v="South Pasadena"/>
    <n v="71.2"/>
    <n v="5"/>
    <n v="145"/>
    <n v="167"/>
    <n v="18"/>
    <n v="7.0000000000000007E-2"/>
    <n v="167"/>
    <n v="1.56"/>
    <n v="901"/>
    <n v="5180"/>
  </r>
  <r>
    <x v="1380"/>
    <n v="100127"/>
    <s v="FL"/>
    <s v="FL - Pinellas"/>
    <n v="33756"/>
    <s v="Morton Plant Hospital"/>
    <s v="Short Term Acute Care Hospital"/>
    <s v="Clearwater"/>
    <n v="328.2"/>
    <n v="5"/>
    <n v="986"/>
    <n v="530"/>
    <n v="38"/>
    <n v="7.0000000000000007E-2"/>
    <n v="530"/>
    <n v="2.0099999999999998"/>
    <n v="902"/>
    <n v="24682"/>
  </r>
  <r>
    <x v="1380"/>
    <n v="100067"/>
    <s v="FL"/>
    <s v="FL - Pinellas"/>
    <n v="33705"/>
    <s v="St Anthonys Hospital"/>
    <s v="Short Term Acute Care Hospital"/>
    <s v="St Petersburg"/>
    <n v="238.8"/>
    <n v="4.3"/>
    <n v="392"/>
    <n v="308"/>
    <n v="18"/>
    <n v="7.0000000000000007E-2"/>
    <n v="308"/>
    <n v="1.57"/>
    <n v="903"/>
    <n v="20441"/>
  </r>
  <r>
    <x v="1380"/>
    <n v="100055"/>
    <s v="FL"/>
    <s v="FL - Pinellas"/>
    <n v="34689"/>
    <s v="AdventHealth North Pinellas (FKA Florida Hospital North Pinellas)"/>
    <s v="Short Term Acute Care Hospital"/>
    <s v="Tarpon Springs"/>
    <n v="57"/>
    <n v="3.9"/>
    <n v="153"/>
    <n v="136"/>
    <n v="13"/>
    <m/>
    <n v="136"/>
    <n v="1.61"/>
    <n v="904"/>
    <n v="5389"/>
  </r>
  <r>
    <x v="1380"/>
    <n v="100032"/>
    <s v="FL"/>
    <s v="FL - Pinellas"/>
    <n v="33701"/>
    <s v="Bayfront Health - St Petersburg (FKA Bayfront Medical Center)"/>
    <s v="Short Term Acute Care Hospital"/>
    <s v="St Petersburg"/>
    <n v="181.4"/>
    <n v="4.8"/>
    <n v="365"/>
    <n v="343"/>
    <n v="32"/>
    <n v="7.0000000000000007E-2"/>
    <n v="343"/>
    <n v="1.78"/>
    <n v="906"/>
    <n v="15392"/>
  </r>
  <r>
    <x v="1380"/>
    <n v="100043"/>
    <s v="FL"/>
    <s v="FL - Pinellas"/>
    <n v="34698"/>
    <s v="Mease Dunedin Hospital"/>
    <s v="Short Term Acute Care Hospital"/>
    <s v="Dunedin"/>
    <n v="79.400000000000006"/>
    <n v="4.3"/>
    <n v="52"/>
    <n v="112"/>
    <n v="20"/>
    <n v="7.0000000000000007E-2"/>
    <n v="112"/>
    <n v="1.47"/>
    <n v="907"/>
    <n v="6705"/>
  </r>
  <r>
    <x v="1380"/>
    <s v="100248*"/>
    <s v="FL"/>
    <s v="FL - Pinellas"/>
    <n v="33774"/>
    <s v="Largo Medical Center - Indian Rocks Road Campus"/>
    <s v="Short Term Acute Care Hospital"/>
    <s v="Largo"/>
    <m/>
    <m/>
    <n v="3"/>
    <m/>
    <m/>
    <m/>
    <n v="86"/>
    <m/>
    <n v="6042"/>
    <m/>
  </r>
  <r>
    <x v="1381"/>
    <n v="100099"/>
    <s v="FL"/>
    <s v="FL - Polk"/>
    <n v="33853"/>
    <s v="AdventHealth Lake Wales (FKA Lake Wales Medical Center)"/>
    <s v="Short Term Acute Care Hospital"/>
    <s v="Lake Wales"/>
    <n v="47.5"/>
    <n v="3.2"/>
    <n v="76"/>
    <n v="93"/>
    <n v="8"/>
    <n v="0.38"/>
    <n v="93"/>
    <n v="1.39"/>
    <n v="908"/>
    <n v="5416"/>
  </r>
  <r>
    <x v="1381"/>
    <n v="100052"/>
    <s v="FL"/>
    <s v="FL - Polk"/>
    <n v="33881"/>
    <s v="Winter Haven Hospital - Baycare"/>
    <s v="Short Term Acute Care Hospital"/>
    <s v="Winter Haven"/>
    <n v="230.2"/>
    <n v="4.5999999999999996"/>
    <n v="398"/>
    <n v="476"/>
    <n v="44"/>
    <n v="0.38"/>
    <n v="447"/>
    <n v="1.59"/>
    <n v="909"/>
    <n v="19025"/>
  </r>
  <r>
    <x v="1381"/>
    <n v="100137"/>
    <s v="FL"/>
    <s v="FL - Polk"/>
    <n v="33837"/>
    <s v="AdventHealth Heart of Florida (FKA Heart of Florida Regional Medical Center)"/>
    <s v="Short Term Acute Care Hospital"/>
    <s v="Davenport"/>
    <n v="94.6"/>
    <n v="4.4000000000000004"/>
    <n v="137"/>
    <n v="193"/>
    <n v="15"/>
    <n v="0.38"/>
    <n v="193"/>
    <n v="1.65"/>
    <n v="910"/>
    <n v="8275"/>
  </r>
  <r>
    <x v="1381"/>
    <n v="100121"/>
    <s v="FL"/>
    <s v="FL - Polk"/>
    <n v="33830"/>
    <s v="Bartow Regional Medical Center"/>
    <s v="Short Term Acute Care Hospital"/>
    <s v="Bartow"/>
    <n v="31.5"/>
    <n v="3.8"/>
    <n v="54"/>
    <n v="72"/>
    <n v="6"/>
    <n v="0.38"/>
    <n v="72"/>
    <n v="1.56"/>
    <n v="911"/>
    <n v="3005"/>
  </r>
  <r>
    <x v="1381"/>
    <n v="100157"/>
    <s v="FL"/>
    <s v="FL - Polk"/>
    <n v="33805"/>
    <s v="Lakeland Regional Health Medical Center"/>
    <s v="Short Term Acute Care Hospital"/>
    <s v="Lakeland"/>
    <n v="474.7"/>
    <n v="4.4000000000000004"/>
    <n v="680"/>
    <n v="774"/>
    <n v="81"/>
    <n v="0.38"/>
    <n v="774"/>
    <n v="1.56"/>
    <n v="912"/>
    <n v="41142"/>
  </r>
  <r>
    <x v="1381"/>
    <s v="100052*"/>
    <s v="FL"/>
    <s v="FL - Polk"/>
    <n v="33880"/>
    <s v="Winter Haven Womens Hospital (FKA Regency Center for Women and Infants)"/>
    <s v="Short Term Acute Care Hospital"/>
    <s v="Winter Haven"/>
    <m/>
    <m/>
    <m/>
    <m/>
    <m/>
    <m/>
    <n v="61"/>
    <m/>
    <n v="794510"/>
    <m/>
  </r>
  <r>
    <x v="1382"/>
    <n v="100232"/>
    <s v="FL"/>
    <s v="FL - Putnam"/>
    <n v="32177"/>
    <s v="Putnam Community Medical Center"/>
    <s v="Short Term Acute Care Hospital"/>
    <s v="Palatka"/>
    <n v="64.3"/>
    <n v="4.0999999999999996"/>
    <n v="152"/>
    <n v="99"/>
    <n v="10"/>
    <n v="1"/>
    <n v="99"/>
    <n v="1.42"/>
    <n v="913"/>
    <n v="5873"/>
  </r>
  <r>
    <x v="1383"/>
    <n v="100090"/>
    <s v="FL"/>
    <s v="FL - Saint Johns"/>
    <n v="32086"/>
    <s v="Flagler Health (AKA Flagler Hospital)"/>
    <s v="Short Term Acute Care Hospital"/>
    <s v="St Augustine"/>
    <n v="156.30000000000001"/>
    <n v="4.4000000000000004"/>
    <n v="445"/>
    <n v="335"/>
    <n v="47"/>
    <n v="0.15"/>
    <n v="335"/>
    <n v="1.77"/>
    <n v="914"/>
    <n v="13432"/>
  </r>
  <r>
    <x v="1384"/>
    <n v="100246"/>
    <s v="FL"/>
    <s v="FL - Saint Lucie"/>
    <n v="34950"/>
    <s v="Lawnwood Regional Medical Center &amp; Heart Institute"/>
    <s v="Short Term Acute Care Hospital"/>
    <s v="Fort Pierce"/>
    <n v="243.5"/>
    <n v="5.3"/>
    <n v="280"/>
    <n v="312"/>
    <n v="36"/>
    <n v="0.36"/>
    <n v="312"/>
    <n v="1.76"/>
    <n v="915"/>
    <n v="17319"/>
  </r>
  <r>
    <x v="1384"/>
    <n v="100260"/>
    <s v="FL"/>
    <s v="FL - Saint Lucie"/>
    <n v="34952"/>
    <s v="St Lucie Medical Center"/>
    <s v="Short Term Acute Care Hospital"/>
    <s v="Port St Lucie"/>
    <n v="138.30000000000001"/>
    <n v="4.2"/>
    <n v="210"/>
    <n v="207"/>
    <n v="18"/>
    <n v="0.36"/>
    <n v="207"/>
    <n v="1.48"/>
    <n v="916"/>
    <n v="12416"/>
  </r>
  <r>
    <x v="1384"/>
    <m/>
    <s v="FL"/>
    <s v="FL - Saint Lucie"/>
    <n v="34987"/>
    <s v="Cleveland Clinic Tradition Hospital (FKA Tradition Medical Center)"/>
    <s v="Short Term Acute Care Hospital"/>
    <s v="Port St Lucie"/>
    <m/>
    <m/>
    <m/>
    <m/>
    <m/>
    <m/>
    <n v="134"/>
    <m/>
    <n v="550116"/>
    <m/>
  </r>
  <r>
    <x v="1385"/>
    <n v="100266"/>
    <s v="FL"/>
    <s v="FL - Santa Rosa"/>
    <n v="32561"/>
    <s v="Gulf Breeze Hospital"/>
    <s v="Short Term Acute Care Hospital"/>
    <s v="Gulf Breeze"/>
    <n v="39.4"/>
    <n v="3.7"/>
    <n v="136"/>
    <n v="65"/>
    <n v="8"/>
    <n v="0.31"/>
    <n v="65"/>
    <n v="1.73"/>
    <n v="917"/>
    <n v="3864"/>
  </r>
  <r>
    <x v="1385"/>
    <n v="100124"/>
    <s v="FL"/>
    <s v="FL - Santa Rosa"/>
    <n v="32570"/>
    <s v="Santa Rosa Medical Center"/>
    <s v="Short Term Acute Care Hospital"/>
    <s v="Milton"/>
    <n v="39"/>
    <n v="3.4"/>
    <n v="99"/>
    <n v="108"/>
    <n v="8"/>
    <n v="0.31"/>
    <n v="108"/>
    <n v="1.39"/>
    <n v="918"/>
    <n v="4399"/>
  </r>
  <r>
    <x v="1385"/>
    <n v="100048"/>
    <s v="FL"/>
    <s v="FL - Santa Rosa"/>
    <n v="32565"/>
    <s v="Jay Hospital"/>
    <s v="Short Term Acute Care Hospital"/>
    <s v="Jay"/>
    <n v="8.6999999999999993"/>
    <n v="6.9"/>
    <n v="18"/>
    <n v="21"/>
    <m/>
    <n v="0.31"/>
    <n v="21"/>
    <n v="1.04"/>
    <n v="919"/>
    <n v="456"/>
  </r>
  <r>
    <x v="1386"/>
    <n v="100087"/>
    <s v="FL"/>
    <s v="FL - Sarasota"/>
    <n v="34239"/>
    <s v="Sarasota Memorial Hospital"/>
    <s v="Short Term Acute Care Hospital"/>
    <s v="Sarasota"/>
    <n v="464.9"/>
    <n v="4"/>
    <n v="1393"/>
    <n v="708"/>
    <n v="62"/>
    <n v="0.27"/>
    <n v="708"/>
    <n v="1.89"/>
    <n v="920"/>
    <n v="42832"/>
  </r>
  <r>
    <x v="1386"/>
    <n v="100070"/>
    <s v="FL"/>
    <s v="FL - Sarasota"/>
    <n v="34285"/>
    <s v="Venice Regional Bayfront Health (FKA Venice Regional Medical Center)"/>
    <s v="Short Term Acute Care Hospital"/>
    <s v="Venice"/>
    <n v="94"/>
    <n v="4.0999999999999996"/>
    <n v="291"/>
    <n v="229"/>
    <n v="32"/>
    <n v="0.27"/>
    <n v="229"/>
    <n v="1.75"/>
    <n v="921"/>
    <n v="8315"/>
  </r>
  <r>
    <x v="1386"/>
    <n v="100166"/>
    <s v="FL"/>
    <s v="FL - Sarasota"/>
    <n v="34233"/>
    <s v="Doctors Hospital of Sarasota"/>
    <s v="Short Term Acute Care Hospital"/>
    <s v="Sarasota"/>
    <n v="81.2"/>
    <n v="3.9"/>
    <n v="139"/>
    <n v="139"/>
    <n v="16"/>
    <n v="0.27"/>
    <n v="139"/>
    <n v="1.72"/>
    <n v="922"/>
    <n v="7665"/>
  </r>
  <r>
    <x v="1386"/>
    <n v="100267"/>
    <s v="FL"/>
    <s v="FL - Sarasota"/>
    <n v="34223"/>
    <s v="Englewood Community Hospital"/>
    <s v="Short Term Acute Care Hospital"/>
    <s v="Englewood"/>
    <n v="28.5"/>
    <n v="3.1"/>
    <n v="80"/>
    <n v="100"/>
    <n v="8"/>
    <n v="0.27"/>
    <n v="100"/>
    <n v="1.43"/>
    <n v="923"/>
    <n v="3352"/>
  </r>
  <r>
    <x v="1387"/>
    <n v="100161"/>
    <s v="FL"/>
    <s v="FL - Seminole"/>
    <n v="32771"/>
    <s v="Central Florida Regional Hospital"/>
    <s v="Short Term Acute Care Hospital"/>
    <s v="Sanford"/>
    <n v="138"/>
    <n v="4.4000000000000004"/>
    <n v="172"/>
    <n v="208"/>
    <n v="28"/>
    <n v="0.24"/>
    <n v="208"/>
    <n v="1.78"/>
    <n v="924"/>
    <n v="11676"/>
  </r>
  <r>
    <x v="1387"/>
    <s v="100007*"/>
    <s v="FL"/>
    <s v="FL - Seminole"/>
    <n v="32701"/>
    <s v="AdventHealth Altamonte Springs (FKA Florida Hospital Altamonte)"/>
    <s v="Short Term Acute Care Hospital"/>
    <s v="Altamonte Springs"/>
    <m/>
    <m/>
    <m/>
    <m/>
    <m/>
    <m/>
    <n v="341"/>
    <m/>
    <n v="7161"/>
    <m/>
  </r>
  <r>
    <x v="1387"/>
    <s v="100006*"/>
    <s v="FL"/>
    <s v="FL - Seminole"/>
    <n v="32750"/>
    <s v="Orlando Health South Seminole Hospital"/>
    <s v="Short Term Acute Care Hospital"/>
    <s v="Longwood"/>
    <m/>
    <m/>
    <m/>
    <m/>
    <m/>
    <m/>
    <n v="206"/>
    <m/>
    <n v="7272"/>
    <m/>
  </r>
  <r>
    <x v="1387"/>
    <n v="100329"/>
    <s v="FL"/>
    <s v="FL - Seminole"/>
    <n v="32765"/>
    <s v="Oviedo Medical Center"/>
    <s v="Short Term Acute Care Hospital"/>
    <s v="Oviedo"/>
    <n v="30.8"/>
    <n v="3.8"/>
    <n v="58"/>
    <n v="64"/>
    <n v="10"/>
    <n v="0.24"/>
    <n v="64"/>
    <n v="1.42"/>
    <n v="842963"/>
    <n v="3140"/>
  </r>
  <r>
    <x v="1388"/>
    <n v="100106"/>
    <s v="FL"/>
    <s v="FL - Taylor"/>
    <n v="32347"/>
    <s v="Doctors Memorial Hospital"/>
    <s v="Short Term Acute Care Hospital"/>
    <s v="Perry"/>
    <n v="5.3"/>
    <n v="2.7"/>
    <n v="50"/>
    <n v="48"/>
    <n v="6"/>
    <m/>
    <n v="48"/>
    <n v="1.19"/>
    <n v="926"/>
    <n v="711"/>
  </r>
  <r>
    <x v="111"/>
    <m/>
    <s v="FL"/>
    <s v="FL - Union"/>
    <n v="32054"/>
    <s v="Reception and Medical Center"/>
    <s v="Short Term Acute Care Hospital"/>
    <s v="Lake Butler"/>
    <m/>
    <m/>
    <m/>
    <m/>
    <m/>
    <m/>
    <n v="120"/>
    <m/>
    <n v="842939"/>
    <m/>
  </r>
  <r>
    <x v="1389"/>
    <n v="100072"/>
    <s v="FL"/>
    <s v="FL - Volusia"/>
    <n v="32763"/>
    <s v="AdventHealth Fish Memorial (FKA Florida Hospital Fish Memorial)"/>
    <s v="Short Term Acute Care Hospital"/>
    <s v="Orange City"/>
    <n v="117"/>
    <n v="4.4000000000000004"/>
    <n v="187"/>
    <n v="179"/>
    <n v="21"/>
    <n v="0.21"/>
    <n v="179"/>
    <n v="1.58"/>
    <n v="927"/>
    <n v="9710"/>
  </r>
  <r>
    <x v="1389"/>
    <n v="100068"/>
    <s v="FL"/>
    <s v="FL - Volusia"/>
    <n v="32117"/>
    <s v="AdventHealth Daytona Beach (FKA Florida Hospital Memorial Medical Center)"/>
    <s v="Short Term Acute Care Hospital"/>
    <s v="Daytona Beach"/>
    <n v="213"/>
    <n v="4.9000000000000004"/>
    <n v="326"/>
    <n v="295"/>
    <n v="46"/>
    <n v="0.21"/>
    <n v="277"/>
    <n v="1.85"/>
    <n v="928"/>
    <n v="16502"/>
  </r>
  <r>
    <x v="1389"/>
    <n v="100045"/>
    <s v="FL"/>
    <s v="FL - Volusia"/>
    <n v="32720"/>
    <s v="AdventHealth DeLand (FKA Florida Hospital DeLand)"/>
    <s v="Short Term Acute Care Hospital"/>
    <s v="Deland"/>
    <n v="91.4"/>
    <n v="4.0999999999999996"/>
    <n v="184"/>
    <n v="154"/>
    <n v="24"/>
    <n v="0.21"/>
    <n v="154"/>
    <n v="1.52"/>
    <n v="929"/>
    <n v="8436"/>
  </r>
  <r>
    <x v="1389"/>
    <n v="100014"/>
    <s v="FL"/>
    <s v="FL - Volusia"/>
    <n v="32168"/>
    <s v="AdventHealth New Smyrna Beach (FKA Florida Hospital New Smyrna)"/>
    <s v="Short Term Acute Care Hospital"/>
    <s v="New Smyrna Beach"/>
    <n v="67.599999999999994"/>
    <n v="4.4000000000000004"/>
    <n v="150"/>
    <n v="112"/>
    <n v="14"/>
    <n v="0.21"/>
    <n v="112"/>
    <n v="1.52"/>
    <n v="930"/>
    <n v="5605"/>
  </r>
  <r>
    <x v="1389"/>
    <n v="100017"/>
    <s v="FL"/>
    <s v="FL - Volusia"/>
    <n v="32114"/>
    <s v="Halifax Health Medical Center of Daytona Beach"/>
    <s v="Short Term Acute Care Hospital"/>
    <s v="Daytona Beach"/>
    <n v="293"/>
    <n v="5.4"/>
    <n v="549"/>
    <n v="436"/>
    <m/>
    <n v="0.21"/>
    <n v="436"/>
    <n v="1.8"/>
    <n v="931"/>
    <n v="20901"/>
  </r>
  <r>
    <x v="1389"/>
    <s v="100017*"/>
    <s v="FL"/>
    <s v="FL - Volusia"/>
    <n v="32127"/>
    <s v="Halifax Health Medical Center of Port Orange"/>
    <s v="Short Term Acute Care Hospital"/>
    <s v="Port Orange"/>
    <m/>
    <m/>
    <m/>
    <m/>
    <m/>
    <m/>
    <n v="80"/>
    <m/>
    <n v="542177"/>
    <m/>
  </r>
  <r>
    <x v="1389"/>
    <s v="100068* (Closed)"/>
    <s v="FL"/>
    <s v="FL - Volusia"/>
    <n v="32176"/>
    <s v="Florida Hospital Oceanside (Closed)"/>
    <s v="Short Term Acute Care Hospital"/>
    <s v="Ormond Beach"/>
    <m/>
    <m/>
    <m/>
    <m/>
    <m/>
    <m/>
    <m/>
    <m/>
    <n v="551525"/>
    <m/>
  </r>
  <r>
    <x v="1389"/>
    <m/>
    <s v="FL"/>
    <s v="FL - Volusia"/>
    <n v="32725"/>
    <s v="Halifax Health UF Health Medical Center of Deltona Hospital"/>
    <s v="Short Term Acute Care Hospital"/>
    <s v="Deltona"/>
    <m/>
    <m/>
    <m/>
    <m/>
    <m/>
    <m/>
    <m/>
    <m/>
    <n v="1009998"/>
    <m/>
  </r>
  <r>
    <x v="1390"/>
    <n v="100081"/>
    <s v="FL"/>
    <s v="FL - Walton"/>
    <n v="32435"/>
    <s v="Healthmark Regional Medical Center"/>
    <s v="Short Term Acute Care Hospital"/>
    <s v="Defuniak Springs"/>
    <n v="5.7"/>
    <n v="4.2"/>
    <n v="29"/>
    <n v="50"/>
    <n v="6"/>
    <n v="0.34"/>
    <n v="50"/>
    <n v="1.08"/>
    <n v="932"/>
    <n v="492"/>
  </r>
  <r>
    <x v="1390"/>
    <n v="100292"/>
    <s v="FL"/>
    <s v="FL - Walton"/>
    <n v="32550"/>
    <s v="Ascension Sacred Heart Hospital on the Emerald Coast"/>
    <s v="Short Term Acute Care Hospital"/>
    <s v="Miramar Beach"/>
    <n v="36.4"/>
    <n v="3"/>
    <n v="204"/>
    <n v="62"/>
    <n v="22"/>
    <n v="0.34"/>
    <n v="62"/>
    <n v="1.71"/>
    <n v="933"/>
    <n v="5380"/>
  </r>
  <r>
    <x v="1391"/>
    <n v="110071"/>
    <s v="GA"/>
    <s v="GA - Appling"/>
    <n v="31515"/>
    <s v="Appling HealthCare System (FKA Appling Hospital)"/>
    <s v="Short Term Acute Care Hospital"/>
    <s v="Baxley"/>
    <n v="6.8"/>
    <n v="4.5999999999999996"/>
    <n v="36"/>
    <n v="34"/>
    <n v="3"/>
    <m/>
    <n v="34"/>
    <n v="1.18"/>
    <n v="935"/>
    <n v="541"/>
  </r>
  <r>
    <x v="1392"/>
    <n v="110150"/>
    <s v="GA"/>
    <s v="GA - Baldwin"/>
    <n v="31061"/>
    <s v="Navicent Health Baldwin (FKA Oconee Regional Medical Center)"/>
    <s v="Short Term Acute Care Hospital"/>
    <s v="Milledgeville"/>
    <n v="36"/>
    <n v="4.7"/>
    <n v="121"/>
    <n v="103"/>
    <n v="12"/>
    <n v="1"/>
    <n v="103"/>
    <n v="1.44"/>
    <n v="937"/>
    <n v="3023"/>
  </r>
  <r>
    <x v="1393"/>
    <n v="110045"/>
    <s v="GA"/>
    <s v="GA - Barrow"/>
    <n v="30680"/>
    <s v="Northeast Georgia Medical Center Barrow"/>
    <s v="Short Term Acute Care Hospital"/>
    <s v="Winder"/>
    <n v="11.4"/>
    <n v="3"/>
    <n v="51"/>
    <n v="56"/>
    <n v="6"/>
    <n v="0.06"/>
    <n v="56"/>
    <n v="1.23"/>
    <n v="938"/>
    <n v="1384"/>
  </r>
  <r>
    <x v="1394"/>
    <n v="110030"/>
    <s v="GA"/>
    <s v="GA - Bartow"/>
    <n v="30120"/>
    <s v="Cartersville Medical Center"/>
    <s v="Short Term Acute Care Hospital"/>
    <s v="Cartersville"/>
    <n v="93.2"/>
    <n v="4.5"/>
    <n v="175"/>
    <n v="119"/>
    <n v="21"/>
    <n v="0.06"/>
    <n v="119"/>
    <n v="1.64"/>
    <n v="939"/>
    <n v="7974"/>
  </r>
  <r>
    <x v="1395"/>
    <n v="110073"/>
    <s v="GA"/>
    <s v="GA - Ben Hill"/>
    <n v="31750"/>
    <s v="Dorminy Medical Center"/>
    <s v="Short Term Acute Care Hospital"/>
    <s v="Fitzgerald"/>
    <n v="10.5"/>
    <n v="3.7"/>
    <n v="38"/>
    <n v="48"/>
    <n v="5"/>
    <n v="1"/>
    <n v="48"/>
    <n v="1.1000000000000001"/>
    <n v="940"/>
    <n v="1102"/>
  </r>
  <r>
    <x v="1396"/>
    <n v="110234"/>
    <s v="GA"/>
    <s v="GA - Berrien"/>
    <n v="31639"/>
    <s v="South Georgia Medical Center Berrien Campus (FKA Berrien County Hospital)"/>
    <s v="Short Term Acute Care Hospital"/>
    <s v="Nashville"/>
    <n v="1.6"/>
    <n v="4.5999999999999996"/>
    <n v="10"/>
    <n v="51"/>
    <m/>
    <m/>
    <n v="51"/>
    <n v="1.1000000000000001"/>
    <n v="941"/>
    <n v="126"/>
  </r>
  <r>
    <x v="1397"/>
    <n v="110164"/>
    <s v="GA"/>
    <s v="GA - Bibb"/>
    <n v="31217"/>
    <s v="Coliseum Medical Centers"/>
    <s v="Short Term Acute Care Hospital"/>
    <s v="Macon"/>
    <n v="146.1"/>
    <n v="5.0999999999999996"/>
    <n v="228"/>
    <n v="179"/>
    <n v="28"/>
    <n v="0.54"/>
    <n v="179"/>
    <n v="1.84"/>
    <n v="942"/>
    <n v="10985"/>
  </r>
  <r>
    <x v="1397"/>
    <n v="110107"/>
    <s v="GA"/>
    <s v="GA - Bibb"/>
    <n v="31201"/>
    <s v="The Medical Center Navicent Health (FKA Medical Center of Central Georgia)"/>
    <s v="Short Term Acute Care Hospital"/>
    <s v="Macon"/>
    <n v="488"/>
    <n v="5.7"/>
    <n v="714"/>
    <n v="619"/>
    <n v="79"/>
    <n v="0.54"/>
    <n v="619"/>
    <n v="2.02"/>
    <n v="943"/>
    <n v="32989"/>
  </r>
  <r>
    <x v="1397"/>
    <n v="110201"/>
    <s v="GA"/>
    <s v="GA - Bibb"/>
    <n v="31210"/>
    <s v="Coliseum Northside Hospital"/>
    <s v="Short Term Acute Care Hospital"/>
    <s v="Macon"/>
    <n v="30"/>
    <n v="3.4"/>
    <n v="60"/>
    <n v="85"/>
    <n v="10"/>
    <n v="0.54"/>
    <n v="85"/>
    <n v="1.82"/>
    <n v="944"/>
    <n v="3186"/>
  </r>
  <r>
    <x v="1398"/>
    <n v="110075"/>
    <s v="GA"/>
    <s v="GA - Bulloch"/>
    <n v="30458"/>
    <s v="East Georgia Regional Medical Center"/>
    <s v="Short Term Acute Care Hospital"/>
    <s v="Statesboro"/>
    <n v="76.2"/>
    <n v="4.0999999999999996"/>
    <n v="150"/>
    <n v="144"/>
    <n v="24"/>
    <n v="1"/>
    <n v="144"/>
    <n v="1.61"/>
    <n v="947"/>
    <n v="7952"/>
  </r>
  <r>
    <x v="1398"/>
    <n v="110213"/>
    <s v="GA"/>
    <s v="GA - Bulloch"/>
    <n v="30458"/>
    <s v="Willingway Hospital"/>
    <s v="Short Term Acute Care Hospital"/>
    <s v="Statesboro"/>
    <m/>
    <m/>
    <n v="2"/>
    <m/>
    <m/>
    <m/>
    <n v="40"/>
    <m/>
    <n v="577650"/>
    <m/>
  </r>
  <r>
    <x v="1399"/>
    <n v="110113"/>
    <s v="GA"/>
    <s v="GA - Burke"/>
    <n v="30830"/>
    <s v="Burke Medical Center"/>
    <s v="Short Term Acute Care Hospital"/>
    <s v="Waynesboro"/>
    <n v="2.8"/>
    <n v="4.4000000000000004"/>
    <n v="32"/>
    <n v="40"/>
    <m/>
    <n v="0.26"/>
    <n v="40"/>
    <n v="0.85"/>
    <n v="948"/>
    <n v="233"/>
  </r>
  <r>
    <x v="1400"/>
    <n v="110146"/>
    <s v="GA"/>
    <s v="GA - Camden"/>
    <n v="31558"/>
    <s v="Southeast Georgia Health System - Camden Campus"/>
    <s v="Short Term Acute Care Hospital"/>
    <s v="Saint Marys"/>
    <n v="18.2"/>
    <n v="3.1"/>
    <n v="90"/>
    <n v="40"/>
    <n v="5"/>
    <n v="1"/>
    <n v="40"/>
    <n v="1.41"/>
    <n v="950"/>
    <n v="2563"/>
  </r>
  <r>
    <x v="1401"/>
    <n v="110011"/>
    <s v="GA"/>
    <s v="GA - Carroll"/>
    <n v="30117"/>
    <s v="Tanner Medical Center - Carrollton"/>
    <s v="Short Term Acute Care Hospital"/>
    <s v="Carrollton"/>
    <n v="110.7"/>
    <n v="4.9000000000000004"/>
    <n v="271"/>
    <n v="157"/>
    <n v="12"/>
    <n v="0.06"/>
    <n v="157"/>
    <n v="1.76"/>
    <n v="952"/>
    <n v="8791"/>
  </r>
  <r>
    <x v="1401"/>
    <n v="110015"/>
    <s v="GA"/>
    <s v="GA - Carroll"/>
    <n v="30180"/>
    <s v="Tanner Medical Center - Villa Rica"/>
    <s v="Short Term Acute Care Hospital"/>
    <s v="Villa Rica"/>
    <n v="31.6"/>
    <n v="4.0999999999999996"/>
    <n v="79"/>
    <n v="40"/>
    <n v="6"/>
    <n v="0.06"/>
    <n v="40"/>
    <n v="1.33"/>
    <n v="953"/>
    <n v="3091"/>
  </r>
  <r>
    <x v="1402"/>
    <n v="110236"/>
    <s v="GA"/>
    <s v="GA - Catoosa"/>
    <n v="30742"/>
    <s v="CHI Memorial Hospital Georgia (FKA Cornerstone Medical Center)"/>
    <s v="Short Term Acute Care Hospital"/>
    <s v="Fort Oglethorpe"/>
    <n v="3.9"/>
    <n v="3.2"/>
    <n v="27"/>
    <n v="36"/>
    <m/>
    <n v="0.38"/>
    <n v="36"/>
    <n v="0.96"/>
    <n v="954"/>
    <n v="440"/>
  </r>
  <r>
    <x v="1403"/>
    <n v="110024"/>
    <s v="GA"/>
    <s v="GA - Chatham"/>
    <n v="31405"/>
    <s v="Candler Hospital"/>
    <s v="Short Term Acute Care Hospital"/>
    <s v="Savannah"/>
    <n v="139.80000000000001"/>
    <n v="5.7"/>
    <n v="465"/>
    <n v="212"/>
    <n v="20"/>
    <n v="0.33"/>
    <n v="212"/>
    <n v="1.58"/>
    <n v="956"/>
    <n v="10464"/>
  </r>
  <r>
    <x v="1403"/>
    <n v="110036"/>
    <s v="GA"/>
    <s v="GA - Chatham"/>
    <n v="31404"/>
    <s v="Memorial Health University Medical Center"/>
    <s v="Short Term Acute Care Hospital"/>
    <s v="Savannah"/>
    <n v="398.7"/>
    <n v="5.8"/>
    <n v="394"/>
    <n v="517"/>
    <n v="20"/>
    <n v="0.33"/>
    <n v="517"/>
    <n v="2.19"/>
    <n v="957"/>
    <n v="25485"/>
  </r>
  <r>
    <x v="1403"/>
    <n v="110043"/>
    <s v="GA"/>
    <s v="GA - Chatham"/>
    <n v="31419"/>
    <s v="St Josephs Hospital"/>
    <s v="Short Term Acute Care Hospital"/>
    <s v="Savannah"/>
    <n v="150.9"/>
    <n v="5"/>
    <n v="194"/>
    <n v="210"/>
    <n v="22"/>
    <n v="0.33"/>
    <n v="210"/>
    <n v="1.96"/>
    <n v="958"/>
    <n v="11035"/>
  </r>
  <r>
    <x v="1404"/>
    <n v="110008"/>
    <s v="GA"/>
    <s v="GA - Cherokee"/>
    <n v="30115"/>
    <s v="Northside Hospital Cherokee"/>
    <s v="Short Term Acute Care Hospital"/>
    <s v="Canton"/>
    <n v="141"/>
    <n v="5.4"/>
    <n v="353"/>
    <n v="150"/>
    <n v="19"/>
    <n v="0.06"/>
    <n v="150"/>
    <n v="1.69"/>
    <n v="960"/>
    <n v="10548"/>
  </r>
  <r>
    <x v="1405"/>
    <n v="110006"/>
    <s v="GA"/>
    <s v="GA - Clarke"/>
    <n v="30606"/>
    <s v="St Marys Hospital"/>
    <s v="Short Term Acute Care Hospital"/>
    <s v="Athens"/>
    <n v="104.4"/>
    <n v="4.4000000000000004"/>
    <n v="214"/>
    <n v="165"/>
    <n v="68"/>
    <n v="0.59"/>
    <n v="165"/>
    <n v="1.72"/>
    <n v="961"/>
    <n v="9713"/>
  </r>
  <r>
    <x v="1405"/>
    <n v="110074"/>
    <s v="GA"/>
    <s v="GA - Clarke"/>
    <n v="30606"/>
    <s v="Piedmont Athens Regional Medical Center (FKA Athens Regional Medical Center)"/>
    <s v="Short Term Acute Care Hospital"/>
    <s v="Athens"/>
    <n v="260.10000000000002"/>
    <n v="4.8"/>
    <n v="771"/>
    <n v="357"/>
    <n v="24"/>
    <n v="0.59"/>
    <n v="357"/>
    <n v="1.72"/>
    <n v="962"/>
    <n v="20937"/>
  </r>
  <r>
    <x v="1406"/>
    <n v="110165"/>
    <s v="GA"/>
    <s v="GA - Clayton"/>
    <n v="30274"/>
    <s v="Southern Regional Medical Center"/>
    <s v="Short Term Acute Care Hospital"/>
    <s v="Riverdale"/>
    <n v="118.3"/>
    <n v="4.5"/>
    <n v="178"/>
    <n v="244"/>
    <n v="34"/>
    <n v="0.06"/>
    <n v="244"/>
    <n v="1.81"/>
    <n v="963"/>
    <n v="10572"/>
  </r>
  <r>
    <x v="1407"/>
    <n v="110143"/>
    <s v="GA"/>
    <s v="GA - Cobb"/>
    <n v="30106"/>
    <s v="WellStar Cobb Hospital"/>
    <s v="Short Term Acute Care Hospital"/>
    <s v="Austell"/>
    <n v="242.2"/>
    <n v="5.0999999999999996"/>
    <n v="545"/>
    <n v="367"/>
    <n v="26"/>
    <n v="0.06"/>
    <n v="367"/>
    <n v="1.78"/>
    <n v="965"/>
    <n v="18504"/>
  </r>
  <r>
    <x v="1407"/>
    <s v="110183 (Closed)"/>
    <s v="GA"/>
    <s v="GA - Cobb"/>
    <n v="30080"/>
    <s v="Emory - Adventist Hospital (Closed October 2014)"/>
    <s v="Short Term Acute Care Hospital"/>
    <s v="Smyrna"/>
    <n v="13.1"/>
    <n v="3.6"/>
    <m/>
    <m/>
    <m/>
    <n v="0.06"/>
    <m/>
    <m/>
    <n v="966"/>
    <n v="1326"/>
  </r>
  <r>
    <x v="1407"/>
    <n v="110035"/>
    <s v="GA"/>
    <s v="GA - Cobb"/>
    <n v="30060"/>
    <s v="WellStar Kennestone Hospital"/>
    <s v="Short Term Acute Care Hospital"/>
    <s v="Marietta"/>
    <n v="526.1"/>
    <n v="5.0999999999999996"/>
    <n v="1154"/>
    <n v="642"/>
    <n v="55"/>
    <n v="0.06"/>
    <n v="633"/>
    <n v="1.9"/>
    <n v="967"/>
    <n v="40080"/>
  </r>
  <r>
    <x v="1408"/>
    <n v="110089"/>
    <s v="GA"/>
    <s v="GA - Coffee"/>
    <n v="31533"/>
    <s v="Coffee Regional Medical Center"/>
    <s v="Short Term Acute Care Hospital"/>
    <s v="Douglas"/>
    <n v="45.4"/>
    <n v="3.7"/>
    <n v="98"/>
    <n v="86"/>
    <n v="10"/>
    <n v="1"/>
    <n v="86"/>
    <n v="1.33"/>
    <n v="968"/>
    <n v="4801"/>
  </r>
  <r>
    <x v="1409"/>
    <n v="110105"/>
    <s v="GA"/>
    <s v="GA - Colquitt"/>
    <n v="31768"/>
    <s v="Colquitt Regional Medical Center"/>
    <s v="Short Term Acute Care Hospital"/>
    <s v="Moultrie"/>
    <n v="60.3"/>
    <n v="4.8"/>
    <n v="143"/>
    <n v="94"/>
    <n v="10"/>
    <n v="0.63"/>
    <n v="94"/>
    <n v="1.41"/>
    <n v="969"/>
    <n v="4796"/>
  </r>
  <r>
    <x v="1409"/>
    <n v="110209"/>
    <s v="GA"/>
    <s v="GA - Colquitt"/>
    <n v="31788"/>
    <s v="Turning Point Hospital"/>
    <s v="Short Term Acute Care Hospital"/>
    <s v="Moultrie"/>
    <n v="34.4"/>
    <n v="3.9"/>
    <n v="8"/>
    <n v="33"/>
    <m/>
    <n v="0.63"/>
    <n v="33"/>
    <n v="1.25"/>
    <n v="970"/>
    <n v="3248"/>
  </r>
  <r>
    <x v="1410"/>
    <m/>
    <s v="GA"/>
    <s v="GA - Columbia"/>
    <n v="30813"/>
    <s v="Augusta University Medical Center - Columbia County (Opening 2020)"/>
    <s v="Short Term Acute Care Hospital"/>
    <s v="Grovetown"/>
    <m/>
    <m/>
    <m/>
    <m/>
    <m/>
    <m/>
    <m/>
    <m/>
    <n v="842959"/>
    <m/>
  </r>
  <r>
    <x v="1411"/>
    <n v="110101"/>
    <s v="GA"/>
    <s v="GA - Cook"/>
    <n v="31620"/>
    <s v="Southwell Medical (FKA Cook Medical Center)"/>
    <s v="Short Term Acute Care Hospital"/>
    <s v="Adel"/>
    <n v="2.9"/>
    <n v="8.6999999999999993"/>
    <n v="10"/>
    <n v="33"/>
    <m/>
    <m/>
    <n v="33"/>
    <n v="1.0900000000000001"/>
    <n v="971"/>
    <n v="123"/>
  </r>
  <r>
    <x v="1412"/>
    <n v="110229"/>
    <s v="GA"/>
    <s v="GA - Coweta"/>
    <n v="30265"/>
    <s v="Piedmont Newnan Hospital"/>
    <s v="Short Term Acute Care Hospital"/>
    <s v="Newnan"/>
    <n v="117.8"/>
    <n v="4.3"/>
    <n v="276"/>
    <n v="150"/>
    <n v="18"/>
    <n v="0.06"/>
    <n v="150"/>
    <n v="1.63"/>
    <n v="972"/>
    <n v="10607"/>
  </r>
  <r>
    <x v="1412"/>
    <n v="110233"/>
    <s v="GA"/>
    <s v="GA - Coweta"/>
    <n v="30265"/>
    <s v="Cancer Treatment Centers of America - Atlanta"/>
    <s v="Short Term Acute Care Hospital"/>
    <s v="Newnan"/>
    <n v="23.8"/>
    <n v="5"/>
    <n v="119"/>
    <n v="50"/>
    <n v="5"/>
    <m/>
    <n v="50"/>
    <n v="1.8"/>
    <n v="542244"/>
    <n v="1734"/>
  </r>
  <r>
    <x v="1413"/>
    <n v="110104"/>
    <s v="GA"/>
    <s v="GA - Crisp"/>
    <n v="31015"/>
    <s v="Crisp Regional Hospital"/>
    <s v="Short Term Acute Care Hospital"/>
    <s v="Cordele"/>
    <n v="33.6"/>
    <n v="4.2"/>
    <n v="95"/>
    <n v="65"/>
    <n v="16"/>
    <n v="1"/>
    <n v="65"/>
    <n v="1.47"/>
    <n v="973"/>
    <n v="3052"/>
  </r>
  <r>
    <x v="1414"/>
    <m/>
    <s v="GA"/>
    <s v="GA - Dade"/>
    <n v="30757"/>
    <s v="Wildwood Lifestyle Center"/>
    <s v="Short Term Acute Care Hospital"/>
    <s v="Wildwood"/>
    <m/>
    <m/>
    <n v="5"/>
    <m/>
    <m/>
    <m/>
    <n v="36"/>
    <m/>
    <n v="581778"/>
    <m/>
  </r>
  <r>
    <x v="1415"/>
    <n v="110132"/>
    <s v="GA"/>
    <s v="GA - Decatur"/>
    <n v="39819"/>
    <s v="Memorial Hospital and Manor"/>
    <s v="Short Term Acute Care Hospital"/>
    <s v="Bainbridge"/>
    <n v="15.8"/>
    <n v="2.9"/>
    <n v="57"/>
    <n v="80"/>
    <n v="10"/>
    <n v="1"/>
    <n v="80"/>
    <n v="1.08"/>
    <n v="974"/>
    <n v="2201"/>
  </r>
  <r>
    <x v="1416"/>
    <n v="110076"/>
    <s v="GA"/>
    <s v="GA - Dekalb"/>
    <n v="30033"/>
    <s v="Emory Decatur Hospital (FKA DeKalb Medical Center North Decatur)"/>
    <s v="Short Term Acute Care Hospital"/>
    <s v="Decatur"/>
    <n v="215.1"/>
    <n v="4.5999999999999996"/>
    <n v="568"/>
    <n v="392"/>
    <n v="32"/>
    <n v="0.06"/>
    <n v="392"/>
    <n v="1.62"/>
    <n v="976"/>
    <n v="18512"/>
  </r>
  <r>
    <x v="1416"/>
    <n v="110010"/>
    <s v="GA"/>
    <s v="GA - Dekalb"/>
    <n v="30322"/>
    <s v="Emory University Hospital"/>
    <s v="Short Term Acute Care Hospital"/>
    <s v="Atlanta"/>
    <n v="522"/>
    <n v="6.8"/>
    <n v="1325"/>
    <n v="601"/>
    <n v="115"/>
    <n v="0.06"/>
    <n v="601"/>
    <n v="2.31"/>
    <n v="977"/>
    <n v="27956"/>
  </r>
  <r>
    <x v="1416"/>
    <n v="110226"/>
    <s v="GA"/>
    <s v="GA - Dekalb"/>
    <n v="30058"/>
    <s v="Emory Hillandale Hospital (FKA DeKalb Medical Center at Hillandale)"/>
    <s v="Short Term Acute Care Hospital"/>
    <s v="Lithonia"/>
    <n v="51.3"/>
    <n v="4.3"/>
    <n v="102"/>
    <n v="90"/>
    <n v="8"/>
    <n v="0.06"/>
    <n v="90"/>
    <n v="1.41"/>
    <n v="979"/>
    <n v="4356"/>
  </r>
  <r>
    <x v="1416"/>
    <m/>
    <s v="GA"/>
    <s v="GA - Dekalb"/>
    <n v="30084"/>
    <s v="Emory University Orthopaedics &amp; Spine Hospital"/>
    <s v="Short Term Acute Care Hospital"/>
    <s v="Tucker"/>
    <n v="26.8"/>
    <n v="4.5999999999999996"/>
    <m/>
    <m/>
    <m/>
    <n v="0.06"/>
    <n v="99"/>
    <m/>
    <n v="541881"/>
    <n v="2147"/>
  </r>
  <r>
    <x v="1416"/>
    <m/>
    <s v="GA"/>
    <s v="GA - Dekalb"/>
    <n v="30346"/>
    <s v="Veritas Collaborative - Child Adolescent &amp; Young Adult Hospital Atlanta"/>
    <s v="Short Term Acute Care Hospital"/>
    <s v="Dunwoody"/>
    <m/>
    <m/>
    <n v="3"/>
    <m/>
    <m/>
    <m/>
    <n v="50"/>
    <m/>
    <n v="968065"/>
    <m/>
  </r>
  <r>
    <x v="1417"/>
    <n v="110092"/>
    <s v="GA"/>
    <s v="GA - Dodge"/>
    <n v="31023"/>
    <s v="Dodge County Hospital"/>
    <s v="Short Term Acute Care Hospital"/>
    <s v="Eastman"/>
    <n v="14.5"/>
    <n v="4.5999999999999996"/>
    <n v="36"/>
    <n v="40"/>
    <n v="6"/>
    <m/>
    <n v="40"/>
    <n v="1.24"/>
    <n v="980"/>
    <n v="1212"/>
  </r>
  <r>
    <x v="1418"/>
    <s v="110007*"/>
    <s v="GA"/>
    <s v="GA - Dougherty"/>
    <n v="31701"/>
    <s v="Phoebe Putney Memorial Hospital - North Campus"/>
    <s v="Short Term Acute Care Hospital"/>
    <s v="Albany"/>
    <m/>
    <m/>
    <n v="1"/>
    <m/>
    <m/>
    <m/>
    <n v="248"/>
    <m/>
    <n v="981"/>
    <m/>
  </r>
  <r>
    <x v="1418"/>
    <n v="110007"/>
    <s v="GA"/>
    <s v="GA - Dougherty"/>
    <n v="31701"/>
    <s v="Phoebe Putney Memorial Hospital"/>
    <s v="Short Term Acute Care Hospital"/>
    <s v="Albany"/>
    <n v="264.39999999999998"/>
    <n v="6"/>
    <n v="517"/>
    <n v="405"/>
    <n v="38"/>
    <n v="0.95"/>
    <n v="405"/>
    <n v="1.79"/>
    <n v="982"/>
    <n v="17446"/>
  </r>
  <r>
    <x v="1419"/>
    <n v="110184"/>
    <s v="GA"/>
    <s v="GA - Douglas"/>
    <n v="30134"/>
    <s v="WellStar Douglas Hospital"/>
    <s v="Short Term Acute Care Hospital"/>
    <s v="Douglasville"/>
    <n v="71.2"/>
    <n v="4"/>
    <n v="180"/>
    <n v="102"/>
    <n v="8"/>
    <n v="0.06"/>
    <n v="102"/>
    <n v="1.68"/>
    <n v="983"/>
    <n v="6713"/>
  </r>
  <r>
    <x v="1420"/>
    <n v="110109"/>
    <s v="GA"/>
    <s v="GA - Emanuel"/>
    <n v="30401"/>
    <s v="Emanuel Medical Center"/>
    <s v="Short Term Acute Care Hospital"/>
    <s v="Swainsboro"/>
    <n v="9"/>
    <n v="3.5"/>
    <n v="38"/>
    <n v="45"/>
    <n v="8"/>
    <m/>
    <n v="45"/>
    <n v="1.1299999999999999"/>
    <n v="987"/>
    <n v="931"/>
  </r>
  <r>
    <x v="1421"/>
    <n v="110142"/>
    <s v="GA"/>
    <s v="GA - Evans"/>
    <n v="30417"/>
    <s v="Evans Memorial Hospital"/>
    <s v="Short Term Acute Care Hospital"/>
    <s v="Claxton"/>
    <n v="3.3"/>
    <n v="3"/>
    <n v="28"/>
    <n v="49"/>
    <m/>
    <m/>
    <n v="49"/>
    <n v="1.1399999999999999"/>
    <n v="988"/>
    <n v="408"/>
  </r>
  <r>
    <x v="1422"/>
    <n v="110189"/>
    <s v="GA"/>
    <s v="GA - Fannin"/>
    <n v="30513"/>
    <s v="Fannin Regional Hospital"/>
    <s v="Short Term Acute Care Hospital"/>
    <s v="Blue Ridge"/>
    <n v="8.9"/>
    <n v="3"/>
    <n v="67"/>
    <n v="50"/>
    <n v="5"/>
    <m/>
    <n v="50"/>
    <n v="1.3"/>
    <n v="989"/>
    <n v="1137"/>
  </r>
  <r>
    <x v="1423"/>
    <n v="110215"/>
    <s v="GA"/>
    <s v="GA - Fayette"/>
    <n v="30214"/>
    <s v="Piedmont Fayette Hospital"/>
    <s v="Short Term Acute Care Hospital"/>
    <s v="Fayetteville"/>
    <n v="235.7"/>
    <n v="4.5999999999999996"/>
    <n v="449"/>
    <n v="290"/>
    <n v="66"/>
    <n v="0.06"/>
    <n v="221"/>
    <n v="1.65"/>
    <n v="990"/>
    <n v="17251"/>
  </r>
  <r>
    <x v="1424"/>
    <n v="110168"/>
    <s v="GA"/>
    <s v="GA - Floyd"/>
    <n v="30165"/>
    <s v="Redmond Regional Medical Center"/>
    <s v="Short Term Acute Care Hospital"/>
    <s v="Rome"/>
    <n v="139.9"/>
    <n v="4.3"/>
    <n v="161"/>
    <n v="208"/>
    <n v="16"/>
    <n v="0.53"/>
    <n v="208"/>
    <n v="1.85"/>
    <n v="991"/>
    <n v="11565"/>
  </r>
  <r>
    <x v="1424"/>
    <n v="110054"/>
    <s v="GA"/>
    <s v="GA - Floyd"/>
    <n v="30165"/>
    <s v="Floyd Medical Center"/>
    <s v="Short Term Acute Care Hospital"/>
    <s v="Rome"/>
    <n v="166.1"/>
    <n v="5.0999999999999996"/>
    <n v="481"/>
    <n v="227"/>
    <n v="26"/>
    <n v="0.53"/>
    <n v="227"/>
    <n v="1.56"/>
    <n v="992"/>
    <n v="13772"/>
  </r>
  <r>
    <x v="1425"/>
    <n v="110005"/>
    <s v="GA"/>
    <s v="GA - Forsyth"/>
    <n v="30041"/>
    <s v="Northside Hospital Forsyth"/>
    <s v="Short Term Acute Care Hospital"/>
    <s v="Cumming"/>
    <n v="212.7"/>
    <n v="5.7"/>
    <n v="1011"/>
    <n v="298"/>
    <n v="24"/>
    <n v="0.06"/>
    <n v="304"/>
    <n v="1.67"/>
    <n v="993"/>
    <n v="16022"/>
  </r>
  <r>
    <x v="1426"/>
    <n v="110027"/>
    <s v="GA"/>
    <s v="GA - Franklin"/>
    <n v="30553"/>
    <s v="St Marys Sacred Heart Hospital (FKA Ty Cobb Regional Medical Center)"/>
    <s v="Short Term Acute Care Hospital"/>
    <s v="Lavonia"/>
    <n v="18"/>
    <n v="3.8"/>
    <n v="59"/>
    <n v="56"/>
    <n v="8"/>
    <m/>
    <n v="56"/>
    <n v="1.1399999999999999"/>
    <n v="994"/>
    <n v="1882"/>
  </r>
  <r>
    <x v="1427"/>
    <n v="110230"/>
    <s v="GA"/>
    <s v="GA - Fulton"/>
    <n v="30097"/>
    <s v="Emory Johns Creek Hospital"/>
    <s v="Short Term Acute Care Hospital"/>
    <s v="Johns Creek"/>
    <n v="94.4"/>
    <n v="4.3"/>
    <n v="277"/>
    <n v="118"/>
    <n v="14"/>
    <n v="0.06"/>
    <n v="110"/>
    <n v="1.67"/>
    <n v="959"/>
    <n v="8525"/>
  </r>
  <r>
    <x v="1427"/>
    <n v="110078"/>
    <s v="GA"/>
    <s v="GA - Fulton"/>
    <n v="30308"/>
    <s v="Emory University Hospital Midtown"/>
    <s v="Short Term Acute Care Hospital"/>
    <s v="Atlanta"/>
    <n v="346.7"/>
    <n v="4.5999999999999996"/>
    <n v="785"/>
    <n v="529"/>
    <n v="50"/>
    <n v="0.06"/>
    <n v="529"/>
    <n v="2.35"/>
    <n v="995"/>
    <n v="32224"/>
  </r>
  <r>
    <x v="1427"/>
    <n v="110079"/>
    <s v="GA"/>
    <s v="GA - Fulton"/>
    <n v="30303"/>
    <s v="Grady Hospital (AKA Grady Memorial Hospital Corporation)"/>
    <s v="Short Term Acute Care Hospital"/>
    <s v="Atlanta"/>
    <n v="603"/>
    <n v="6.7"/>
    <n v="947"/>
    <n v="659"/>
    <n v="140"/>
    <n v="0.06"/>
    <n v="659"/>
    <n v="1.86"/>
    <n v="996"/>
    <n v="33496"/>
  </r>
  <r>
    <x v="1427"/>
    <n v="110082"/>
    <s v="GA"/>
    <s v="GA - Fulton"/>
    <n v="30342"/>
    <s v="Emory Saint Josephs Hospital (AKA St Josephs Hospital of Atlanta)"/>
    <s v="Short Term Acute Care Hospital"/>
    <s v="Atlanta"/>
    <n v="246.6"/>
    <n v="4.7"/>
    <n v="487"/>
    <n v="356"/>
    <n v="45"/>
    <n v="0.06"/>
    <n v="356"/>
    <n v="2.08"/>
    <n v="997"/>
    <n v="18913"/>
  </r>
  <r>
    <x v="1427"/>
    <n v="110083"/>
    <s v="GA"/>
    <s v="GA - Fulton"/>
    <n v="30309"/>
    <s v="Piedmont Atlanta Hospital"/>
    <s v="Short Term Acute Care Hospital"/>
    <s v="Atlanta"/>
    <n v="384"/>
    <n v="5.4"/>
    <n v="1262"/>
    <n v="512"/>
    <n v="56"/>
    <n v="0.06"/>
    <n v="488"/>
    <n v="2.42"/>
    <n v="998"/>
    <n v="26947"/>
  </r>
  <r>
    <x v="1427"/>
    <n v="110115"/>
    <s v="GA"/>
    <s v="GA - Fulton"/>
    <n v="30312"/>
    <s v="WellStar Atlanta Medical Center (FKA Atlanta Medical Center)"/>
    <s v="Short Term Acute Care Hospital"/>
    <s v="Atlanta"/>
    <n v="262.10000000000002"/>
    <n v="5.9"/>
    <n v="345"/>
    <n v="491"/>
    <n v="63"/>
    <n v="0.06"/>
    <n v="491"/>
    <n v="1.82"/>
    <n v="999"/>
    <n v="16822"/>
  </r>
  <r>
    <x v="1427"/>
    <n v="110161"/>
    <s v="GA"/>
    <s v="GA - Fulton"/>
    <n v="30342"/>
    <s v="Northside Hospital Atlanta"/>
    <s v="Short Term Acute Care Hospital"/>
    <s v="Atlanta"/>
    <n v="359.2"/>
    <n v="6.3"/>
    <n v="1254"/>
    <n v="506"/>
    <n v="28"/>
    <n v="0.06"/>
    <n v="506"/>
    <n v="1.85"/>
    <n v="1000"/>
    <n v="31243"/>
  </r>
  <r>
    <x v="1427"/>
    <n v="110198"/>
    <s v="GA"/>
    <s v="GA - Fulton"/>
    <n v="30076"/>
    <s v="WellStar North Fulton Hospital (FKA North Fulton Hospital)"/>
    <s v="Short Term Acute Care Hospital"/>
    <s v="Roswell"/>
    <n v="78.8"/>
    <n v="4.5999999999999996"/>
    <n v="195"/>
    <n v="169"/>
    <n v="28"/>
    <n v="0.06"/>
    <n v="169"/>
    <n v="1.54"/>
    <n v="1001"/>
    <n v="6871"/>
  </r>
  <r>
    <x v="1427"/>
    <s v="110115*"/>
    <s v="GA"/>
    <s v="GA - Fulton"/>
    <n v="30344"/>
    <s v="WellStar Atlanta Medical Center South (FKA South Fulton Medical Center)"/>
    <s v="Short Term Acute Care Hospital"/>
    <s v="East Point"/>
    <m/>
    <m/>
    <n v="5"/>
    <m/>
    <m/>
    <m/>
    <m/>
    <m/>
    <n v="1002"/>
    <m/>
  </r>
  <r>
    <x v="1427"/>
    <m/>
    <s v="GA"/>
    <s v="GA - Fulton"/>
    <n v="30303"/>
    <s v="Hughes Spalding Hospital (FKA Childrens Hospital of Atlanta - Hughes Spalding)"/>
    <s v="Short Term Acute Care Hospital"/>
    <s v="Atlanta"/>
    <m/>
    <m/>
    <n v="24"/>
    <m/>
    <m/>
    <m/>
    <m/>
    <m/>
    <n v="274145"/>
    <m/>
  </r>
  <r>
    <x v="1428"/>
    <s v="110205 (Closed)"/>
    <s v="GA"/>
    <s v="GA - Gilmer"/>
    <n v="30540"/>
    <s v="North Georgia Medical Center (Closed - No longer offering inpatient services)"/>
    <s v="Short Term Acute Care Hospital"/>
    <s v="Ellijay"/>
    <n v="2.2000000000000002"/>
    <n v="3.2"/>
    <m/>
    <m/>
    <m/>
    <m/>
    <m/>
    <m/>
    <n v="1003"/>
    <n v="247"/>
  </r>
  <r>
    <x v="1429"/>
    <n v="110025"/>
    <s v="GA"/>
    <s v="GA - Glynn"/>
    <n v="31520"/>
    <s v="Southeast Georgia Health System - Brunswick Campus"/>
    <s v="Short Term Acute Care Hospital"/>
    <s v="Brunswick"/>
    <n v="174.7"/>
    <n v="5.3"/>
    <n v="351"/>
    <n v="300"/>
    <m/>
    <n v="1"/>
    <n v="300"/>
    <n v="1.73"/>
    <n v="1004"/>
    <n v="12617"/>
  </r>
  <r>
    <x v="1430"/>
    <n v="110023"/>
    <s v="GA"/>
    <s v="GA - Gordon"/>
    <n v="30701"/>
    <s v="AdventHealth Gordon (FKA Gordon Hospital)"/>
    <s v="Short Term Acute Care Hospital"/>
    <s v="Calhoun"/>
    <n v="44.3"/>
    <n v="4.3"/>
    <n v="132"/>
    <n v="69"/>
    <n v="8"/>
    <n v="1"/>
    <n v="69"/>
    <n v="1.66"/>
    <n v="1005"/>
    <n v="3996"/>
  </r>
  <r>
    <x v="1431"/>
    <n v="110121"/>
    <s v="GA"/>
    <s v="GA - Grady"/>
    <n v="39828"/>
    <s v="Grady General Hospital"/>
    <s v="Short Term Acute Care Hospital"/>
    <s v="Cairo"/>
    <n v="13.4"/>
    <n v="5.2"/>
    <n v="37"/>
    <n v="44"/>
    <n v="2"/>
    <m/>
    <n v="44"/>
    <n v="1.21"/>
    <n v="1006"/>
    <n v="1024"/>
  </r>
  <r>
    <x v="1432"/>
    <n v="110087"/>
    <s v="GA"/>
    <s v="GA - Gwinnett"/>
    <n v="30046"/>
    <s v="Northside Hospital Gwinnett (FKA Gwinnett Medical Center - Lawrenceville)"/>
    <s v="Short Term Acute Care Hospital"/>
    <s v="Lawrenceville"/>
    <n v="354.1"/>
    <n v="4.9000000000000004"/>
    <n v="745"/>
    <n v="462"/>
    <n v="44"/>
    <n v="0.06"/>
    <n v="462"/>
    <n v="1.73"/>
    <n v="1007"/>
    <n v="28620"/>
  </r>
  <r>
    <x v="1432"/>
    <n v="110192"/>
    <s v="GA"/>
    <s v="GA - Gwinnett"/>
    <n v="30078"/>
    <s v="Eastside Medical Center"/>
    <s v="Short Term Acute Care Hospital"/>
    <s v="Snellville"/>
    <n v="129.4"/>
    <n v="4.2"/>
    <n v="339"/>
    <n v="206"/>
    <n v="24"/>
    <n v="0.06"/>
    <n v="206"/>
    <n v="1.51"/>
    <n v="1008"/>
    <n v="11229"/>
  </r>
  <r>
    <x v="1432"/>
    <s v="110087*"/>
    <s v="GA"/>
    <s v="GA - Gwinnett"/>
    <n v="30096"/>
    <s v="Northside Hospital Duluth (FKA Gwinnett Medical Center - Duluth)"/>
    <s v="Short Term Acute Care Hospital"/>
    <s v="Duluth"/>
    <m/>
    <m/>
    <n v="20"/>
    <m/>
    <m/>
    <m/>
    <m/>
    <m/>
    <n v="542167"/>
    <m/>
  </r>
  <r>
    <x v="1433"/>
    <n v="110041"/>
    <s v="GA"/>
    <s v="GA - Habersham"/>
    <n v="30535"/>
    <s v="Habersham Medical Center"/>
    <s v="Short Term Acute Care Hospital"/>
    <s v="Demorest"/>
    <n v="15.9"/>
    <n v="3.9"/>
    <n v="70"/>
    <n v="53"/>
    <n v="4"/>
    <n v="1"/>
    <n v="53"/>
    <n v="1.27"/>
    <n v="1009"/>
    <n v="1640"/>
  </r>
  <r>
    <x v="1434"/>
    <n v="110029"/>
    <s v="GA"/>
    <s v="GA - Hall"/>
    <n v="30501"/>
    <s v="Northeast Georgia Medical Center"/>
    <s v="Short Term Acute Care Hospital"/>
    <s v="Gainesville"/>
    <n v="439.5"/>
    <n v="4.9000000000000004"/>
    <n v="1046"/>
    <n v="542"/>
    <n v="79"/>
    <n v="1"/>
    <n v="542"/>
    <n v="1.87"/>
    <n v="1010"/>
    <n v="36193"/>
  </r>
  <r>
    <x v="1435"/>
    <s v="110059 (Closed)"/>
    <s v="GA"/>
    <s v="GA - Hart"/>
    <n v="30643"/>
    <s v="Hart County Hospital (Closed May 2012)"/>
    <s v="Short Term Acute Care Hospital"/>
    <s v="Hartwell"/>
    <n v="5.2"/>
    <n v="3.4"/>
    <m/>
    <m/>
    <m/>
    <m/>
    <m/>
    <m/>
    <n v="1012"/>
    <n v="566"/>
  </r>
  <r>
    <x v="1436"/>
    <n v="110191"/>
    <s v="GA"/>
    <s v="GA - Henry"/>
    <n v="30281"/>
    <s v="Piedmont Henry (FKA Henry Medical Center)"/>
    <s v="Short Term Acute Care Hospital"/>
    <s v="Stockbridge"/>
    <n v="186.5"/>
    <n v="4.4000000000000004"/>
    <n v="469"/>
    <n v="252"/>
    <m/>
    <n v="0.06"/>
    <n v="215"/>
    <n v="1.61"/>
    <n v="1013"/>
    <n v="15434"/>
  </r>
  <r>
    <x v="1437"/>
    <n v="110069"/>
    <s v="GA"/>
    <s v="GA - Houston"/>
    <n v="31093"/>
    <s v="Houston Medical Center"/>
    <s v="Short Term Acute Care Hospital"/>
    <s v="Warner Robins"/>
    <n v="163.69999999999999"/>
    <n v="5"/>
    <n v="293"/>
    <n v="237"/>
    <n v="32"/>
    <n v="0.68"/>
    <n v="237"/>
    <n v="1.46"/>
    <n v="1014"/>
    <n v="13111"/>
  </r>
  <r>
    <x v="1437"/>
    <n v="110153"/>
    <s v="GA"/>
    <s v="GA - Houston"/>
    <n v="31069"/>
    <s v="Perry Hospital"/>
    <s v="Short Term Acute Care Hospital"/>
    <s v="Perry"/>
    <n v="18.7"/>
    <n v="5.6"/>
    <n v="39"/>
    <n v="39"/>
    <n v="4"/>
    <n v="0.68"/>
    <n v="39"/>
    <n v="1.24"/>
    <n v="1015"/>
    <n v="1216"/>
  </r>
  <r>
    <x v="1438"/>
    <n v="110130"/>
    <s v="GA"/>
    <s v="GA - Irwin"/>
    <n v="31774"/>
    <s v="Irwin County Hospital"/>
    <s v="Short Term Acute Care Hospital"/>
    <s v="Ocilla"/>
    <n v="4.0999999999999996"/>
    <n v="2.2000000000000002"/>
    <n v="20"/>
    <n v="34"/>
    <m/>
    <m/>
    <n v="34"/>
    <n v="0.98"/>
    <n v="1016"/>
    <n v="1006"/>
  </r>
  <r>
    <x v="1439"/>
    <n v="110040"/>
    <s v="GA"/>
    <s v="GA - Jackson"/>
    <n v="30529"/>
    <s v="Northridge Medical Center"/>
    <s v="Short Term Acute Care Hospital"/>
    <s v="Commerce"/>
    <n v="3.4"/>
    <n v="3.8"/>
    <n v="33"/>
    <n v="28"/>
    <m/>
    <n v="1"/>
    <n v="28"/>
    <n v="1.1499999999999999"/>
    <n v="1017"/>
    <n v="327"/>
  </r>
  <r>
    <x v="1439"/>
    <s v="110029*"/>
    <s v="GA"/>
    <s v="GA - Jackson"/>
    <n v="30517"/>
    <s v="Northeast Georgia Medical Center Braselton"/>
    <s v="Short Term Acute Care Hospital"/>
    <s v="Braselton"/>
    <m/>
    <m/>
    <m/>
    <m/>
    <m/>
    <m/>
    <n v="100"/>
    <m/>
    <n v="551520"/>
    <m/>
  </r>
  <r>
    <x v="1440"/>
    <n v="110100"/>
    <s v="GA"/>
    <s v="GA - Jefferson"/>
    <n v="30434"/>
    <s v="Jefferson Hospital"/>
    <s v="Short Term Acute Care Hospital"/>
    <s v="Louisville"/>
    <n v="4.5999999999999996"/>
    <n v="4.4000000000000004"/>
    <n v="21"/>
    <n v="37"/>
    <m/>
    <m/>
    <n v="37"/>
    <n v="1.05"/>
    <n v="1020"/>
    <n v="385"/>
  </r>
  <r>
    <x v="1441"/>
    <n v="110125"/>
    <s v="GA"/>
    <s v="GA - Laurens"/>
    <n v="31021"/>
    <s v="Fairview Park Hospital"/>
    <s v="Short Term Acute Care Hospital"/>
    <s v="Dublin"/>
    <n v="77.7"/>
    <n v="4.0999999999999996"/>
    <n v="151"/>
    <n v="145"/>
    <n v="16"/>
    <n v="1"/>
    <n v="145"/>
    <n v="1.52"/>
    <n v="1023"/>
    <n v="7425"/>
  </r>
  <r>
    <x v="1442"/>
    <s v="110122* (Closed)"/>
    <s v="GA"/>
    <s v="GA - Lowndes"/>
    <n v="31602"/>
    <s v="Smith Northview Hospital (Closed - No longer Offers Inpatient Services)"/>
    <s v="Short Term Acute Care Hospital"/>
    <s v="Valdosta"/>
    <m/>
    <m/>
    <m/>
    <m/>
    <m/>
    <m/>
    <m/>
    <m/>
    <n v="1025"/>
    <m/>
  </r>
  <r>
    <x v="1442"/>
    <n v="110122"/>
    <s v="GA"/>
    <s v="GA - Lowndes"/>
    <n v="31602"/>
    <s v="South Georgia Medical Center"/>
    <s v="Short Term Acute Care Hospital"/>
    <s v="Valdosta"/>
    <n v="174.1"/>
    <n v="4.9000000000000004"/>
    <n v="349"/>
    <n v="257"/>
    <n v="82"/>
    <n v="0.88"/>
    <n v="257"/>
    <n v="1.69"/>
    <n v="1026"/>
    <n v="14043"/>
  </r>
  <r>
    <x v="1443"/>
    <s v="110187 (Closed)"/>
    <s v="GA"/>
    <s v="GA - Lumpkin"/>
    <n v="30533"/>
    <s v="Chestatee Regional Hospital (Closed)"/>
    <s v="Short Term Acute Care Hospital"/>
    <s v="Dahlonega"/>
    <n v="6.4"/>
    <n v="8.1"/>
    <m/>
    <m/>
    <m/>
    <m/>
    <m/>
    <n v="1.1200000000000001"/>
    <n v="1027"/>
    <n v="308"/>
  </r>
  <r>
    <x v="1443"/>
    <n v="110237"/>
    <s v="GA"/>
    <s v="GA - Lumpkin"/>
    <n v="30533"/>
    <s v="Northeast Georgia Medical Center Lumpkin"/>
    <s v="Short Term Acute Care Hospital"/>
    <s v="Dahlonega"/>
    <m/>
    <m/>
    <m/>
    <m/>
    <m/>
    <m/>
    <m/>
    <m/>
    <n v="1004877"/>
    <m/>
  </r>
  <r>
    <x v="1444"/>
    <n v="110111"/>
    <s v="GA"/>
    <s v="GA - Mcduffie"/>
    <n v="30824"/>
    <s v="University Hospital McDuffie (FKA McDuffie Regional Medical Center)"/>
    <s v="Short Term Acute Care Hospital"/>
    <s v="Thomson"/>
    <n v="14.7"/>
    <n v="10"/>
    <n v="30"/>
    <n v="25"/>
    <m/>
    <n v="0.26"/>
    <n v="25"/>
    <n v="1.34"/>
    <n v="1028"/>
    <n v="540"/>
  </r>
  <r>
    <x v="1445"/>
    <n v="110190"/>
    <s v="GA"/>
    <s v="GA - Macon"/>
    <n v="31063"/>
    <s v="Flint River Hospital"/>
    <s v="Short Term Acute Care Hospital"/>
    <s v="Montezuma"/>
    <n v="0.5"/>
    <n v="4.8"/>
    <n v="9"/>
    <n v="22"/>
    <m/>
    <m/>
    <n v="22"/>
    <n v="1.1499999999999999"/>
    <n v="1029"/>
    <n v="41"/>
  </r>
  <r>
    <x v="1446"/>
    <n v="110050"/>
    <s v="GA"/>
    <s v="GA - Murray"/>
    <n v="30705"/>
    <s v="AdventHealth Murray (FKA Murray Medical Center)"/>
    <s v="Short Term Acute Care Hospital"/>
    <s v="Chatsworth"/>
    <n v="4.3"/>
    <n v="2.9"/>
    <n v="31"/>
    <n v="29"/>
    <m/>
    <n v="0.87"/>
    <n v="29"/>
    <n v="1.27"/>
    <n v="1034"/>
    <n v="536"/>
  </r>
  <r>
    <x v="1447"/>
    <n v="110064"/>
    <s v="GA"/>
    <s v="GA - Muscogee"/>
    <n v="31901"/>
    <s v="Piedmont Columbus Regional - Midtown"/>
    <s v="Short Term Acute Care Hospital"/>
    <s v="Columbus"/>
    <n v="210"/>
    <n v="5.3"/>
    <n v="397"/>
    <n v="334"/>
    <n v="28"/>
    <n v="0.33"/>
    <n v="334"/>
    <n v="1.85"/>
    <n v="1035"/>
    <n v="15941"/>
  </r>
  <r>
    <x v="1447"/>
    <s v="110186 (Closed)"/>
    <s v="GA"/>
    <s v="GA - Muscogee"/>
    <n v="31901"/>
    <s v="Doctors Specialty Hospital (Closed - Now MyCare Urgent Care Center)"/>
    <s v="Short Term Acute Care Hospital"/>
    <s v="Columbus"/>
    <n v="14.1"/>
    <n v="3.9"/>
    <m/>
    <m/>
    <m/>
    <n v="0.33"/>
    <m/>
    <m/>
    <n v="1036"/>
    <n v="1451"/>
  </r>
  <r>
    <x v="1447"/>
    <n v="110200"/>
    <s v="GA"/>
    <s v="GA - Muscogee"/>
    <n v="31909"/>
    <s v="Piedmont Columbus Regional - Northside (FKA Hughston Hospital)"/>
    <s v="Short Term Acute Care Hospital"/>
    <s v="Columbus"/>
    <n v="23.5"/>
    <n v="2.7"/>
    <n v="62"/>
    <n v="58"/>
    <n v="5"/>
    <n v="0.33"/>
    <n v="58"/>
    <n v="2.02"/>
    <n v="1037"/>
    <n v="3144"/>
  </r>
  <r>
    <x v="1447"/>
    <n v="110129"/>
    <s v="GA"/>
    <s v="GA - Muscogee"/>
    <n v="31904"/>
    <s v="St Francis Hospital"/>
    <s v="Short Term Acute Care Hospital"/>
    <s v="Columbus"/>
    <n v="170"/>
    <n v="4.8"/>
    <n v="359"/>
    <n v="312"/>
    <n v="28"/>
    <n v="0.33"/>
    <n v="312"/>
    <n v="1.72"/>
    <n v="1038"/>
    <n v="13518"/>
  </r>
  <r>
    <x v="1448"/>
    <n v="110018"/>
    <s v="GA"/>
    <s v="GA - Newton"/>
    <n v="30014"/>
    <s v="Piedmont Newton Hospital (FKA Newton Medical Center)"/>
    <s v="Short Term Acute Care Hospital"/>
    <s v="Covington"/>
    <n v="45.7"/>
    <n v="3.6"/>
    <n v="156"/>
    <n v="94"/>
    <n v="10"/>
    <n v="0.06"/>
    <n v="94"/>
    <n v="1.43"/>
    <n v="1039"/>
    <n v="5172"/>
  </r>
  <r>
    <x v="1449"/>
    <n v="110042"/>
    <s v="GA"/>
    <s v="GA - Paulding"/>
    <n v="30141"/>
    <s v="WellStar Paulding Hospital"/>
    <s v="Short Term Acute Care Hospital"/>
    <s v="Hiram"/>
    <n v="77.400000000000006"/>
    <n v="3.4"/>
    <n v="139"/>
    <n v="112"/>
    <n v="8"/>
    <n v="0.06"/>
    <n v="112"/>
    <n v="1.35"/>
    <n v="1040"/>
    <n v="8229"/>
  </r>
  <r>
    <x v="1450"/>
    <n v="110225"/>
    <s v="GA"/>
    <s v="GA - Pickens"/>
    <n v="30143"/>
    <s v="Piedmont Mountainside Hospital"/>
    <s v="Short Term Acute Care Hospital"/>
    <s v="Jasper"/>
    <n v="36.4"/>
    <n v="3.7"/>
    <n v="144"/>
    <n v="52"/>
    <n v="6"/>
    <n v="0.06"/>
    <n v="52"/>
    <n v="1.36"/>
    <n v="1042"/>
    <n v="3767"/>
  </r>
  <r>
    <x v="1451"/>
    <n v="110135"/>
    <s v="GA"/>
    <s v="GA - Pulaski"/>
    <n v="31036"/>
    <s v="Taylor Regional Hospital"/>
    <s v="Short Term Acute Care Hospital"/>
    <s v="Hawkinsville"/>
    <n v="8.6999999999999993"/>
    <n v="3.3"/>
    <n v="62"/>
    <n v="55"/>
    <n v="6"/>
    <m/>
    <n v="55"/>
    <n v="1.3"/>
    <n v="1044"/>
    <n v="1065"/>
  </r>
  <r>
    <x v="1452"/>
    <n v="110177"/>
    <s v="GA"/>
    <s v="GA - Richmond"/>
    <n v="30909"/>
    <s v="Doctors Hospital of Augusta"/>
    <s v="Short Term Acute Care Hospital"/>
    <s v="Augusta"/>
    <n v="205.9"/>
    <n v="5.0999999999999996"/>
    <n v="403"/>
    <n v="260"/>
    <n v="24"/>
    <n v="0.26"/>
    <n v="260"/>
    <n v="1.97"/>
    <n v="1048"/>
    <n v="15668"/>
  </r>
  <r>
    <x v="1452"/>
    <n v="110028"/>
    <s v="GA"/>
    <s v="GA - Richmond"/>
    <n v="30904"/>
    <s v="University Hospital Summerville (FKA Trinity Hospital of Augusta)"/>
    <s v="Short Term Acute Care Hospital"/>
    <s v="Augusta"/>
    <n v="357.9"/>
    <n v="5.0999999999999996"/>
    <n v="548"/>
    <n v="574"/>
    <n v="141"/>
    <n v="0.26"/>
    <n v="574"/>
    <n v="1.78"/>
    <n v="1049"/>
    <n v="26244"/>
  </r>
  <r>
    <x v="1452"/>
    <m/>
    <s v="GA"/>
    <s v="GA - Richmond"/>
    <n v="30901"/>
    <s v="University Hospital"/>
    <s v="Short Term Acute Care Hospital"/>
    <s v="Augusta"/>
    <m/>
    <m/>
    <n v="126"/>
    <m/>
    <m/>
    <m/>
    <m/>
    <m/>
    <n v="1050"/>
    <m/>
  </r>
  <r>
    <x v="1452"/>
    <n v="110034"/>
    <s v="GA"/>
    <s v="GA - Richmond"/>
    <n v="30912"/>
    <s v="Augusta University Medical Center (FKA Georgia Regents Medical Center)"/>
    <s v="Short Term Acute Care Hospital"/>
    <s v="Augusta"/>
    <n v="327.10000000000002"/>
    <n v="5.6"/>
    <n v="749"/>
    <n v="466"/>
    <n v="44"/>
    <n v="0.26"/>
    <n v="466"/>
    <n v="1.98"/>
    <n v="1051"/>
    <n v="21456"/>
  </r>
  <r>
    <x v="1453"/>
    <n v="110091"/>
    <s v="GA"/>
    <s v="GA - Rockdale"/>
    <n v="30012"/>
    <s v="Piedmont Rockdale"/>
    <s v="Short Term Acute Care Hospital"/>
    <s v="Conyers"/>
    <n v="106.9"/>
    <n v="5.0999999999999996"/>
    <n v="312"/>
    <n v="141"/>
    <n v="16"/>
    <n v="0.06"/>
    <n v="138"/>
    <n v="1.53"/>
    <n v="1052"/>
    <n v="8820"/>
  </r>
  <r>
    <x v="1454"/>
    <n v="110194"/>
    <s v="GA"/>
    <s v="GA - Seminole"/>
    <n v="39845"/>
    <s v="Donalsonville Hospital"/>
    <s v="Short Term Acute Care Hospital"/>
    <s v="Donalsonville"/>
    <n v="10.3"/>
    <n v="3.8"/>
    <n v="30"/>
    <n v="45"/>
    <m/>
    <m/>
    <n v="45"/>
    <n v="1.01"/>
    <n v="1053"/>
    <n v="1101"/>
  </r>
  <r>
    <x v="1455"/>
    <n v="110031"/>
    <s v="GA"/>
    <s v="GA - Spalding"/>
    <n v="30224"/>
    <s v="WellStar Spalding Regional Hospital"/>
    <s v="Short Term Acute Care Hospital"/>
    <s v="Griffin"/>
    <n v="92.5"/>
    <n v="4.4000000000000004"/>
    <n v="148"/>
    <n v="160"/>
    <n v="22"/>
    <n v="0.06"/>
    <n v="160"/>
    <n v="1.43"/>
    <n v="1054"/>
    <n v="8337"/>
  </r>
  <r>
    <x v="1456"/>
    <n v="110032"/>
    <s v="GA"/>
    <s v="GA - Stephens"/>
    <n v="30577"/>
    <s v="Stephens County Hospital"/>
    <s v="Short Term Acute Care Hospital"/>
    <s v="Toccoa"/>
    <n v="18.8"/>
    <n v="4.4000000000000004"/>
    <n v="69"/>
    <n v="74"/>
    <n v="6"/>
    <n v="1"/>
    <n v="74"/>
    <n v="1.33"/>
    <n v="1055"/>
    <n v="1632"/>
  </r>
  <r>
    <x v="1457"/>
    <n v="110044"/>
    <s v="GA"/>
    <s v="GA - Sumter"/>
    <n v="31719"/>
    <s v="Phoebe Sumter Medical Center"/>
    <s v="Short Term Acute Care Hospital"/>
    <s v="Americus"/>
    <n v="29.9"/>
    <n v="4.0999999999999996"/>
    <n v="108"/>
    <n v="54"/>
    <m/>
    <n v="1"/>
    <n v="54"/>
    <n v="1.35"/>
    <n v="1056"/>
    <n v="2902"/>
  </r>
  <r>
    <x v="1458"/>
    <n v="110038"/>
    <s v="GA"/>
    <s v="GA - Thomas"/>
    <n v="31792"/>
    <s v="Archbold Memorial Hospital"/>
    <s v="Short Term Acute Care Hospital"/>
    <s v="Thomasville"/>
    <n v="143.69999999999999"/>
    <n v="6.3"/>
    <n v="261"/>
    <n v="226"/>
    <n v="35"/>
    <n v="1"/>
    <n v="226"/>
    <n v="1.74"/>
    <n v="1057"/>
    <n v="8555"/>
  </r>
  <r>
    <x v="1459"/>
    <n v="110095"/>
    <s v="GA"/>
    <s v="GA - Tift"/>
    <n v="31793"/>
    <s v="Tift Regional Medical Center"/>
    <s v="Short Term Acute Care Hospital"/>
    <s v="Tifton"/>
    <n v="115.4"/>
    <n v="4.9000000000000004"/>
    <n v="291"/>
    <n v="181"/>
    <n v="20"/>
    <n v="1"/>
    <n v="181"/>
    <n v="1.54"/>
    <n v="1058"/>
    <n v="9327"/>
  </r>
  <r>
    <x v="1460"/>
    <n v="110128"/>
    <s v="GA"/>
    <s v="GA - Toombs"/>
    <n v="30474"/>
    <s v="Meadows Health (FKA Meadows Regional Medical Center)"/>
    <s v="Short Term Acute Care Hospital"/>
    <s v="Vidalia"/>
    <n v="40"/>
    <n v="3.9"/>
    <n v="131"/>
    <n v="52"/>
    <n v="8"/>
    <n v="1"/>
    <n v="52"/>
    <n v="1.37"/>
    <n v="1059"/>
    <n v="4160"/>
  </r>
  <r>
    <x v="1461"/>
    <n v="110016"/>
    <s v="GA"/>
    <s v="GA - Troup"/>
    <n v="30240"/>
    <s v="WellStar West Georgia Medical Center"/>
    <s v="Short Term Acute Care Hospital"/>
    <s v="La Grange"/>
    <n v="80.900000000000006"/>
    <n v="4.0999999999999996"/>
    <n v="181"/>
    <n v="276"/>
    <n v="20"/>
    <n v="0.75"/>
    <n v="276"/>
    <n v="1.44"/>
    <n v="1061"/>
    <n v="7824"/>
  </r>
  <r>
    <x v="1462"/>
    <n v="110051"/>
    <s v="GA"/>
    <s v="GA - Union"/>
    <n v="30512"/>
    <s v="Union General Hospital (AKA Union County General Hospital)"/>
    <s v="Short Term Acute Care Hospital"/>
    <s v="Blairsville"/>
    <n v="19.600000000000001"/>
    <n v="3.4"/>
    <n v="116"/>
    <n v="39"/>
    <n v="5"/>
    <m/>
    <n v="39"/>
    <n v="1.27"/>
    <n v="1062"/>
    <n v="2423"/>
  </r>
  <r>
    <x v="1463"/>
    <n v="110002"/>
    <s v="GA"/>
    <s v="GA - Upson"/>
    <n v="30286"/>
    <s v="Upson Regional Medical Center"/>
    <s v="Short Term Acute Care Hospital"/>
    <s v="Thomaston"/>
    <n v="32.4"/>
    <n v="4"/>
    <n v="103"/>
    <n v="87"/>
    <n v="28"/>
    <n v="1"/>
    <n v="87"/>
    <n v="1.42"/>
    <n v="1063"/>
    <n v="3234"/>
  </r>
  <r>
    <x v="1464"/>
    <n v="110046"/>
    <s v="GA"/>
    <s v="GA - Walton"/>
    <n v="30655"/>
    <s v="Piedmont Walton (FKA Clearview Regional Medical Center)"/>
    <s v="Short Term Acute Care Hospital"/>
    <s v="Monroe"/>
    <n v="25.2"/>
    <n v="3.7"/>
    <n v="111"/>
    <n v="76"/>
    <n v="7"/>
    <n v="0.06"/>
    <n v="76"/>
    <n v="1.54"/>
    <n v="1064"/>
    <n v="2614"/>
  </r>
  <r>
    <x v="1465"/>
    <n v="110003"/>
    <s v="GA"/>
    <s v="GA - Ware"/>
    <n v="31501"/>
    <s v="Memorial Satilla Health"/>
    <s v="Short Term Acute Care Hospital"/>
    <s v="Waycross"/>
    <n v="69.5"/>
    <n v="3.6"/>
    <n v="153"/>
    <n v="134"/>
    <n v="10"/>
    <n v="1"/>
    <n v="134"/>
    <n v="1.37"/>
    <n v="1065"/>
    <n v="7143"/>
  </r>
  <r>
    <x v="1466"/>
    <n v="110086"/>
    <s v="GA"/>
    <s v="GA - Washington"/>
    <n v="31082"/>
    <s v="Washington County Regional Medical Center"/>
    <s v="Short Term Acute Care Hospital"/>
    <s v="Sandersville"/>
    <n v="6.6"/>
    <n v="5.3"/>
    <n v="42"/>
    <n v="56"/>
    <m/>
    <m/>
    <n v="56"/>
    <n v="1.05"/>
    <n v="1066"/>
    <n v="457"/>
  </r>
  <r>
    <x v="1467"/>
    <n v="110124"/>
    <s v="GA"/>
    <s v="GA - Wayne"/>
    <n v="31545"/>
    <s v="Wayne Memorial Hospital"/>
    <s v="Short Term Acute Care Hospital"/>
    <s v="Jesup"/>
    <n v="33.299999999999997"/>
    <n v="4.3"/>
    <n v="73"/>
    <n v="88"/>
    <n v="12"/>
    <n v="1"/>
    <n v="88"/>
    <n v="1.29"/>
    <n v="1067"/>
    <n v="3123"/>
  </r>
  <r>
    <x v="1468"/>
    <n v="110001"/>
    <s v="GA"/>
    <s v="GA - Whitfield"/>
    <n v="30720"/>
    <s v="Hamilton Medical Center (AKA Hamilton Health Care System)"/>
    <s v="Short Term Acute Care Hospital"/>
    <s v="Dalton"/>
    <n v="112.2"/>
    <n v="4.7"/>
    <n v="384"/>
    <n v="245"/>
    <n v="46"/>
    <n v="0.87"/>
    <n v="245"/>
    <n v="1.58"/>
    <n v="1068"/>
    <n v="9308"/>
  </r>
  <r>
    <x v="148"/>
    <n v="120005"/>
    <s v="HI"/>
    <s v="HI - Hawaii"/>
    <n v="96720"/>
    <s v="Hilo Medical Center"/>
    <s v="Short Term Acute Care Hospital"/>
    <s v="Hilo"/>
    <n v="113.7"/>
    <n v="5.8"/>
    <n v="164"/>
    <n v="157"/>
    <n v="11"/>
    <n v="0.34"/>
    <n v="157"/>
    <n v="1.51"/>
    <n v="1071"/>
    <n v="7459"/>
  </r>
  <r>
    <x v="148"/>
    <n v="120019"/>
    <s v="HI"/>
    <s v="HI - Hawaii"/>
    <n v="96750"/>
    <s v="Kona Community Hospital"/>
    <s v="Short Term Acute Care Hospital"/>
    <s v="Kealakekua"/>
    <n v="44"/>
    <n v="5.2"/>
    <n v="115"/>
    <n v="83"/>
    <n v="9"/>
    <n v="0.34"/>
    <n v="83"/>
    <n v="1.42"/>
    <n v="1072"/>
    <n v="3276"/>
  </r>
  <r>
    <x v="148"/>
    <n v="120028"/>
    <s v="HI"/>
    <s v="HI - Hawaii"/>
    <n v="96743"/>
    <s v="North Hawaii Community Hospital"/>
    <s v="Short Term Acute Care Hospital"/>
    <s v="Kamuela"/>
    <n v="12.4"/>
    <n v="3.2"/>
    <n v="123"/>
    <n v="33"/>
    <n v="4"/>
    <n v="0.34"/>
    <n v="33"/>
    <n v="1.57"/>
    <n v="1073"/>
    <n v="1709"/>
  </r>
  <r>
    <x v="149"/>
    <n v="120022"/>
    <s v="HI"/>
    <s v="HI - Honolulu"/>
    <n v="96813"/>
    <s v="Straub Medical Center"/>
    <s v="Short Term Acute Care Hospital"/>
    <s v="Honolulu"/>
    <n v="105.3"/>
    <n v="6"/>
    <n v="435"/>
    <n v="159"/>
    <n v="16"/>
    <n v="0.24"/>
    <n v="159"/>
    <n v="2.12"/>
    <n v="1075"/>
    <n v="6379"/>
  </r>
  <r>
    <x v="149"/>
    <n v="120026"/>
    <s v="HI"/>
    <s v="HI - Honolulu"/>
    <n v="96701"/>
    <s v="Pali Momi Medical Center"/>
    <s v="Short Term Acute Care Hospital"/>
    <s v="Aiea"/>
    <n v="90.2"/>
    <n v="5.8"/>
    <n v="292"/>
    <n v="118"/>
    <n v="8"/>
    <n v="0.24"/>
    <n v="118"/>
    <n v="2.02"/>
    <n v="1076"/>
    <n v="5656"/>
  </r>
  <r>
    <x v="149"/>
    <s v="120001*"/>
    <s v="HI"/>
    <s v="HI - Honolulu"/>
    <n v="96706"/>
    <s v="Queens Medical Center - West Oahu"/>
    <s v="Short Term Acute Care Hospital"/>
    <s v="Ewa Beach"/>
    <m/>
    <m/>
    <n v="233"/>
    <m/>
    <m/>
    <m/>
    <m/>
    <m/>
    <n v="1077"/>
    <m/>
  </r>
  <r>
    <x v="149"/>
    <n v="120006"/>
    <s v="HI"/>
    <s v="HI - Honolulu"/>
    <n v="96734"/>
    <s v="Adventist Health Castle (FKA Castle Medical Center)"/>
    <s v="Short Term Acute Care Hospital"/>
    <s v="Kailua"/>
    <n v="83.8"/>
    <n v="4.3"/>
    <n v="185"/>
    <n v="160"/>
    <n v="8"/>
    <n v="0.24"/>
    <n v="160"/>
    <n v="1.77"/>
    <n v="1078"/>
    <n v="7708"/>
  </r>
  <r>
    <x v="149"/>
    <n v="120007"/>
    <s v="HI"/>
    <s v="HI - Honolulu"/>
    <n v="96817"/>
    <s v="Kuakini Medical Center (AKA Kuakini Health System)"/>
    <s v="Short Term Acute Care Hospital"/>
    <s v="Honolulu"/>
    <n v="59.2"/>
    <n v="6.2"/>
    <n v="172"/>
    <n v="170"/>
    <m/>
    <n v="0.24"/>
    <n v="170"/>
    <n v="2.0099999999999998"/>
    <n v="1079"/>
    <n v="3485"/>
  </r>
  <r>
    <x v="149"/>
    <s v="120010 (Closed)"/>
    <s v="HI"/>
    <s v="HI - Honolulu"/>
    <n v="96817"/>
    <s v="Hawaii Medical Center East (Closed 2011)"/>
    <s v="Short Term Acute Care Hospital"/>
    <s v="Honolulu"/>
    <n v="40.5"/>
    <n v="6.5"/>
    <m/>
    <m/>
    <m/>
    <n v="0.24"/>
    <m/>
    <m/>
    <n v="1080"/>
    <n v="2275"/>
  </r>
  <r>
    <x v="149"/>
    <n v="120011"/>
    <s v="HI"/>
    <s v="HI - Honolulu"/>
    <n v="96819"/>
    <s v="Kaiser Permanente Moanalua Medical Center"/>
    <s v="Short Term Acute Care Hospital"/>
    <s v="Honolulu"/>
    <n v="181.5"/>
    <n v="5.9"/>
    <n v="640"/>
    <n v="295"/>
    <n v="25"/>
    <m/>
    <n v="295"/>
    <n v="1.83"/>
    <n v="1081"/>
    <n v="11715"/>
  </r>
  <r>
    <x v="149"/>
    <n v="120004"/>
    <s v="HI"/>
    <s v="HI - Honolulu"/>
    <n v="96786"/>
    <s v="Wahiawa General Hospital"/>
    <s v="Short Term Acute Care Hospital"/>
    <s v="Wahiawa"/>
    <n v="14"/>
    <n v="4.7"/>
    <n v="48"/>
    <n v="43"/>
    <n v="6"/>
    <n v="0.24"/>
    <n v="43"/>
    <n v="1.37"/>
    <n v="1082"/>
    <n v="1099"/>
  </r>
  <r>
    <x v="149"/>
    <n v="120001"/>
    <s v="HI"/>
    <s v="HI - Honolulu"/>
    <n v="96813"/>
    <s v="The Queens Medical Center"/>
    <s v="Short Term Acute Care Hospital"/>
    <s v="Honolulu"/>
    <n v="492.5"/>
    <n v="6.3"/>
    <n v="937"/>
    <n v="650"/>
    <n v="58"/>
    <n v="0.24"/>
    <n v="650"/>
    <n v="2.06"/>
    <n v="1083"/>
    <n v="28353"/>
  </r>
  <r>
    <x v="150"/>
    <n v="120014"/>
    <s v="HI"/>
    <s v="HI - Kauai"/>
    <n v="96766"/>
    <s v="Wilcox Medical Center"/>
    <s v="Short Term Acute Care Hospital"/>
    <s v="Lihue"/>
    <n v="42.5"/>
    <n v="5.0999999999999996"/>
    <n v="158"/>
    <n v="72"/>
    <n v="7"/>
    <n v="0.53"/>
    <n v="72"/>
    <n v="1.55"/>
    <n v="1084"/>
    <n v="3268"/>
  </r>
  <r>
    <x v="151"/>
    <n v="120002"/>
    <s v="HI"/>
    <s v="HI - Maui"/>
    <n v="96793"/>
    <s v="Maui Memorial Medical Center"/>
    <s v="Short Term Acute Care Hospital"/>
    <s v="Wailuku"/>
    <n v="153.1"/>
    <n v="6.6"/>
    <n v="205"/>
    <n v="219"/>
    <n v="20"/>
    <n v="0.78"/>
    <n v="219"/>
    <n v="1.9"/>
    <n v="1087"/>
    <n v="8890"/>
  </r>
  <r>
    <x v="151"/>
    <m/>
    <s v="HI"/>
    <s v="HI - Maui"/>
    <n v="96761"/>
    <s v="West Maui Hospital and Medical Center (Opening 2020)"/>
    <s v="Short Term Acute Care Hospital"/>
    <s v="Lahaina"/>
    <m/>
    <m/>
    <m/>
    <m/>
    <m/>
    <m/>
    <m/>
    <m/>
    <n v="907145"/>
    <m/>
  </r>
  <r>
    <x v="1469"/>
    <n v="130006"/>
    <s v="ID"/>
    <s v="ID - Ada"/>
    <n v="83712"/>
    <s v="St Lukes Boise Medical Center"/>
    <s v="Short Term Acute Care Hospital"/>
    <s v="Boise"/>
    <n v="319.8"/>
    <n v="4.3"/>
    <n v="1547"/>
    <n v="559"/>
    <n v="46"/>
    <n v="0.41"/>
    <n v="559"/>
    <n v="1.89"/>
    <n v="1088"/>
    <n v="29364"/>
  </r>
  <r>
    <x v="1469"/>
    <n v="130007"/>
    <s v="ID"/>
    <s v="ID - Ada"/>
    <n v="83706"/>
    <s v="Saint Alphonsus Regional Medical Center"/>
    <s v="Short Term Acute Care Hospital"/>
    <s v="Boise"/>
    <n v="215.8"/>
    <n v="4.9000000000000004"/>
    <n v="908"/>
    <n v="348"/>
    <n v="42"/>
    <n v="0.41"/>
    <n v="348"/>
    <n v="1.97"/>
    <n v="1089"/>
    <n v="16465"/>
  </r>
  <r>
    <x v="1469"/>
    <n v="130063"/>
    <s v="ID"/>
    <s v="ID - Ada"/>
    <n v="83704"/>
    <s v="Treasure Valley Hospital"/>
    <s v="Short Term Acute Care Hospital"/>
    <s v="Boise"/>
    <n v="2.8"/>
    <n v="1.6"/>
    <n v="58"/>
    <n v="9"/>
    <m/>
    <n v="0.41"/>
    <n v="9"/>
    <n v="2.87"/>
    <n v="1090"/>
    <n v="661"/>
  </r>
  <r>
    <x v="1469"/>
    <s v="130006*"/>
    <s v="ID"/>
    <s v="ID - Ada"/>
    <n v="83642"/>
    <s v="St Lukes Meridian Medical Center"/>
    <s v="Short Term Acute Care Hospital"/>
    <s v="Meridian"/>
    <m/>
    <m/>
    <m/>
    <m/>
    <m/>
    <m/>
    <n v="158"/>
    <m/>
    <n v="541993"/>
    <m/>
  </r>
  <r>
    <x v="1470"/>
    <n v="130028"/>
    <s v="ID"/>
    <s v="ID - Bannock"/>
    <n v="83201"/>
    <s v="Portneuf Medical Center"/>
    <s v="Short Term Acute Care Hospital"/>
    <s v="Pocatello"/>
    <n v="80.2"/>
    <n v="4.0999999999999996"/>
    <n v="284"/>
    <n v="137"/>
    <n v="20"/>
    <n v="0.96"/>
    <n v="137"/>
    <n v="1.77"/>
    <n v="1091"/>
    <n v="7540"/>
  </r>
  <r>
    <x v="154"/>
    <s v="130067 (Closed)"/>
    <s v="ID"/>
    <s v="ID - Bingham"/>
    <n v="83221"/>
    <s v="Idaho Doctors Hospital (Closed)"/>
    <s v="Short Term Acute Care Hospital"/>
    <s v="Blackfoot"/>
    <m/>
    <m/>
    <m/>
    <m/>
    <m/>
    <m/>
    <m/>
    <n v="2.81"/>
    <n v="1092"/>
    <m/>
  </r>
  <r>
    <x v="154"/>
    <n v="130073"/>
    <s v="ID"/>
    <s v="ID - Bingham"/>
    <n v="83221"/>
    <s v="Grove Creek Medical Center"/>
    <s v="Short Term Acute Care Hospital"/>
    <s v="Blackfoot"/>
    <m/>
    <m/>
    <m/>
    <m/>
    <m/>
    <m/>
    <m/>
    <m/>
    <n v="1002610"/>
    <m/>
  </r>
  <r>
    <x v="1471"/>
    <n v="130018"/>
    <s v="ID"/>
    <s v="ID - Bonneville"/>
    <n v="83404"/>
    <s v="Eastern Idaho Regional Medical Center"/>
    <s v="Short Term Acute Care Hospital"/>
    <s v="Idaho Falls"/>
    <n v="125"/>
    <n v="4.9000000000000004"/>
    <n v="236"/>
    <n v="213"/>
    <n v="35"/>
    <n v="0.5"/>
    <n v="213"/>
    <n v="1.94"/>
    <n v="1095"/>
    <n v="9947"/>
  </r>
  <r>
    <x v="1471"/>
    <n v="130065"/>
    <s v="ID"/>
    <s v="ID - Bonneville"/>
    <n v="83404"/>
    <s v="Mountain View Hospital"/>
    <s v="Short Term Acute Care Hospital"/>
    <s v="Idaho Falls"/>
    <n v="14.2"/>
    <n v="3"/>
    <n v="265"/>
    <n v="41"/>
    <m/>
    <n v="0.5"/>
    <n v="41"/>
    <n v="2.29"/>
    <n v="1096"/>
    <n v="2628"/>
  </r>
  <r>
    <x v="1471"/>
    <s v="130062 (Closed)"/>
    <s v="ID"/>
    <s v="ID - Bonneville"/>
    <n v="83404"/>
    <s v="Idaho Falls Recovery Center (Closed)"/>
    <s v="Short Term Acute Care Hospital"/>
    <s v="Idaho Falls"/>
    <m/>
    <m/>
    <m/>
    <m/>
    <m/>
    <m/>
    <m/>
    <m/>
    <n v="6415"/>
    <m/>
  </r>
  <r>
    <x v="1471"/>
    <n v="130074"/>
    <s v="ID"/>
    <s v="ID - Bonneville"/>
    <n v="83404"/>
    <s v="Idaho Falls Community Hospital"/>
    <s v="Short Term Acute Care Hospital"/>
    <s v="Idaho Falls"/>
    <m/>
    <m/>
    <m/>
    <m/>
    <m/>
    <m/>
    <m/>
    <m/>
    <n v="976613"/>
    <m/>
  </r>
  <r>
    <x v="1472"/>
    <n v="130013"/>
    <s v="ID"/>
    <s v="ID - Canyon"/>
    <n v="83687"/>
    <s v="Saint Alphonsus Medical Center - Nampa"/>
    <s v="Short Term Acute Care Hospital"/>
    <s v="Nampa"/>
    <n v="54.8"/>
    <n v="3.9"/>
    <n v="115"/>
    <n v="96"/>
    <n v="18"/>
    <n v="0.41"/>
    <n v="100"/>
    <n v="1.61"/>
    <n v="1097"/>
    <n v="5637"/>
  </r>
  <r>
    <x v="1472"/>
    <n v="130014"/>
    <s v="ID"/>
    <s v="ID - Canyon"/>
    <n v="83605"/>
    <s v="West Valley Medical Center"/>
    <s v="Short Term Acute Care Hospital"/>
    <s v="Caldwell"/>
    <n v="36.6"/>
    <n v="3.8"/>
    <n v="141"/>
    <n v="112"/>
    <n v="13"/>
    <n v="0.41"/>
    <n v="112"/>
    <n v="1.79"/>
    <n v="1098"/>
    <n v="3717"/>
  </r>
  <r>
    <x v="1472"/>
    <n v="130071"/>
    <s v="ID"/>
    <s v="ID - Canyon"/>
    <n v="83687"/>
    <s v="St Lukes Nampa Medical Center"/>
    <s v="Short Term Acute Care Hospital"/>
    <s v="Nampa"/>
    <n v="31.1"/>
    <n v="3.2"/>
    <n v="99"/>
    <n v="81"/>
    <n v="10"/>
    <n v="0.41"/>
    <n v="81"/>
    <n v="1.41"/>
    <n v="842951"/>
    <n v="3954"/>
  </r>
  <r>
    <x v="1472"/>
    <s v="130072 (Closed)"/>
    <s v="ID"/>
    <s v="ID - Canyon"/>
    <n v="83686"/>
    <s v="Saint Alphonsus Neighborhood Hospital - South Nampa (Closed - No Longer Offers Inpatient Services)"/>
    <s v="Short Term Acute Care Hospital"/>
    <s v="Nampa"/>
    <n v="0.7"/>
    <n v="1.8"/>
    <m/>
    <m/>
    <m/>
    <n v="0.41"/>
    <m/>
    <m/>
    <n v="963397"/>
    <n v="145"/>
  </r>
  <r>
    <x v="1473"/>
    <n v="130066"/>
    <s v="ID"/>
    <s v="ID - Kootenai"/>
    <n v="83854"/>
    <s v="Northwest Specialty Hospital"/>
    <s v="Short Term Acute Care Hospital"/>
    <s v="Post Falls"/>
    <n v="6.7"/>
    <n v="1.9"/>
    <n v="75"/>
    <n v="34"/>
    <m/>
    <n v="0.82"/>
    <n v="34"/>
    <n v="2.6"/>
    <n v="1100"/>
    <n v="1318"/>
  </r>
  <r>
    <x v="1473"/>
    <n v="130049"/>
    <s v="ID"/>
    <s v="ID - Kootenai"/>
    <n v="83814"/>
    <s v="Kootenai Health (AKA Kootenai Hospital)"/>
    <s v="Short Term Acute Care Hospital"/>
    <s v="Coeur D Alene"/>
    <n v="183.5"/>
    <n v="4.7"/>
    <n v="575"/>
    <n v="297"/>
    <n v="55"/>
    <n v="0.82"/>
    <n v="297"/>
    <n v="1.96"/>
    <n v="1101"/>
    <n v="14592"/>
  </r>
  <r>
    <x v="1474"/>
    <n v="130025"/>
    <s v="ID"/>
    <s v="ID - Madison"/>
    <n v="83440"/>
    <s v="Madison Memorial Hospital"/>
    <s v="Short Term Acute Care Hospital"/>
    <s v="Rexburg"/>
    <n v="18.100000000000001"/>
    <n v="3.4"/>
    <n v="85"/>
    <n v="67"/>
    <n v="4"/>
    <n v="1"/>
    <n v="67"/>
    <n v="1.57"/>
    <n v="1104"/>
    <n v="2521"/>
  </r>
  <r>
    <x v="1475"/>
    <n v="130003"/>
    <s v="ID"/>
    <s v="ID - Nez Perce"/>
    <n v="83501"/>
    <s v="St Joseph Regional Medical Center"/>
    <s v="Short Term Acute Care Hospital"/>
    <s v="Lewiston"/>
    <n v="38.4"/>
    <n v="3.6"/>
    <n v="180"/>
    <n v="110"/>
    <n v="9"/>
    <n v="0.56000000000000005"/>
    <n v="110"/>
    <n v="1.79"/>
    <n v="1105"/>
    <n v="4134"/>
  </r>
  <r>
    <x v="1476"/>
    <n v="130002"/>
    <s v="ID"/>
    <s v="ID - Twin Falls"/>
    <n v="83301"/>
    <s v="St Lukes Magic Valley Medical Center"/>
    <s v="Short Term Acute Care Hospital"/>
    <s v="Twin Falls"/>
    <n v="87"/>
    <n v="3"/>
    <n v="359"/>
    <n v="169"/>
    <n v="26"/>
    <n v="0.92"/>
    <n v="186"/>
    <n v="1.68"/>
    <n v="1106"/>
    <n v="11406"/>
  </r>
  <r>
    <x v="1477"/>
    <n v="140015"/>
    <s v="IL"/>
    <s v="IL - Adams"/>
    <n v="62301"/>
    <s v="Blessing Hospital"/>
    <s v="Short Term Acute Care Hospital"/>
    <s v="Quincy"/>
    <n v="121.3"/>
    <n v="4"/>
    <n v="336"/>
    <n v="248"/>
    <n v="25"/>
    <n v="1"/>
    <n v="248"/>
    <n v="1.62"/>
    <n v="1107"/>
    <n v="11606"/>
  </r>
  <r>
    <x v="1477"/>
    <m/>
    <s v="IL"/>
    <s v="IL - Adams"/>
    <n v="62301"/>
    <s v="Blessing Hospital at 14th Street (AKA St Mary Hospital - Closed)"/>
    <s v="Short Term Acute Care Hospital"/>
    <s v="Quincy"/>
    <m/>
    <m/>
    <m/>
    <m/>
    <m/>
    <m/>
    <m/>
    <m/>
    <n v="550121"/>
    <m/>
  </r>
  <r>
    <x v="1478"/>
    <n v="140137"/>
    <s v="IL"/>
    <s v="IL - Bond"/>
    <n v="62246"/>
    <s v="HSHS Holy Family Hospital (FKA Greenville Regional Hospital)"/>
    <s v="Short Term Acute Care Hospital"/>
    <s v="Greenville"/>
    <n v="10.199999999999999"/>
    <n v="4.9000000000000004"/>
    <n v="48"/>
    <n v="32"/>
    <m/>
    <n v="0.08"/>
    <n v="32"/>
    <n v="1.23"/>
    <n v="1108"/>
    <n v="825"/>
  </r>
  <r>
    <x v="1479"/>
    <s v="140228*"/>
    <s v="IL"/>
    <s v="IL - Boone"/>
    <n v="61008"/>
    <s v="SwedishAmerican Medical Center - Belvidere"/>
    <s v="Short Term Acute Care Hospital"/>
    <s v="Belvidere"/>
    <m/>
    <m/>
    <n v="1"/>
    <m/>
    <m/>
    <m/>
    <m/>
    <m/>
    <n v="577352"/>
    <m/>
  </r>
  <r>
    <x v="177"/>
    <n v="140143"/>
    <s v="IL"/>
    <s v="IL - Bureau"/>
    <n v="61362"/>
    <s v="St Margarets Hospital"/>
    <s v="Short Term Acute Care Hospital"/>
    <s v="Spring Valley"/>
    <n v="16.600000000000001"/>
    <n v="3.6"/>
    <n v="83"/>
    <n v="44"/>
    <n v="6"/>
    <n v="0.23"/>
    <n v="44"/>
    <n v="1.51"/>
    <n v="1109"/>
    <n v="1830"/>
  </r>
  <r>
    <x v="1480"/>
    <n v="140091"/>
    <s v="IL"/>
    <s v="IL - Champaign"/>
    <n v="61801"/>
    <s v="Carle Foundation Hospital"/>
    <s v="Short Term Acute Care Hospital"/>
    <s v="Urbana"/>
    <n v="289.3"/>
    <n v="4.3"/>
    <n v="881"/>
    <n v="391"/>
    <m/>
    <n v="0.75"/>
    <n v="391"/>
    <n v="1.74"/>
    <n v="1111"/>
    <n v="27238"/>
  </r>
  <r>
    <x v="1480"/>
    <n v="140113"/>
    <s v="IL"/>
    <s v="IL - Champaign"/>
    <n v="61801"/>
    <s v="OSF Heart of Mary Medical Center (FKA Presence Covenant Medical Center)"/>
    <s v="Short Term Acute Care Hospital"/>
    <s v="Urbana"/>
    <n v="52.2"/>
    <n v="3"/>
    <n v="171"/>
    <n v="179"/>
    <n v="15"/>
    <n v="0.75"/>
    <n v="179"/>
    <n v="1.55"/>
    <n v="1112"/>
    <n v="6712"/>
  </r>
  <r>
    <x v="1481"/>
    <n v="140145"/>
    <s v="IL"/>
    <s v="IL - Clinton"/>
    <n v="62230"/>
    <s v="HSHS St Josephs Hospital - Breese"/>
    <s v="Short Term Acute Care Hospital"/>
    <s v="Breese"/>
    <n v="9.6"/>
    <n v="3.4"/>
    <n v="88"/>
    <n v="46"/>
    <m/>
    <n v="0.08"/>
    <n v="46"/>
    <n v="1.32"/>
    <n v="1116"/>
    <n v="1425"/>
  </r>
  <r>
    <x v="1482"/>
    <n v="140189"/>
    <s v="IL"/>
    <s v="IL - Coles"/>
    <n v="61938"/>
    <s v="Sarah Bush Lincoln Health Center"/>
    <s v="Short Term Acute Care Hospital"/>
    <s v="Mattoon"/>
    <n v="48.9"/>
    <n v="3.3"/>
    <n v="271"/>
    <n v="82"/>
    <m/>
    <n v="1"/>
    <n v="82"/>
    <n v="1.46"/>
    <n v="1117"/>
    <n v="5844"/>
  </r>
  <r>
    <x v="1483"/>
    <n v="140191"/>
    <s v="IL"/>
    <s v="IL - Cook"/>
    <n v="60426"/>
    <s v="UChicago Medicine Ingalls Memorial Hospital"/>
    <s v="Short Term Acute Care Hospital"/>
    <s v="Harvey"/>
    <n v="145.30000000000001"/>
    <n v="4.7"/>
    <n v="375"/>
    <n v="268"/>
    <n v="25"/>
    <n v="0.03"/>
    <n v="268"/>
    <n v="1.56"/>
    <n v="1118"/>
    <n v="11866"/>
  </r>
  <r>
    <x v="1483"/>
    <n v="140197"/>
    <s v="IL"/>
    <s v="IL - Cook"/>
    <n v="60640"/>
    <s v="Methodist Hospital of Chicago"/>
    <s v="Short Term Acute Care Hospital"/>
    <s v="Chicago"/>
    <n v="42.4"/>
    <n v="4.7"/>
    <n v="37"/>
    <n v="145"/>
    <n v="9"/>
    <n v="0.03"/>
    <n v="145"/>
    <n v="1.1399999999999999"/>
    <n v="1119"/>
    <n v="3311"/>
  </r>
  <r>
    <x v="1483"/>
    <n v="140172"/>
    <s v="IL"/>
    <s v="IL - Cook"/>
    <n v="60461"/>
    <s v="Franciscan Health Olympia Fields (FKA Franciscan St James Health - Olympia Fields Campus)"/>
    <s v="Short Term Acute Care Hospital"/>
    <s v="Olympia Fields"/>
    <n v="102.3"/>
    <n v="4.0999999999999996"/>
    <n v="252"/>
    <n v="192"/>
    <n v="31"/>
    <n v="0.03"/>
    <n v="88"/>
    <n v="1.52"/>
    <n v="1120"/>
    <n v="10945"/>
  </r>
  <r>
    <x v="1483"/>
    <n v="140177"/>
    <s v="IL"/>
    <s v="IL - Cook"/>
    <n v="60649"/>
    <s v="Jackson Park Hospital &amp; Medical Center"/>
    <s v="Short Term Acute Care Hospital"/>
    <s v="Chicago"/>
    <n v="72.400000000000006"/>
    <n v="4.3"/>
    <n v="67"/>
    <n v="201"/>
    <n v="8"/>
    <n v="0.03"/>
    <n v="201"/>
    <n v="1.1499999999999999"/>
    <n v="1121"/>
    <n v="6093"/>
  </r>
  <r>
    <x v="1483"/>
    <n v="140179"/>
    <s v="IL"/>
    <s v="IL - Cook"/>
    <n v="60805"/>
    <s v="OSF Little Company of Mary Medical Center (FKA Little Company of Mary Hospital)"/>
    <s v="Short Term Acute Care Hospital"/>
    <s v="Evergreen Park"/>
    <n v="135.4"/>
    <n v="4.7"/>
    <n v="288"/>
    <n v="220"/>
    <n v="26"/>
    <n v="0.03"/>
    <n v="220"/>
    <n v="1.58"/>
    <n v="1122"/>
    <n v="10794"/>
  </r>
  <r>
    <x v="1483"/>
    <n v="140180"/>
    <s v="IL"/>
    <s v="IL - Cook"/>
    <n v="60622"/>
    <s v="AMITA Health Saint Mary and Elizabeth Medical Center Chicago - Saint Mary Campus (FKA Presence Saint Mary and Elizabeth Medical Center - Saint Mary Campus)"/>
    <s v="Short Term Acute Care Hospital"/>
    <s v="Chicago"/>
    <n v="222.1"/>
    <n v="5"/>
    <n v="325"/>
    <n v="370"/>
    <n v="26"/>
    <n v="0.03"/>
    <n v="370"/>
    <n v="1.48"/>
    <n v="1123"/>
    <n v="16912"/>
  </r>
  <r>
    <x v="1483"/>
    <n v="140181"/>
    <s v="IL"/>
    <s v="IL - Cook"/>
    <n v="60617"/>
    <s v="South Shore Hospital"/>
    <s v="Short Term Acute Care Hospital"/>
    <s v="Chicago"/>
    <n v="39.799999999999997"/>
    <n v="6.4"/>
    <n v="30"/>
    <n v="122"/>
    <n v="8"/>
    <n v="0.03"/>
    <n v="122"/>
    <n v="1.38"/>
    <n v="1124"/>
    <n v="2284"/>
  </r>
  <r>
    <x v="1483"/>
    <n v="140182"/>
    <s v="IL"/>
    <s v="IL - Cook"/>
    <n v="60657"/>
    <s v="Advocate Illinois Masonic Medical Center"/>
    <s v="Short Term Acute Care Hospital"/>
    <s v="Chicago"/>
    <n v="130.4"/>
    <n v="4.3"/>
    <n v="597"/>
    <n v="254"/>
    <n v="74"/>
    <n v="0.03"/>
    <n v="254"/>
    <n v="1.7"/>
    <n v="1125"/>
    <n v="11900"/>
  </r>
  <r>
    <x v="1483"/>
    <n v="140206"/>
    <s v="IL"/>
    <s v="IL - Cook"/>
    <n v="60622"/>
    <s v="Norwegian American Hospital"/>
    <s v="Short Term Acute Care Hospital"/>
    <s v="Chicago"/>
    <n v="84.5"/>
    <n v="5.3"/>
    <n v="108"/>
    <n v="173"/>
    <n v="12"/>
    <n v="0.03"/>
    <n v="173"/>
    <n v="1.49"/>
    <n v="1126"/>
    <n v="6045"/>
  </r>
  <r>
    <x v="1483"/>
    <n v="140208"/>
    <s v="IL"/>
    <s v="IL - Cook"/>
    <n v="60453"/>
    <s v="Advocate Christ Medical Center"/>
    <s v="Short Term Acute Care Hospital"/>
    <s v="Oak Lawn"/>
    <n v="578.70000000000005"/>
    <n v="5.4"/>
    <n v="1127"/>
    <n v="706"/>
    <n v="123"/>
    <n v="0.03"/>
    <n v="706"/>
    <n v="2.08"/>
    <n v="1127"/>
    <n v="42133"/>
  </r>
  <r>
    <x v="1483"/>
    <n v="140223"/>
    <s v="IL"/>
    <s v="IL - Cook"/>
    <n v="60068"/>
    <s v="Advocate Lutheran General Hospital"/>
    <s v="Short Term Acute Care Hospital"/>
    <s v="Park Ridge"/>
    <n v="379.9"/>
    <n v="5.3"/>
    <n v="1080"/>
    <n v="534"/>
    <n v="33"/>
    <n v="0.03"/>
    <n v="534"/>
    <n v="1.87"/>
    <n v="1128"/>
    <n v="27333"/>
  </r>
  <r>
    <x v="1483"/>
    <n v="140224"/>
    <s v="IL"/>
    <s v="IL - Cook"/>
    <n v="60657"/>
    <s v="AMITA Health Saint Joseph Hospital Chicago (FKA Presence Saint Joseph Hospital - Chicago)"/>
    <s v="Short Term Acute Care Hospital"/>
    <s v="Chicago"/>
    <n v="114.9"/>
    <n v="4.4000000000000004"/>
    <n v="294"/>
    <n v="277"/>
    <n v="19"/>
    <n v="0.03"/>
    <n v="277"/>
    <n v="1.47"/>
    <n v="1129"/>
    <n v="9985"/>
  </r>
  <r>
    <x v="1483"/>
    <s v="140240 (Closed)"/>
    <s v="IL"/>
    <s v="IL - Cook"/>
    <n v="60160"/>
    <s v="Westlake Hospital (Closed)"/>
    <s v="Short Term Acute Care Hospital"/>
    <s v="Melrose Park"/>
    <n v="45.8"/>
    <n v="5.4"/>
    <n v="26"/>
    <m/>
    <m/>
    <n v="0.03"/>
    <m/>
    <n v="1.36"/>
    <n v="1130"/>
    <n v="3418"/>
  </r>
  <r>
    <x v="1483"/>
    <n v="140250"/>
    <s v="IL"/>
    <s v="IL - Cook"/>
    <n v="60429"/>
    <s v="Advocate South Suburban Hospital"/>
    <s v="Short Term Acute Care Hospital"/>
    <s v="Hazel Crest"/>
    <n v="101.6"/>
    <n v="4"/>
    <n v="303"/>
    <n v="233"/>
    <n v="20"/>
    <n v="0.03"/>
    <n v="233"/>
    <n v="1.68"/>
    <n v="1131"/>
    <n v="9628"/>
  </r>
  <r>
    <x v="1483"/>
    <n v="140251"/>
    <s v="IL"/>
    <s v="IL - Cook"/>
    <n v="60634"/>
    <s v="Community First Medical Center (FKA Our Lady of the Resurrection Medical Center)"/>
    <s v="Short Term Acute Care Hospital"/>
    <s v="Chicago"/>
    <n v="84.7"/>
    <n v="5.5"/>
    <n v="128"/>
    <n v="213"/>
    <m/>
    <n v="0.03"/>
    <n v="213"/>
    <n v="1.57"/>
    <n v="1132"/>
    <n v="5656"/>
  </r>
  <r>
    <x v="1483"/>
    <n v="140252"/>
    <s v="IL"/>
    <s v="IL - Cook"/>
    <n v="60005"/>
    <s v="Northwest Community Hospital (AKA Northwest Community Healthcare)"/>
    <s v="Short Term Acute Care Hospital"/>
    <s v="Arlington Heights"/>
    <n v="223.6"/>
    <n v="4.2"/>
    <n v="783"/>
    <n v="424"/>
    <n v="60"/>
    <n v="0.03"/>
    <n v="424"/>
    <n v="1.64"/>
    <n v="1133"/>
    <n v="20447"/>
  </r>
  <r>
    <x v="1483"/>
    <n v="140258"/>
    <s v="IL"/>
    <s v="IL - Cook"/>
    <n v="60007"/>
    <s v="AMITA Health Alexian Brothers Medical Center Elk Grove Village"/>
    <s v="Short Term Acute Care Hospital"/>
    <s v="Elk Grove Village"/>
    <n v="190.4"/>
    <n v="4.8"/>
    <n v="587"/>
    <n v="257"/>
    <n v="36"/>
    <n v="0.03"/>
    <n v="257"/>
    <n v="1.75"/>
    <n v="1134"/>
    <n v="15522"/>
  </r>
  <r>
    <x v="1483"/>
    <n v="140281"/>
    <s v="IL"/>
    <s v="IL - Cook"/>
    <n v="60611"/>
    <s v="Northwestern Memorial Hospital"/>
    <s v="Short Term Acute Care Hospital"/>
    <s v="Chicago"/>
    <n v="673.6"/>
    <n v="6"/>
    <n v="2497"/>
    <n v="879"/>
    <n v="115"/>
    <n v="0.03"/>
    <n v="879"/>
    <n v="2.23"/>
    <n v="1135"/>
    <n v="45106"/>
  </r>
  <r>
    <x v="1483"/>
    <n v="140276"/>
    <s v="IL"/>
    <s v="IL - Cook"/>
    <n v="60153"/>
    <s v="Loyola University Medical Center"/>
    <s v="Short Term Acute Care Hospital"/>
    <s v="Maywood"/>
    <n v="353.6"/>
    <n v="5.8"/>
    <n v="921"/>
    <n v="515"/>
    <n v="76"/>
    <n v="0.03"/>
    <n v="515"/>
    <n v="2.2999999999999998"/>
    <n v="1136"/>
    <n v="22940"/>
  </r>
  <r>
    <x v="1483"/>
    <n v="140290"/>
    <s v="IL"/>
    <s v="IL - Cook"/>
    <n v="60169"/>
    <s v="AMITA Health St Alexius Medical Center Hoffman Estates"/>
    <s v="Short Term Acute Care Hospital"/>
    <s v="Hoffman Estates"/>
    <n v="193.8"/>
    <n v="4.5999999999999996"/>
    <n v="385"/>
    <n v="318"/>
    <n v="35"/>
    <n v="0.03"/>
    <n v="318"/>
    <n v="1.51"/>
    <n v="1137"/>
    <n v="16621"/>
  </r>
  <r>
    <x v="1483"/>
    <n v="140300"/>
    <s v="IL"/>
    <s v="IL - Cook"/>
    <n v="60615"/>
    <s v="Provident Hospital of Cook County"/>
    <s v="Short Term Acute Care Hospital"/>
    <s v="Chicago"/>
    <n v="8.8000000000000007"/>
    <n v="5.5"/>
    <n v="76"/>
    <n v="25"/>
    <m/>
    <n v="0.03"/>
    <n v="25"/>
    <n v="1.01"/>
    <n v="1138"/>
    <n v="582"/>
  </r>
  <r>
    <x v="1483"/>
    <s v="140301 (Closed)"/>
    <s v="IL"/>
    <s v="IL - Cook"/>
    <n v="60452"/>
    <s v="Oak Forest Health Center (Closed Inpatient Services)"/>
    <s v="Short Term Acute Care Hospital"/>
    <s v="Oak Forest"/>
    <n v="22.5"/>
    <n v="6"/>
    <m/>
    <m/>
    <m/>
    <n v="0.03"/>
    <m/>
    <m/>
    <n v="1139"/>
    <n v="1365"/>
  </r>
  <r>
    <x v="1483"/>
    <n v="140124"/>
    <s v="IL"/>
    <s v="IL - Cook"/>
    <n v="60612"/>
    <s v="John H Stroger Jr Hospital of Cook County"/>
    <s v="Short Term Acute Care Hospital"/>
    <s v="Chicago"/>
    <n v="231.7"/>
    <n v="5.4"/>
    <n v="830"/>
    <n v="448"/>
    <n v="32"/>
    <n v="0.03"/>
    <n v="448"/>
    <n v="1.57"/>
    <n v="1140"/>
    <n v="15967"/>
  </r>
  <r>
    <x v="1483"/>
    <n v="140133"/>
    <s v="IL"/>
    <s v="IL - Cook"/>
    <n v="60629"/>
    <s v="Holy Cross Hospital"/>
    <s v="Short Term Acute Care Hospital"/>
    <s v="Chicago"/>
    <n v="109.6"/>
    <n v="4.5999999999999996"/>
    <n v="140"/>
    <n v="221"/>
    <n v="20"/>
    <n v="0.03"/>
    <n v="221"/>
    <n v="1.39"/>
    <n v="1141"/>
    <n v="8787"/>
  </r>
  <r>
    <x v="1483"/>
    <n v="140150"/>
    <s v="IL"/>
    <s v="IL - Cook"/>
    <n v="60612"/>
    <s v="University of Illinois Hospital"/>
    <s v="Short Term Acute Care Hospital"/>
    <s v="Chicago"/>
    <n v="272.10000000000002"/>
    <n v="5.3"/>
    <n v="1001"/>
    <n v="434"/>
    <n v="42"/>
    <n v="0.03"/>
    <n v="434"/>
    <n v="1.93"/>
    <n v="1142"/>
    <n v="19417"/>
  </r>
  <r>
    <x v="1483"/>
    <s v="140151 (Closed)"/>
    <s v="IL"/>
    <s v="IL - Cook"/>
    <n v="60624"/>
    <s v="Sacred Heart Hospital (Closed July 2013)"/>
    <s v="Short Term Acute Care Hospital"/>
    <s v="Chicago"/>
    <n v="35.700000000000003"/>
    <n v="4.8"/>
    <m/>
    <m/>
    <m/>
    <n v="0.03"/>
    <m/>
    <m/>
    <n v="1143"/>
    <n v="2579"/>
  </r>
  <r>
    <x v="1483"/>
    <n v="140158"/>
    <s v="IL"/>
    <s v="IL - Cook"/>
    <n v="60616"/>
    <s v="Mercy Hospital &amp; Medical Center"/>
    <s v="Short Term Acute Care Hospital"/>
    <s v="Chicago"/>
    <n v="111.4"/>
    <n v="4.3"/>
    <n v="359"/>
    <n v="203"/>
    <n v="14"/>
    <n v="0.03"/>
    <n v="203"/>
    <n v="1.48"/>
    <n v="1144"/>
    <n v="10103"/>
  </r>
  <r>
    <x v="1483"/>
    <n v="140114"/>
    <s v="IL"/>
    <s v="IL - Cook"/>
    <n v="60625"/>
    <s v="Swedish Hospital (FKA Swedish Covenant Hospital)"/>
    <s v="Short Term Acute Care Hospital"/>
    <s v="Chicago"/>
    <n v="116.9"/>
    <n v="4.3"/>
    <n v="481"/>
    <n v="216"/>
    <n v="18"/>
    <n v="0.03"/>
    <n v="216"/>
    <n v="1.63"/>
    <n v="1145"/>
    <n v="10869"/>
  </r>
  <r>
    <x v="1483"/>
    <n v="140115"/>
    <s v="IL"/>
    <s v="IL - Cook"/>
    <n v="60613"/>
    <s v="Thorek Memorial Hospital"/>
    <s v="Short Term Acute Care Hospital"/>
    <s v="Chicago"/>
    <n v="61"/>
    <n v="4.9000000000000004"/>
    <n v="91"/>
    <n v="156"/>
    <n v="10"/>
    <n v="0.03"/>
    <n v="156"/>
    <n v="1.28"/>
    <n v="1146"/>
    <n v="4526"/>
  </r>
  <r>
    <x v="1483"/>
    <n v="140117"/>
    <s v="IL"/>
    <s v="IL - Cook"/>
    <n v="60631"/>
    <s v="AMITA Health Resurrection Medical Center Chicago (FKA Presence Resurrection Medical Center)"/>
    <s v="Short Term Acute Care Hospital"/>
    <s v="Chicago"/>
    <n v="160.4"/>
    <n v="4.4000000000000004"/>
    <n v="327"/>
    <n v="227"/>
    <n v="41"/>
    <n v="0.03"/>
    <n v="227"/>
    <n v="1.84"/>
    <n v="1147"/>
    <n v="12201"/>
  </r>
  <r>
    <x v="1483"/>
    <m/>
    <s v="IL"/>
    <s v="IL - Cook"/>
    <n v="60406"/>
    <s v="MetroSouth Medical Center (Temporarily Open due to COVID-19)"/>
    <s v="Short Term Acute Care Hospital"/>
    <s v="Blue Island"/>
    <n v="61.6"/>
    <n v="4.0999999999999996"/>
    <n v="85"/>
    <n v="300"/>
    <n v="36"/>
    <n v="0.03"/>
    <n v="300"/>
    <n v="1.58"/>
    <n v="1148"/>
    <n v="6419"/>
  </r>
  <r>
    <x v="1483"/>
    <n v="140119"/>
    <s v="IL"/>
    <s v="IL - Cook"/>
    <n v="60612"/>
    <s v="Rush University Medical Center"/>
    <s v="Short Term Acute Care Hospital"/>
    <s v="Chicago"/>
    <n v="442.5"/>
    <n v="5.0999999999999996"/>
    <n v="1402"/>
    <n v="576"/>
    <m/>
    <n v="0.03"/>
    <n v="576"/>
    <n v="2.17"/>
    <n v="1149"/>
    <n v="31941"/>
  </r>
  <r>
    <x v="1483"/>
    <n v="140095"/>
    <s v="IL"/>
    <s v="IL - Cook"/>
    <n v="60623"/>
    <s v="Saint Anthony Hospital"/>
    <s v="Short Term Acute Care Hospital"/>
    <s v="Chicago"/>
    <n v="43.8"/>
    <n v="3.9"/>
    <n v="181"/>
    <n v="109"/>
    <n v="15"/>
    <n v="0.03"/>
    <n v="109"/>
    <n v="1.25"/>
    <n v="1150"/>
    <n v="4813"/>
  </r>
  <r>
    <x v="1483"/>
    <n v="140103"/>
    <s v="IL"/>
    <s v="IL - Cook"/>
    <n v="60621"/>
    <s v="St Bernard Hospital"/>
    <s v="Short Term Acute Care Hospital"/>
    <s v="Chicago"/>
    <n v="47.5"/>
    <n v="4.7"/>
    <n v="93"/>
    <n v="130"/>
    <n v="10"/>
    <n v="0.03"/>
    <n v="130"/>
    <n v="1.24"/>
    <n v="1151"/>
    <n v="4435"/>
  </r>
  <r>
    <x v="1483"/>
    <n v="140018"/>
    <s v="IL"/>
    <s v="IL - Cook"/>
    <n v="60608"/>
    <s v="Mt Sinai Hospital Medical Center (AKA Mount Sinai Hospital)"/>
    <s v="Short Term Acute Care Hospital"/>
    <s v="Chicago"/>
    <n v="124.2"/>
    <n v="4.4000000000000004"/>
    <n v="354"/>
    <n v="236"/>
    <n v="17"/>
    <n v="0.03"/>
    <n v="236"/>
    <n v="1.72"/>
    <n v="1152"/>
    <n v="10851"/>
  </r>
  <r>
    <x v="1483"/>
    <n v="140008"/>
    <s v="IL"/>
    <s v="IL - Cook"/>
    <n v="60160"/>
    <s v="Gottlieb Memorial Hospital"/>
    <s v="Short Term Acute Care Hospital"/>
    <s v="Melrose Park"/>
    <n v="59.5"/>
    <n v="4.5"/>
    <n v="123"/>
    <n v="125"/>
    <n v="16"/>
    <n v="0.03"/>
    <n v="125"/>
    <n v="1.6"/>
    <n v="1153"/>
    <n v="4843"/>
  </r>
  <r>
    <x v="1483"/>
    <n v="140010"/>
    <s v="IL"/>
    <s v="IL - Cook"/>
    <n v="60201"/>
    <s v="Evanston Hospital"/>
    <s v="Short Term Acute Care Hospital"/>
    <s v="Evanston"/>
    <n v="441.8"/>
    <n v="4.4000000000000004"/>
    <n v="2159"/>
    <n v="697"/>
    <n v="71"/>
    <n v="0.03"/>
    <n v="354"/>
    <n v="1.67"/>
    <n v="1154"/>
    <n v="39091"/>
  </r>
  <r>
    <x v="1483"/>
    <n v="140048"/>
    <s v="IL"/>
    <s v="IL - Cook"/>
    <n v="60617"/>
    <s v="Advocate Trinity Hospital"/>
    <s v="Short Term Acute Care Hospital"/>
    <s v="Chicago"/>
    <n v="77.5"/>
    <n v="4.0999999999999996"/>
    <n v="240"/>
    <n v="201"/>
    <n v="24"/>
    <n v="0.03"/>
    <n v="201"/>
    <n v="1.71"/>
    <n v="1156"/>
    <n v="7277"/>
  </r>
  <r>
    <x v="1483"/>
    <n v="140049"/>
    <s v="IL"/>
    <s v="IL - Cook"/>
    <n v="60302"/>
    <s v="West Suburban Medical Center"/>
    <s v="Short Term Acute Care Hospital"/>
    <s v="Oak Park"/>
    <n v="67.099999999999994"/>
    <n v="4.2"/>
    <n v="247"/>
    <n v="135"/>
    <n v="21"/>
    <n v="0.03"/>
    <n v="135"/>
    <n v="1.7"/>
    <n v="1157"/>
    <n v="6752"/>
  </r>
  <r>
    <x v="1483"/>
    <s v="140010*"/>
    <s v="IL"/>
    <s v="IL - Cook"/>
    <n v="60076"/>
    <s v="Skokie Hospital"/>
    <s v="Short Term Acute Care Hospital"/>
    <s v="Skokie"/>
    <m/>
    <m/>
    <n v="5"/>
    <m/>
    <m/>
    <m/>
    <n v="156"/>
    <m/>
    <n v="1158"/>
    <m/>
  </r>
  <r>
    <x v="1483"/>
    <n v="140054"/>
    <s v="IL"/>
    <s v="IL - Cook"/>
    <n v="60402"/>
    <s v="MacNeal Hospital"/>
    <s v="Short Term Acute Care Hospital"/>
    <s v="Berwyn"/>
    <n v="123.1"/>
    <n v="4.0999999999999996"/>
    <n v="392"/>
    <n v="256"/>
    <m/>
    <n v="0.03"/>
    <n v="256"/>
    <n v="1.58"/>
    <n v="1159"/>
    <n v="11656"/>
  </r>
  <r>
    <x v="1483"/>
    <n v="140062"/>
    <s v="IL"/>
    <s v="IL - Cook"/>
    <n v="60463"/>
    <s v="Palos Health (AKA Palos Community Hospital)"/>
    <s v="Short Term Acute Care Hospital"/>
    <s v="Palos Heights"/>
    <n v="223.4"/>
    <n v="4.5999999999999996"/>
    <n v="365"/>
    <n v="377"/>
    <n v="24"/>
    <n v="0.03"/>
    <n v="377"/>
    <n v="1.64"/>
    <n v="1160"/>
    <n v="18017"/>
  </r>
  <r>
    <x v="1483"/>
    <n v="140063"/>
    <s v="IL"/>
    <s v="IL - Cook"/>
    <n v="60304"/>
    <s v="Rush Oak Park Hospital"/>
    <s v="Short Term Acute Care Hospital"/>
    <s v="Oak Park"/>
    <n v="40.299999999999997"/>
    <n v="3.5"/>
    <n v="180"/>
    <n v="165"/>
    <n v="14"/>
    <n v="0.03"/>
    <n v="165"/>
    <n v="1.52"/>
    <n v="1161"/>
    <n v="4192"/>
  </r>
  <r>
    <x v="1483"/>
    <n v="140065"/>
    <s v="IL"/>
    <s v="IL - Cook"/>
    <n v="60525"/>
    <s v="AMITA Health Adventist Medical Center La Grange"/>
    <s v="Short Term Acute Care Hospital"/>
    <s v="La Grange"/>
    <n v="87.1"/>
    <n v="4.3"/>
    <n v="200"/>
    <n v="159"/>
    <n v="27"/>
    <n v="0.03"/>
    <n v="159"/>
    <n v="1.55"/>
    <n v="1162"/>
    <n v="7405"/>
  </r>
  <r>
    <x v="1483"/>
    <n v="140080"/>
    <s v="IL"/>
    <s v="IL - Cook"/>
    <n v="60202"/>
    <s v="AMITA Health Saint Francis Hospital Evanston (FKA Presence Saint Francis Hospital)"/>
    <s v="Short Term Acute Care Hospital"/>
    <s v="Evanston"/>
    <n v="81.2"/>
    <n v="3.8"/>
    <n v="195"/>
    <n v="181"/>
    <n v="16"/>
    <n v="0.03"/>
    <n v="181"/>
    <n v="1.7"/>
    <n v="1164"/>
    <n v="8040"/>
  </r>
  <r>
    <x v="1483"/>
    <n v="140082"/>
    <s v="IL"/>
    <s v="IL - Cook"/>
    <n v="60640"/>
    <s v="Weiss Memorial Hospital"/>
    <s v="Short Term Acute Care Hospital"/>
    <s v="Chicago"/>
    <n v="63.4"/>
    <n v="5"/>
    <n v="160"/>
    <n v="119"/>
    <n v="16"/>
    <n v="0.03"/>
    <n v="119"/>
    <n v="1.67"/>
    <n v="1165"/>
    <n v="4662"/>
  </r>
  <r>
    <x v="1483"/>
    <n v="140083"/>
    <s v="IL"/>
    <s v="IL - Cook"/>
    <n v="60644"/>
    <s v="The Loretto Hospital"/>
    <s v="Short Term Acute Care Hospital"/>
    <s v="Chicago"/>
    <n v="49.6"/>
    <n v="4.5999999999999996"/>
    <n v="54"/>
    <n v="122"/>
    <n v="12"/>
    <n v="0.03"/>
    <n v="122"/>
    <n v="1.3"/>
    <n v="1166"/>
    <n v="3954"/>
  </r>
  <r>
    <x v="1483"/>
    <n v="140068"/>
    <s v="IL"/>
    <s v="IL - Cook"/>
    <n v="60628"/>
    <s v="Roseland Community Hospital"/>
    <s v="Short Term Acute Care Hospital"/>
    <s v="Chicago"/>
    <n v="28.5"/>
    <n v="4.9000000000000004"/>
    <n v="41"/>
    <n v="134"/>
    <n v="10"/>
    <n v="0.03"/>
    <n v="134"/>
    <n v="1.27"/>
    <n v="1167"/>
    <n v="2226"/>
  </r>
  <r>
    <x v="1483"/>
    <n v="140088"/>
    <s v="IL"/>
    <s v="IL - Cook"/>
    <n v="60637"/>
    <s v="UChicago Medicine Mitchell Hospital"/>
    <s v="Short Term Acute Care Hospital"/>
    <s v="Chicago"/>
    <n v="576.9"/>
    <n v="6.5"/>
    <n v="1368"/>
    <n v="682"/>
    <n v="79"/>
    <n v="0.03"/>
    <n v="682"/>
    <n v="2.34"/>
    <n v="1168"/>
    <n v="33060"/>
  </r>
  <r>
    <x v="1483"/>
    <s v="140075 (Closed)"/>
    <s v="IL"/>
    <s v="IL - Cook"/>
    <n v="60616"/>
    <s v="Michael Reese Hospital &amp; Medical Center (Closed 2009)"/>
    <s v="Short Term Acute Care Hospital"/>
    <s v="Chicago"/>
    <n v="25.1"/>
    <n v="3.5"/>
    <m/>
    <m/>
    <m/>
    <n v="0.03"/>
    <m/>
    <m/>
    <n v="4792"/>
    <n v="3007"/>
  </r>
  <r>
    <x v="1483"/>
    <s v="140180*"/>
    <s v="IL"/>
    <s v="IL - Cook"/>
    <n v="60622"/>
    <s v="AMITA Health Saints Mary and Elizabeth Medical Center Chicago - Saint Elizabeth Campus (FKA Presence Saints Mary and Elizabeth Medical Center - Saint Elizabeth Campus)"/>
    <s v="Short Term Acute Care Hospital"/>
    <s v="Chicago"/>
    <m/>
    <m/>
    <m/>
    <m/>
    <m/>
    <m/>
    <m/>
    <m/>
    <n v="4793"/>
    <m/>
  </r>
  <r>
    <x v="1483"/>
    <s v="140303 (Closed)"/>
    <s v="IL"/>
    <s v="IL - Cook"/>
    <n v="60640"/>
    <s v="The Neurologic and Orthopedic Institute of Chicago (Closed 2009)"/>
    <s v="Short Term Acute Care Hospital"/>
    <s v="Chicago"/>
    <n v="10.5"/>
    <n v="3.1"/>
    <m/>
    <m/>
    <m/>
    <n v="0.03"/>
    <m/>
    <m/>
    <n v="4794"/>
    <n v="1257"/>
  </r>
  <r>
    <x v="1483"/>
    <s v="140207 (Closed)"/>
    <s v="IL"/>
    <s v="IL - Cook"/>
    <n v="60614"/>
    <s v="Lincoln Park Hospital (Closed 2008)"/>
    <s v="Short Term Acute Care Hospital"/>
    <s v="Chicago"/>
    <n v="53.8"/>
    <n v="4.7"/>
    <m/>
    <m/>
    <m/>
    <n v="0.03"/>
    <m/>
    <m/>
    <n v="5250"/>
    <n v="4331"/>
  </r>
  <r>
    <x v="1483"/>
    <s v="140172* (Closed)"/>
    <s v="IL"/>
    <s v="IL - Cook"/>
    <n v="60411"/>
    <s v="Franciscan Health Chicago Heights (Closed - Merged with Franciscan Health Olympia Fields)"/>
    <s v="Short Term Acute Care Hospital"/>
    <s v="Chicago Heights"/>
    <m/>
    <m/>
    <m/>
    <m/>
    <m/>
    <m/>
    <m/>
    <m/>
    <n v="274242"/>
    <m/>
  </r>
  <r>
    <x v="1483"/>
    <s v="140010*"/>
    <s v="IL"/>
    <s v="IL - Cook"/>
    <n v="60026"/>
    <s v="Glenbrook Hospital"/>
    <s v="Short Term Acute Care Hospital"/>
    <s v="Glenview"/>
    <m/>
    <m/>
    <m/>
    <m/>
    <m/>
    <m/>
    <n v="173"/>
    <m/>
    <n v="274374"/>
    <m/>
  </r>
  <r>
    <x v="1483"/>
    <s v="140281*"/>
    <s v="IL"/>
    <s v="IL - Cook"/>
    <n v="60611"/>
    <s v="Northwestern Medicine Prentice Womens Hospital"/>
    <s v="Short Term Acute Care Hospital"/>
    <s v="Chicago"/>
    <m/>
    <m/>
    <m/>
    <m/>
    <m/>
    <m/>
    <n v="256"/>
    <m/>
    <n v="550113"/>
    <m/>
  </r>
  <r>
    <x v="1483"/>
    <s v="140088*"/>
    <s v="IL"/>
    <s v="IL - Cook"/>
    <n v="60637"/>
    <s v="UChicago Medicine Center for Care and Discovery (AKA CCD)"/>
    <s v="Short Term Acute Care Hospital"/>
    <s v="Chicago"/>
    <m/>
    <m/>
    <m/>
    <m/>
    <m/>
    <m/>
    <n v="436"/>
    <m/>
    <n v="582528"/>
    <m/>
  </r>
  <r>
    <x v="1483"/>
    <m/>
    <s v="IL"/>
    <s v="IL - Cook"/>
    <n v="60616"/>
    <s v="McCormick Place Field Hospital (Temporarily Open due to COVID-19)"/>
    <s v="Short Term Acute Care Hospital"/>
    <s v="Chicago"/>
    <m/>
    <m/>
    <m/>
    <m/>
    <m/>
    <m/>
    <m/>
    <m/>
    <n v="1012057"/>
    <m/>
  </r>
  <r>
    <x v="181"/>
    <n v="140286"/>
    <s v="IL"/>
    <s v="IL - Dekalb"/>
    <n v="60115"/>
    <s v="Northwestern Medicine Kishwaukee Hospital (FKA Kishwaukee Community Hospital)"/>
    <s v="Short Term Acute Care Hospital"/>
    <s v="Dekalb"/>
    <n v="54.3"/>
    <n v="4.0999999999999996"/>
    <n v="172"/>
    <n v="98"/>
    <n v="12"/>
    <n v="0.03"/>
    <n v="98"/>
    <n v="1.63"/>
    <n v="1171"/>
    <n v="5192"/>
  </r>
  <r>
    <x v="1484"/>
    <n v="140288"/>
    <s v="IL"/>
    <s v="IL - Dupage"/>
    <n v="60515"/>
    <s v="Advocate Good Samaritan Hospital"/>
    <s v="Short Term Acute Care Hospital"/>
    <s v="Downers Grove"/>
    <n v="186.1"/>
    <n v="4.3"/>
    <n v="415"/>
    <n v="243"/>
    <n v="55"/>
    <n v="0.03"/>
    <n v="243"/>
    <n v="1.85"/>
    <n v="1173"/>
    <n v="16279"/>
  </r>
  <r>
    <x v="1484"/>
    <n v="140292"/>
    <s v="IL"/>
    <s v="IL - Dupage"/>
    <n v="60139"/>
    <s v="AMITA Health Adventist Medical Center GlenOaks"/>
    <s v="Short Term Acute Care Hospital"/>
    <s v="Glendale Heights"/>
    <n v="62.7"/>
    <n v="4.5"/>
    <n v="50"/>
    <n v="122"/>
    <n v="10"/>
    <n v="0.03"/>
    <n v="122"/>
    <n v="1.4"/>
    <n v="1174"/>
    <n v="5196"/>
  </r>
  <r>
    <x v="1484"/>
    <n v="140242"/>
    <s v="IL"/>
    <s v="IL - Dupage"/>
    <n v="60190"/>
    <s v="Northwestern Medicine Central DuPage Hospital"/>
    <s v="Short Term Acute Care Hospital"/>
    <s v="Winfield"/>
    <n v="218.2"/>
    <n v="4.0999999999999996"/>
    <n v="1515"/>
    <n v="347"/>
    <n v="36"/>
    <n v="0.03"/>
    <n v="347"/>
    <n v="1.9"/>
    <n v="1175"/>
    <n v="20944"/>
  </r>
  <r>
    <x v="1484"/>
    <n v="140231"/>
    <s v="IL"/>
    <s v="IL - Dupage"/>
    <n v="60540"/>
    <s v="Edward Hospital (FKA Edward Heart Hospital)"/>
    <s v="Short Term Acute Care Hospital"/>
    <s v="Naperville"/>
    <n v="241.3"/>
    <n v="4.3"/>
    <n v="1182"/>
    <n v="298"/>
    <n v="25"/>
    <n v="0.03"/>
    <n v="298"/>
    <n v="1.97"/>
    <n v="1176"/>
    <n v="22048"/>
  </r>
  <r>
    <x v="1484"/>
    <n v="140200"/>
    <s v="IL"/>
    <s v="IL - Dupage"/>
    <n v="60126"/>
    <s v="Elmhurst Hospital"/>
    <s v="Short Term Acute Care Hospital"/>
    <s v="Elmhurst"/>
    <n v="174.7"/>
    <n v="4"/>
    <n v="572"/>
    <n v="282"/>
    <n v="35"/>
    <n v="0.03"/>
    <n v="259"/>
    <n v="1.82"/>
    <n v="1177"/>
    <n v="17404"/>
  </r>
  <r>
    <x v="1484"/>
    <n v="140122"/>
    <s v="IL"/>
    <s v="IL - Dupage"/>
    <n v="60521"/>
    <s v="AMITA Health Adventist Medical Center Hinsdale"/>
    <s v="Short Term Acute Care Hospital"/>
    <s v="Hinsdale"/>
    <n v="126.2"/>
    <n v="4.7"/>
    <n v="387"/>
    <n v="244"/>
    <n v="58"/>
    <n v="0.03"/>
    <n v="244"/>
    <n v="1.76"/>
    <n v="1178"/>
    <n v="10966"/>
  </r>
  <r>
    <x v="1484"/>
    <n v="140029"/>
    <s v="IL"/>
    <s v="IL - Dupage"/>
    <n v="60504"/>
    <s v="Rush Copley Medical Center"/>
    <s v="Short Term Acute Care Hospital"/>
    <s v="Aurora"/>
    <n v="97.8"/>
    <n v="3.9"/>
    <n v="366"/>
    <n v="192"/>
    <n v="22"/>
    <n v="0.03"/>
    <n v="192"/>
    <n v="1.66"/>
    <n v="1198"/>
    <n v="11118"/>
  </r>
  <r>
    <x v="1485"/>
    <n v="140032"/>
    <s v="IL"/>
    <s v="IL - Effingham"/>
    <n v="62401"/>
    <s v="HSHS St Anthonys Memorial Hospital"/>
    <s v="Short Term Acute Care Hospital"/>
    <s v="Effingham"/>
    <n v="38.200000000000003"/>
    <n v="3.4"/>
    <n v="169"/>
    <n v="133"/>
    <n v="10"/>
    <n v="1"/>
    <n v="133"/>
    <n v="1.47"/>
    <n v="1179"/>
    <n v="4592"/>
  </r>
  <r>
    <x v="1486"/>
    <n v="140001"/>
    <s v="IL"/>
    <s v="IL - Fulton"/>
    <n v="61520"/>
    <s v="Graham Hospital Association"/>
    <s v="Short Term Acute Care Hospital"/>
    <s v="Canton"/>
    <n v="19.3"/>
    <n v="3.6"/>
    <n v="61"/>
    <n v="43"/>
    <n v="5"/>
    <n v="0.44"/>
    <n v="43"/>
    <n v="1.32"/>
    <n v="1181"/>
    <n v="2069"/>
  </r>
  <r>
    <x v="1487"/>
    <n v="140101"/>
    <s v="IL"/>
    <s v="IL - Grundy"/>
    <n v="60450"/>
    <s v="Morris Hospital &amp; Healthcare Centers"/>
    <s v="Short Term Acute Care Hospital"/>
    <s v="Morris"/>
    <n v="37.6"/>
    <n v="3.3"/>
    <n v="181"/>
    <n v="89"/>
    <n v="8"/>
    <n v="0.03"/>
    <n v="89"/>
    <n v="1.54"/>
    <n v="1183"/>
    <n v="4547"/>
  </r>
  <r>
    <x v="1488"/>
    <n v="140167"/>
    <s v="IL"/>
    <s v="IL - Iroquois"/>
    <n v="60970"/>
    <s v="Iroquois Memorial Hospital"/>
    <s v="Short Term Acute Care Hospital"/>
    <s v="Watseka"/>
    <n v="2.8"/>
    <n v="2.5"/>
    <n v="27"/>
    <n v="25"/>
    <m/>
    <m/>
    <n v="25"/>
    <n v="1.47"/>
    <n v="1188"/>
    <n v="402"/>
  </r>
  <r>
    <x v="192"/>
    <n v="140164"/>
    <s v="IL"/>
    <s v="IL - Jackson"/>
    <n v="62901"/>
    <s v="SIH Memorial Hospital of Carbondale"/>
    <s v="Short Term Acute Care Hospital"/>
    <s v="Carbondale"/>
    <n v="96.8"/>
    <n v="3.6"/>
    <n v="272"/>
    <n v="167"/>
    <n v="21"/>
    <n v="0.33"/>
    <n v="154"/>
    <n v="1.91"/>
    <n v="1189"/>
    <n v="10482"/>
  </r>
  <r>
    <x v="1489"/>
    <n v="140294"/>
    <s v="IL"/>
    <s v="IL - Jefferson"/>
    <n v="62864"/>
    <s v="Crossroads Community Hospital"/>
    <s v="Short Term Acute Care Hospital"/>
    <s v="Mount Vernon"/>
    <n v="9.1999999999999993"/>
    <n v="3"/>
    <n v="41"/>
    <n v="47"/>
    <n v="7"/>
    <n v="0.7"/>
    <n v="47"/>
    <n v="1.54"/>
    <n v="1191"/>
    <n v="1115"/>
  </r>
  <r>
    <x v="1489"/>
    <n v="140046"/>
    <s v="IL"/>
    <s v="IL - Jefferson"/>
    <n v="62864"/>
    <s v="SSM Health Good Samaritan Hospital - Mt Vernon (FKA Good Samaritan Regional Health Center)"/>
    <s v="Short Term Acute Care Hospital"/>
    <s v="Mount Vernon"/>
    <n v="72.2"/>
    <n v="2.4"/>
    <n v="180"/>
    <n v="124"/>
    <n v="15"/>
    <n v="0.7"/>
    <n v="124"/>
    <n v="1.63"/>
    <n v="1192"/>
    <n v="11782"/>
  </r>
  <r>
    <x v="1490"/>
    <n v="140059"/>
    <s v="IL"/>
    <s v="IL - Jersey"/>
    <n v="62052"/>
    <s v="Jersey Community Hospital"/>
    <s v="Short Term Acute Care Hospital"/>
    <s v="Jerseyville"/>
    <n v="7"/>
    <n v="3.5"/>
    <n v="64"/>
    <n v="46"/>
    <n v="4"/>
    <n v="0.08"/>
    <n v="46"/>
    <n v="1.0900000000000001"/>
    <n v="1193"/>
    <n v="729"/>
  </r>
  <r>
    <x v="1491"/>
    <n v="140174"/>
    <s v="IL"/>
    <s v="IL - Kane"/>
    <n v="60506"/>
    <s v="AMITA Health Mercy Medical Center Aurora (FKA Presence Mercy Medical Center)"/>
    <s v="Short Term Acute Care Hospital"/>
    <s v="Aurora"/>
    <n v="68.3"/>
    <n v="4.2"/>
    <n v="183"/>
    <n v="188"/>
    <n v="16"/>
    <n v="0.03"/>
    <n v="188"/>
    <n v="1.7"/>
    <n v="1195"/>
    <n v="5994"/>
  </r>
  <r>
    <x v="1491"/>
    <n v="140211"/>
    <s v="IL"/>
    <s v="IL - Kane"/>
    <n v="60134"/>
    <s v="Northwestern Medicine Delnor Hospital (FKA Delnor Community Hospital)"/>
    <s v="Short Term Acute Care Hospital"/>
    <s v="Geneva"/>
    <n v="79.599999999999994"/>
    <n v="4"/>
    <n v="294"/>
    <n v="144"/>
    <n v="20"/>
    <n v="0.03"/>
    <n v="144"/>
    <n v="1.59"/>
    <n v="1196"/>
    <n v="8388"/>
  </r>
  <r>
    <x v="1491"/>
    <n v="140217"/>
    <s v="IL"/>
    <s v="IL - Kane"/>
    <n v="60123"/>
    <s v="AMITA Health Saint Joseph Hospital Elgin (FKA Presence Saint Joseph Hospital - Elgin)"/>
    <s v="Short Term Acute Care Hospital"/>
    <s v="Elgin"/>
    <n v="70.3"/>
    <n v="4.5"/>
    <n v="111"/>
    <n v="144"/>
    <n v="15"/>
    <n v="0.03"/>
    <n v="144"/>
    <n v="1.63"/>
    <n v="1197"/>
    <n v="5648"/>
  </r>
  <r>
    <x v="1491"/>
    <n v="140030"/>
    <s v="IL"/>
    <s v="IL - Kane"/>
    <n v="60123"/>
    <s v="Advocate Sherman Hospital"/>
    <s v="Short Term Acute Care Hospital"/>
    <s v="Elgin"/>
    <n v="147.6"/>
    <n v="3.6"/>
    <n v="467"/>
    <n v="255"/>
    <n v="30"/>
    <n v="0.03"/>
    <n v="255"/>
    <n v="1.67"/>
    <n v="1199"/>
    <n v="16813"/>
  </r>
  <r>
    <x v="1492"/>
    <n v="140155"/>
    <s v="IL"/>
    <s v="IL - Kankakee"/>
    <n v="60901"/>
    <s v="AMITA Health St Marys Hospital Kankakee (FKA Presence St Marys Hospital)"/>
    <s v="Short Term Acute Care Hospital"/>
    <s v="Kankakee"/>
    <n v="55.7"/>
    <n v="3.8"/>
    <n v="109"/>
    <n v="169"/>
    <n v="16"/>
    <n v="0.63"/>
    <n v="169"/>
    <n v="1.59"/>
    <n v="1200"/>
    <n v="5534"/>
  </r>
  <r>
    <x v="1492"/>
    <n v="140186"/>
    <s v="IL"/>
    <s v="IL - Kankakee"/>
    <n v="60901"/>
    <s v="Riverside Medical Center"/>
    <s v="Short Term Acute Care Hospital"/>
    <s v="Kankakee"/>
    <n v="138.1"/>
    <n v="4.8"/>
    <n v="332"/>
    <n v="291"/>
    <n v="18"/>
    <n v="0.63"/>
    <n v="291"/>
    <n v="1.66"/>
    <n v="1201"/>
    <n v="11035"/>
  </r>
  <r>
    <x v="1493"/>
    <n v="140040"/>
    <s v="IL"/>
    <s v="IL - Knox"/>
    <n v="61401"/>
    <s v="Galesburg Cottage Hospital"/>
    <s v="Short Term Acute Care Hospital"/>
    <s v="Galesburg"/>
    <n v="16.3"/>
    <n v="3.8"/>
    <n v="55"/>
    <n v="96"/>
    <n v="12"/>
    <n v="0.54"/>
    <n v="96"/>
    <n v="1.33"/>
    <n v="1202"/>
    <n v="1754"/>
  </r>
  <r>
    <x v="1493"/>
    <n v="140064"/>
    <s v="IL"/>
    <s v="IL - Knox"/>
    <n v="61401"/>
    <s v="OSF St Mary Medical Center"/>
    <s v="Short Term Acute Care Hospital"/>
    <s v="Galesburg"/>
    <n v="37"/>
    <n v="4"/>
    <n v="123"/>
    <n v="81"/>
    <n v="6"/>
    <n v="0.54"/>
    <n v="81"/>
    <n v="1.36"/>
    <n v="1203"/>
    <n v="3561"/>
  </r>
  <r>
    <x v="1494"/>
    <n v="140084"/>
    <s v="IL"/>
    <s v="IL - Lake"/>
    <n v="60085"/>
    <s v="Vista Medical Center - East (AKA Vista Health System)"/>
    <s v="Short Term Acute Care Hospital"/>
    <s v="Waukegan"/>
    <n v="105.8"/>
    <n v="4.2"/>
    <n v="191"/>
    <n v="190"/>
    <n v="23"/>
    <n v="0.03"/>
    <n v="190"/>
    <n v="1.6"/>
    <n v="1204"/>
    <n v="9998"/>
  </r>
  <r>
    <x v="1494"/>
    <n v="140100"/>
    <s v="IL"/>
    <s v="IL - Lake"/>
    <n v="60099"/>
    <s v="Cancer Treatment Centers of America - Chicago"/>
    <s v="Short Term Acute Care Hospital"/>
    <s v="Zion"/>
    <n v="22.2"/>
    <n v="5.8"/>
    <n v="88"/>
    <n v="73"/>
    <n v="24"/>
    <m/>
    <n v="73"/>
    <n v="1.86"/>
    <n v="1206"/>
    <n v="1395"/>
  </r>
  <r>
    <x v="1494"/>
    <n v="140202"/>
    <s v="IL"/>
    <s v="IL - Lake"/>
    <n v="60048"/>
    <s v="Advocate Condell Medical Center"/>
    <s v="Short Term Acute Care Hospital"/>
    <s v="Libertyville"/>
    <n v="185.1"/>
    <n v="4.4000000000000004"/>
    <n v="435"/>
    <n v="273"/>
    <n v="17"/>
    <n v="0.03"/>
    <n v="273"/>
    <n v="1.68"/>
    <n v="1207"/>
    <n v="15638"/>
  </r>
  <r>
    <x v="1494"/>
    <n v="140130"/>
    <s v="IL"/>
    <s v="IL - Lake"/>
    <n v="60045"/>
    <s v="Northwestern Medicine Lake Forest Hospital"/>
    <s v="Short Term Acute Care Hospital"/>
    <s v="Lake Forest"/>
    <n v="79.8"/>
    <n v="3.5"/>
    <n v="429"/>
    <n v="114"/>
    <n v="12"/>
    <n v="0.03"/>
    <n v="114"/>
    <n v="1.6"/>
    <n v="1208"/>
    <n v="9589"/>
  </r>
  <r>
    <x v="1494"/>
    <n v="140291"/>
    <s v="IL"/>
    <s v="IL - Lake"/>
    <n v="60010"/>
    <s v="Advocate Good Shepherd Hospital"/>
    <s v="Short Term Acute Care Hospital"/>
    <s v="Barrington"/>
    <n v="103.6"/>
    <n v="4.0999999999999996"/>
    <n v="339"/>
    <n v="176"/>
    <n v="32"/>
    <n v="0.03"/>
    <n v="176"/>
    <n v="1.87"/>
    <n v="1210"/>
    <n v="9712"/>
  </r>
  <r>
    <x v="1494"/>
    <s v="140010*"/>
    <s v="IL"/>
    <s v="IL - Lake"/>
    <n v="60035"/>
    <s v="Highland Park Hospital"/>
    <s v="Short Term Acute Care Hospital"/>
    <s v="Highland Park"/>
    <m/>
    <m/>
    <n v="62"/>
    <m/>
    <m/>
    <m/>
    <n v="149"/>
    <m/>
    <n v="274375"/>
    <m/>
  </r>
  <r>
    <x v="194"/>
    <n v="140234"/>
    <s v="IL"/>
    <s v="IL - La Salle"/>
    <n v="61354"/>
    <s v="Illinois Valley Community Hospital"/>
    <s v="Short Term Acute Care Hospital"/>
    <s v="Peru"/>
    <n v="18.600000000000001"/>
    <n v="3.1"/>
    <n v="82"/>
    <n v="49"/>
    <n v="4"/>
    <n v="0.23"/>
    <n v="49"/>
    <n v="1.38"/>
    <n v="1212"/>
    <n v="2166"/>
  </r>
  <r>
    <x v="194"/>
    <n v="140110"/>
    <s v="IL"/>
    <s v="IL - La Salle"/>
    <n v="61350"/>
    <s v="OSF Saint Elizabeth Medical Center (FKA Ottawa Regional Hosp &amp; Hc Center)"/>
    <s v="Short Term Acute Care Hospital"/>
    <s v="Ottawa"/>
    <n v="30.4"/>
    <n v="3.5"/>
    <n v="147"/>
    <n v="90"/>
    <n v="5"/>
    <n v="0.23"/>
    <n v="90"/>
    <n v="1.27"/>
    <n v="1213"/>
    <n v="3475"/>
  </r>
  <r>
    <x v="194"/>
    <s v="140026 (Closed)"/>
    <s v="IL"/>
    <s v="IL - La Salle"/>
    <n v="61364"/>
    <s v="OSF Center for Health - Streator (FKA St Marys Hospital - Closed Inpatient Services)"/>
    <s v="Short Term Acute Care Hospital"/>
    <s v="Streator"/>
    <n v="8.6999999999999993"/>
    <n v="4"/>
    <m/>
    <m/>
    <m/>
    <m/>
    <m/>
    <m/>
    <n v="1214"/>
    <n v="787"/>
  </r>
  <r>
    <x v="1495"/>
    <n v="140012"/>
    <s v="IL"/>
    <s v="IL - Lee"/>
    <n v="61021"/>
    <s v="Katherine Shaw Bethea Hospital"/>
    <s v="Short Term Acute Care Hospital"/>
    <s v="Dixon"/>
    <n v="21.5"/>
    <n v="3.3"/>
    <n v="135"/>
    <n v="66"/>
    <n v="6"/>
    <n v="1"/>
    <n v="66"/>
    <n v="1.37"/>
    <n v="1216"/>
    <n v="2556"/>
  </r>
  <r>
    <x v="1496"/>
    <n v="140161"/>
    <s v="IL"/>
    <s v="IL - Livingston"/>
    <n v="61764"/>
    <s v="OSF Saint James - John W Albrecht Medical Center"/>
    <s v="Short Term Acute Care Hospital"/>
    <s v="Pontiac"/>
    <n v="16.399999999999999"/>
    <n v="3.6"/>
    <n v="83"/>
    <n v="42"/>
    <n v="5"/>
    <n v="1"/>
    <n v="42"/>
    <n v="1.38"/>
    <n v="1217"/>
    <n v="1780"/>
  </r>
  <r>
    <x v="1497"/>
    <n v="140089"/>
    <s v="IL"/>
    <s v="IL - Mcdonough"/>
    <n v="61455"/>
    <s v="McDonough District Hospital"/>
    <s v="Short Term Acute Care Hospital"/>
    <s v="Macomb"/>
    <n v="14"/>
    <n v="4.3"/>
    <n v="89"/>
    <n v="45"/>
    <n v="7"/>
    <n v="1"/>
    <n v="45"/>
    <n v="1.24"/>
    <n v="1219"/>
    <n v="1313"/>
  </r>
  <r>
    <x v="197"/>
    <n v="140116"/>
    <s v="IL"/>
    <s v="IL - Mchenry"/>
    <n v="60050"/>
    <s v="Northwestern Medicine McHenry Hospital (FKA Centegra Hospital - McHenry)"/>
    <s v="Short Term Acute Care Hospital"/>
    <s v="McHenry"/>
    <n v="198.9"/>
    <n v="4.3"/>
    <n v="452"/>
    <n v="296"/>
    <n v="30"/>
    <n v="0.03"/>
    <n v="296"/>
    <n v="1.62"/>
    <n v="1220"/>
    <n v="17794"/>
  </r>
  <r>
    <x v="197"/>
    <s v="140116*"/>
    <s v="IL"/>
    <s v="IL - Mchenry"/>
    <n v="60098"/>
    <s v="Northwestern Medicine Woodstock Hospital (FKA Centegra Hospital - Woodstock)"/>
    <s v="Short Term Acute Care Hospital"/>
    <s v="Woodstock"/>
    <m/>
    <m/>
    <n v="2"/>
    <m/>
    <m/>
    <m/>
    <m/>
    <n v="1.1499999999999999"/>
    <n v="1222"/>
    <m/>
  </r>
  <r>
    <x v="197"/>
    <m/>
    <s v="IL"/>
    <s v="IL - Mchenry"/>
    <n v="60142"/>
    <s v="Northwestern Medicine Huntley Hospital (FKA Centegra Hospital - Huntley)"/>
    <s v="Short Term Acute Care Hospital"/>
    <s v="Huntley"/>
    <m/>
    <m/>
    <m/>
    <m/>
    <m/>
    <m/>
    <n v="128"/>
    <m/>
    <n v="274232"/>
    <m/>
  </r>
  <r>
    <x v="197"/>
    <m/>
    <s v="IL"/>
    <s v="IL - Mchenry"/>
    <n v="60098"/>
    <s v="Centegra South Street (Closed - No Longer Offers Inpatient Services)"/>
    <s v="Short Term Acute Care Hospital"/>
    <s v="Woodstock"/>
    <m/>
    <m/>
    <m/>
    <m/>
    <m/>
    <m/>
    <m/>
    <m/>
    <n v="553392"/>
    <m/>
  </r>
  <r>
    <x v="197"/>
    <m/>
    <s v="IL"/>
    <s v="IL - Mchenry"/>
    <n v="60014"/>
    <s v="Mercyhealth Hospital Crystal Lake (Opening 2020)"/>
    <s v="Short Term Acute Care Hospital"/>
    <s v="Crystal Lake"/>
    <m/>
    <m/>
    <m/>
    <m/>
    <m/>
    <m/>
    <m/>
    <m/>
    <n v="941182"/>
    <m/>
  </r>
  <r>
    <x v="1498"/>
    <n v="140162"/>
    <s v="IL"/>
    <s v="IL - Mclean"/>
    <n v="61701"/>
    <s v="OSF St Joseph Medical Center"/>
    <s v="Short Term Acute Care Hospital"/>
    <s v="Bloomington"/>
    <n v="77.3"/>
    <n v="4.2"/>
    <n v="292"/>
    <n v="137"/>
    <m/>
    <n v="0.5"/>
    <n v="137"/>
    <n v="1.57"/>
    <n v="1223"/>
    <n v="7154"/>
  </r>
  <r>
    <x v="1498"/>
    <n v="140127"/>
    <s v="IL"/>
    <s v="IL - Mclean"/>
    <n v="61761"/>
    <s v="Advocate BroMenn Medical Center"/>
    <s v="Short Term Acute Care Hospital"/>
    <s v="Normal"/>
    <n v="77.099999999999994"/>
    <n v="3.9"/>
    <n v="237"/>
    <n v="206"/>
    <n v="30"/>
    <n v="0.5"/>
    <n v="206"/>
    <n v="1.69"/>
    <n v="1224"/>
    <n v="8164"/>
  </r>
  <r>
    <x v="1499"/>
    <n v="140135"/>
    <s v="IL"/>
    <s v="IL - Macon"/>
    <n v="62526"/>
    <s v="Decatur Memorial Hospital"/>
    <s v="Short Term Acute Care Hospital"/>
    <s v="Decatur"/>
    <n v="97.9"/>
    <n v="4.4000000000000004"/>
    <n v="326"/>
    <n v="202"/>
    <n v="22"/>
    <n v="0.55000000000000004"/>
    <n v="202"/>
    <n v="1.67"/>
    <n v="1225"/>
    <n v="8493"/>
  </r>
  <r>
    <x v="1499"/>
    <n v="140166"/>
    <s v="IL"/>
    <s v="IL - Macon"/>
    <n v="62521"/>
    <s v="HSHS St Marys Hospital"/>
    <s v="Short Term Acute Care Hospital"/>
    <s v="Decatur"/>
    <n v="60.7"/>
    <n v="4.2"/>
    <n v="177"/>
    <n v="131"/>
    <n v="13"/>
    <n v="0.55000000000000004"/>
    <n v="244"/>
    <n v="1.53"/>
    <n v="1226"/>
    <n v="5585"/>
  </r>
  <r>
    <x v="199"/>
    <n v="140289"/>
    <s v="IL"/>
    <s v="IL - Madison"/>
    <n v="62062"/>
    <s v="Anderson Hospital"/>
    <s v="Short Term Acute Care Hospital"/>
    <s v="Maryville"/>
    <n v="66.099999999999994"/>
    <n v="3.9"/>
    <n v="226"/>
    <n v="130"/>
    <n v="24"/>
    <n v="0.08"/>
    <n v="130"/>
    <n v="1.4"/>
    <n v="1230"/>
    <n v="6932"/>
  </r>
  <r>
    <x v="199"/>
    <n v="140125"/>
    <s v="IL"/>
    <s v="IL - Madison"/>
    <n v="62040"/>
    <s v="Gateway Regional Medical Center"/>
    <s v="Short Term Acute Care Hospital"/>
    <s v="Granite City"/>
    <n v="78.5"/>
    <n v="4.5999999999999996"/>
    <n v="125"/>
    <n v="288"/>
    <n v="12"/>
    <n v="0.08"/>
    <n v="288"/>
    <n v="1.29"/>
    <n v="1231"/>
    <n v="6417"/>
  </r>
  <r>
    <x v="199"/>
    <n v="140052"/>
    <s v="IL"/>
    <s v="IL - Madison"/>
    <n v="62002"/>
    <s v="OSF Saint Anthonys Health Center"/>
    <s v="Short Term Acute Care Hospital"/>
    <s v="Alton"/>
    <n v="25.6"/>
    <n v="3.8"/>
    <n v="107"/>
    <n v="49"/>
    <n v="11"/>
    <n v="0.08"/>
    <n v="49"/>
    <n v="1.64"/>
    <n v="1232"/>
    <n v="2435"/>
  </r>
  <r>
    <x v="199"/>
    <n v="140002"/>
    <s v="IL"/>
    <s v="IL - Madison"/>
    <n v="62002"/>
    <s v="Alton Memorial Hospital"/>
    <s v="Short Term Acute Care Hospital"/>
    <s v="Alton"/>
    <n v="66"/>
    <n v="3.3"/>
    <n v="129"/>
    <n v="132"/>
    <n v="12"/>
    <n v="0.08"/>
    <n v="132"/>
    <n v="1.45"/>
    <n v="1233"/>
    <n v="7386"/>
  </r>
  <r>
    <x v="199"/>
    <s v="140052* (Closed)"/>
    <s v="IL"/>
    <s v="IL - Madison"/>
    <n v="62002"/>
    <s v="OSF Saint Clares Hospital (Closed - No Longer Offering Inpatient Services)"/>
    <s v="Short Term Acute Care Hospital"/>
    <s v="Alton"/>
    <m/>
    <m/>
    <m/>
    <m/>
    <m/>
    <m/>
    <m/>
    <m/>
    <n v="833121"/>
    <m/>
  </r>
  <r>
    <x v="200"/>
    <n v="140034"/>
    <s v="IL"/>
    <s v="IL - Marion"/>
    <n v="62801"/>
    <s v="SSM Health St Marys Hospital - Centralia (FKA St Marys Good Samaritan Inc - Centralia Campus)"/>
    <s v="Short Term Acute Care Hospital"/>
    <s v="Centralia"/>
    <n v="37.700000000000003"/>
    <n v="3.2"/>
    <n v="103"/>
    <n v="82"/>
    <n v="9"/>
    <n v="0.68"/>
    <n v="82"/>
    <n v="1.3"/>
    <n v="1234"/>
    <n v="4423"/>
  </r>
  <r>
    <x v="1500"/>
    <n v="140058"/>
    <s v="IL"/>
    <s v="IL - Morgan"/>
    <n v="62650"/>
    <s v="Passavant Area Hospital"/>
    <s v="Short Term Acute Care Hospital"/>
    <s v="Jacksonville"/>
    <n v="24.1"/>
    <n v="3.4"/>
    <n v="117"/>
    <n v="102"/>
    <n v="9"/>
    <n v="1"/>
    <n v="102"/>
    <n v="1.38"/>
    <n v="1239"/>
    <n v="2782"/>
  </r>
  <r>
    <x v="1501"/>
    <n v="140209"/>
    <s v="IL"/>
    <s v="IL - Peoria"/>
    <n v="61636"/>
    <s v="Methodist Hospital (FKA Methodist Medical Center of Illinois)"/>
    <s v="Short Term Acute Care Hospital"/>
    <s v="Peoria"/>
    <n v="126.8"/>
    <n v="4"/>
    <n v="654"/>
    <n v="198"/>
    <n v="12"/>
    <n v="0.44"/>
    <n v="198"/>
    <n v="1.78"/>
    <n v="1241"/>
    <n v="12396"/>
  </r>
  <r>
    <x v="1501"/>
    <n v="140067"/>
    <s v="IL"/>
    <s v="IL - Peoria"/>
    <n v="61637"/>
    <s v="OSF Saint Francis Medical Center"/>
    <s v="Short Term Acute Care Hospital"/>
    <s v="Peoria"/>
    <n v="484.1"/>
    <n v="5.5"/>
    <n v="1138"/>
    <n v="629"/>
    <n v="67"/>
    <n v="0.44"/>
    <n v="629"/>
    <n v="1.94"/>
    <n v="1242"/>
    <n v="32739"/>
  </r>
  <r>
    <x v="1501"/>
    <n v="140013"/>
    <s v="IL"/>
    <s v="IL - Peoria"/>
    <n v="61614"/>
    <s v="Proctor Hospital (FKA Proctor Hospital)"/>
    <s v="Short Term Acute Care Hospital"/>
    <s v="Peoria"/>
    <n v="37.6"/>
    <n v="4"/>
    <n v="87"/>
    <n v="109"/>
    <n v="16"/>
    <n v="0.44"/>
    <n v="109"/>
    <n v="1.49"/>
    <n v="1243"/>
    <n v="3467"/>
  </r>
  <r>
    <x v="209"/>
    <m/>
    <s v="IL"/>
    <s v="IL - Randolph"/>
    <n v="62233"/>
    <s v="Chester Mental Health Center"/>
    <s v="Short Term Acute Care Hospital"/>
    <s v="Chester"/>
    <m/>
    <m/>
    <m/>
    <m/>
    <m/>
    <m/>
    <n v="96"/>
    <m/>
    <n v="581799"/>
    <m/>
  </r>
  <r>
    <x v="1502"/>
    <n v="140147"/>
    <s v="IL"/>
    <s v="IL - Richland"/>
    <n v="62450"/>
    <s v="Carle Richland Memorial Hospital"/>
    <s v="Short Term Acute Care Hospital"/>
    <s v="Olney"/>
    <n v="12.6"/>
    <n v="5.2"/>
    <n v="60"/>
    <n v="47"/>
    <n v="8"/>
    <m/>
    <n v="47"/>
    <n v="1.28"/>
    <n v="1251"/>
    <n v="958"/>
  </r>
  <r>
    <x v="1503"/>
    <n v="140275"/>
    <s v="IL"/>
    <s v="IL - Rock Island"/>
    <n v="61282"/>
    <s v="Genesis Medical Center - Silvis (FKA Genesis Medical Center -Illini Campus)"/>
    <s v="Short Term Acute Care Hospital"/>
    <s v="Silvis"/>
    <n v="25.4"/>
    <n v="3"/>
    <n v="183"/>
    <n v="145"/>
    <n v="7"/>
    <n v="0.27"/>
    <n v="145"/>
    <n v="1.49"/>
    <n v="1252"/>
    <n v="3316"/>
  </r>
  <r>
    <x v="1503"/>
    <n v="140280"/>
    <s v="IL"/>
    <s v="IL - Rock Island"/>
    <n v="61201"/>
    <s v="Trinity Rock Island"/>
    <s v="Short Term Acute Care Hospital"/>
    <s v="Rock Island"/>
    <n v="135.6"/>
    <n v="4.0999999999999996"/>
    <n v="365"/>
    <n v="297"/>
    <n v="20"/>
    <n v="0.27"/>
    <n v="297"/>
    <n v="1.75"/>
    <n v="1253"/>
    <n v="12672"/>
  </r>
  <r>
    <x v="1503"/>
    <s v="140280*"/>
    <s v="IL"/>
    <s v="IL - Rock Island"/>
    <n v="61265"/>
    <s v="Trinity Moline"/>
    <s v="Short Term Acute Care Hospital"/>
    <s v="Moline"/>
    <m/>
    <m/>
    <m/>
    <m/>
    <m/>
    <m/>
    <n v="38"/>
    <m/>
    <n v="550189"/>
    <m/>
  </r>
  <r>
    <x v="1504"/>
    <n v="140185"/>
    <s v="IL"/>
    <s v="IL - Saint Clair"/>
    <n v="62226"/>
    <s v="Memorial Hospital Belleville"/>
    <s v="Short Term Acute Care Hospital"/>
    <s v="Belleville"/>
    <n v="134.4"/>
    <n v="4.3"/>
    <n v="338"/>
    <n v="212"/>
    <n v="20"/>
    <n v="0.08"/>
    <n v="212"/>
    <n v="1.68"/>
    <n v="1254"/>
    <n v="11788"/>
  </r>
  <r>
    <x v="1504"/>
    <n v="140187"/>
    <s v="IL"/>
    <s v="IL - Saint Clair"/>
    <n v="62269"/>
    <s v="HSHS St Elizabeths Hospital"/>
    <s v="Short Term Acute Care Hospital"/>
    <s v="O Fallon"/>
    <n v="96.1"/>
    <n v="3.7"/>
    <n v="289"/>
    <n v="128"/>
    <n v="16"/>
    <n v="0.08"/>
    <n v="128"/>
    <n v="1.8"/>
    <n v="1255"/>
    <n v="9930"/>
  </r>
  <r>
    <x v="1504"/>
    <n v="140077"/>
    <s v="IL"/>
    <s v="IL - Saint Clair"/>
    <n v="62207"/>
    <s v="Touchette Regional Hospital"/>
    <s v="Short Term Acute Care Hospital"/>
    <s v="Centreville"/>
    <n v="26.9"/>
    <n v="3.9"/>
    <n v="60"/>
    <n v="122"/>
    <m/>
    <n v="0.08"/>
    <n v="122"/>
    <n v="1.08"/>
    <n v="1256"/>
    <n v="2533"/>
  </r>
  <r>
    <x v="1504"/>
    <s v="140066 (Closed)"/>
    <s v="IL"/>
    <s v="IL - Saint Clair"/>
    <n v="62201"/>
    <s v="Touchette Regional Hospital (Closed 2011)"/>
    <s v="Short Term Acute Care Hospital"/>
    <s v="East Saint Louis"/>
    <n v="14.4"/>
    <n v="4.8"/>
    <m/>
    <m/>
    <m/>
    <n v="0.08"/>
    <m/>
    <m/>
    <n v="4791"/>
    <n v="1096"/>
  </r>
  <r>
    <x v="1504"/>
    <n v="140307"/>
    <s v="IL"/>
    <s v="IL - Saint Clair"/>
    <n v="62269"/>
    <s v="Memorial Hospital East"/>
    <s v="Short Term Acute Care Hospital"/>
    <s v="Shiloh"/>
    <n v="40.700000000000003"/>
    <n v="3.3"/>
    <n v="89"/>
    <n v="94"/>
    <n v="6"/>
    <n v="0.08"/>
    <n v="94"/>
    <n v="1.41"/>
    <n v="842949"/>
    <n v="5410"/>
  </r>
  <r>
    <x v="210"/>
    <n v="140210"/>
    <s v="IL"/>
    <s v="IL - Saline"/>
    <n v="62946"/>
    <s v="Harrisburg Medical Center"/>
    <s v="Short Term Acute Care Hospital"/>
    <s v="Harrisburg"/>
    <n v="13.2"/>
    <n v="3.1"/>
    <n v="66"/>
    <n v="40"/>
    <m/>
    <m/>
    <n v="40"/>
    <n v="1.18"/>
    <n v="1257"/>
    <n v="1547"/>
  </r>
  <r>
    <x v="1505"/>
    <n v="140053"/>
    <s v="IL"/>
    <s v="IL - Sangamon"/>
    <n v="62769"/>
    <s v="HSHS St Johns Hospital"/>
    <s v="Short Term Acute Care Hospital"/>
    <s v="Springfield"/>
    <n v="263.5"/>
    <n v="5.4"/>
    <n v="507"/>
    <n v="369"/>
    <n v="45"/>
    <n v="0.51"/>
    <n v="369"/>
    <n v="2.1"/>
    <n v="1259"/>
    <n v="18322"/>
  </r>
  <r>
    <x v="1505"/>
    <n v="140148"/>
    <s v="IL"/>
    <s v="IL - Sangamon"/>
    <n v="62781"/>
    <s v="Memorial Medical Center"/>
    <s v="Short Term Acute Care Hospital"/>
    <s v="Springfield"/>
    <n v="284.5"/>
    <n v="4.9000000000000004"/>
    <n v="963"/>
    <n v="390"/>
    <n v="38"/>
    <n v="0.51"/>
    <n v="390"/>
    <n v="1.78"/>
    <n v="1260"/>
    <n v="21681"/>
  </r>
  <r>
    <x v="1506"/>
    <n v="140019"/>
    <s v="IL"/>
    <s v="IL - Shelby"/>
    <n v="62565"/>
    <s v="HSHS Good Shepherd Hospital (FKA Shelby Memorial Hospital)"/>
    <s v="Short Term Acute Care Hospital"/>
    <s v="Shelbyville"/>
    <n v="3.8"/>
    <n v="3.7"/>
    <n v="32"/>
    <n v="30"/>
    <m/>
    <m/>
    <n v="30"/>
    <n v="1.1200000000000001"/>
    <n v="1262"/>
    <n v="371"/>
  </r>
  <r>
    <x v="1507"/>
    <n v="140160"/>
    <s v="IL"/>
    <s v="IL - Stephenson"/>
    <n v="61032"/>
    <s v="FHN Memorial Hospital"/>
    <s v="Short Term Acute Care Hospital"/>
    <s v="Freeport"/>
    <n v="37.4"/>
    <n v="3.7"/>
    <n v="153"/>
    <n v="100"/>
    <n v="8"/>
    <n v="1"/>
    <n v="100"/>
    <n v="1.39"/>
    <n v="1263"/>
    <n v="3830"/>
  </r>
  <r>
    <x v="212"/>
    <n v="140120"/>
    <s v="IL"/>
    <s v="IL - Tazewell"/>
    <n v="61554"/>
    <s v="UnityPoint Health - Pekin Hospital"/>
    <s v="Short Term Acute Care Hospital"/>
    <s v="Pekin"/>
    <n v="22.8"/>
    <n v="3.1"/>
    <n v="364"/>
    <n v="107"/>
    <n v="8"/>
    <n v="0.44"/>
    <n v="107"/>
    <n v="1.52"/>
    <n v="1264"/>
    <n v="2825"/>
  </r>
  <r>
    <x v="214"/>
    <n v="140093"/>
    <s v="IL"/>
    <s v="IL - Vermilion"/>
    <n v="61832"/>
    <s v="OSF Sacred Heart Medical Center (FKA Presence United Samaritans Medical Center)"/>
    <s v="Short Term Acute Care Hospital"/>
    <s v="Danville"/>
    <n v="45.1"/>
    <n v="3.1"/>
    <n v="106"/>
    <n v="174"/>
    <n v="14"/>
    <n v="0.51"/>
    <n v="174"/>
    <n v="1.19"/>
    <n v="1269"/>
    <n v="5572"/>
  </r>
  <r>
    <x v="219"/>
    <n v="140043"/>
    <s v="IL"/>
    <s v="IL - Whiteside"/>
    <n v="61081"/>
    <s v="CGH Medical Center"/>
    <s v="Short Term Acute Care Hospital"/>
    <s v="Sterling"/>
    <n v="35.4"/>
    <n v="3.5"/>
    <n v="174"/>
    <n v="96"/>
    <n v="9"/>
    <n v="0.87"/>
    <n v="96"/>
    <n v="1.5"/>
    <n v="1274"/>
    <n v="3944"/>
  </r>
  <r>
    <x v="1508"/>
    <n v="140007"/>
    <s v="IL"/>
    <s v="IL - Will"/>
    <n v="60435"/>
    <s v="AMITA Health Saint Joseph Medical Center Joliet (FKA Presence Saint Joseph Medical Center)"/>
    <s v="Short Term Acute Care Hospital"/>
    <s v="Joliet"/>
    <n v="172.7"/>
    <n v="4"/>
    <n v="366"/>
    <n v="383"/>
    <n v="33"/>
    <n v="0.03"/>
    <n v="383"/>
    <n v="1.63"/>
    <n v="1275"/>
    <n v="18048"/>
  </r>
  <r>
    <x v="1508"/>
    <n v="140304"/>
    <s v="IL"/>
    <s v="IL - Will"/>
    <n v="60440"/>
    <s v="AMITA Health Adventist Medical Center Bolingbrook"/>
    <s v="Short Term Acute Care Hospital"/>
    <s v="Bolingbrook"/>
    <n v="52.8"/>
    <n v="3.8"/>
    <n v="118"/>
    <n v="110"/>
    <n v="12"/>
    <n v="0.03"/>
    <n v="110"/>
    <n v="1.41"/>
    <n v="1276"/>
    <n v="5794"/>
  </r>
  <r>
    <x v="1508"/>
    <n v="140213"/>
    <s v="IL"/>
    <s v="IL - Will"/>
    <n v="60451"/>
    <s v="Silver Cross Hospital"/>
    <s v="Short Term Acute Care Hospital"/>
    <s v="New Lenox"/>
    <n v="183.7"/>
    <n v="3.8"/>
    <n v="386"/>
    <n v="259"/>
    <n v="30"/>
    <n v="0.03"/>
    <n v="259"/>
    <n v="1.5"/>
    <n v="1277"/>
    <n v="19341"/>
  </r>
  <r>
    <x v="1509"/>
    <n v="140184"/>
    <s v="IL"/>
    <s v="IL - Williamson"/>
    <n v="62959"/>
    <s v="Heartland Regional Medical Center"/>
    <s v="Short Term Acute Care Hospital"/>
    <s v="Marion"/>
    <n v="26.9"/>
    <n v="2.9"/>
    <n v="85"/>
    <n v="94"/>
    <n v="18"/>
    <n v="0.33"/>
    <n v="94"/>
    <n v="1.78"/>
    <n v="1278"/>
    <n v="3820"/>
  </r>
  <r>
    <x v="1509"/>
    <n v="140011"/>
    <s v="IL"/>
    <s v="IL - Williamson"/>
    <n v="62948"/>
    <s v="SIH Herrin Hospital"/>
    <s v="Short Term Acute Care Hospital"/>
    <s v="Herrin"/>
    <n v="58.6"/>
    <n v="3.5"/>
    <n v="212"/>
    <n v="85"/>
    <n v="8"/>
    <n v="0.33"/>
    <n v="85"/>
    <n v="1.45"/>
    <n v="1279"/>
    <n v="6147"/>
  </r>
  <r>
    <x v="1510"/>
    <n v="140239"/>
    <s v="IL"/>
    <s v="IL - Winnebago"/>
    <n v="61103"/>
    <s v="Mercyhealth Javon Bea Hospital - Rockton"/>
    <s v="Short Term Acute Care Hospital"/>
    <s v="Rockford"/>
    <n v="170.9"/>
    <n v="5.4"/>
    <n v="425"/>
    <n v="278"/>
    <n v="22"/>
    <n v="0.35"/>
    <n v="278"/>
    <n v="1.62"/>
    <n v="1281"/>
    <n v="12629"/>
  </r>
  <r>
    <x v="1510"/>
    <n v="140233"/>
    <s v="IL"/>
    <s v="IL - Winnebago"/>
    <n v="61108"/>
    <s v="OSF Saint Anthony Medical Center"/>
    <s v="Short Term Acute Care Hospital"/>
    <s v="Rockford"/>
    <n v="136.9"/>
    <n v="4.7"/>
    <n v="376"/>
    <n v="241"/>
    <n v="38"/>
    <n v="0.35"/>
    <n v="241"/>
    <n v="1.77"/>
    <n v="1282"/>
    <n v="10791"/>
  </r>
  <r>
    <x v="1510"/>
    <n v="140228"/>
    <s v="IL"/>
    <s v="IL - Winnebago"/>
    <n v="61104"/>
    <s v="SwedishAmerican Hospital"/>
    <s v="Short Term Acute Care Hospital"/>
    <s v="Rockford"/>
    <n v="136.9"/>
    <n v="4"/>
    <n v="430"/>
    <n v="293"/>
    <n v="30"/>
    <n v="0.35"/>
    <n v="293"/>
    <n v="1.62"/>
    <n v="1283"/>
    <n v="13441"/>
  </r>
  <r>
    <x v="1510"/>
    <m/>
    <s v="IL"/>
    <s v="IL - Winnebago"/>
    <n v="61114"/>
    <s v="Mercyhealth Javon Bea Hospital - Riverside"/>
    <s v="Short Term Acute Care Hospital"/>
    <s v="Rockford"/>
    <m/>
    <m/>
    <m/>
    <m/>
    <m/>
    <m/>
    <n v="52"/>
    <m/>
    <n v="856410"/>
    <m/>
  </r>
  <r>
    <x v="1511"/>
    <n v="150150"/>
    <s v="IN"/>
    <s v="IN - Allen"/>
    <n v="46825"/>
    <s v="Dupont Hospital"/>
    <s v="Short Term Acute Care Hospital"/>
    <s v="Fort Wayne"/>
    <n v="44.6"/>
    <n v="4.5"/>
    <n v="81"/>
    <n v="131"/>
    <n v="10"/>
    <n v="0.32"/>
    <n v="131"/>
    <n v="1.56"/>
    <n v="1286"/>
    <n v="4488"/>
  </r>
  <r>
    <x v="1511"/>
    <n v="150167"/>
    <s v="IN"/>
    <s v="IN - Allen"/>
    <n v="46845"/>
    <s v="Parkview Ortho Hospital"/>
    <s v="Short Term Acute Care Hospital"/>
    <s v="Fort Wayne"/>
    <n v="14.8"/>
    <n v="1.8"/>
    <n v="66"/>
    <n v="37"/>
    <m/>
    <n v="0.32"/>
    <n v="37"/>
    <n v="2.57"/>
    <n v="1287"/>
    <n v="2962"/>
  </r>
  <r>
    <x v="1511"/>
    <n v="150168"/>
    <s v="IN"/>
    <s v="IN - Allen"/>
    <n v="46804"/>
    <s v="The Orthopedic Hospital (FKA Lutheran Musculoskeletal Center)"/>
    <s v="Short Term Acute Care Hospital"/>
    <s v="Fort Wayne"/>
    <n v="14.9"/>
    <n v="2.2999999999999998"/>
    <n v="55"/>
    <n v="39"/>
    <m/>
    <n v="0.32"/>
    <n v="39"/>
    <n v="2.52"/>
    <n v="1288"/>
    <n v="2392"/>
  </r>
  <r>
    <x v="1511"/>
    <n v="150017"/>
    <s v="IN"/>
    <s v="IN - Allen"/>
    <n v="46804"/>
    <s v="Lutheran Hospital"/>
    <s v="Short Term Acute Care Hospital"/>
    <s v="Fort Wayne"/>
    <n v="267.89999999999998"/>
    <n v="4.8"/>
    <n v="427"/>
    <n v="396"/>
    <m/>
    <n v="0.32"/>
    <n v="396"/>
    <n v="2.08"/>
    <n v="1289"/>
    <n v="21010"/>
  </r>
  <r>
    <x v="1511"/>
    <n v="150021"/>
    <s v="IN"/>
    <s v="IN - Allen"/>
    <n v="46825"/>
    <s v="Parkview Regional Medical Center"/>
    <s v="Short Term Acute Care Hospital"/>
    <s v="Fort Wayne"/>
    <n v="416.5"/>
    <n v="4.7"/>
    <n v="1019"/>
    <n v="566"/>
    <n v="124"/>
    <n v="0.32"/>
    <n v="542"/>
    <n v="1.68"/>
    <n v="1290"/>
    <n v="33427"/>
  </r>
  <r>
    <x v="1511"/>
    <n v="150047"/>
    <s v="IN"/>
    <s v="IN - Allen"/>
    <n v="46802"/>
    <s v="St Joseph Hospital"/>
    <s v="Short Term Acute Care Hospital"/>
    <s v="Fort Wayne"/>
    <n v="38.4"/>
    <n v="4.3"/>
    <n v="75"/>
    <n v="88"/>
    <m/>
    <n v="0.32"/>
    <n v="88"/>
    <n v="1.52"/>
    <n v="1291"/>
    <n v="3901"/>
  </r>
  <r>
    <x v="1511"/>
    <m/>
    <s v="IN"/>
    <s v="IN - Allen"/>
    <n v="46805"/>
    <s v="Parkview Heart Institute"/>
    <s v="Short Term Acute Care Hospital"/>
    <s v="Fort Wayne"/>
    <m/>
    <m/>
    <m/>
    <m/>
    <m/>
    <m/>
    <n v="73"/>
    <m/>
    <n v="542070"/>
    <m/>
  </r>
  <r>
    <x v="1511"/>
    <s v="150021*"/>
    <s v="IN"/>
    <s v="IN - Allen"/>
    <n v="46805"/>
    <s v="Parkview Hospital Randallia"/>
    <s v="Short Term Acute Care Hospital"/>
    <s v="Fort Wayne"/>
    <m/>
    <m/>
    <n v="4"/>
    <m/>
    <m/>
    <m/>
    <n v="150"/>
    <m/>
    <n v="550793"/>
    <m/>
  </r>
  <r>
    <x v="1512"/>
    <n v="150112"/>
    <s v="IN"/>
    <s v="IN - Bartholomew"/>
    <n v="47201"/>
    <s v="Columbus Regional Hospital (AKA Columbus Regional Health)"/>
    <s v="Short Term Acute Care Hospital"/>
    <s v="Columbus"/>
    <n v="83.4"/>
    <n v="3.7"/>
    <n v="311"/>
    <n v="211"/>
    <n v="17"/>
    <n v="1"/>
    <n v="225"/>
    <n v="1.56"/>
    <n v="1292"/>
    <n v="9158"/>
  </r>
  <r>
    <x v="1513"/>
    <n v="150104"/>
    <s v="IN"/>
    <s v="IN - Boone"/>
    <n v="46052"/>
    <s v="Witham Health Services"/>
    <s v="Short Term Acute Care Hospital"/>
    <s v="Lebanon"/>
    <n v="19.8"/>
    <n v="3.6"/>
    <n v="181"/>
    <n v="68"/>
    <n v="8"/>
    <n v="0.12"/>
    <n v="68"/>
    <n v="1.35"/>
    <n v="1294"/>
    <n v="2316"/>
  </r>
  <r>
    <x v="1514"/>
    <n v="150072"/>
    <s v="IN"/>
    <s v="IN - Cass"/>
    <n v="46947"/>
    <s v="Logansport Memorial Hospital"/>
    <s v="Short Term Acute Care Hospital"/>
    <s v="Logansport"/>
    <n v="12.5"/>
    <n v="3.2"/>
    <n v="88"/>
    <n v="44"/>
    <n v="5"/>
    <n v="1"/>
    <n v="44"/>
    <n v="1.24"/>
    <n v="1295"/>
    <n v="1659"/>
  </r>
  <r>
    <x v="1515"/>
    <s v="150163 (Closed)"/>
    <s v="IN"/>
    <s v="IN - Clark"/>
    <n v="47111"/>
    <s v="St Catherine Regional Hospital (Closed Feb 2015)"/>
    <s v="Short Term Acute Care Hospital"/>
    <s v="Charlestown"/>
    <n v="2.9"/>
    <n v="3.2"/>
    <m/>
    <m/>
    <m/>
    <n v="0.24"/>
    <m/>
    <m/>
    <n v="1296"/>
    <n v="332"/>
  </r>
  <r>
    <x v="1515"/>
    <s v="150176 (Closed)"/>
    <s v="IN"/>
    <s v="IN - Clark"/>
    <n v="47129"/>
    <s v="Kentuckiana Medical Center (Closed)"/>
    <s v="Short Term Acute Care Hospital"/>
    <s v="Clarksville"/>
    <n v="13.5"/>
    <n v="5.7"/>
    <m/>
    <m/>
    <m/>
    <n v="0.24"/>
    <m/>
    <n v="2.33"/>
    <n v="1297"/>
    <n v="861"/>
  </r>
  <r>
    <x v="1515"/>
    <n v="150009"/>
    <s v="IN"/>
    <s v="IN - Clark"/>
    <n v="47130"/>
    <s v="Clark Memorial Hospital"/>
    <s v="Short Term Acute Care Hospital"/>
    <s v="Jeffersonville"/>
    <n v="94.8"/>
    <n v="3.3"/>
    <n v="196"/>
    <n v="153"/>
    <n v="22"/>
    <n v="0.24"/>
    <n v="153"/>
    <n v="1.56"/>
    <n v="1298"/>
    <n v="11158"/>
  </r>
  <r>
    <x v="1515"/>
    <m/>
    <s v="IN"/>
    <s v="IN - Clark"/>
    <n v="47111"/>
    <s v="North Clark Community Hospital (Opening Soon)"/>
    <s v="Short Term Acute Care Hospital"/>
    <s v="Charlestown"/>
    <m/>
    <m/>
    <m/>
    <m/>
    <m/>
    <m/>
    <m/>
    <m/>
    <n v="977785"/>
    <m/>
  </r>
  <r>
    <x v="1516"/>
    <n v="150061"/>
    <s v="IN"/>
    <s v="IN - Daviess"/>
    <n v="47501"/>
    <s v="Daviess Community Hospital"/>
    <s v="Short Term Acute Care Hospital"/>
    <s v="Washington"/>
    <n v="11.4"/>
    <n v="3.4"/>
    <n v="64"/>
    <n v="42"/>
    <n v="5"/>
    <n v="1"/>
    <n v="42"/>
    <n v="1.21"/>
    <n v="1301"/>
    <n v="1455"/>
  </r>
  <r>
    <x v="1517"/>
    <n v="150086"/>
    <s v="IN"/>
    <s v="IN - Dearborn"/>
    <n v="47025"/>
    <s v="Highpoint Health (FKA Dearborn County Hospital)"/>
    <s v="Short Term Acute Care Hospital"/>
    <s v="Lawrenceburg"/>
    <n v="29.1"/>
    <n v="3.7"/>
    <n v="128"/>
    <n v="86"/>
    <n v="8"/>
    <n v="0.12"/>
    <n v="86"/>
    <n v="1.5"/>
    <n v="1302"/>
    <n v="3089"/>
  </r>
  <r>
    <x v="1518"/>
    <n v="150045"/>
    <s v="IN"/>
    <s v="IN - Dekalb"/>
    <n v="46706"/>
    <s v="Parkview DeKalb Hospital (FKA DeKalb Memorial Hospital)"/>
    <s v="Short Term Acute Care Hospital"/>
    <s v="Auburn"/>
    <n v="11.9"/>
    <n v="3"/>
    <n v="124"/>
    <n v="37"/>
    <n v="8"/>
    <n v="1"/>
    <n v="37"/>
    <n v="1.17"/>
    <n v="1304"/>
    <n v="1672"/>
  </r>
  <r>
    <x v="1519"/>
    <n v="150089"/>
    <s v="IN"/>
    <s v="IN - Delaware"/>
    <n v="47303"/>
    <s v="IU Health Ball Memorial Hospital"/>
    <s v="Short Term Acute Care Hospital"/>
    <s v="Muncie"/>
    <n v="217.6"/>
    <n v="4.9000000000000004"/>
    <n v="387"/>
    <n v="320"/>
    <n v="36"/>
    <n v="1"/>
    <n v="320"/>
    <n v="1.67"/>
    <n v="1305"/>
    <n v="16806"/>
  </r>
  <r>
    <x v="1520"/>
    <n v="150115"/>
    <s v="IN"/>
    <s v="IN - Dubois"/>
    <n v="47546"/>
    <s v="Memorial Hospital and Health Care Center"/>
    <s v="Short Term Acute Care Hospital"/>
    <s v="Jasper"/>
    <n v="36.5"/>
    <n v="4.0999999999999996"/>
    <n v="233"/>
    <n v="111"/>
    <n v="26"/>
    <n v="1"/>
    <n v="111"/>
    <n v="1.61"/>
    <n v="1306"/>
    <n v="3643"/>
  </r>
  <r>
    <x v="1521"/>
    <n v="150018"/>
    <s v="IN"/>
    <s v="IN - Elkhart"/>
    <n v="46514"/>
    <s v="Elkhart General Hospital"/>
    <s v="Short Term Acute Care Hospital"/>
    <s v="Elkhart"/>
    <n v="105.1"/>
    <n v="4.0999999999999996"/>
    <n v="236"/>
    <n v="200"/>
    <n v="23"/>
    <n v="0.5"/>
    <n v="200"/>
    <n v="1.81"/>
    <n v="1307"/>
    <n v="9920"/>
  </r>
  <r>
    <x v="1521"/>
    <n v="150026"/>
    <s v="IN"/>
    <s v="IN - Elkhart"/>
    <n v="46526"/>
    <s v="Goshen Health Hospital"/>
    <s v="Short Term Acute Care Hospital"/>
    <s v="Goshen"/>
    <n v="58.5"/>
    <n v="3.4"/>
    <n v="265"/>
    <n v="122"/>
    <n v="12"/>
    <n v="0.5"/>
    <n v="122"/>
    <n v="1.76"/>
    <n v="1308"/>
    <n v="6972"/>
  </r>
  <r>
    <x v="1522"/>
    <s v="150064 (Closed)"/>
    <s v="IN"/>
    <s v="IN - Fayette"/>
    <n v="47331"/>
    <s v="Fayette Regional Health System (Closed)"/>
    <s v="Short Term Acute Care Hospital"/>
    <s v="Connersville"/>
    <n v="8.8000000000000007"/>
    <n v="3.5"/>
    <m/>
    <m/>
    <m/>
    <n v="1"/>
    <m/>
    <n v="1.1299999999999999"/>
    <n v="1309"/>
    <n v="1007"/>
  </r>
  <r>
    <x v="1523"/>
    <n v="150044"/>
    <s v="IN"/>
    <s v="IN - Floyd"/>
    <n v="47150"/>
    <s v="Baptist Health Floyd (FKA Floyd Memorial Hospital and Health Services)"/>
    <s v="Short Term Acute Care Hospital"/>
    <s v="New Albany"/>
    <n v="136.69999999999999"/>
    <n v="3.8"/>
    <n v="445"/>
    <n v="225"/>
    <n v="16"/>
    <n v="0.24"/>
    <n v="225"/>
    <n v="1.9"/>
    <n v="1310"/>
    <n v="13965"/>
  </r>
  <r>
    <x v="1523"/>
    <n v="150172"/>
    <s v="IN"/>
    <s v="IN - Floyd"/>
    <n v="47150"/>
    <s v="Physicians Medical Center"/>
    <s v="Short Term Acute Care Hospital"/>
    <s v="New Albany"/>
    <n v="3.4"/>
    <n v="2.7"/>
    <n v="46"/>
    <n v="10"/>
    <m/>
    <n v="0.24"/>
    <n v="10"/>
    <n v="2.13"/>
    <n v="1311"/>
    <n v="473"/>
  </r>
  <r>
    <x v="1524"/>
    <n v="150011"/>
    <s v="IN"/>
    <s v="IN - Grant"/>
    <n v="46952"/>
    <s v="Marion General Hospital"/>
    <s v="Short Term Acute Care Hospital"/>
    <s v="Marion"/>
    <n v="47.3"/>
    <n v="4"/>
    <n v="173"/>
    <n v="106"/>
    <n v="19"/>
    <n v="1"/>
    <n v="106"/>
    <n v="1.33"/>
    <n v="1314"/>
    <n v="4850"/>
  </r>
  <r>
    <x v="1525"/>
    <n v="150161"/>
    <s v="IN"/>
    <s v="IN - Hamilton"/>
    <n v="46032"/>
    <s v="IU Health North Hospital"/>
    <s v="Short Term Acute Care Hospital"/>
    <s v="Carmel"/>
    <n v="78.099999999999994"/>
    <n v="3.4"/>
    <n v="286"/>
    <n v="149"/>
    <m/>
    <n v="0.12"/>
    <n v="149"/>
    <n v="1.75"/>
    <n v="1316"/>
    <n v="9647"/>
  </r>
  <r>
    <x v="1525"/>
    <n v="150153"/>
    <s v="IN"/>
    <s v="IN - Hamilton"/>
    <n v="46290"/>
    <s v="St Vincent Heart Center of Indiana"/>
    <s v="Short Term Acute Care Hospital"/>
    <s v="Indianapolis"/>
    <n v="54.3"/>
    <n v="4.5"/>
    <n v="60"/>
    <n v="107"/>
    <m/>
    <n v="0.12"/>
    <n v="107"/>
    <n v="3.2"/>
    <n v="1317"/>
    <n v="4400"/>
  </r>
  <r>
    <x v="1525"/>
    <n v="150157"/>
    <s v="IN"/>
    <s v="IN - Hamilton"/>
    <n v="46032"/>
    <s v="Ascension St Vincent Carmel (FKA St Vincent Carmel Hospital)"/>
    <s v="Short Term Acute Care Hospital"/>
    <s v="Carmel"/>
    <n v="44.2"/>
    <n v="2.9"/>
    <n v="147"/>
    <n v="153"/>
    <n v="10"/>
    <n v="0.12"/>
    <n v="153"/>
    <n v="1.93"/>
    <n v="1318"/>
    <n v="6722"/>
  </r>
  <r>
    <x v="1525"/>
    <n v="150059"/>
    <s v="IN"/>
    <s v="IN - Hamilton"/>
    <n v="46060"/>
    <s v="Riverview Health Noblesville Hospital"/>
    <s v="Short Term Acute Care Hospital"/>
    <s v="Noblesville"/>
    <n v="45.7"/>
    <n v="4"/>
    <n v="240"/>
    <n v="109"/>
    <n v="15"/>
    <n v="0.12"/>
    <n v="109"/>
    <n v="1.51"/>
    <n v="1319"/>
    <n v="4084"/>
  </r>
  <r>
    <x v="1525"/>
    <s v="150056*"/>
    <s v="IN"/>
    <s v="IN - Hamilton"/>
    <n v="46037"/>
    <s v="IU Health Saxony Hospital"/>
    <s v="Short Term Acute Care Hospital"/>
    <s v="Fishers"/>
    <m/>
    <m/>
    <m/>
    <m/>
    <m/>
    <m/>
    <n v="44"/>
    <m/>
    <n v="274175"/>
    <m/>
  </r>
  <r>
    <x v="1525"/>
    <n v="150181"/>
    <s v="IN"/>
    <s v="IN - Hamilton"/>
    <n v="46037"/>
    <s v="St Vincent Fishers"/>
    <s v="Short Term Acute Care Hospital"/>
    <s v="Fishers"/>
    <n v="6.2"/>
    <n v="2.8"/>
    <n v="58"/>
    <n v="46"/>
    <m/>
    <n v="0.12"/>
    <n v="46"/>
    <n v="1.47"/>
    <n v="550107"/>
    <n v="1204"/>
  </r>
  <r>
    <x v="1525"/>
    <n v="150182"/>
    <s v="IN"/>
    <s v="IN - Hamilton"/>
    <n v="46032"/>
    <s v="Franciscan Health Carmel (FKA Franciscan St Francis Health - Carmel)"/>
    <s v="Short Term Acute Care Hospital"/>
    <s v="Carmel"/>
    <n v="1.2"/>
    <n v="1.6"/>
    <n v="1"/>
    <n v="6"/>
    <m/>
    <n v="0.12"/>
    <n v="6"/>
    <n v="2.4700000000000002"/>
    <n v="553393"/>
    <n v="269"/>
  </r>
  <r>
    <x v="1525"/>
    <m/>
    <s v="IN"/>
    <s v="IN - Hamilton"/>
    <n v="46032"/>
    <s v="Indiana Spine Hospital"/>
    <s v="Short Term Acute Care Hospital"/>
    <s v="Carmel"/>
    <m/>
    <m/>
    <n v="1"/>
    <m/>
    <m/>
    <m/>
    <n v="20"/>
    <m/>
    <n v="956785"/>
    <m/>
  </r>
  <r>
    <x v="1525"/>
    <m/>
    <s v="IN"/>
    <s v="IN - Hamilton"/>
    <n v="46074"/>
    <s v="Riverview Health Westfield Hospital"/>
    <s v="Short Term Acute Care Hospital"/>
    <s v="Westfield"/>
    <m/>
    <m/>
    <m/>
    <m/>
    <m/>
    <m/>
    <n v="20"/>
    <m/>
    <n v="976479"/>
    <m/>
  </r>
  <r>
    <x v="1526"/>
    <n v="150037"/>
    <s v="IN"/>
    <s v="IN - Hancock"/>
    <n v="46140"/>
    <s v="Hancock Regional Hospital (AKA Hancock Health)"/>
    <s v="Short Term Acute Care Hospital"/>
    <s v="Greenfield"/>
    <n v="22.5"/>
    <n v="3.4"/>
    <n v="206"/>
    <n v="61"/>
    <n v="24"/>
    <n v="0.12"/>
    <n v="61"/>
    <n v="1.4"/>
    <n v="1320"/>
    <n v="2388"/>
  </r>
  <r>
    <x v="1526"/>
    <m/>
    <s v="IN"/>
    <s v="IN - Hancock"/>
    <n v="46140"/>
    <s v="AMG Specialty Hospital - Central Indiana Hancock Campus"/>
    <s v="Short Term Acute Care Hospital"/>
    <s v="Greenfield"/>
    <m/>
    <m/>
    <m/>
    <m/>
    <m/>
    <m/>
    <n v="12"/>
    <m/>
    <n v="998149"/>
    <m/>
  </r>
  <r>
    <x v="1527"/>
    <n v="150158"/>
    <s v="IN"/>
    <s v="IN - Hendricks"/>
    <n v="46123"/>
    <s v="IU Health West Hospital (FKA Clarian West Medical Center)"/>
    <s v="Short Term Acute Care Hospital"/>
    <s v="Avon"/>
    <n v="81"/>
    <n v="4"/>
    <n v="239"/>
    <n v="127"/>
    <n v="16"/>
    <n v="0.12"/>
    <n v="127"/>
    <n v="1.52"/>
    <n v="1322"/>
    <n v="7879"/>
  </r>
  <r>
    <x v="1527"/>
    <n v="150005"/>
    <s v="IN"/>
    <s v="IN - Hendricks"/>
    <n v="46122"/>
    <s v="Hendricks Regional Health - Danville Hospital"/>
    <s v="Short Term Acute Care Hospital"/>
    <s v="Danville"/>
    <n v="51.7"/>
    <n v="3.8"/>
    <n v="352"/>
    <n v="133"/>
    <n v="12"/>
    <n v="0.12"/>
    <n v="133"/>
    <n v="1.61"/>
    <n v="1323"/>
    <n v="5679"/>
  </r>
  <r>
    <x v="1527"/>
    <s v="150184 (Closed)"/>
    <s v="IN"/>
    <s v="IN - Hendricks"/>
    <n v="46123"/>
    <s v="Ascension St Vincent Neighborhood Hospital - Avon (Closed - No Longer Offers Inpatient Services)"/>
    <s v="Short Term Acute Care Hospital"/>
    <s v="Avon"/>
    <n v="0.6"/>
    <n v="1.8"/>
    <m/>
    <m/>
    <m/>
    <n v="0.12"/>
    <m/>
    <n v="1.03"/>
    <n v="942065"/>
    <n v="249"/>
  </r>
  <r>
    <x v="1527"/>
    <s v="150005*"/>
    <s v="IN"/>
    <s v="IN - Hendricks"/>
    <n v="46112"/>
    <s v="Hendricks Regional Health - Brownsburg Hospital"/>
    <s v="Short Term Acute Care Hospital"/>
    <s v="Brownsburg"/>
    <m/>
    <m/>
    <m/>
    <m/>
    <m/>
    <m/>
    <n v="6"/>
    <m/>
    <n v="957653"/>
    <m/>
  </r>
  <r>
    <x v="1528"/>
    <n v="150030"/>
    <s v="IN"/>
    <s v="IN - Henry"/>
    <n v="47362"/>
    <s v="Henry Community Health"/>
    <s v="Short Term Acute Care Hospital"/>
    <s v="New Castle"/>
    <n v="21.8"/>
    <n v="3.7"/>
    <n v="103"/>
    <n v="48"/>
    <n v="10"/>
    <n v="1"/>
    <n v="48"/>
    <n v="1.46"/>
    <n v="1324"/>
    <n v="2386"/>
  </r>
  <r>
    <x v="1529"/>
    <n v="150010"/>
    <s v="IN"/>
    <s v="IN - Howard"/>
    <n v="46901"/>
    <s v="Ascension St Vincent Kokomo"/>
    <s v="Short Term Acute Care Hospital"/>
    <s v="Kokomo"/>
    <n v="43"/>
    <n v="3.9"/>
    <n v="161"/>
    <n v="111"/>
    <n v="13"/>
    <n v="0.5"/>
    <n v="111"/>
    <n v="1.58"/>
    <n v="1325"/>
    <n v="4522"/>
  </r>
  <r>
    <x v="1529"/>
    <n v="150007"/>
    <s v="IN"/>
    <s v="IN - Howard"/>
    <n v="46902"/>
    <s v="Community Howard Regional Health"/>
    <s v="Short Term Acute Care Hospital"/>
    <s v="Kokomo"/>
    <n v="44.9"/>
    <n v="3.8"/>
    <n v="143"/>
    <n v="109"/>
    <n v="8"/>
    <n v="0.5"/>
    <n v="109"/>
    <n v="1.56"/>
    <n v="1326"/>
    <n v="4529"/>
  </r>
  <r>
    <x v="1530"/>
    <n v="150091"/>
    <s v="IN"/>
    <s v="IN - Huntington"/>
    <n v="46750"/>
    <s v="Parkview Huntington Hospital"/>
    <s v="Short Term Acute Care Hospital"/>
    <s v="Huntington"/>
    <n v="11.9"/>
    <n v="2.7"/>
    <n v="67"/>
    <n v="36"/>
    <m/>
    <n v="1"/>
    <n v="36"/>
    <n v="1.19"/>
    <n v="1327"/>
    <n v="1853"/>
  </r>
  <r>
    <x v="1531"/>
    <n v="150065"/>
    <s v="IN"/>
    <s v="IN - Jackson"/>
    <n v="47274"/>
    <s v="Schneck Medical Center"/>
    <s v="Short Term Acute Care Hospital"/>
    <s v="Seymour"/>
    <n v="23.9"/>
    <n v="3.9"/>
    <n v="158"/>
    <n v="91"/>
    <n v="7"/>
    <n v="1"/>
    <n v="91"/>
    <n v="1.61"/>
    <n v="1328"/>
    <n v="2607"/>
  </r>
  <r>
    <x v="1532"/>
    <n v="150069"/>
    <s v="IN"/>
    <s v="IN - Jefferson"/>
    <n v="47250"/>
    <s v="Kings Daughters Health"/>
    <s v="Short Term Acute Care Hospital"/>
    <s v="Madison"/>
    <n v="29.8"/>
    <n v="3.9"/>
    <n v="103"/>
    <n v="88"/>
    <n v="6"/>
    <n v="1"/>
    <n v="88"/>
    <n v="1.36"/>
    <n v="1331"/>
    <n v="3085"/>
  </r>
  <r>
    <x v="1533"/>
    <n v="150001"/>
    <s v="IN"/>
    <s v="IN - Johnson"/>
    <n v="46131"/>
    <s v="Johnson Memorial Hospital (AKA Johnson Memorial Health)"/>
    <s v="Short Term Acute Care Hospital"/>
    <s v="Franklin"/>
    <n v="16.3"/>
    <n v="3.5"/>
    <n v="128"/>
    <n v="83"/>
    <n v="6"/>
    <n v="0.12"/>
    <n v="83"/>
    <n v="1.44"/>
    <n v="1333"/>
    <n v="1917"/>
  </r>
  <r>
    <x v="1534"/>
    <n v="150042"/>
    <s v="IN"/>
    <s v="IN - Knox"/>
    <n v="47591"/>
    <s v="Good Samaritan Hospital"/>
    <s v="Short Term Acute Care Hospital"/>
    <s v="Vincennes"/>
    <n v="55.2"/>
    <n v="3.9"/>
    <n v="249"/>
    <n v="99"/>
    <n v="30"/>
    <n v="1"/>
    <n v="99"/>
    <n v="1.45"/>
    <n v="1334"/>
    <n v="5385"/>
  </r>
  <r>
    <x v="1535"/>
    <n v="150133"/>
    <s v="IN"/>
    <s v="IN - Kosciusko"/>
    <n v="46580"/>
    <s v="Kosciusko Community Hospital"/>
    <s v="Short Term Acute Care Hospital"/>
    <s v="Warsaw"/>
    <n v="22.9"/>
    <n v="3.4"/>
    <n v="100"/>
    <n v="72"/>
    <n v="14"/>
    <n v="1"/>
    <n v="72"/>
    <n v="1.35"/>
    <n v="1335"/>
    <n v="2759"/>
  </r>
  <r>
    <x v="1536"/>
    <s v="150170 (Closed)"/>
    <s v="IN"/>
    <s v="IN - Lake"/>
    <n v="46321"/>
    <s v="Surgical Hospital of Munster (Closed 2011 - No Longer an Inpatient Facility)"/>
    <s v="Short Term Acute Care Hospital"/>
    <s v="Munster"/>
    <n v="0.5"/>
    <n v="2.1"/>
    <m/>
    <m/>
    <m/>
    <n v="0.03"/>
    <m/>
    <m/>
    <n v="1337"/>
    <n v="86"/>
  </r>
  <r>
    <x v="1536"/>
    <n v="150165"/>
    <s v="IN"/>
    <s v="IN - Lake"/>
    <n v="46321"/>
    <s v="Franciscan Health Munster (FKA Franciscan Healthcare - Munster Franciscan Physicians Hospital LLC)"/>
    <s v="Short Term Acute Care Hospital"/>
    <s v="Munster"/>
    <n v="31.4"/>
    <n v="4.4000000000000004"/>
    <n v="171"/>
    <n v="63"/>
    <n v="9"/>
    <n v="0.03"/>
    <n v="63"/>
    <n v="1.66"/>
    <n v="1338"/>
    <n v="2616"/>
  </r>
  <r>
    <x v="1536"/>
    <n v="150166"/>
    <s v="IN"/>
    <s v="IN - Lake"/>
    <n v="46307"/>
    <s v="Pinnacle Hospital"/>
    <s v="Short Term Acute Care Hospital"/>
    <s v="Crown Point"/>
    <n v="9.1"/>
    <n v="3.6"/>
    <n v="55"/>
    <n v="18"/>
    <n v="2"/>
    <n v="0.03"/>
    <n v="18"/>
    <n v="2.4300000000000002"/>
    <n v="1339"/>
    <n v="922"/>
  </r>
  <r>
    <x v="1536"/>
    <n v="150125"/>
    <s v="IN"/>
    <s v="IN - Lake"/>
    <n v="46321"/>
    <s v="Community Hospital"/>
    <s v="Short Term Acute Care Hospital"/>
    <s v="Munster"/>
    <n v="248.3"/>
    <n v="5.2"/>
    <n v="522"/>
    <n v="410"/>
    <n v="39"/>
    <n v="0.03"/>
    <n v="410"/>
    <n v="1.64"/>
    <n v="1340"/>
    <n v="17965"/>
  </r>
  <r>
    <x v="1536"/>
    <n v="150126"/>
    <s v="IN"/>
    <s v="IN - Lake"/>
    <n v="46307"/>
    <s v="Franciscan Health Crown Point (FKA Franciscan St Anthony Health - Crown Point)"/>
    <s v="Short Term Acute Care Hospital"/>
    <s v="Crown Point"/>
    <n v="82.3"/>
    <n v="4.0999999999999996"/>
    <n v="230"/>
    <n v="214"/>
    <n v="22"/>
    <n v="0.03"/>
    <n v="214"/>
    <n v="1.59"/>
    <n v="1341"/>
    <n v="7958"/>
  </r>
  <r>
    <x v="1536"/>
    <n v="150090"/>
    <s v="IN"/>
    <s v="IN - Lake"/>
    <n v="46311"/>
    <s v="Franciscan Health Dyer (FKA Franciscan St Margaret Health - Dyer Campus)"/>
    <s v="Short Term Acute Care Hospital"/>
    <s v="Dyer"/>
    <n v="49.7"/>
    <n v="4.8"/>
    <n v="133"/>
    <n v="110"/>
    <n v="14"/>
    <n v="0.03"/>
    <n v="110"/>
    <n v="1.67"/>
    <n v="1342"/>
    <n v="4008"/>
  </r>
  <r>
    <x v="1536"/>
    <n v="150004"/>
    <s v="IN"/>
    <s v="IN - Lake"/>
    <n v="46320"/>
    <s v="Franciscan Health Hammond (FKA Franciscan St Margaret Health - Hammond Campus)"/>
    <s v="Short Term Acute Care Hospital"/>
    <s v="Hammond"/>
    <n v="59.4"/>
    <n v="5.4"/>
    <n v="85"/>
    <n v="180"/>
    <n v="20"/>
    <n v="0.03"/>
    <n v="180"/>
    <n v="1.65"/>
    <n v="1343"/>
    <n v="4170"/>
  </r>
  <r>
    <x v="1536"/>
    <n v="150034"/>
    <s v="IN"/>
    <s v="IN - Lake"/>
    <n v="46342"/>
    <s v="St Mary Medical Center"/>
    <s v="Short Term Acute Care Hospital"/>
    <s v="Hobart"/>
    <n v="126.3"/>
    <n v="4.9000000000000004"/>
    <n v="278"/>
    <n v="180"/>
    <n v="20"/>
    <n v="0.03"/>
    <n v="180"/>
    <n v="1.62"/>
    <n v="1344"/>
    <n v="9787"/>
  </r>
  <r>
    <x v="1536"/>
    <n v="150002"/>
    <s v="IN"/>
    <s v="IN - Lake"/>
    <n v="46402"/>
    <s v="Methodist Hospitals - Northlake"/>
    <s v="Short Term Acute Care Hospital"/>
    <s v="Gary"/>
    <n v="224.5"/>
    <n v="6.1"/>
    <n v="320"/>
    <n v="456"/>
    <n v="39"/>
    <n v="0.03"/>
    <n v="154"/>
    <n v="1.47"/>
    <n v="1345"/>
    <n v="13960"/>
  </r>
  <r>
    <x v="1536"/>
    <n v="150008"/>
    <s v="IN"/>
    <s v="IN - Lake"/>
    <n v="46312"/>
    <s v="St Catherine Hospital"/>
    <s v="Short Term Acute Care Hospital"/>
    <s v="East Chicago"/>
    <n v="78.599999999999994"/>
    <n v="4.8"/>
    <n v="106"/>
    <n v="165"/>
    <n v="16"/>
    <n v="0.03"/>
    <n v="165"/>
    <n v="1.53"/>
    <n v="1346"/>
    <n v="6183"/>
  </r>
  <r>
    <x v="1536"/>
    <m/>
    <s v="IN"/>
    <s v="IN - Lake"/>
    <n v="46342"/>
    <s v="Hind General Hospital (Closed)"/>
    <s v="Short Term Acute Care Hospital"/>
    <s v="Hobart"/>
    <m/>
    <m/>
    <m/>
    <m/>
    <m/>
    <m/>
    <m/>
    <m/>
    <n v="550063"/>
    <m/>
  </r>
  <r>
    <x v="1536"/>
    <s v="150002*"/>
    <s v="IN"/>
    <s v="IN - Lake"/>
    <n v="46410"/>
    <s v="Methodist Hospitals - Southlake"/>
    <s v="Short Term Acute Care Hospital"/>
    <s v="Merrillville"/>
    <m/>
    <m/>
    <n v="1"/>
    <m/>
    <m/>
    <m/>
    <n v="300"/>
    <m/>
    <n v="550064"/>
    <m/>
  </r>
  <r>
    <x v="1537"/>
    <n v="150006"/>
    <s v="IN"/>
    <s v="IN - La Porte"/>
    <n v="46350"/>
    <s v="La Porte Hospital"/>
    <s v="Short Term Acute Care Hospital"/>
    <s v="La Porte"/>
    <n v="44.1"/>
    <n v="3.9"/>
    <n v="137"/>
    <n v="129"/>
    <n v="20"/>
    <n v="0.52"/>
    <n v="129"/>
    <n v="1.59"/>
    <n v="1347"/>
    <n v="4517"/>
  </r>
  <r>
    <x v="1537"/>
    <n v="150015"/>
    <s v="IN"/>
    <s v="IN - La Porte"/>
    <n v="46360"/>
    <s v="Franciscan Health Michigan City (FKA Franciscan St Anthony Health - Michigan City)"/>
    <s v="Short Term Acute Care Hospital"/>
    <s v="Michigan City"/>
    <n v="55.2"/>
    <n v="3.8"/>
    <n v="195"/>
    <n v="149"/>
    <n v="14"/>
    <n v="0.52"/>
    <n v="149"/>
    <n v="1.56"/>
    <n v="1348"/>
    <n v="5506"/>
  </r>
  <r>
    <x v="1537"/>
    <m/>
    <s v="IN"/>
    <s v="IN - La Porte"/>
    <n v="46350"/>
    <s v="Franciscan Beacon Hospital (Opening Summer 2020)"/>
    <s v="Short Term Acute Care Hospital"/>
    <s v="Laporte"/>
    <m/>
    <m/>
    <m/>
    <m/>
    <m/>
    <m/>
    <m/>
    <m/>
    <n v="1009776"/>
    <m/>
  </r>
  <r>
    <x v="235"/>
    <n v="150088"/>
    <s v="IN"/>
    <s v="IN - Madison"/>
    <n v="46016"/>
    <s v="Ascension St Vincent Anderson (FKA St Johns Health System)"/>
    <s v="Short Term Acute Care Hospital"/>
    <s v="Anderson"/>
    <n v="67.099999999999994"/>
    <n v="5"/>
    <n v="191"/>
    <n v="144"/>
    <n v="21"/>
    <n v="0.12"/>
    <n v="144"/>
    <n v="1.57"/>
    <n v="1351"/>
    <n v="5100"/>
  </r>
  <r>
    <x v="235"/>
    <n v="150113"/>
    <s v="IN"/>
    <s v="IN - Madison"/>
    <n v="46011"/>
    <s v="Community Hospital Anderson (FKA Community Hospital of Anderson and Madison County)"/>
    <s v="Short Term Acute Care Hospital"/>
    <s v="Anderson"/>
    <n v="68.7"/>
    <n v="3.6"/>
    <n v="200"/>
    <n v="134"/>
    <n v="17"/>
    <n v="0.12"/>
    <n v="134"/>
    <n v="1.59"/>
    <n v="1352"/>
    <n v="7653"/>
  </r>
  <r>
    <x v="1538"/>
    <n v="150169"/>
    <s v="IN"/>
    <s v="IN - Marion"/>
    <n v="46256"/>
    <s v="Community Hospital North"/>
    <s v="Short Term Acute Care Hospital"/>
    <s v="Indianapolis"/>
    <n v="206.6"/>
    <n v="4.8"/>
    <n v="506"/>
    <n v="280"/>
    <n v="24"/>
    <n v="0.12"/>
    <n v="280"/>
    <n v="1.67"/>
    <n v="1354"/>
    <n v="17414"/>
  </r>
  <r>
    <x v="1538"/>
    <n v="150128"/>
    <s v="IN"/>
    <s v="IN - Marion"/>
    <n v="46227"/>
    <s v="Community Hospital South"/>
    <s v="Short Term Acute Care Hospital"/>
    <s v="Indianapolis"/>
    <n v="100.8"/>
    <n v="4"/>
    <n v="213"/>
    <n v="169"/>
    <n v="12"/>
    <n v="0.12"/>
    <n v="169"/>
    <n v="1.59"/>
    <n v="1355"/>
    <n v="9954"/>
  </r>
  <r>
    <x v="1538"/>
    <s v="150129 (Closed)"/>
    <s v="IN"/>
    <s v="IN - Marion"/>
    <n v="46222"/>
    <s v="Community Westview Hospital (Closed)"/>
    <s v="Short Term Acute Care Hospital"/>
    <s v="Indianapolis"/>
    <n v="5.7"/>
    <n v="3.5"/>
    <m/>
    <m/>
    <m/>
    <n v="0.12"/>
    <m/>
    <m/>
    <n v="1356"/>
    <n v="601"/>
  </r>
  <r>
    <x v="1538"/>
    <n v="150160"/>
    <s v="IN"/>
    <s v="IN - Marion"/>
    <n v="46278"/>
    <s v="Indiana Orthopaedic Hospital (AKA OrthoIndy Hospital Main)"/>
    <s v="Short Term Acute Care Hospital"/>
    <s v="Indianapolis"/>
    <n v="13.9"/>
    <n v="1.6"/>
    <n v="158"/>
    <n v="38"/>
    <m/>
    <n v="0.12"/>
    <n v="38"/>
    <n v="2.48"/>
    <n v="1357"/>
    <n v="3145"/>
  </r>
  <r>
    <x v="1538"/>
    <s v="150128*"/>
    <s v="IN"/>
    <s v="IN - Marion"/>
    <n v="46250"/>
    <s v="Community Heart and Vascular Hospital (FKA Indiana Heart Hospital)"/>
    <s v="Short Term Acute Care Hospital"/>
    <s v="Indianapolis"/>
    <m/>
    <m/>
    <m/>
    <m/>
    <m/>
    <m/>
    <n v="56"/>
    <m/>
    <n v="1358"/>
    <m/>
  </r>
  <r>
    <x v="1538"/>
    <n v="150162"/>
    <s v="IN"/>
    <s v="IN - Marion"/>
    <n v="46237"/>
    <s v="Franciscan Health Indianapolis (FKA Franciscan St Francis Health - Indianapolis)"/>
    <s v="Short Term Acute Care Hospital"/>
    <s v="Indianapolis"/>
    <n v="263.60000000000002"/>
    <n v="5.2"/>
    <n v="707"/>
    <n v="441"/>
    <n v="60"/>
    <n v="0.12"/>
    <n v="441"/>
    <n v="1.91"/>
    <n v="1359"/>
    <n v="19234"/>
  </r>
  <r>
    <x v="1538"/>
    <n v="150084"/>
    <s v="IN"/>
    <s v="IN - Marion"/>
    <n v="46260"/>
    <s v="Ascension St Vincent Hospital - Indianapolis"/>
    <s v="Short Term Acute Care Hospital"/>
    <s v="Indianapolis"/>
    <n v="485.5"/>
    <n v="5.8"/>
    <n v="963"/>
    <n v="768"/>
    <n v="56"/>
    <n v="0.12"/>
    <n v="376"/>
    <n v="2.11"/>
    <n v="1360"/>
    <n v="30994"/>
  </r>
  <r>
    <x v="1538"/>
    <n v="150074"/>
    <s v="IN"/>
    <s v="IN - Marion"/>
    <n v="46219"/>
    <s v="Community Hospital East"/>
    <s v="Short Term Acute Care Hospital"/>
    <s v="Indianapolis"/>
    <n v="210.2"/>
    <n v="4.4000000000000004"/>
    <n v="438"/>
    <n v="305"/>
    <n v="28"/>
    <n v="0.12"/>
    <n v="305"/>
    <n v="1.87"/>
    <n v="1361"/>
    <n v="17767"/>
  </r>
  <r>
    <x v="1538"/>
    <s v="150033 (Closed)"/>
    <s v="IN"/>
    <s v="IN - Marion"/>
    <n v="46107"/>
    <s v="Franciscan St Francis Health Beech Grove Campus (Closed March 2012)"/>
    <s v="Short Term Acute Care Hospital"/>
    <s v="Beech Grove"/>
    <n v="109.2"/>
    <n v="4.5"/>
    <m/>
    <m/>
    <m/>
    <n v="0.12"/>
    <m/>
    <m/>
    <n v="1362"/>
    <n v="8813"/>
  </r>
  <r>
    <x v="1538"/>
    <n v="150024"/>
    <s v="IN"/>
    <s v="IN - Marion"/>
    <n v="46202"/>
    <s v="Eskenazi Health (AKA Sidney &amp; Lois Eskenazi Hospital)"/>
    <s v="Short Term Acute Care Hospital"/>
    <s v="Indianapolis"/>
    <n v="201"/>
    <n v="4.3"/>
    <n v="597"/>
    <n v="316"/>
    <n v="72"/>
    <n v="0.12"/>
    <n v="316"/>
    <n v="1.8"/>
    <n v="1363"/>
    <n v="18038"/>
  </r>
  <r>
    <x v="1538"/>
    <n v="150056"/>
    <s v="IN"/>
    <s v="IN - Marion"/>
    <n v="46202"/>
    <s v="IU Health Methodist Hospital"/>
    <s v="Short Term Acute Care Hospital"/>
    <s v="Indianapolis"/>
    <n v="869.8"/>
    <n v="6.4"/>
    <n v="1983"/>
    <n v="1226"/>
    <n v="66"/>
    <n v="0.12"/>
    <n v="1226"/>
    <n v="2.2200000000000002"/>
    <n v="1365"/>
    <n v="50673"/>
  </r>
  <r>
    <x v="1538"/>
    <n v="150179"/>
    <s v="IN"/>
    <s v="IN - Marion"/>
    <n v="46256"/>
    <s v="Fairbanks"/>
    <s v="Short Term Acute Care Hospital"/>
    <s v="Indianapolis"/>
    <n v="42.5"/>
    <n v="5.4"/>
    <n v="10"/>
    <n v="86"/>
    <m/>
    <n v="0.12"/>
    <n v="86"/>
    <n v="0.78"/>
    <n v="5215"/>
    <n v="2877"/>
  </r>
  <r>
    <x v="1538"/>
    <s v="150056*"/>
    <s v="IN"/>
    <s v="IN - Marion"/>
    <n v="46202"/>
    <s v="IU Health University Hospital"/>
    <s v="Short Term Acute Care Hospital"/>
    <s v="Indianapolis"/>
    <m/>
    <m/>
    <m/>
    <m/>
    <m/>
    <m/>
    <m/>
    <m/>
    <n v="274180"/>
    <m/>
  </r>
  <r>
    <x v="1538"/>
    <s v="150084*"/>
    <s v="IN"/>
    <s v="IN - Marion"/>
    <n v="46260"/>
    <s v="Ascension St Vincent Womens Hospital"/>
    <s v="Short Term Acute Care Hospital"/>
    <s v="Indianapolis"/>
    <m/>
    <m/>
    <m/>
    <m/>
    <m/>
    <m/>
    <n v="149"/>
    <m/>
    <n v="541946"/>
    <m/>
  </r>
  <r>
    <x v="1538"/>
    <m/>
    <s v="IN"/>
    <s v="IN - Marion"/>
    <n v="46218"/>
    <s v="NeuroDiagnostic Institute and Advanced Treatment Center"/>
    <s v="Short Term Acute Care Hospital"/>
    <s v="Indianapolis"/>
    <m/>
    <m/>
    <m/>
    <m/>
    <m/>
    <m/>
    <n v="159"/>
    <m/>
    <n v="966770"/>
    <m/>
  </r>
  <r>
    <x v="236"/>
    <n v="150076"/>
    <s v="IN"/>
    <s v="IN - Marshall"/>
    <n v="46563"/>
    <s v="Plymouth Medical Center (FKA St Josephs Regional Medical Center - Plymouth)"/>
    <s v="Short Term Acute Care Hospital"/>
    <s v="Plymouth"/>
    <n v="15.2"/>
    <n v="3"/>
    <n v="115"/>
    <n v="45"/>
    <n v="7"/>
    <n v="0.55000000000000004"/>
    <n v="45"/>
    <n v="1.37"/>
    <n v="1366"/>
    <n v="2005"/>
  </r>
  <r>
    <x v="236"/>
    <s v="150180 (Closed)"/>
    <s v="IN"/>
    <s v="IN - Marshall"/>
    <n v="46506"/>
    <s v="Doctors NeuroMedical Hospital (Closed)"/>
    <s v="Short Term Acute Care Hospital"/>
    <s v="Bremen"/>
    <n v="8.3000000000000007"/>
    <n v="4.0999999999999996"/>
    <m/>
    <m/>
    <m/>
    <n v="0.55000000000000004"/>
    <m/>
    <m/>
    <n v="5977"/>
    <n v="741"/>
  </r>
  <r>
    <x v="1539"/>
    <n v="150183"/>
    <s v="IN"/>
    <s v="IN - Monroe"/>
    <n v="47403"/>
    <s v="Monroe Hospital"/>
    <s v="Short Term Acute Care Hospital"/>
    <s v="Bloomington"/>
    <n v="11.6"/>
    <n v="3.7"/>
    <n v="49"/>
    <n v="32"/>
    <n v="8"/>
    <n v="0.88"/>
    <n v="32"/>
    <n v="1.78"/>
    <n v="1369"/>
    <n v="1148"/>
  </r>
  <r>
    <x v="1539"/>
    <n v="150051"/>
    <s v="IN"/>
    <s v="IN - Monroe"/>
    <n v="47403"/>
    <s v="IU Health Bloomington Hospital"/>
    <s v="Short Term Acute Care Hospital"/>
    <s v="Bloomington"/>
    <n v="151"/>
    <n v="4.0999999999999996"/>
    <n v="438"/>
    <n v="254"/>
    <n v="16"/>
    <n v="0.88"/>
    <n v="254"/>
    <n v="1.73"/>
    <n v="1370"/>
    <n v="14198"/>
  </r>
  <r>
    <x v="1540"/>
    <n v="150022"/>
    <s v="IN"/>
    <s v="IN - Montgomery"/>
    <n v="47933"/>
    <s v="Franciscan Health Crawfordsville (FKA Franciscan St Elizabeth Health - Crawfordsville)"/>
    <s v="Short Term Acute Care Hospital"/>
    <s v="Crawfordsville"/>
    <n v="8.3000000000000007"/>
    <n v="3.5"/>
    <n v="60"/>
    <n v="29"/>
    <n v="5"/>
    <n v="1"/>
    <n v="29"/>
    <n v="1.3"/>
    <n v="1371"/>
    <n v="856"/>
  </r>
  <r>
    <x v="1541"/>
    <s v="150056*"/>
    <s v="IN"/>
    <s v="IN - Morgan"/>
    <n v="46151"/>
    <s v="IU Health Morgan (FKA Indiana University Health Morgan Hospital &amp; Medical Center)"/>
    <s v="Short Term Acute Care Hospital"/>
    <s v="Martinsville"/>
    <m/>
    <m/>
    <n v="4"/>
    <m/>
    <m/>
    <m/>
    <n v="116"/>
    <m/>
    <n v="1372"/>
    <m/>
  </r>
  <r>
    <x v="1541"/>
    <n v="150057"/>
    <s v="IN"/>
    <s v="IN - Morgan"/>
    <n v="46158"/>
    <s v="Franciscan Health Mooresville (FKA Franciscan St Francis Health - Mooresville)"/>
    <s v="Short Term Acute Care Hospital"/>
    <s v="Mooresville"/>
    <n v="18.899999999999999"/>
    <n v="2.8"/>
    <n v="80"/>
    <n v="83"/>
    <m/>
    <n v="0.12"/>
    <n v="83"/>
    <n v="1.85"/>
    <n v="1373"/>
    <n v="2753"/>
  </r>
  <r>
    <x v="1542"/>
    <n v="150146"/>
    <s v="IN"/>
    <s v="IN - Noble"/>
    <n v="46755"/>
    <s v="Parkview Noble Hospital"/>
    <s v="Short Term Acute Care Hospital"/>
    <s v="Kendallville"/>
    <n v="12.9"/>
    <n v="2.7"/>
    <n v="54"/>
    <n v="31"/>
    <m/>
    <n v="1"/>
    <n v="31"/>
    <n v="1.19"/>
    <n v="1374"/>
    <n v="1865"/>
  </r>
  <r>
    <x v="1543"/>
    <n v="150035"/>
    <s v="IN"/>
    <s v="IN - Porter"/>
    <n v="46383"/>
    <s v="Porter Regional Hospital (FKA Porter Valparaiso Hospital)"/>
    <s v="Short Term Acute Care Hospital"/>
    <s v="Valparaiso"/>
    <n v="148.4"/>
    <n v="5"/>
    <n v="294"/>
    <n v="238"/>
    <n v="32"/>
    <n v="0.03"/>
    <n v="276"/>
    <n v="1.77"/>
    <n v="1376"/>
    <n v="11351"/>
  </r>
  <r>
    <x v="1543"/>
    <s v="150035*"/>
    <s v="IN"/>
    <s v="IN - Porter"/>
    <n v="46368"/>
    <s v="Portage Hospital"/>
    <s v="Short Term Acute Care Hospital"/>
    <s v="Portage"/>
    <m/>
    <m/>
    <m/>
    <m/>
    <m/>
    <m/>
    <n v="25"/>
    <m/>
    <n v="542111"/>
    <m/>
  </r>
  <r>
    <x v="1544"/>
    <n v="150177"/>
    <s v="IN"/>
    <s v="IN - St Joseph"/>
    <n v="46545"/>
    <s v="Unity Medical and Surgical Hospital"/>
    <s v="Short Term Acute Care Hospital"/>
    <s v="Mishawaka"/>
    <n v="3.3"/>
    <n v="2.5"/>
    <n v="19"/>
    <n v="29"/>
    <m/>
    <n v="0.46"/>
    <n v="29"/>
    <n v="3.11"/>
    <n v="1381"/>
    <n v="480"/>
  </r>
  <r>
    <x v="1544"/>
    <n v="150012"/>
    <s v="IN"/>
    <s v="IN - St Joseph"/>
    <n v="46545"/>
    <s v="Mishawaka Medical Center (FKA St Joseph Regional Medical Center)"/>
    <s v="Short Term Acute Care Hospital"/>
    <s v="Mishawaka"/>
    <n v="173"/>
    <n v="4.7"/>
    <n v="410"/>
    <n v="253"/>
    <n v="28"/>
    <n v="0.46"/>
    <n v="253"/>
    <n v="1.8"/>
    <n v="1382"/>
    <n v="14751"/>
  </r>
  <r>
    <x v="1544"/>
    <n v="150058"/>
    <s v="IN"/>
    <s v="IN - St Joseph"/>
    <n v="46601"/>
    <s v="Memorial Hospital of South Bend"/>
    <s v="Short Term Acute Care Hospital"/>
    <s v="South Bend"/>
    <n v="250.7"/>
    <n v="5.2"/>
    <n v="452"/>
    <n v="391"/>
    <n v="46"/>
    <n v="0.46"/>
    <n v="525"/>
    <n v="1.81"/>
    <n v="1383"/>
    <n v="18456"/>
  </r>
  <r>
    <x v="1544"/>
    <s v="150058*"/>
    <s v="IN"/>
    <s v="IN - St Joseph"/>
    <n v="46617"/>
    <s v="Memorial Epworth Center and Epworth Hospital (FKA Madison Center)"/>
    <s v="Short Term Acute Care Hospital"/>
    <s v="South Bend"/>
    <m/>
    <m/>
    <m/>
    <m/>
    <m/>
    <m/>
    <n v="88"/>
    <m/>
    <n v="6435"/>
    <m/>
  </r>
  <r>
    <x v="1544"/>
    <s v="150178 (Closed)"/>
    <s v="IN"/>
    <s v="IN - St Joseph"/>
    <n v="46545"/>
    <s v="Cancer Care Partners (Closed Inpatient Services)"/>
    <s v="Short Term Acute Care Hospital"/>
    <s v="Mishawaka"/>
    <m/>
    <m/>
    <m/>
    <m/>
    <m/>
    <m/>
    <m/>
    <m/>
    <n v="553241"/>
    <m/>
  </r>
  <r>
    <x v="1544"/>
    <m/>
    <s v="IN"/>
    <s v="IN - St Joseph"/>
    <n v="46530"/>
    <s v="Beacon Granger Hospital"/>
    <s v="Short Term Acute Care Hospital"/>
    <s v="Granger"/>
    <m/>
    <m/>
    <m/>
    <m/>
    <m/>
    <m/>
    <m/>
    <m/>
    <n v="966933"/>
    <m/>
  </r>
  <r>
    <x v="1545"/>
    <n v="150097"/>
    <s v="IN"/>
    <s v="IN - Shelby"/>
    <n v="46176"/>
    <s v="Major Health Partners Medical Center (FKA Major Hospital)"/>
    <s v="Short Term Acute Care Hospital"/>
    <s v="Shelbyville"/>
    <n v="27.2"/>
    <n v="3.6"/>
    <n v="144"/>
    <n v="46"/>
    <n v="6"/>
    <n v="0.12"/>
    <n v="46"/>
    <n v="1.33"/>
    <n v="1385"/>
    <n v="2749"/>
  </r>
  <r>
    <x v="1546"/>
    <n v="150102"/>
    <s v="IN"/>
    <s v="IN - Starke"/>
    <n v="46534"/>
    <s v="Starke Hospital"/>
    <s v="Short Term Acute Care Hospital"/>
    <s v="Knox"/>
    <n v="3.4"/>
    <n v="2.5"/>
    <n v="25"/>
    <n v="15"/>
    <n v="1"/>
    <m/>
    <n v="15"/>
    <n v="1.0900000000000001"/>
    <n v="1386"/>
    <n v="486"/>
  </r>
  <r>
    <x v="1547"/>
    <n v="150173"/>
    <s v="IN"/>
    <s v="IN - Tippecanoe"/>
    <n v="47905"/>
    <s v="IU Health Arnett Hospital"/>
    <s v="Short Term Acute Care Hospital"/>
    <s v="Lafayette"/>
    <n v="115.3"/>
    <n v="3.9"/>
    <n v="376"/>
    <n v="185"/>
    <n v="14"/>
    <n v="0.49"/>
    <n v="185"/>
    <n v="1.63"/>
    <n v="1389"/>
    <n v="11473"/>
  </r>
  <r>
    <x v="1547"/>
    <n v="150109"/>
    <s v="IN"/>
    <s v="IN - Tippecanoe"/>
    <n v="47905"/>
    <s v="Franciscan Health Lafayette East (FKA Franciscan St Elizabeth Health - Lafayette East Campus)"/>
    <s v="Short Term Acute Care Hospital"/>
    <s v="Lafayette"/>
    <n v="113"/>
    <n v="4.5"/>
    <n v="268"/>
    <n v="188"/>
    <n v="16"/>
    <n v="0.49"/>
    <n v="188"/>
    <n v="1.96"/>
    <n v="1390"/>
    <n v="10089"/>
  </r>
  <r>
    <x v="1547"/>
    <s v="150109*"/>
    <s v="IN"/>
    <s v="IN - Tippecanoe"/>
    <n v="47904"/>
    <s v="Franciscan Health Lafayette Central (FKA Franciscan St Elizabeth Health - Lafayette Central Campus)"/>
    <s v="Short Term Acute Care Hospital"/>
    <s v="Lafayette"/>
    <m/>
    <m/>
    <n v="1"/>
    <m/>
    <m/>
    <m/>
    <n v="99"/>
    <m/>
    <n v="1391"/>
    <m/>
  </r>
  <r>
    <x v="1548"/>
    <n v="150100"/>
    <s v="IN"/>
    <s v="IN - Vanderburgh"/>
    <n v="47750"/>
    <s v="Ascension St Vincent Evansville (FKA St Marys Medical Center - Evansville Campus)"/>
    <s v="Short Term Acute Care Hospital"/>
    <s v="Evansville"/>
    <n v="151.19999999999999"/>
    <n v="3.8"/>
    <n v="458"/>
    <n v="400"/>
    <n v="60"/>
    <n v="0.39"/>
    <n v="400"/>
    <n v="1.81"/>
    <n v="1393"/>
    <n v="14970"/>
  </r>
  <r>
    <x v="1548"/>
    <n v="150082"/>
    <s v="IN"/>
    <s v="IN - Vanderburgh"/>
    <n v="47747"/>
    <s v="Deaconess Midtown Hospital"/>
    <s v="Short Term Acute Care Hospital"/>
    <s v="Evansville"/>
    <n v="388.3"/>
    <n v="4.5"/>
    <n v="800"/>
    <n v="539"/>
    <n v="67"/>
    <n v="0.39"/>
    <n v="365"/>
    <n v="1.67"/>
    <n v="1394"/>
    <n v="32144"/>
  </r>
  <r>
    <x v="1548"/>
    <s v="150082*"/>
    <s v="IN"/>
    <s v="IN - Vanderburgh"/>
    <n v="47715"/>
    <s v="Deaconess Cross Pointe"/>
    <s v="Short Term Acute Care Hospital"/>
    <s v="Evansville"/>
    <m/>
    <m/>
    <n v="9"/>
    <m/>
    <m/>
    <m/>
    <n v="60"/>
    <m/>
    <n v="542215"/>
    <m/>
  </r>
  <r>
    <x v="1549"/>
    <n v="150046"/>
    <s v="IN"/>
    <s v="IN - Vigo"/>
    <n v="47802"/>
    <s v="Terre Haute Regional Hospital"/>
    <s v="Short Term Acute Care Hospital"/>
    <s v="Terre Haute"/>
    <n v="53.1"/>
    <n v="4"/>
    <n v="100"/>
    <n v="164"/>
    <n v="18"/>
    <n v="0.51"/>
    <n v="164"/>
    <n v="1.62"/>
    <n v="1396"/>
    <n v="5026"/>
  </r>
  <r>
    <x v="1549"/>
    <n v="150023"/>
    <s v="IN"/>
    <s v="IN - Vigo"/>
    <n v="47804"/>
    <s v="Union Hospital"/>
    <s v="Short Term Acute Care Hospital"/>
    <s v="Terre Haute"/>
    <n v="146.80000000000001"/>
    <n v="3.8"/>
    <n v="339"/>
    <n v="233"/>
    <n v="36"/>
    <n v="0.51"/>
    <n v="233"/>
    <n v="1.7"/>
    <n v="1397"/>
    <n v="14958"/>
  </r>
  <r>
    <x v="252"/>
    <n v="150175"/>
    <s v="IN"/>
    <s v="IN - Warrick"/>
    <n v="47630"/>
    <s v="The Heart Hospital at Deaconess Gateway"/>
    <s v="Short Term Acute Care Hospital"/>
    <s v="Newburgh"/>
    <n v="16.5"/>
    <n v="4"/>
    <n v="1"/>
    <n v="24"/>
    <m/>
    <n v="0.39"/>
    <n v="24"/>
    <n v="3.05"/>
    <n v="1400"/>
    <n v="1516"/>
  </r>
  <r>
    <x v="252"/>
    <n v="150149"/>
    <s v="IN"/>
    <s v="IN - Warrick"/>
    <n v="47630"/>
    <s v="The Womens Hospital (AKA Deaconess Womens Hospital)"/>
    <s v="Short Term Acute Care Hospital"/>
    <s v="Newburgh"/>
    <n v="44.8"/>
    <n v="6.1"/>
    <n v="68"/>
    <n v="74"/>
    <n v="24"/>
    <n v="0.39"/>
    <n v="74"/>
    <n v="1.43"/>
    <n v="1402"/>
    <n v="3648"/>
  </r>
  <r>
    <x v="252"/>
    <s v="150082*"/>
    <s v="IN"/>
    <s v="IN - Warrick"/>
    <n v="47630"/>
    <s v="Deaconess Gateway Hospital"/>
    <s v="Short Term Acute Care Hospital"/>
    <s v="Newburgh"/>
    <m/>
    <m/>
    <m/>
    <m/>
    <m/>
    <m/>
    <n v="116"/>
    <m/>
    <n v="542214"/>
    <m/>
  </r>
  <r>
    <x v="252"/>
    <m/>
    <s v="IN"/>
    <s v="IN - Warrick"/>
    <n v="47630"/>
    <s v="Ascension St Vincent Orthopedic Hospital"/>
    <s v="Short Term Acute Care Hospital"/>
    <s v="Newburgh"/>
    <m/>
    <m/>
    <m/>
    <m/>
    <m/>
    <m/>
    <m/>
    <m/>
    <n v="902791"/>
    <m/>
  </r>
  <r>
    <x v="252"/>
    <m/>
    <s v="IN"/>
    <s v="IN - Warrick"/>
    <n v="47630"/>
    <s v="Deaconess Orthopedic and Neuroscience Hospital"/>
    <s v="Short Term Acute Care Hospital"/>
    <s v="Newburgh"/>
    <m/>
    <m/>
    <m/>
    <m/>
    <m/>
    <m/>
    <n v="64"/>
    <m/>
    <n v="963422"/>
    <m/>
  </r>
  <r>
    <x v="1550"/>
    <n v="150048"/>
    <s v="IN"/>
    <s v="IN - Wayne"/>
    <n v="47374"/>
    <s v="Reid Health (FKA Reid Hospital &amp; Health Care Services)"/>
    <s v="Short Term Acute Care Hospital"/>
    <s v="Richmond"/>
    <n v="102.8"/>
    <n v="3.8"/>
    <n v="418"/>
    <n v="163"/>
    <n v="30"/>
    <n v="1"/>
    <n v="163"/>
    <n v="1.69"/>
    <n v="1404"/>
    <n v="10402"/>
  </r>
  <r>
    <x v="1551"/>
    <n v="150075"/>
    <s v="IN"/>
    <s v="IN - Wells"/>
    <n v="46714"/>
    <s v="Bluffton Regional Medical Center"/>
    <s v="Short Term Acute Care Hospital"/>
    <s v="Bluffton"/>
    <n v="9.6999999999999993"/>
    <n v="3.2"/>
    <n v="46"/>
    <n v="55"/>
    <n v="7"/>
    <m/>
    <n v="55"/>
    <n v="1.19"/>
    <n v="1405"/>
    <n v="1215"/>
  </r>
  <r>
    <x v="1552"/>
    <n v="150101"/>
    <s v="IN"/>
    <s v="IN - Whitley"/>
    <n v="46725"/>
    <s v="Parkview Whitley Hospital"/>
    <s v="Short Term Acute Care Hospital"/>
    <s v="Columbia City"/>
    <n v="11.8"/>
    <n v="2.7"/>
    <n v="65"/>
    <n v="30"/>
    <m/>
    <n v="0.32"/>
    <n v="30"/>
    <n v="1.07"/>
    <n v="1407"/>
    <n v="1880"/>
  </r>
  <r>
    <x v="1553"/>
    <n v="160110"/>
    <s v="IA"/>
    <s v="IA - Black Hawk"/>
    <n v="50703"/>
    <s v="Allen Hospital (FKA Allen Memorial Hospital)"/>
    <s v="Short Term Acute Care Hospital"/>
    <s v="Waterloo"/>
    <n v="85.4"/>
    <n v="3.6"/>
    <n v="359"/>
    <n v="187"/>
    <n v="12"/>
    <n v="0.34"/>
    <n v="187"/>
    <n v="1.73"/>
    <n v="1413"/>
    <n v="9149"/>
  </r>
  <r>
    <x v="1553"/>
    <n v="160040"/>
    <s v="IA"/>
    <s v="IA - Black Hawk"/>
    <n v="50613"/>
    <s v="MercyOne Cedar Falls Medical Center (FKA Sartori Memorial Hospital)"/>
    <s v="Short Term Acute Care Hospital"/>
    <s v="Cedar Falls"/>
    <n v="6.5"/>
    <n v="3.4"/>
    <n v="30"/>
    <n v="35"/>
    <n v="5"/>
    <n v="0.34"/>
    <n v="35"/>
    <n v="1.5"/>
    <n v="1414"/>
    <n v="708"/>
  </r>
  <r>
    <x v="1553"/>
    <n v="160067"/>
    <s v="IA"/>
    <s v="IA - Black Hawk"/>
    <n v="50702"/>
    <s v="MercyOne Waterloo Medical Center (FKA Covenant Medical Center)"/>
    <s v="Short Term Acute Care Hospital"/>
    <s v="Waterloo"/>
    <n v="60"/>
    <n v="4.9000000000000004"/>
    <n v="275"/>
    <n v="162"/>
    <n v="12"/>
    <n v="0.34"/>
    <n v="162"/>
    <n v="1.53"/>
    <n v="1415"/>
    <n v="5136"/>
  </r>
  <r>
    <x v="266"/>
    <n v="160005"/>
    <s v="IA"/>
    <s v="IA - Carroll"/>
    <n v="51401"/>
    <s v="St Anthony Regional Hospital"/>
    <s v="Short Term Acute Care Hospital"/>
    <s v="Carroll"/>
    <n v="18.399999999999999"/>
    <n v="4.9000000000000004"/>
    <n v="74"/>
    <n v="49"/>
    <n v="6"/>
    <n v="0.72"/>
    <n v="49"/>
    <n v="1.25"/>
    <n v="1421"/>
    <n v="1513"/>
  </r>
  <r>
    <x v="1554"/>
    <n v="160064"/>
    <s v="IA"/>
    <s v="IA - Cerro Gordo"/>
    <n v="50401"/>
    <s v="MercyOne North Iowa Medical Center (FKA Mercy Medical Center - North Iowa)"/>
    <s v="Short Term Acute Care Hospital"/>
    <s v="Mason City"/>
    <n v="115"/>
    <n v="4"/>
    <n v="363"/>
    <n v="205"/>
    <n v="18"/>
    <n v="1"/>
    <n v="205"/>
    <n v="1.88"/>
    <n v="1424"/>
    <n v="10900"/>
  </r>
  <r>
    <x v="1555"/>
    <n v="160112"/>
    <s v="IA"/>
    <s v="IA - Clay"/>
    <n v="51301"/>
    <s v="Spencer Hospital"/>
    <s v="Short Term Acute Care Hospital"/>
    <s v="Spencer"/>
    <n v="17.7"/>
    <n v="3.8"/>
    <n v="91"/>
    <n v="49"/>
    <m/>
    <n v="1"/>
    <n v="49"/>
    <n v="1.55"/>
    <n v="1428"/>
    <n v="1851"/>
  </r>
  <r>
    <x v="272"/>
    <n v="160080"/>
    <s v="IA"/>
    <s v="IA - Clinton"/>
    <n v="52732"/>
    <s v="MercyOne Clinton Medical Center (FKA Mercy Medical Center - Clinton)"/>
    <s v="Short Term Acute Care Hospital"/>
    <s v="Clinton"/>
    <n v="25.5"/>
    <n v="2.8"/>
    <n v="120"/>
    <n v="107"/>
    <n v="10"/>
    <n v="0.69"/>
    <n v="107"/>
    <n v="1.48"/>
    <n v="1432"/>
    <n v="3515"/>
  </r>
  <r>
    <x v="1556"/>
    <n v="160057"/>
    <s v="IA"/>
    <s v="IA - Des Moines"/>
    <n v="52655"/>
    <s v="Great River Medical Center"/>
    <s v="Short Term Acute Care Hospital"/>
    <s v="West Burlington"/>
    <n v="62.8"/>
    <n v="3.1"/>
    <n v="212"/>
    <n v="136"/>
    <n v="12"/>
    <n v="1"/>
    <n v="136"/>
    <n v="1.6"/>
    <n v="1438"/>
    <n v="7914"/>
  </r>
  <r>
    <x v="1557"/>
    <n v="160124"/>
    <s v="IA"/>
    <s v="IA - Dickinson"/>
    <n v="51360"/>
    <s v="Lakes Regional Healthcare"/>
    <s v="Short Term Acute Care Hospital"/>
    <s v="Spirit Lake"/>
    <n v="8"/>
    <n v="3.4"/>
    <n v="40"/>
    <n v="44"/>
    <m/>
    <n v="1"/>
    <n v="44"/>
    <n v="1.4"/>
    <n v="1439"/>
    <n v="988"/>
  </r>
  <r>
    <x v="278"/>
    <n v="160117"/>
    <s v="IA"/>
    <s v="IA - Dubuque"/>
    <n v="52001"/>
    <s v="UnityPoint Health Dubuque - Finley Hospital"/>
    <s v="Short Term Acute Care Hospital"/>
    <s v="Dubuque"/>
    <n v="39.299999999999997"/>
    <n v="3.9"/>
    <n v="172"/>
    <n v="87"/>
    <n v="10"/>
    <n v="0.49"/>
    <n v="87"/>
    <n v="1.5"/>
    <n v="1440"/>
    <n v="4141"/>
  </r>
  <r>
    <x v="278"/>
    <n v="160069"/>
    <s v="IA"/>
    <s v="IA - Dubuque"/>
    <n v="52001"/>
    <s v="MercyOne Dubuque Medical Center (FKA Mercy Medical Center - Dubuque)"/>
    <s v="Short Term Acute Care Hospital"/>
    <s v="Dubuque"/>
    <n v="81.3"/>
    <n v="4.0999999999999996"/>
    <n v="194"/>
    <n v="150"/>
    <n v="8"/>
    <n v="0.49"/>
    <n v="150"/>
    <n v="1.61"/>
    <n v="1441"/>
    <n v="7765"/>
  </r>
  <r>
    <x v="296"/>
    <m/>
    <s v="IA"/>
    <s v="IA - Jackson"/>
    <n v="52060"/>
    <s v="Jackson County Regional Health Center on 17th St (Opening Late 2020)"/>
    <s v="Short Term Acute Care Hospital"/>
    <s v="Maquoketa"/>
    <m/>
    <m/>
    <m/>
    <m/>
    <m/>
    <m/>
    <m/>
    <m/>
    <n v="1010464"/>
    <m/>
  </r>
  <r>
    <x v="1558"/>
    <n v="160032"/>
    <s v="IA"/>
    <s v="IA - Jasper"/>
    <n v="50208"/>
    <s v="MercyOne Newton Medical Center (FKA Skiff Medical Center)"/>
    <s v="Short Term Acute Care Hospital"/>
    <s v="Newton"/>
    <n v="7.9"/>
    <n v="4.8"/>
    <n v="63"/>
    <n v="48"/>
    <m/>
    <n v="0.32"/>
    <n v="48"/>
    <n v="1.22"/>
    <n v="1459"/>
    <n v="676"/>
  </r>
  <r>
    <x v="1559"/>
    <n v="160058"/>
    <s v="IA"/>
    <s v="IA - Johnson"/>
    <n v="52242"/>
    <s v="University of Iowa Hospitals &amp; Clinics"/>
    <s v="Short Term Acute Care Hospital"/>
    <s v="Iowa City"/>
    <n v="539.9"/>
    <n v="6.6"/>
    <n v="1846"/>
    <n v="716"/>
    <m/>
    <n v="0.84"/>
    <n v="716"/>
    <n v="2.25"/>
    <n v="1461"/>
    <n v="32758"/>
  </r>
  <r>
    <x v="1559"/>
    <n v="160029"/>
    <s v="IA"/>
    <s v="IA - Johnson"/>
    <n v="52245"/>
    <s v="Mercy Hospital - Iowa City (AKA Mercy Iowa City)"/>
    <s v="Short Term Acute Care Hospital"/>
    <s v="Iowa City"/>
    <n v="60.7"/>
    <n v="3.5"/>
    <n v="254"/>
    <n v="218"/>
    <n v="18"/>
    <n v="0.84"/>
    <n v="218"/>
    <n v="1.73"/>
    <n v="1463"/>
    <n v="7143"/>
  </r>
  <r>
    <x v="1559"/>
    <m/>
    <s v="IA"/>
    <s v="IA - Johnson"/>
    <n v="52241"/>
    <s v="Iowa Medical and Classification Center"/>
    <s v="Short Term Acute Care Hospital"/>
    <s v="Coralville"/>
    <m/>
    <m/>
    <n v="1"/>
    <m/>
    <m/>
    <m/>
    <n v="28"/>
    <m/>
    <n v="581835"/>
    <m/>
  </r>
  <r>
    <x v="1560"/>
    <n v="160122"/>
    <s v="IA"/>
    <s v="IA - Lee"/>
    <n v="52627"/>
    <s v="Fort Madison Community Hospital"/>
    <s v="Short Term Acute Care Hospital"/>
    <s v="Fort Madison"/>
    <n v="7"/>
    <n v="3.4"/>
    <n v="68"/>
    <n v="50"/>
    <n v="3"/>
    <n v="0.45"/>
    <n v="50"/>
    <n v="1.48"/>
    <n v="1466"/>
    <n v="963"/>
  </r>
  <r>
    <x v="1560"/>
    <n v="160008"/>
    <s v="IA"/>
    <s v="IA - Lee"/>
    <n v="52632"/>
    <s v="UnityPoint Health Keokuk (FKA Keokuk Area Hospital)"/>
    <s v="Short Term Acute Care Hospital"/>
    <s v="Keokuk"/>
    <n v="4.4000000000000004"/>
    <n v="3"/>
    <n v="53"/>
    <n v="49"/>
    <m/>
    <n v="0.45"/>
    <n v="49"/>
    <n v="1.04"/>
    <n v="1467"/>
    <n v="538"/>
  </r>
  <r>
    <x v="1561"/>
    <n v="160045"/>
    <s v="IA"/>
    <s v="IA - Linn"/>
    <n v="52402"/>
    <s v="UnityPoint Health Cedar Rapids - St Lukes Hospital (FKA St Lukes Hospital)"/>
    <s v="Short Term Acute Care Hospital"/>
    <s v="Cedar Rapids"/>
    <n v="170.9"/>
    <n v="4.5999999999999996"/>
    <n v="475"/>
    <n v="301"/>
    <n v="16"/>
    <n v="0.42"/>
    <n v="301"/>
    <n v="1.77"/>
    <n v="1468"/>
    <n v="14615"/>
  </r>
  <r>
    <x v="1561"/>
    <n v="160079"/>
    <s v="IA"/>
    <s v="IA - Linn"/>
    <n v="52403"/>
    <s v="Mercy Medical Center - Cedar Rapids"/>
    <s v="Short Term Acute Care Hospital"/>
    <s v="Cedar Rapids"/>
    <n v="86.7"/>
    <n v="3.8"/>
    <n v="425"/>
    <n v="194"/>
    <n v="20"/>
    <n v="0.42"/>
    <n v="194"/>
    <n v="1.6"/>
    <n v="1469"/>
    <n v="8825"/>
  </r>
  <r>
    <x v="1561"/>
    <m/>
    <s v="IA"/>
    <s v="IA - Linn"/>
    <n v="52402"/>
    <s v="UnityPoint Health Cedar Rapids - St Lukes Continuing Care Hospital (Closed)"/>
    <s v="Short Term Acute Care Hospital"/>
    <s v="Cedar Rapids"/>
    <n v="10.9"/>
    <n v="28.2"/>
    <m/>
    <m/>
    <m/>
    <n v="0.42"/>
    <m/>
    <m/>
    <n v="560456"/>
    <n v="141"/>
  </r>
  <r>
    <x v="1562"/>
    <n v="160001"/>
    <s v="IA"/>
    <s v="IA - Marshall"/>
    <n v="50158"/>
    <s v="UnityPoint Health - Marshalltown"/>
    <s v="Short Term Acute Care Hospital"/>
    <s v="Marshalltown"/>
    <n v="12.5"/>
    <n v="3.6"/>
    <n v="110"/>
    <n v="41"/>
    <m/>
    <n v="1"/>
    <n v="41"/>
    <n v="1.51"/>
    <n v="1476"/>
    <n v="1702"/>
  </r>
  <r>
    <x v="1563"/>
    <n v="160013"/>
    <s v="IA"/>
    <s v="IA - Muscatine"/>
    <n v="52761"/>
    <s v="Trinity Muscatine"/>
    <s v="Short Term Acute Care Hospital"/>
    <s v="Muscatine"/>
    <n v="10"/>
    <n v="3.1"/>
    <n v="75"/>
    <n v="45"/>
    <n v="5"/>
    <n v="1"/>
    <n v="45"/>
    <n v="1.28"/>
    <n v="1480"/>
    <n v="1360"/>
  </r>
  <r>
    <x v="1564"/>
    <m/>
    <s v="IA"/>
    <s v="IA - Polk"/>
    <n v="50316"/>
    <s v="Iowa Lutheran Hospital"/>
    <s v="Short Term Acute Care Hospital"/>
    <s v="Des Moines"/>
    <n v="103"/>
    <n v="4.8"/>
    <n v="123"/>
    <n v="161"/>
    <n v="10"/>
    <n v="0.32"/>
    <n v="161"/>
    <n v="1.47"/>
    <n v="1488"/>
    <n v="8059"/>
  </r>
  <r>
    <x v="1564"/>
    <n v="160101"/>
    <s v="IA"/>
    <s v="IA - Polk"/>
    <n v="50314"/>
    <s v="Broadlawns Medical Center"/>
    <s v="Short Term Acute Care Hospital"/>
    <s v="Des Moines"/>
    <n v="63.3"/>
    <n v="7.2"/>
    <n v="234"/>
    <n v="117"/>
    <n v="6"/>
    <n v="0.32"/>
    <n v="117"/>
    <n v="1.35"/>
    <n v="1489"/>
    <n v="3223"/>
  </r>
  <r>
    <x v="1564"/>
    <n v="160082"/>
    <s v="IA"/>
    <s v="IA - Polk"/>
    <n v="50309"/>
    <s v="Iowa Methodist Medical Center"/>
    <s v="Short Term Acute Care Hospital"/>
    <s v="Des Moines"/>
    <n v="341"/>
    <n v="4.3"/>
    <n v="836"/>
    <n v="455"/>
    <n v="36"/>
    <n v="0.32"/>
    <n v="455"/>
    <n v="1.87"/>
    <n v="1490"/>
    <n v="31356"/>
  </r>
  <r>
    <x v="1564"/>
    <n v="160083"/>
    <s v="IA"/>
    <s v="IA - Polk"/>
    <n v="50314"/>
    <s v="MercyOne Des Moines Medical Center (FKA Mercy Medical Center - Des Moines)"/>
    <s v="Short Term Acute Care Hospital"/>
    <s v="Des Moines"/>
    <n v="404.7"/>
    <n v="4.7"/>
    <n v="1048"/>
    <n v="565"/>
    <n v="32"/>
    <n v="0.32"/>
    <n v="656"/>
    <n v="2.06"/>
    <n v="1491"/>
    <n v="32467"/>
  </r>
  <r>
    <x v="1564"/>
    <s v="160083*"/>
    <s v="IA"/>
    <s v="IA - Polk"/>
    <n v="50266"/>
    <s v="MercyOne West Des Moines Medical Center (FKA Mercy Medical Center - West Lakes)"/>
    <s v="Short Term Acute Care Hospital"/>
    <s v="West Des Moines"/>
    <m/>
    <m/>
    <n v="5"/>
    <m/>
    <m/>
    <m/>
    <n v="146"/>
    <m/>
    <n v="274199"/>
    <m/>
  </r>
  <r>
    <x v="1564"/>
    <s v="160082*"/>
    <s v="IA"/>
    <s v="IA - Polk"/>
    <n v="50266"/>
    <s v="Methodist West Hospital"/>
    <s v="Short Term Acute Care Hospital"/>
    <s v="West Des Moines"/>
    <m/>
    <m/>
    <m/>
    <m/>
    <m/>
    <m/>
    <n v="95"/>
    <m/>
    <n v="550188"/>
    <m/>
  </r>
  <r>
    <x v="1565"/>
    <n v="160047"/>
    <s v="IA"/>
    <s v="IA - Pottawattamie"/>
    <n v="51503"/>
    <s v="Methodist Jennie Edmundson Hospital"/>
    <s v="Short Term Acute Care Hospital"/>
    <s v="Council Bluffs"/>
    <n v="58.5"/>
    <n v="3.6"/>
    <n v="147"/>
    <n v="110"/>
    <n v="13"/>
    <n v="0.15"/>
    <n v="110"/>
    <n v="1.49"/>
    <n v="1493"/>
    <n v="6318"/>
  </r>
  <r>
    <x v="1565"/>
    <n v="160028"/>
    <s v="IA"/>
    <s v="IA - Pottawattamie"/>
    <n v="51503"/>
    <s v="CHI Health Mercy Council Bluffs (FKA Alegent Health Mercy Hospital Council Bluffs)"/>
    <s v="Short Term Acute Care Hospital"/>
    <s v="Council Bluffs"/>
    <n v="59.2"/>
    <n v="3.7"/>
    <n v="89"/>
    <n v="145"/>
    <n v="16"/>
    <n v="0.15"/>
    <n v="145"/>
    <n v="1.53"/>
    <n v="1494"/>
    <n v="6014"/>
  </r>
  <r>
    <x v="1566"/>
    <n v="160147"/>
    <s v="IA"/>
    <s v="IA - Poweshiek"/>
    <n v="50112"/>
    <s v="UnityPoint Health Grinnell - Grinnell Regional Medical Center"/>
    <s v="Short Term Acute Care Hospital"/>
    <s v="Grinnell"/>
    <n v="11.5"/>
    <n v="4.0999999999999996"/>
    <n v="61"/>
    <n v="49"/>
    <n v="5"/>
    <m/>
    <n v="49"/>
    <n v="1.3"/>
    <n v="1495"/>
    <n v="1108"/>
  </r>
  <r>
    <x v="1567"/>
    <n v="160033"/>
    <s v="IA"/>
    <s v="IA - Scott"/>
    <n v="52803"/>
    <s v="Genesis Medical Center - East Rusholme Street"/>
    <s v="Short Term Acute Care Hospital"/>
    <s v="Davenport"/>
    <n v="156.6"/>
    <n v="3.9"/>
    <n v="415"/>
    <n v="295"/>
    <n v="29"/>
    <n v="0.27"/>
    <n v="295"/>
    <n v="1.77"/>
    <n v="1497"/>
    <n v="15494"/>
  </r>
  <r>
    <x v="1567"/>
    <n v="160104"/>
    <s v="IA"/>
    <s v="IA - Scott"/>
    <n v="52722"/>
    <s v="Trinity Bettendorf"/>
    <s v="Short Term Acute Care Hospital"/>
    <s v="Bettendorf"/>
    <n v="35.299999999999997"/>
    <n v="3.1"/>
    <n v="111"/>
    <n v="87"/>
    <n v="10"/>
    <n v="0.27"/>
    <n v="87"/>
    <n v="1.84"/>
    <n v="1498"/>
    <n v="4659"/>
  </r>
  <r>
    <x v="1567"/>
    <s v="160033*"/>
    <s v="IA"/>
    <s v="IA - Scott"/>
    <n v="52804"/>
    <s v="Genesis Medical Center - West Central Park"/>
    <s v="Short Term Acute Care Hospital"/>
    <s v="Davenport"/>
    <m/>
    <m/>
    <m/>
    <m/>
    <m/>
    <m/>
    <n v="64"/>
    <m/>
    <n v="541885"/>
    <m/>
  </r>
  <r>
    <x v="320"/>
    <n v="160030"/>
    <s v="IA"/>
    <s v="IA - Story"/>
    <n v="50010"/>
    <s v="Mary Greeley Medical Center"/>
    <s v="Short Term Acute Care Hospital"/>
    <s v="Ames"/>
    <n v="78"/>
    <n v="3.8"/>
    <n v="238"/>
    <n v="158"/>
    <n v="14"/>
    <n v="0.59"/>
    <n v="158"/>
    <n v="1.49"/>
    <n v="1505"/>
    <n v="8130"/>
  </r>
  <r>
    <x v="1568"/>
    <n v="160089"/>
    <s v="IA"/>
    <s v="IA - Wapello"/>
    <n v="52501"/>
    <s v="Ottumwa Regional Health Center"/>
    <s v="Short Term Acute Care Hospital"/>
    <s v="Ottumwa"/>
    <n v="19.5"/>
    <n v="3.7"/>
    <n v="102"/>
    <n v="88"/>
    <n v="11"/>
    <n v="1"/>
    <n v="88"/>
    <n v="1.53"/>
    <n v="1508"/>
    <n v="2219"/>
  </r>
  <r>
    <x v="1569"/>
    <n v="160016"/>
    <s v="IA"/>
    <s v="IA - Webster"/>
    <n v="50501"/>
    <s v="Trinity Regional Medical Center"/>
    <s v="Short Term Acute Care Hospital"/>
    <s v="Fort Dodge"/>
    <n v="31.2"/>
    <n v="3.8"/>
    <n v="143"/>
    <n v="46"/>
    <n v="8"/>
    <n v="1"/>
    <n v="46"/>
    <n v="1.56"/>
    <n v="1511"/>
    <n v="3300"/>
  </r>
  <r>
    <x v="1570"/>
    <n v="160153"/>
    <s v="IA"/>
    <s v="IA - Woodbury"/>
    <n v="51101"/>
    <s v="MercyOne Siouxland Medical Center (FKA Mercy Medical Center - Sioux City)"/>
    <s v="Short Term Acute Care Hospital"/>
    <s v="Sioux City"/>
    <n v="113.2"/>
    <n v="5.0999999999999996"/>
    <n v="152"/>
    <n v="157"/>
    <n v="19"/>
    <n v="0.35"/>
    <n v="157"/>
    <n v="1.72"/>
    <n v="1513"/>
    <n v="8191"/>
  </r>
  <r>
    <x v="1570"/>
    <n v="160146"/>
    <s v="IA"/>
    <s v="IA - Woodbury"/>
    <n v="51104"/>
    <s v="UnityPoint Health Sioux City - St Lukes Regional Medical Center"/>
    <s v="Short Term Acute Care Hospital"/>
    <s v="Sioux City"/>
    <n v="92.2"/>
    <n v="4.2"/>
    <n v="309"/>
    <n v="159"/>
    <n v="15"/>
    <n v="0.35"/>
    <n v="159"/>
    <n v="1.64"/>
    <n v="1514"/>
    <n v="8845"/>
  </r>
  <r>
    <x v="331"/>
    <n v="170191"/>
    <s v="KS"/>
    <s v="KS - Barton"/>
    <n v="67530"/>
    <s v="The University of Kansas Health System - Great Bend Campus"/>
    <s v="Short Term Acute Care Hospital"/>
    <s v="Great Bend"/>
    <n v="11.3"/>
    <n v="4"/>
    <n v="74"/>
    <n v="33"/>
    <n v="4"/>
    <n v="0.33"/>
    <n v="33"/>
    <n v="1.58"/>
    <n v="1522"/>
    <n v="1302"/>
  </r>
  <r>
    <x v="331"/>
    <s v="170033 (Closed)"/>
    <s v="KS"/>
    <s v="KS - Barton"/>
    <n v="67530"/>
    <s v="St Rose Health Center (Closed - No Longer Offering Inpatient Services)"/>
    <s v="Short Term Acute Care Hospital"/>
    <s v="Great Bend"/>
    <n v="8.1999999999999993"/>
    <n v="3.7"/>
    <m/>
    <m/>
    <m/>
    <n v="0.33"/>
    <m/>
    <m/>
    <n v="1523"/>
    <n v="947"/>
  </r>
  <r>
    <x v="1571"/>
    <s v="170058 (Closed)"/>
    <s v="KS"/>
    <s v="KS - Bourbon"/>
    <n v="66701"/>
    <s v="Mercy Hospital Fort Scott (Closed)"/>
    <s v="Short Term Acute Care Hospital"/>
    <s v="Fort Scott"/>
    <n v="4.5"/>
    <n v="3.2"/>
    <m/>
    <m/>
    <m/>
    <m/>
    <m/>
    <n v="1.29"/>
    <n v="1524"/>
    <n v="610"/>
  </r>
  <r>
    <x v="1572"/>
    <n v="170197"/>
    <s v="KS"/>
    <s v="KS - Butler"/>
    <n v="67002"/>
    <s v="Kansas Medical Center"/>
    <s v="Short Term Acute Care Hospital"/>
    <s v="Andover"/>
    <n v="26.7"/>
    <n v="4"/>
    <n v="91"/>
    <n v="55"/>
    <n v="10"/>
    <n v="0.27"/>
    <n v="55"/>
    <n v="2.17"/>
    <n v="1526"/>
    <n v="2475"/>
  </r>
  <r>
    <x v="1572"/>
    <n v="170017"/>
    <s v="KS"/>
    <s v="KS - Butler"/>
    <n v="67042"/>
    <s v="Susan B Allen Memorial Hospital"/>
    <s v="Short Term Acute Care Hospital"/>
    <s v="El Dorado"/>
    <n v="17.5"/>
    <n v="4.7"/>
    <n v="75"/>
    <n v="53"/>
    <n v="6"/>
    <n v="0.27"/>
    <n v="53"/>
    <n v="1.32"/>
    <n v="1527"/>
    <n v="1466"/>
  </r>
  <r>
    <x v="334"/>
    <n v="170203"/>
    <s v="KS"/>
    <s v="KS - Cherokee"/>
    <n v="66739"/>
    <s v="Premier Surgical Institute"/>
    <s v="Short Term Acute Care Hospital"/>
    <s v="Galena"/>
    <n v="8.6999999999999993"/>
    <n v="2.2999999999999998"/>
    <n v="31"/>
    <n v="36"/>
    <m/>
    <m/>
    <n v="36"/>
    <n v="2.93"/>
    <n v="776981"/>
    <n v="1403"/>
  </r>
  <r>
    <x v="341"/>
    <n v="170150"/>
    <s v="KS"/>
    <s v="KS - Cowley"/>
    <n v="67005"/>
    <s v="South Central Kansas Regional Medical Center"/>
    <s v="Short Term Acute Care Hospital"/>
    <s v="Arkansas City"/>
    <n v="6.8"/>
    <n v="2.4"/>
    <n v="36"/>
    <n v="32"/>
    <n v="2"/>
    <n v="0.55000000000000004"/>
    <n v="32"/>
    <n v="1.17"/>
    <n v="1535"/>
    <n v="1089"/>
  </r>
  <r>
    <x v="342"/>
    <n v="170006"/>
    <s v="KS"/>
    <s v="KS - Crawford"/>
    <n v="66762"/>
    <s v="Ascension Via Christi Hospital in Pittsburg"/>
    <s v="Short Term Acute Care Hospital"/>
    <s v="Pittsburg"/>
    <n v="24.7"/>
    <n v="3.2"/>
    <n v="110"/>
    <n v="66"/>
    <n v="12"/>
    <n v="0.75"/>
    <n v="66"/>
    <n v="1.51"/>
    <n v="1538"/>
    <n v="3215"/>
  </r>
  <r>
    <x v="1573"/>
    <n v="170137"/>
    <s v="KS"/>
    <s v="KS - Douglas"/>
    <n v="66044"/>
    <s v="Lawrence Memorial Hospital (AKA LMH Health)"/>
    <s v="Short Term Acute Care Hospital"/>
    <s v="Lawrence"/>
    <n v="50.3"/>
    <n v="3.2"/>
    <n v="337"/>
    <n v="110"/>
    <n v="10"/>
    <n v="1"/>
    <n v="110"/>
    <n v="1.53"/>
    <n v="1541"/>
    <n v="6431"/>
  </r>
  <r>
    <x v="1574"/>
    <n v="170013"/>
    <s v="KS"/>
    <s v="KS - Ellis"/>
    <n v="67601"/>
    <s v="The University of Kansas Health System - HaysMed (AKA Hays Medical Center)"/>
    <s v="Short Term Acute Care Hospital"/>
    <s v="Hays"/>
    <n v="55.2"/>
    <n v="4.4000000000000004"/>
    <n v="144"/>
    <n v="149"/>
    <n v="34"/>
    <n v="1"/>
    <n v="149"/>
    <n v="1.78"/>
    <n v="1543"/>
    <n v="4929"/>
  </r>
  <r>
    <x v="1575"/>
    <n v="170023"/>
    <s v="KS"/>
    <s v="KS - Finney"/>
    <n v="67846"/>
    <s v="St Catherine Hospital"/>
    <s v="Short Term Acute Care Hospital"/>
    <s v="Garden City"/>
    <n v="37.200000000000003"/>
    <n v="3.9"/>
    <n v="118"/>
    <n v="90"/>
    <n v="8"/>
    <n v="0.75"/>
    <n v="90"/>
    <n v="1.42"/>
    <n v="1545"/>
    <n v="3702"/>
  </r>
  <r>
    <x v="1576"/>
    <n v="170175"/>
    <s v="KS"/>
    <s v="KS - Ford"/>
    <n v="67801"/>
    <s v="Western Plains Medical Complex"/>
    <s v="Short Term Acute Care Hospital"/>
    <s v="Dodge City"/>
    <n v="11.3"/>
    <n v="2.9"/>
    <n v="65"/>
    <n v="60"/>
    <n v="10"/>
    <n v="1"/>
    <n v="60"/>
    <n v="1.47"/>
    <n v="1546"/>
    <n v="1738"/>
  </r>
  <r>
    <x v="1577"/>
    <n v="170014"/>
    <s v="KS"/>
    <s v="KS - Franklin"/>
    <n v="66067"/>
    <s v="AdventHealth Ottawa (FKA Ransom Memorial Hospital)"/>
    <s v="Short Term Acute Care Hospital"/>
    <s v="Ottawa"/>
    <n v="9.1999999999999993"/>
    <n v="2.9"/>
    <n v="73"/>
    <n v="47"/>
    <n v="5"/>
    <n v="1"/>
    <n v="44"/>
    <n v="1.44"/>
    <n v="1547"/>
    <n v="1257"/>
  </r>
  <r>
    <x v="1578"/>
    <n v="170074"/>
    <s v="KS"/>
    <s v="KS - Geary"/>
    <n v="66441"/>
    <s v="Geary Community Hospital"/>
    <s v="Short Term Acute Care Hospital"/>
    <s v="Junction City"/>
    <n v="7.9"/>
    <n v="3.4"/>
    <n v="58"/>
    <n v="49"/>
    <n v="6"/>
    <n v="0.3"/>
    <n v="49"/>
    <n v="1.24"/>
    <n v="1548"/>
    <n v="979"/>
  </r>
  <r>
    <x v="1579"/>
    <n v="170110"/>
    <s v="KS"/>
    <s v="KS - Grant"/>
    <n v="67880"/>
    <s v="Bob Wilson Memorial Grant County Hospital"/>
    <s v="Short Term Acute Care Hospital"/>
    <s v="Ulysses"/>
    <n v="6.3"/>
    <n v="8.4"/>
    <n v="10"/>
    <n v="26"/>
    <m/>
    <m/>
    <n v="26"/>
    <n v="1.02"/>
    <n v="1551"/>
    <n v="278"/>
  </r>
  <r>
    <x v="1580"/>
    <n v="170103"/>
    <s v="KS"/>
    <s v="KS - Harvey"/>
    <n v="67114"/>
    <s v="Newton Medical Center"/>
    <s v="Short Term Acute Care Hospital"/>
    <s v="Newton"/>
    <n v="24.7"/>
    <n v="4.0999999999999996"/>
    <n v="138"/>
    <n v="74"/>
    <n v="6"/>
    <n v="0.27"/>
    <n v="74"/>
    <n v="1.49"/>
    <n v="1556"/>
    <n v="2446"/>
  </r>
  <r>
    <x v="1581"/>
    <n v="170194"/>
    <s v="KS"/>
    <s v="KS - Johnson"/>
    <n v="66211"/>
    <s v="Doctors Hospital Llc"/>
    <s v="Short Term Acute Care Hospital"/>
    <s v="Leawood"/>
    <n v="1.3"/>
    <n v="2.7"/>
    <n v="16"/>
    <n v="9"/>
    <m/>
    <n v="0.1"/>
    <n v="9"/>
    <n v="3.89"/>
    <n v="1561"/>
    <n v="180"/>
  </r>
  <r>
    <x v="1581"/>
    <m/>
    <s v="KS"/>
    <s v="KS - Johnson"/>
    <n v="66211"/>
    <s v="The University of Kansas Health - Indian Creek Campus (FKA Heartland Surgical Specialty Hospital)"/>
    <s v="Short Term Acute Care Hospital"/>
    <s v="Overland Park"/>
    <m/>
    <m/>
    <m/>
    <n v="1"/>
    <m/>
    <n v="0.1"/>
    <n v="1"/>
    <m/>
    <n v="1562"/>
    <m/>
  </r>
  <r>
    <x v="1581"/>
    <n v="170188"/>
    <s v="KS"/>
    <s v="KS - Johnson"/>
    <n v="66211"/>
    <s v="Kansas City Orthopaedic Institute"/>
    <s v="Short Term Acute Care Hospital"/>
    <s v="Leawood"/>
    <n v="5"/>
    <n v="1.9"/>
    <n v="61"/>
    <n v="12"/>
    <m/>
    <n v="0.1"/>
    <n v="12"/>
    <n v="2.17"/>
    <n v="1563"/>
    <n v="944"/>
  </r>
  <r>
    <x v="1581"/>
    <n v="170176"/>
    <s v="KS"/>
    <s v="KS - Johnson"/>
    <n v="66215"/>
    <s v="Overland Park Regional Medical Center"/>
    <s v="Short Term Acute Care Hospital"/>
    <s v="Overland Park"/>
    <n v="155.80000000000001"/>
    <n v="5"/>
    <n v="366"/>
    <n v="270"/>
    <n v="25"/>
    <n v="0.1"/>
    <n v="270"/>
    <n v="1.64"/>
    <n v="1564"/>
    <n v="12115"/>
  </r>
  <r>
    <x v="1581"/>
    <n v="170182"/>
    <s v="KS"/>
    <s v="KS - Johnson"/>
    <n v="66209"/>
    <s v="Menorah Medical Center"/>
    <s v="Short Term Acute Care Hospital"/>
    <s v="Overland Park"/>
    <n v="94"/>
    <n v="4.0999999999999996"/>
    <n v="259"/>
    <n v="153"/>
    <n v="16"/>
    <n v="0.1"/>
    <n v="153"/>
    <n v="1.83"/>
    <n v="1566"/>
    <n v="8593"/>
  </r>
  <r>
    <x v="1581"/>
    <n v="170185"/>
    <s v="KS"/>
    <s v="KS - Johnson"/>
    <n v="66213"/>
    <s v="Saint Lukes South Hospital"/>
    <s v="Short Term Acute Care Hospital"/>
    <s v="Overland Park"/>
    <n v="48.1"/>
    <n v="3.5"/>
    <n v="185"/>
    <n v="83"/>
    <n v="8"/>
    <n v="0.1"/>
    <n v="83"/>
    <n v="1.46"/>
    <n v="1567"/>
    <n v="5499"/>
  </r>
  <r>
    <x v="1581"/>
    <n v="170104"/>
    <s v="KS"/>
    <s v="KS - Johnson"/>
    <n v="66204"/>
    <s v="AdventHealth Shawnee Mission (FKA Shawnee Mission Medical Center)"/>
    <s v="Short Term Acute Care Hospital"/>
    <s v="Shawnee Mission"/>
    <n v="208.7"/>
    <n v="4.5"/>
    <n v="557"/>
    <n v="323"/>
    <n v="28"/>
    <n v="0.1"/>
    <n v="323"/>
    <n v="1.67"/>
    <n v="1568"/>
    <n v="19408"/>
  </r>
  <r>
    <x v="1581"/>
    <n v="170049"/>
    <s v="KS"/>
    <s v="KS - Johnson"/>
    <n v="66061"/>
    <s v="Olathe Medical Center"/>
    <s v="Short Term Acute Care Hospital"/>
    <s v="Olathe"/>
    <n v="102.8"/>
    <n v="3.8"/>
    <n v="314"/>
    <n v="254"/>
    <n v="20"/>
    <n v="0.1"/>
    <n v="254"/>
    <n v="1.76"/>
    <n v="1569"/>
    <n v="10441"/>
  </r>
  <r>
    <x v="1581"/>
    <n v="170199"/>
    <s v="KS"/>
    <s v="KS - Johnson"/>
    <n v="66219"/>
    <s v="MISH Hospital and Clinics (AKA Institute for Advanced Bariatric Surgery)"/>
    <s v="Short Term Acute Care Hospital"/>
    <s v="Lenexa"/>
    <n v="0.4"/>
    <n v="3.4"/>
    <n v="10"/>
    <n v="9"/>
    <m/>
    <n v="0.1"/>
    <n v="9"/>
    <n v="1.58"/>
    <n v="552476"/>
    <n v="43"/>
  </r>
  <r>
    <x v="1581"/>
    <n v="170201"/>
    <s v="KS"/>
    <s v="KS - Johnson"/>
    <n v="66213"/>
    <s v="Pinnacle Regional Hospital - Overland Park"/>
    <s v="Short Term Acute Care Hospital"/>
    <s v="Overland Park"/>
    <n v="1.4"/>
    <n v="0.3"/>
    <n v="22"/>
    <n v="4"/>
    <m/>
    <n v="0.1"/>
    <n v="4"/>
    <n v="1.9"/>
    <n v="582172"/>
    <n v="1580"/>
  </r>
  <r>
    <x v="1581"/>
    <m/>
    <s v="KS"/>
    <s v="KS - Johnson"/>
    <n v="66209"/>
    <s v="Saint Lukes Community Hospital - Leawood"/>
    <s v="Short Term Acute Care Hospital"/>
    <s v="Leawood"/>
    <m/>
    <m/>
    <n v="1"/>
    <m/>
    <m/>
    <m/>
    <n v="8"/>
    <m/>
    <n v="966631"/>
    <m/>
  </r>
  <r>
    <x v="1581"/>
    <m/>
    <s v="KS"/>
    <s v="KS - Johnson"/>
    <n v="66062"/>
    <s v="Saint Lukes Community Hospital - Olathe"/>
    <s v="Short Term Acute Care Hospital"/>
    <s v="Olathe"/>
    <m/>
    <m/>
    <m/>
    <m/>
    <m/>
    <m/>
    <m/>
    <m/>
    <n v="974459"/>
    <m/>
  </r>
  <r>
    <x v="1581"/>
    <m/>
    <s v="KS"/>
    <s v="KS - Johnson"/>
    <n v="66204"/>
    <s v="Saint Lukes Community Hospital - North Overland Park"/>
    <s v="Short Term Acute Care Hospital"/>
    <s v="Overland Park"/>
    <m/>
    <m/>
    <m/>
    <m/>
    <m/>
    <m/>
    <m/>
    <m/>
    <n v="974460"/>
    <m/>
  </r>
  <r>
    <x v="1581"/>
    <m/>
    <s v="KS"/>
    <s v="KS - Johnson"/>
    <n v="66205"/>
    <s v="Saint Lukes Community Hospital - Roeland Park"/>
    <s v="Short Term Acute Care Hospital"/>
    <s v="Roeland Park"/>
    <m/>
    <m/>
    <m/>
    <m/>
    <m/>
    <m/>
    <n v="8"/>
    <m/>
    <n v="974461"/>
    <m/>
  </r>
  <r>
    <x v="1581"/>
    <m/>
    <s v="KS"/>
    <s v="KS - Johnson"/>
    <n v="66216"/>
    <s v="Saint Lukes Community Hospital - Shawnee"/>
    <s v="Short Term Acute Care Hospital"/>
    <s v="Shawnee"/>
    <m/>
    <m/>
    <m/>
    <m/>
    <m/>
    <m/>
    <m/>
    <m/>
    <n v="974462"/>
    <m/>
  </r>
  <r>
    <x v="1581"/>
    <m/>
    <s v="KS"/>
    <s v="KS - Johnson"/>
    <n v="66223"/>
    <s v="Saint Lukes Community Hospital - South Overland Park"/>
    <s v="Short Term Acute Care Hospital"/>
    <s v="Overland Park"/>
    <m/>
    <m/>
    <m/>
    <m/>
    <m/>
    <m/>
    <m/>
    <m/>
    <n v="974463"/>
    <m/>
  </r>
  <r>
    <x v="361"/>
    <n v="170120"/>
    <s v="KS"/>
    <s v="KS - Labette"/>
    <n v="67357"/>
    <s v="Labette Health"/>
    <s v="Short Term Acute Care Hospital"/>
    <s v="Parsons"/>
    <n v="14.7"/>
    <n v="3"/>
    <n v="99"/>
    <n v="46"/>
    <n v="5"/>
    <n v="0.96"/>
    <n v="46"/>
    <n v="1.72"/>
    <n v="1573"/>
    <n v="1954"/>
  </r>
  <r>
    <x v="1582"/>
    <n v="170009"/>
    <s v="KS"/>
    <s v="KS - Leavenworth"/>
    <n v="66048"/>
    <s v="Saint John Hospital"/>
    <s v="Short Term Acute Care Hospital"/>
    <s v="Leavenworth"/>
    <n v="12.3"/>
    <n v="3.2"/>
    <n v="29"/>
    <n v="22"/>
    <n v="6"/>
    <n v="0.1"/>
    <n v="22"/>
    <n v="1.24"/>
    <n v="1575"/>
    <n v="1416"/>
  </r>
  <r>
    <x v="1582"/>
    <n v="170133"/>
    <s v="KS"/>
    <s v="KS - Leavenworth"/>
    <n v="66048"/>
    <s v="Saint Lukes Cushing Hospital (FKA Cushing Memorial Hospital)"/>
    <s v="Short Term Acute Care Hospital"/>
    <s v="Leavenworth"/>
    <n v="6.9"/>
    <n v="3.2"/>
    <n v="31"/>
    <n v="24"/>
    <n v="4"/>
    <n v="0.1"/>
    <n v="24"/>
    <n v="1.33"/>
    <n v="1576"/>
    <n v="879"/>
  </r>
  <r>
    <x v="366"/>
    <n v="170105"/>
    <s v="KS"/>
    <s v="KS - Mcpherson"/>
    <n v="67460"/>
    <s v="McPherson Hospital"/>
    <s v="Short Term Acute Care Hospital"/>
    <s v="McPherson"/>
    <n v="7.3"/>
    <n v="3.8"/>
    <n v="51"/>
    <n v="37"/>
    <n v="7"/>
    <n v="0.54"/>
    <n v="37"/>
    <n v="1.3"/>
    <n v="1578"/>
    <n v="749"/>
  </r>
  <r>
    <x v="366"/>
    <n v="170075"/>
    <s v="KS"/>
    <s v="KS - Mcpherson"/>
    <n v="67107"/>
    <s v="Mercy Hospital"/>
    <s v="Short Term Acute Care Hospital"/>
    <s v="Moundridge"/>
    <n v="4"/>
    <n v="6.1"/>
    <n v="7"/>
    <n v="21"/>
    <m/>
    <n v="0.54"/>
    <n v="21"/>
    <n v="0.94"/>
    <n v="1579"/>
    <n v="238"/>
  </r>
  <r>
    <x v="1583"/>
    <n v="170109"/>
    <s v="KS"/>
    <s v="KS - Miami"/>
    <n v="66071"/>
    <s v="Miami County Medical Center"/>
    <s v="Short Term Acute Care Hospital"/>
    <s v="Paola"/>
    <n v="2.7"/>
    <n v="2"/>
    <n v="57"/>
    <n v="18"/>
    <m/>
    <n v="0.1"/>
    <n v="18"/>
    <n v="1.17"/>
    <n v="1584"/>
    <n v="485"/>
  </r>
  <r>
    <x v="1584"/>
    <s v="170010 (Closed)"/>
    <s v="KS"/>
    <s v="KS - Montgomery"/>
    <n v="67301"/>
    <s v="Mercy Hospital Independence (Closed October 2015)"/>
    <s v="Short Term Acute Care Hospital"/>
    <s v="Independence"/>
    <n v="7.9"/>
    <n v="4"/>
    <m/>
    <m/>
    <m/>
    <n v="0.56000000000000005"/>
    <m/>
    <m/>
    <n v="1586"/>
    <n v="772"/>
  </r>
  <r>
    <x v="1584"/>
    <n v="170145"/>
    <s v="KS"/>
    <s v="KS - Montgomery"/>
    <n v="67337"/>
    <s v="Coffeyville Regional Medical Center"/>
    <s v="Short Term Acute Care Hospital"/>
    <s v="Coffeyville"/>
    <n v="10.7"/>
    <n v="3"/>
    <n v="57"/>
    <n v="47"/>
    <n v="7"/>
    <n v="0.56000000000000005"/>
    <n v="47"/>
    <n v="1.34"/>
    <n v="1587"/>
    <n v="1446"/>
  </r>
  <r>
    <x v="1585"/>
    <n v="170166"/>
    <s v="KS"/>
    <s v="KS - Morton"/>
    <n v="67950"/>
    <s v="Morton County Hospital"/>
    <s v="Short Term Acute Care Hospital"/>
    <s v="Elkhart"/>
    <n v="2.2999999999999998"/>
    <n v="4.9000000000000004"/>
    <n v="7"/>
    <n v="26"/>
    <m/>
    <m/>
    <n v="26"/>
    <n v="1.01"/>
    <n v="1589"/>
    <n v="169"/>
  </r>
  <r>
    <x v="376"/>
    <m/>
    <s v="KS"/>
    <s v="KS - Osborne"/>
    <n v="67473"/>
    <s v="Osbourne County Memorial Hospital - Goad Medical Hospital and Clinic (Opening Spring 2020)"/>
    <s v="Short Term Acute Care Hospital"/>
    <s v="Osborne"/>
    <m/>
    <m/>
    <m/>
    <m/>
    <m/>
    <m/>
    <m/>
    <m/>
    <n v="1010492"/>
    <m/>
  </r>
  <r>
    <x v="1586"/>
    <n v="170027"/>
    <s v="KS"/>
    <s v="KS - Pratt"/>
    <n v="67124"/>
    <s v="Pratt Regional Medical Center"/>
    <s v="Short Term Acute Care Hospital"/>
    <s v="Pratt"/>
    <n v="10.7"/>
    <n v="3.1"/>
    <n v="48"/>
    <n v="35"/>
    <n v="6"/>
    <m/>
    <n v="35"/>
    <n v="1.71"/>
    <n v="1601"/>
    <n v="1357"/>
  </r>
  <r>
    <x v="1587"/>
    <n v="170020"/>
    <s v="KS"/>
    <s v="KS - Reno"/>
    <n v="67502"/>
    <s v="Hutchinson Regional Medical Center (AKA Promise Regional Medical Center Hutchinson)"/>
    <s v="Short Term Acute Care Hospital"/>
    <s v="Hutchinson"/>
    <n v="42.5"/>
    <n v="3.5"/>
    <n v="141"/>
    <n v="127"/>
    <n v="18"/>
    <n v="0.91"/>
    <n v="127"/>
    <n v="1.63"/>
    <n v="1602"/>
    <n v="4754"/>
  </r>
  <r>
    <x v="1587"/>
    <n v="170198"/>
    <s v="KS"/>
    <s v="KS - Reno"/>
    <n v="67502"/>
    <s v="The Summit Surgical Hospital"/>
    <s v="Short Term Acute Care Hospital"/>
    <s v="Hutchinson"/>
    <n v="1.3"/>
    <n v="1.7"/>
    <n v="17"/>
    <n v="10"/>
    <m/>
    <n v="0.91"/>
    <n v="10"/>
    <n v="2.09"/>
    <n v="1603"/>
    <n v="275"/>
  </r>
  <r>
    <x v="1588"/>
    <n v="170190"/>
    <s v="KS"/>
    <s v="KS - Riley"/>
    <n v="66502"/>
    <s v="Manhattan Surgical Hospital"/>
    <s v="Short Term Acute Care Hospital"/>
    <s v="Manhattan"/>
    <n v="3.4"/>
    <n v="1.6"/>
    <n v="35"/>
    <n v="13"/>
    <m/>
    <n v="0.3"/>
    <n v="13"/>
    <n v="2.0699999999999998"/>
    <n v="1605"/>
    <n v="761"/>
  </r>
  <r>
    <x v="1588"/>
    <n v="170142"/>
    <s v="KS"/>
    <s v="KS - Riley"/>
    <n v="66502"/>
    <s v="Ascension Via Christi Hospital in Manhattan (FKA Mercy Regional Health Center)"/>
    <s v="Short Term Acute Care Hospital"/>
    <s v="Manhattan"/>
    <n v="33.1"/>
    <n v="3.9"/>
    <n v="149"/>
    <n v="86"/>
    <n v="8"/>
    <n v="0.3"/>
    <n v="86"/>
    <n v="1.61"/>
    <n v="1606"/>
    <n v="3697"/>
  </r>
  <r>
    <x v="1589"/>
    <n v="170187"/>
    <s v="KS"/>
    <s v="KS - Saline"/>
    <n v="67401"/>
    <s v="Salina Surgical Hospital"/>
    <s v="Short Term Acute Care Hospital"/>
    <s v="Salina"/>
    <n v="5.6"/>
    <n v="2.2999999999999998"/>
    <n v="20"/>
    <n v="16"/>
    <m/>
    <n v="0.78"/>
    <n v="16"/>
    <n v="2.1"/>
    <n v="1608"/>
    <n v="868"/>
  </r>
  <r>
    <x v="1589"/>
    <n v="170012"/>
    <s v="KS"/>
    <s v="KS - Saline"/>
    <n v="67401"/>
    <s v="Salina Regional Health Center"/>
    <s v="Short Term Acute Care Hospital"/>
    <s v="Salina"/>
    <n v="97.2"/>
    <n v="4.2"/>
    <n v="219"/>
    <n v="177"/>
    <n v="18"/>
    <n v="0.78"/>
    <n v="177"/>
    <n v="1.75"/>
    <n v="1609"/>
    <n v="8544"/>
  </r>
  <r>
    <x v="1590"/>
    <n v="170122"/>
    <s v="KS"/>
    <s v="KS - Sedgwick"/>
    <n v="67214"/>
    <s v="Ascension Via Christi St Francis"/>
    <s v="Short Term Acute Care Hospital"/>
    <s v="Wichita"/>
    <n v="409.1"/>
    <n v="5.3"/>
    <n v="592"/>
    <n v="625"/>
    <n v="65"/>
    <n v="0.27"/>
    <n v="625"/>
    <n v="1.92"/>
    <n v="1611"/>
    <n v="29101"/>
  </r>
  <r>
    <x v="1590"/>
    <n v="170123"/>
    <s v="KS"/>
    <s v="KS - Sedgwick"/>
    <n v="67214"/>
    <s v="Wesley Medical Center"/>
    <s v="Short Term Acute Care Hospital"/>
    <s v="Wichita"/>
    <n v="379.1"/>
    <n v="4.9000000000000004"/>
    <n v="697"/>
    <n v="593"/>
    <n v="93"/>
    <n v="0.27"/>
    <n v="593"/>
    <n v="2"/>
    <n v="1612"/>
    <n v="29403"/>
  </r>
  <r>
    <x v="1590"/>
    <n v="170202"/>
    <s v="KS"/>
    <s v="KS - Sedgwick"/>
    <n v="67220"/>
    <s v="Wesley Woodlawn Hospital &amp; ER (FKA Galichia Heart Hospital)"/>
    <s v="Short Term Acute Care Hospital"/>
    <s v="Wichita"/>
    <n v="42.3"/>
    <n v="5.3"/>
    <n v="11"/>
    <m/>
    <m/>
    <n v="0.27"/>
    <n v="82"/>
    <m/>
    <n v="1613"/>
    <n v="2890"/>
  </r>
  <r>
    <x v="1590"/>
    <n v="170196"/>
    <s v="KS"/>
    <s v="KS - Sedgwick"/>
    <n v="67226"/>
    <s v="Kansas Spine &amp; Specialty Hospital"/>
    <s v="Short Term Acute Care Hospital"/>
    <s v="Wichita"/>
    <n v="13.2"/>
    <n v="2.2000000000000002"/>
    <n v="48"/>
    <n v="36"/>
    <m/>
    <n v="0.27"/>
    <n v="36"/>
    <n v="2.92"/>
    <n v="1614"/>
    <n v="2194"/>
  </r>
  <r>
    <x v="1590"/>
    <n v="170186"/>
    <s v="KS"/>
    <s v="KS - Sedgwick"/>
    <n v="67226"/>
    <s v="Kansas Heart Hospital"/>
    <s v="Short Term Acute Care Hospital"/>
    <s v="Wichita"/>
    <n v="20.100000000000001"/>
    <n v="4.2"/>
    <n v="22"/>
    <n v="46"/>
    <m/>
    <n v="0.27"/>
    <n v="46"/>
    <n v="2.46"/>
    <n v="1616"/>
    <n v="1752"/>
  </r>
  <r>
    <x v="1590"/>
    <n v="170183"/>
    <s v="KS"/>
    <s v="KS - Sedgwick"/>
    <n v="67226"/>
    <s v="Kansas Surgery &amp; Recovery Center"/>
    <s v="Short Term Acute Care Hospital"/>
    <s v="Wichita"/>
    <n v="11.6"/>
    <n v="2.2000000000000002"/>
    <n v="72"/>
    <n v="32"/>
    <m/>
    <n v="0.27"/>
    <n v="32"/>
    <n v="2.17"/>
    <n v="1617"/>
    <n v="1909"/>
  </r>
  <r>
    <x v="1590"/>
    <s v="170122*"/>
    <s v="KS"/>
    <s v="KS - Sedgwick"/>
    <n v="67218"/>
    <s v="Ascension Via Christi St Joseph"/>
    <s v="Short Term Acute Care Hospital"/>
    <s v="Wichita"/>
    <m/>
    <m/>
    <n v="3"/>
    <m/>
    <m/>
    <m/>
    <n v="266"/>
    <m/>
    <n v="274332"/>
    <m/>
  </r>
  <r>
    <x v="1590"/>
    <n v="170200"/>
    <s v="KS"/>
    <s v="KS - Sedgwick"/>
    <n v="67235"/>
    <s v="Ascension Via Christi St Teresa"/>
    <s v="Short Term Acute Care Hospital"/>
    <s v="Wichita"/>
    <n v="12.2"/>
    <n v="3.5"/>
    <n v="57"/>
    <n v="39"/>
    <n v="6"/>
    <n v="0.27"/>
    <n v="39"/>
    <n v="1.49"/>
    <n v="274333"/>
    <n v="1288"/>
  </r>
  <r>
    <x v="1590"/>
    <n v="170204"/>
    <s v="KS"/>
    <s v="KS - Sedgwick"/>
    <n v="67037"/>
    <s v="Rock Regional Hospital"/>
    <s v="Short Term Acute Care Hospital"/>
    <s v="Derby"/>
    <m/>
    <m/>
    <n v="17"/>
    <m/>
    <m/>
    <m/>
    <n v="31"/>
    <m/>
    <n v="860688"/>
    <m/>
  </r>
  <r>
    <x v="1591"/>
    <n v="170068"/>
    <s v="KS"/>
    <s v="KS - Seward"/>
    <n v="67901"/>
    <s v="Southwest Medical Center"/>
    <s v="Short Term Acute Care Hospital"/>
    <s v="Liberal"/>
    <n v="20.100000000000001"/>
    <n v="3.7"/>
    <n v="60"/>
    <n v="71"/>
    <n v="8"/>
    <n v="1"/>
    <n v="71"/>
    <n v="1.6"/>
    <n v="1618"/>
    <n v="2361"/>
  </r>
  <r>
    <x v="1592"/>
    <n v="170016"/>
    <s v="KS"/>
    <s v="KS - Shawnee"/>
    <n v="66606"/>
    <s v="The University of Kansas Health System St Francis Campus (FKA St Francis Health St Francis Health Center)"/>
    <s v="Short Term Acute Care Hospital"/>
    <s v="Topeka"/>
    <n v="71"/>
    <n v="3.9"/>
    <n v="231"/>
    <n v="228"/>
    <n v="16"/>
    <n v="0.6"/>
    <n v="228"/>
    <n v="1.67"/>
    <n v="1619"/>
    <n v="7106"/>
  </r>
  <r>
    <x v="1592"/>
    <n v="170086"/>
    <s v="KS"/>
    <s v="KS - Shawnee"/>
    <n v="66604"/>
    <s v="Stormont Vail Hospital"/>
    <s v="Short Term Acute Care Hospital"/>
    <s v="Topeka"/>
    <n v="265.89999999999998"/>
    <n v="3.9"/>
    <n v="556"/>
    <n v="426"/>
    <n v="36"/>
    <n v="0.6"/>
    <n v="426"/>
    <n v="1.78"/>
    <n v="1620"/>
    <n v="25553"/>
  </r>
  <r>
    <x v="394"/>
    <s v="170039 (Closed)"/>
    <s v="KS"/>
    <s v="KS - Sumner"/>
    <n v="67152"/>
    <s v="Sumner Community Hospital (Closed)"/>
    <s v="Short Term Acute Care Hospital"/>
    <s v="Wellington"/>
    <n v="1"/>
    <n v="1.8"/>
    <m/>
    <m/>
    <m/>
    <n v="0.27"/>
    <m/>
    <n v="1.07"/>
    <n v="1624"/>
    <n v="211"/>
  </r>
  <r>
    <x v="1593"/>
    <n v="170146"/>
    <s v="KS"/>
    <s v="KS - Wyandotte"/>
    <n v="66112"/>
    <s v="Providence Medical Center"/>
    <s v="Short Term Acute Care Hospital"/>
    <s v="Kansas City"/>
    <n v="89.4"/>
    <n v="3.9"/>
    <n v="153"/>
    <n v="171"/>
    <n v="23"/>
    <n v="0.1"/>
    <n v="171"/>
    <n v="1.85"/>
    <n v="1630"/>
    <n v="8700"/>
  </r>
  <r>
    <x v="1593"/>
    <n v="170040"/>
    <s v="KS"/>
    <s v="KS - Wyandotte"/>
    <n v="66160"/>
    <s v="The University of Kansas Hospital"/>
    <s v="Short Term Acute Care Hospital"/>
    <s v="Kansas City"/>
    <n v="618.20000000000005"/>
    <n v="5.5"/>
    <n v="1529"/>
    <n v="848"/>
    <n v="106"/>
    <n v="0.1"/>
    <n v="848"/>
    <n v="2.16"/>
    <n v="1631"/>
    <n v="41549"/>
  </r>
  <r>
    <x v="1593"/>
    <m/>
    <s v="KS"/>
    <s v="KS - Wyandotte"/>
    <n v="66109"/>
    <s v="Saint Lukes Community Hospital - Kansas City"/>
    <s v="Short Term Acute Care Hospital"/>
    <s v="Kansas City"/>
    <m/>
    <m/>
    <m/>
    <m/>
    <m/>
    <m/>
    <m/>
    <m/>
    <n v="974457"/>
    <m/>
  </r>
  <r>
    <x v="1594"/>
    <s v="180149 (Closed)"/>
    <s v="KY"/>
    <s v="KY - Adair"/>
    <n v="42728"/>
    <s v="TJ Health Columbia (Closed Inpatient Services)"/>
    <s v="Short Term Acute Care Hospital"/>
    <s v="Columbia"/>
    <n v="1.3"/>
    <n v="2.6"/>
    <m/>
    <m/>
    <m/>
    <m/>
    <m/>
    <n v="1.06"/>
    <n v="1632"/>
    <n v="187"/>
  </r>
  <r>
    <x v="1595"/>
    <n v="180017"/>
    <s v="KY"/>
    <s v="KY - Barren"/>
    <n v="42141"/>
    <s v="T J Samson Community Hospital"/>
    <s v="Short Term Acute Care Hospital"/>
    <s v="Glasgow"/>
    <n v="49.3"/>
    <n v="3.6"/>
    <n v="172"/>
    <n v="108"/>
    <n v="10"/>
    <n v="1"/>
    <n v="108"/>
    <n v="1.57"/>
    <n v="1634"/>
    <n v="5535"/>
  </r>
  <r>
    <x v="1596"/>
    <n v="180020"/>
    <s v="KY"/>
    <s v="KY - Bell"/>
    <n v="40965"/>
    <s v="Middlesboro ARH Hospital"/>
    <s v="Short Term Acute Care Hospital"/>
    <s v="Middlesboro"/>
    <n v="20.5"/>
    <n v="7.6"/>
    <n v="101"/>
    <n v="46"/>
    <n v="7"/>
    <n v="0.76"/>
    <n v="46"/>
    <n v="1.48"/>
    <n v="1635"/>
    <n v="1064"/>
  </r>
  <r>
    <x v="1596"/>
    <n v="180154"/>
    <s v="KY"/>
    <s v="KY - Bell"/>
    <n v="40977"/>
    <s v="Southeastern KY Medical Center (FKA Pineville Community Hospital)"/>
    <s v="Short Term Acute Care Hospital"/>
    <s v="Pineville"/>
    <n v="8.9"/>
    <n v="4.5999999999999996"/>
    <n v="20"/>
    <n v="41"/>
    <m/>
    <n v="0.76"/>
    <n v="41"/>
    <n v="1.0900000000000001"/>
    <n v="1636"/>
    <n v="708"/>
  </r>
  <r>
    <x v="1597"/>
    <n v="180045"/>
    <s v="KY"/>
    <s v="KY - Boone"/>
    <n v="41042"/>
    <s v="St Elizabeth Florence"/>
    <s v="Short Term Acute Care Hospital"/>
    <s v="Florence"/>
    <n v="91.4"/>
    <n v="3.7"/>
    <n v="132"/>
    <n v="126"/>
    <n v="18"/>
    <n v="0.12"/>
    <n v="126"/>
    <n v="1.44"/>
    <n v="1637"/>
    <n v="9672"/>
  </r>
  <r>
    <x v="1598"/>
    <n v="180046"/>
    <s v="KY"/>
    <s v="KY - Bourbon"/>
    <n v="40361"/>
    <s v="Bourbon Community Hospital"/>
    <s v="Short Term Acute Care Hospital"/>
    <s v="Paris"/>
    <n v="10.199999999999999"/>
    <n v="4"/>
    <n v="38"/>
    <n v="34"/>
    <n v="4"/>
    <n v="0.34"/>
    <n v="34"/>
    <n v="1.21"/>
    <n v="1638"/>
    <n v="931"/>
  </r>
  <r>
    <x v="1599"/>
    <n v="180009"/>
    <s v="KY"/>
    <s v="KY - Boyd"/>
    <n v="41101"/>
    <s v="Kings Daughters Medical Center"/>
    <s v="Short Term Acute Care Hospital"/>
    <s v="Ashland"/>
    <n v="162.6"/>
    <n v="4.3"/>
    <n v="478"/>
    <n v="438"/>
    <n v="36"/>
    <n v="0.28999999999999998"/>
    <n v="438"/>
    <n v="1.71"/>
    <n v="1639"/>
    <n v="14255"/>
  </r>
  <r>
    <x v="1599"/>
    <s v="180036 (Closed)"/>
    <s v="KY"/>
    <s v="KY - Boyd"/>
    <n v="41101"/>
    <s v="Our Lady of Bellefonte Hospital (Closed)"/>
    <s v="Short Term Acute Care Hospital"/>
    <s v="Ashland"/>
    <n v="75.599999999999994"/>
    <n v="4.8"/>
    <m/>
    <n v="135"/>
    <n v="12"/>
    <n v="0.28999999999999998"/>
    <m/>
    <n v="1.44"/>
    <n v="1671"/>
    <n v="5738"/>
  </r>
  <r>
    <x v="1600"/>
    <n v="180048"/>
    <s v="KY"/>
    <s v="KY - Boyle"/>
    <n v="40422"/>
    <s v="Ephraim McDowell Regional Medical Center"/>
    <s v="Short Term Acute Care Hospital"/>
    <s v="Danville"/>
    <n v="73.5"/>
    <n v="4.5"/>
    <n v="186"/>
    <n v="170"/>
    <n v="22"/>
    <n v="0.78"/>
    <n v="170"/>
    <n v="1.62"/>
    <n v="1640"/>
    <n v="6197"/>
  </r>
  <r>
    <x v="1601"/>
    <n v="180139"/>
    <s v="KY"/>
    <s v="KY - Breathitt"/>
    <n v="41339"/>
    <s v="Kentucky River Medical Center"/>
    <s v="Short Term Acute Care Hospital"/>
    <s v="Jackson"/>
    <n v="12.5"/>
    <n v="2.7"/>
    <n v="43"/>
    <n v="49"/>
    <n v="4"/>
    <m/>
    <n v="49"/>
    <n v="1.1499999999999999"/>
    <n v="1641"/>
    <n v="1712"/>
  </r>
  <r>
    <x v="1602"/>
    <n v="180027"/>
    <s v="KY"/>
    <s v="KY - Calloway"/>
    <n v="42071"/>
    <s v="Murray Calloway County Hospital"/>
    <s v="Short Term Acute Care Hospital"/>
    <s v="Murray"/>
    <n v="35.200000000000003"/>
    <n v="4.5"/>
    <n v="117"/>
    <n v="99"/>
    <n v="10"/>
    <n v="1"/>
    <n v="99"/>
    <n v="1.38"/>
    <n v="1644"/>
    <n v="3046"/>
  </r>
  <r>
    <x v="1603"/>
    <n v="180001"/>
    <s v="KY"/>
    <s v="KY - Campbell"/>
    <n v="41075"/>
    <s v="St Elizabeth Ft Thomas (FKA Cardinal Hill Specialty Hospital)"/>
    <s v="Short Term Acute Care Hospital"/>
    <s v="Fort Thomas"/>
    <n v="82.2"/>
    <n v="4.4000000000000004"/>
    <n v="60"/>
    <n v="123"/>
    <n v="21"/>
    <n v="0.12"/>
    <n v="123"/>
    <n v="1.35"/>
    <n v="1645"/>
    <n v="6935"/>
  </r>
  <r>
    <x v="1604"/>
    <n v="180051"/>
    <s v="KY"/>
    <s v="KY - Christian"/>
    <n v="42240"/>
    <s v="Jennie Stuart Health"/>
    <s v="Short Term Acute Care Hospital"/>
    <s v="Hopkinsville"/>
    <n v="47.2"/>
    <n v="4"/>
    <n v="150"/>
    <n v="133"/>
    <n v="18"/>
    <n v="0.46"/>
    <n v="133"/>
    <n v="1.41"/>
    <n v="1648"/>
    <n v="4175"/>
  </r>
  <r>
    <x v="1605"/>
    <n v="180092"/>
    <s v="KY"/>
    <s v="KY - Clark"/>
    <n v="40391"/>
    <s v="Clark Regional Medical Center"/>
    <s v="Short Term Acute Care Hospital"/>
    <s v="Winchester"/>
    <n v="24.3"/>
    <n v="3"/>
    <n v="122"/>
    <n v="54"/>
    <n v="8"/>
    <n v="0.34"/>
    <n v="54"/>
    <n v="1.32"/>
    <n v="1649"/>
    <n v="3452"/>
  </r>
  <r>
    <x v="1606"/>
    <n v="180043"/>
    <s v="KY"/>
    <s v="KY - Clay"/>
    <n v="40962"/>
    <s v="AdventHealth Manchester (FKA Manchester Memorial Hospital)"/>
    <s v="Short Term Acute Care Hospital"/>
    <s v="Manchester"/>
    <n v="14.5"/>
    <n v="3.4"/>
    <n v="71"/>
    <n v="49"/>
    <n v="6"/>
    <n v="0.35"/>
    <n v="49"/>
    <n v="1.35"/>
    <n v="1650"/>
    <n v="1642"/>
  </r>
  <r>
    <x v="1607"/>
    <n v="180106"/>
    <s v="KY"/>
    <s v="KY - Clinton"/>
    <n v="42602"/>
    <s v="The Medical Center at Albany"/>
    <s v="Short Term Acute Care Hospital"/>
    <s v="Albany"/>
    <n v="8"/>
    <n v="5.3"/>
    <n v="23"/>
    <n v="38"/>
    <m/>
    <m/>
    <n v="38"/>
    <n v="1.01"/>
    <n v="1651"/>
    <n v="553"/>
  </r>
  <r>
    <x v="1608"/>
    <n v="180095"/>
    <s v="KY"/>
    <s v="KY - Crittenden"/>
    <n v="42064"/>
    <s v="Crittenden Community Hospital (AKA Crittenden Health System)"/>
    <s v="Short Term Acute Care Hospital"/>
    <s v="Marion"/>
    <n v="8.1999999999999993"/>
    <n v="4.4000000000000004"/>
    <n v="20"/>
    <n v="48"/>
    <m/>
    <m/>
    <n v="48"/>
    <n v="1.07"/>
    <n v="1652"/>
    <n v="676"/>
  </r>
  <r>
    <x v="1609"/>
    <n v="180038"/>
    <s v="KY"/>
    <s v="KY - Daviess"/>
    <n v="42303"/>
    <s v="Owensboro Health Regional Hospital"/>
    <s v="Short Term Acute Care Hospital"/>
    <s v="Owensboro"/>
    <n v="167.7"/>
    <n v="4.5"/>
    <n v="450"/>
    <n v="427"/>
    <n v="32"/>
    <n v="1"/>
    <n v="427"/>
    <n v="1.78"/>
    <n v="1654"/>
    <n v="14646"/>
  </r>
  <r>
    <x v="1610"/>
    <n v="180143"/>
    <s v="KY"/>
    <s v="KY - Fayette"/>
    <n v="40509"/>
    <s v="Saint Joseph East"/>
    <s v="Short Term Acute Care Hospital"/>
    <s v="Lexington"/>
    <n v="66.3"/>
    <n v="4.5"/>
    <n v="173"/>
    <n v="160"/>
    <n v="12"/>
    <n v="0.34"/>
    <n v="160"/>
    <n v="1.92"/>
    <n v="1656"/>
    <n v="7098"/>
  </r>
  <r>
    <x v="1610"/>
    <n v="180103"/>
    <s v="KY"/>
    <s v="KY - Fayette"/>
    <n v="40503"/>
    <s v="Baptist Health Lexington (FKA Central Baptist Hospital)"/>
    <s v="Short Term Acute Care Hospital"/>
    <s v="Lexington"/>
    <n v="240.6"/>
    <n v="4.5"/>
    <n v="859"/>
    <n v="391"/>
    <n v="52"/>
    <n v="0.34"/>
    <n v="391"/>
    <n v="1.94"/>
    <n v="1658"/>
    <n v="23020"/>
  </r>
  <r>
    <x v="1610"/>
    <n v="180010"/>
    <s v="KY"/>
    <s v="KY - Fayette"/>
    <n v="40504"/>
    <s v="Saint Joseph Hospital"/>
    <s v="Short Term Acute Care Hospital"/>
    <s v="Lexington"/>
    <n v="175"/>
    <n v="5.3"/>
    <n v="309"/>
    <n v="255"/>
    <n v="38"/>
    <n v="0.34"/>
    <n v="255"/>
    <n v="2.25"/>
    <n v="1660"/>
    <n v="12096"/>
  </r>
  <r>
    <x v="1610"/>
    <n v="180067"/>
    <s v="KY"/>
    <s v="KY - Fayette"/>
    <n v="40536"/>
    <s v="UK Albert B Chandler Hospital"/>
    <s v="Short Term Acute Care Hospital"/>
    <s v="Lexington"/>
    <n v="748.4"/>
    <n v="6.1"/>
    <n v="1287"/>
    <n v="901"/>
    <n v="146"/>
    <n v="0.34"/>
    <n v="524"/>
    <n v="2.15"/>
    <n v="274110"/>
    <n v="45156"/>
  </r>
  <r>
    <x v="1610"/>
    <s v="180067*"/>
    <s v="KY"/>
    <s v="KY - Fayette"/>
    <n v="40508"/>
    <s v="UK Good Samaritan Hospital"/>
    <s v="Short Term Acute Care Hospital"/>
    <s v="Lexington"/>
    <m/>
    <m/>
    <n v="15"/>
    <m/>
    <m/>
    <m/>
    <n v="158"/>
    <m/>
    <n v="274113"/>
    <m/>
  </r>
  <r>
    <x v="1610"/>
    <s v="180143*"/>
    <s v="KY"/>
    <s v="KY - Fayette"/>
    <n v="40509"/>
    <s v="Womens Hospital Saint Joseph East"/>
    <s v="Short Term Acute Care Hospital"/>
    <s v="Lexington"/>
    <m/>
    <m/>
    <m/>
    <m/>
    <m/>
    <m/>
    <n v="217"/>
    <m/>
    <n v="542010"/>
    <m/>
  </r>
  <r>
    <x v="1610"/>
    <m/>
    <s v="KY"/>
    <s v="KY - Fayette"/>
    <n v="40511"/>
    <s v="FMC Lexington"/>
    <s v="Short Term Acute Care Hospital"/>
    <s v="Lexington"/>
    <m/>
    <m/>
    <m/>
    <m/>
    <m/>
    <m/>
    <m/>
    <m/>
    <n v="840577"/>
    <m/>
  </r>
  <r>
    <x v="408"/>
    <n v="180005"/>
    <s v="KY"/>
    <s v="KY - Floyd"/>
    <n v="41653"/>
    <s v="Highlands ARH Regional Medical Center (FKA Highlands Regional Medical Center)"/>
    <s v="Short Term Acute Care Hospital"/>
    <s v="Prestonsburg"/>
    <n v="47.7"/>
    <n v="4.9000000000000004"/>
    <n v="97"/>
    <n v="127"/>
    <n v="12"/>
    <m/>
    <n v="127"/>
    <n v="1.33"/>
    <n v="1662"/>
    <n v="3734"/>
  </r>
  <r>
    <x v="1611"/>
    <n v="180127"/>
    <s v="KY"/>
    <s v="KY - Franklin"/>
    <n v="40601"/>
    <s v="Frankfort Regional Medical Center"/>
    <s v="Short Term Acute Care Hospital"/>
    <s v="Frankfort"/>
    <n v="68.3"/>
    <n v="4.5999999999999996"/>
    <n v="132"/>
    <n v="115"/>
    <n v="10"/>
    <n v="1"/>
    <n v="115"/>
    <n v="1.52"/>
    <n v="1665"/>
    <n v="5739"/>
  </r>
  <r>
    <x v="1612"/>
    <s v="180117 (Closed)"/>
    <s v="KY"/>
    <s v="KY - Fulton"/>
    <n v="42041"/>
    <s v="Parkway Regional Hospital (Closed March 29th 2015)"/>
    <s v="Short Term Acute Care Hospital"/>
    <s v="Fulton"/>
    <n v="5.6"/>
    <n v="3.9"/>
    <m/>
    <m/>
    <m/>
    <m/>
    <m/>
    <m/>
    <n v="1666"/>
    <n v="527"/>
  </r>
  <r>
    <x v="1613"/>
    <n v="180116"/>
    <s v="KY"/>
    <s v="KY - Graves"/>
    <n v="42066"/>
    <s v="Jackson Purchase Medical Center"/>
    <s v="Short Term Acute Care Hospital"/>
    <s v="Mayfield"/>
    <n v="42.8"/>
    <n v="4.9000000000000004"/>
    <n v="83"/>
    <n v="95"/>
    <n v="8"/>
    <n v="1"/>
    <n v="95"/>
    <n v="1.37"/>
    <n v="1668"/>
    <n v="3341"/>
  </r>
  <r>
    <x v="1614"/>
    <n v="180070"/>
    <s v="KY"/>
    <s v="KY - Grayson"/>
    <n v="42754"/>
    <s v="Twin Lakes Regional Medical Center"/>
    <s v="Short Term Acute Care Hospital"/>
    <s v="Leitchfield"/>
    <n v="23.9"/>
    <n v="4.4000000000000004"/>
    <n v="91"/>
    <n v="75"/>
    <n v="6"/>
    <m/>
    <n v="75"/>
    <n v="1.29"/>
    <n v="1669"/>
    <n v="2180"/>
  </r>
  <r>
    <x v="1615"/>
    <n v="180012"/>
    <s v="KY"/>
    <s v="KY - Hardin"/>
    <n v="42701"/>
    <s v="Hardin Memorial Hospital"/>
    <s v="Short Term Acute Care Hospital"/>
    <s v="Elizabethtown"/>
    <n v="135.5"/>
    <n v="3.9"/>
    <n v="449"/>
    <n v="270"/>
    <n v="10"/>
    <n v="1"/>
    <n v="270"/>
    <n v="1.63"/>
    <n v="1672"/>
    <n v="13809"/>
  </r>
  <r>
    <x v="1616"/>
    <n v="180050"/>
    <s v="KY"/>
    <s v="KY - Harlan"/>
    <n v="40831"/>
    <s v="Harlan ARH Hospital"/>
    <s v="Short Term Acute Care Hospital"/>
    <s v="Harlan"/>
    <n v="34.6"/>
    <n v="3.7"/>
    <n v="114"/>
    <n v="81"/>
    <n v="7"/>
    <m/>
    <n v="81"/>
    <n v="1.1499999999999999"/>
    <n v="1673"/>
    <n v="3567"/>
  </r>
  <r>
    <x v="1617"/>
    <n v="180079"/>
    <s v="KY"/>
    <s v="KY - Harrison"/>
    <n v="41031"/>
    <s v="Harrison Memorial Hospital"/>
    <s v="Short Term Acute Care Hospital"/>
    <s v="Cynthiana"/>
    <n v="10.3"/>
    <n v="3.5"/>
    <n v="75"/>
    <n v="61"/>
    <n v="6"/>
    <m/>
    <n v="61"/>
    <n v="1.28"/>
    <n v="1674"/>
    <n v="1185"/>
  </r>
  <r>
    <x v="1618"/>
    <n v="180056"/>
    <s v="KY"/>
    <s v="KY - Henderson"/>
    <n v="42420"/>
    <s v="Methodist Health - Henderson (FKA Methodist Hospital)"/>
    <s v="Short Term Acute Care Hospital"/>
    <s v="Henderson"/>
    <n v="38.1"/>
    <n v="3.8"/>
    <n v="126"/>
    <n v="118"/>
    <n v="12"/>
    <n v="0.39"/>
    <n v="118"/>
    <n v="1.43"/>
    <n v="1676"/>
    <n v="3875"/>
  </r>
  <r>
    <x v="1619"/>
    <n v="180093"/>
    <s v="KY"/>
    <s v="KY - Hopkins"/>
    <n v="42431"/>
    <s v="Baptist Health Madisonville (FKA Regional Medical Center of Hopkins County)"/>
    <s v="Short Term Acute Care Hospital"/>
    <s v="Madisonville"/>
    <n v="68.599999999999994"/>
    <n v="4.4000000000000004"/>
    <n v="306"/>
    <n v="144"/>
    <n v="20"/>
    <n v="1"/>
    <n v="410"/>
    <n v="1.7"/>
    <n v="1677"/>
    <n v="5925"/>
  </r>
  <r>
    <x v="1620"/>
    <n v="180088"/>
    <s v="KY"/>
    <s v="KY - Jefferson"/>
    <n v="40202"/>
    <s v="Norton Hospital"/>
    <s v="Short Term Acute Care Hospital"/>
    <s v="Louisville"/>
    <n v="980.4"/>
    <n v="5.0999999999999996"/>
    <n v="1191"/>
    <n v="1430"/>
    <n v="175"/>
    <n v="0.24"/>
    <n v="340"/>
    <n v="1.89"/>
    <n v="1678"/>
    <n v="73695"/>
  </r>
  <r>
    <x v="1620"/>
    <n v="180130"/>
    <s v="KY"/>
    <s v="KY - Jefferson"/>
    <n v="40207"/>
    <s v="Baptist Health Louisville (FKA Baptist Hospital East)"/>
    <s v="Short Term Acute Care Hospital"/>
    <s v="Louisville"/>
    <n v="295.8"/>
    <n v="4.2"/>
    <n v="884"/>
    <n v="454"/>
    <n v="20"/>
    <n v="0.24"/>
    <n v="454"/>
    <n v="1.9"/>
    <n v="1681"/>
    <n v="27938"/>
  </r>
  <r>
    <x v="1620"/>
    <n v="180141"/>
    <s v="KY"/>
    <s v="KY - Jefferson"/>
    <n v="40202"/>
    <s v="UofL Hospital (AKA University of Louisville Hospital)"/>
    <s v="Short Term Acute Care Hospital"/>
    <s v="Louisville"/>
    <n v="266"/>
    <n v="6.1"/>
    <n v="675"/>
    <n v="348"/>
    <n v="56"/>
    <n v="0.24"/>
    <n v="348"/>
    <n v="2.08"/>
    <n v="1682"/>
    <n v="16507"/>
  </r>
  <r>
    <x v="1620"/>
    <n v="180040"/>
    <s v="KY"/>
    <s v="KY - Jefferson"/>
    <n v="40202"/>
    <s v="UofL Health - Jewish Hospital (FKA KentuckyOne Health - Jewish Hospital)"/>
    <s v="Short Term Acute Care Hospital"/>
    <s v="Louisville"/>
    <n v="466"/>
    <n v="5.8"/>
    <n v="532"/>
    <n v="731"/>
    <n v="88"/>
    <n v="0.24"/>
    <n v="442"/>
    <n v="1.98"/>
    <n v="274155"/>
    <n v="29369"/>
  </r>
  <r>
    <x v="1620"/>
    <s v="180040*"/>
    <s v="KY"/>
    <s v="KY - Jefferson"/>
    <n v="40205"/>
    <s v="UofL Health - Peace Hospital (FKA Our Lady of Peace)"/>
    <s v="Short Term Acute Care Hospital"/>
    <s v="Louisville"/>
    <m/>
    <m/>
    <n v="1"/>
    <m/>
    <m/>
    <m/>
    <n v="254"/>
    <m/>
    <n v="274160"/>
    <m/>
  </r>
  <r>
    <x v="1620"/>
    <s v="180040*"/>
    <s v="KY"/>
    <s v="KY - Jefferson"/>
    <n v="40215"/>
    <s v="UofL Health - Mary &amp; Elizabeth Hospital (FKA Sts Mary &amp; Elizabeth Hospital)"/>
    <s v="Short Term Acute Care Hospital"/>
    <s v="Louisville"/>
    <m/>
    <m/>
    <n v="35"/>
    <m/>
    <m/>
    <m/>
    <m/>
    <m/>
    <n v="274201"/>
    <m/>
  </r>
  <r>
    <x v="1620"/>
    <s v="180088*"/>
    <s v="KY"/>
    <s v="KY - Jefferson"/>
    <n v="40217"/>
    <s v="Norton Audubon Hospital"/>
    <s v="Short Term Acute Care Hospital"/>
    <s v="Louisville"/>
    <m/>
    <m/>
    <n v="196"/>
    <m/>
    <m/>
    <m/>
    <n v="262"/>
    <m/>
    <n v="274318"/>
    <m/>
  </r>
  <r>
    <x v="1620"/>
    <s v="180088*"/>
    <s v="KY"/>
    <s v="KY - Jefferson"/>
    <n v="40241"/>
    <s v="Norton Brownsboro Hospital"/>
    <s v="Short Term Acute Care Hospital"/>
    <s v="Louisville"/>
    <m/>
    <m/>
    <n v="173"/>
    <m/>
    <m/>
    <m/>
    <n v="98"/>
    <m/>
    <n v="274319"/>
    <m/>
  </r>
  <r>
    <x v="1620"/>
    <m/>
    <s v="KY"/>
    <s v="KY - Jefferson"/>
    <n v="40202"/>
    <s v="Centerstone Louisville"/>
    <s v="Short Term Acute Care Hospital"/>
    <s v="Louisville"/>
    <m/>
    <m/>
    <m/>
    <m/>
    <m/>
    <m/>
    <m/>
    <m/>
    <n v="1003632"/>
    <m/>
  </r>
  <r>
    <x v="1621"/>
    <n v="180078"/>
    <s v="KY"/>
    <s v="KY - Johnson"/>
    <n v="41240"/>
    <s v="Paul B Hall Regional Medical Center"/>
    <s v="Short Term Acute Care Hospital"/>
    <s v="Paintsville"/>
    <n v="15.6"/>
    <n v="3.2"/>
    <n v="46"/>
    <n v="72"/>
    <n v="6"/>
    <m/>
    <n v="72"/>
    <n v="1.21"/>
    <n v="1683"/>
    <n v="1776"/>
  </r>
  <r>
    <x v="1622"/>
    <n v="180035"/>
    <s v="KY"/>
    <s v="KY - Kenton"/>
    <n v="41011"/>
    <s v="St Elizabeth Covington (FKA St Elizabeth Medical Center North)"/>
    <s v="Short Term Acute Care Hospital"/>
    <s v="Covington"/>
    <n v="333.7"/>
    <n v="4"/>
    <n v="911"/>
    <n v="459"/>
    <n v="46"/>
    <n v="0.12"/>
    <n v="459"/>
    <n v="1.69"/>
    <n v="1684"/>
    <n v="31447"/>
  </r>
  <r>
    <x v="1622"/>
    <s v="180035*"/>
    <s v="KY"/>
    <s v="KY - Kenton"/>
    <n v="41017"/>
    <s v="St Elizabeth Edgewood"/>
    <s v="Short Term Acute Care Hospital"/>
    <s v="Edgewood"/>
    <m/>
    <m/>
    <m/>
    <m/>
    <m/>
    <m/>
    <n v="510"/>
    <m/>
    <n v="541901"/>
    <m/>
  </r>
  <r>
    <x v="1623"/>
    <n v="180011"/>
    <s v="KY"/>
    <s v="KY - Laurel"/>
    <n v="40741"/>
    <s v="Saint Joseph London"/>
    <s v="Short Term Acute Care Hospital"/>
    <s v="London"/>
    <n v="67.3"/>
    <n v="4.5999999999999996"/>
    <n v="137"/>
    <n v="106"/>
    <n v="14"/>
    <n v="0.35"/>
    <n v="106"/>
    <n v="1.66"/>
    <n v="1687"/>
    <n v="5872"/>
  </r>
  <r>
    <x v="1624"/>
    <n v="180128"/>
    <s v="KY"/>
    <s v="KY - Lawrence"/>
    <n v="41230"/>
    <s v="Three Rivers Medical Center"/>
    <s v="Short Term Acute Care Hospital"/>
    <s v="Louisa"/>
    <n v="13.2"/>
    <n v="3"/>
    <n v="54"/>
    <n v="65"/>
    <n v="6"/>
    <m/>
    <n v="65"/>
    <n v="1.1599999999999999"/>
    <n v="1688"/>
    <n v="1634"/>
  </r>
  <r>
    <x v="414"/>
    <n v="180002"/>
    <s v="KY"/>
    <s v="KY - Letcher"/>
    <n v="41858"/>
    <s v="Whitesburg ARH Hospital"/>
    <s v="Short Term Acute Care Hospital"/>
    <s v="Whitesburg"/>
    <n v="38.700000000000003"/>
    <n v="4.5999999999999996"/>
    <n v="90"/>
    <n v="90"/>
    <n v="6"/>
    <m/>
    <n v="90"/>
    <n v="1.26"/>
    <n v="1690"/>
    <n v="3349"/>
  </r>
  <r>
    <x v="1625"/>
    <n v="180066"/>
    <s v="KY"/>
    <s v="KY - Logan"/>
    <n v="42276"/>
    <s v="Logan Memorial Hospital"/>
    <s v="Short Term Acute Care Hospital"/>
    <s v="Russellville"/>
    <n v="7.9"/>
    <n v="4.4000000000000004"/>
    <n v="56"/>
    <n v="75"/>
    <n v="6"/>
    <m/>
    <n v="75"/>
    <n v="1.27"/>
    <n v="1693"/>
    <n v="651"/>
  </r>
  <r>
    <x v="1626"/>
    <n v="180104"/>
    <s v="KY"/>
    <s v="KY - Mccracken"/>
    <n v="42003"/>
    <s v="Baptist Health Paducah (FKA Western Baptist Hospital)"/>
    <s v="Short Term Acute Care Hospital"/>
    <s v="Paducah"/>
    <n v="101.6"/>
    <n v="3.9"/>
    <n v="347"/>
    <n v="271"/>
    <n v="20"/>
    <n v="0.44"/>
    <n v="271"/>
    <n v="1.74"/>
    <n v="1694"/>
    <n v="10829"/>
  </r>
  <r>
    <x v="1626"/>
    <n v="180102"/>
    <s v="KY"/>
    <s v="KY - Mccracken"/>
    <n v="42003"/>
    <s v="Mercy Health - Lourdes Hospital"/>
    <s v="Short Term Acute Care Hospital"/>
    <s v="Paducah"/>
    <n v="115.9"/>
    <n v="3.9"/>
    <n v="209"/>
    <n v="265"/>
    <n v="14"/>
    <n v="0.44"/>
    <n v="265"/>
    <n v="1.7"/>
    <n v="1695"/>
    <n v="11044"/>
  </r>
  <r>
    <x v="417"/>
    <n v="180049"/>
    <s v="KY"/>
    <s v="KY - Madison"/>
    <n v="40475"/>
    <s v="Baptist Health Richmond"/>
    <s v="Short Term Acute Care Hospital"/>
    <s v="Richmond"/>
    <n v="33.299999999999997"/>
    <n v="3.4"/>
    <n v="204"/>
    <n v="60"/>
    <n v="8"/>
    <n v="0.48"/>
    <n v="60"/>
    <n v="1.74"/>
    <n v="1697"/>
    <n v="3887"/>
  </r>
  <r>
    <x v="1627"/>
    <n v="180024"/>
    <s v="KY"/>
    <s v="KY - Marion"/>
    <n v="40033"/>
    <s v="Spring View Hospital"/>
    <s v="Short Term Acute Care Hospital"/>
    <s v="Lebanon"/>
    <n v="6.9"/>
    <n v="2.8"/>
    <n v="68"/>
    <n v="63"/>
    <n v="6"/>
    <m/>
    <n v="63"/>
    <n v="1.26"/>
    <n v="1698"/>
    <n v="1107"/>
  </r>
  <r>
    <x v="1628"/>
    <n v="180019"/>
    <s v="KY"/>
    <s v="KY - Mason"/>
    <n v="41056"/>
    <s v="Meadowview Regional Medical Center"/>
    <s v="Short Term Acute Care Hospital"/>
    <s v="Maysville"/>
    <n v="16.7"/>
    <n v="3"/>
    <n v="102"/>
    <n v="100"/>
    <n v="5"/>
    <n v="1"/>
    <n v="100"/>
    <n v="1.63"/>
    <n v="1700"/>
    <n v="2348"/>
  </r>
  <r>
    <x v="1629"/>
    <n v="180105"/>
    <s v="KY"/>
    <s v="KY - Monroe"/>
    <n v="42167"/>
    <s v="Monroe County Medical Center"/>
    <s v="Short Term Acute Care Hospital"/>
    <s v="Tompkinsville"/>
    <n v="12.9"/>
    <n v="3.8"/>
    <n v="14"/>
    <n v="49"/>
    <m/>
    <m/>
    <n v="49"/>
    <n v="0.93"/>
    <n v="1702"/>
    <n v="1228"/>
  </r>
  <r>
    <x v="1630"/>
    <n v="180064"/>
    <s v="KY"/>
    <s v="KY - Montgomery"/>
    <n v="40353"/>
    <s v="Saint Joseph Mount Sterling (FKA Mary Chiles Hospital)"/>
    <s v="Short Term Acute Care Hospital"/>
    <s v="Mount Sterling"/>
    <n v="17.2"/>
    <n v="4"/>
    <n v="84"/>
    <n v="42"/>
    <n v="4"/>
    <n v="1"/>
    <n v="42"/>
    <n v="1.44"/>
    <n v="1703"/>
    <n v="1685"/>
  </r>
  <r>
    <x v="1631"/>
    <n v="180004"/>
    <s v="KY"/>
    <s v="KY - Muhlenberg"/>
    <n v="42345"/>
    <s v="Owensboro Health Muhlenberg Community Hospital"/>
    <s v="Short Term Acute Care Hospital"/>
    <s v="Greenville"/>
    <n v="12.8"/>
    <n v="4.7"/>
    <n v="39"/>
    <n v="47"/>
    <n v="6"/>
    <n v="1"/>
    <n v="47"/>
    <n v="1.27"/>
    <n v="1705"/>
    <n v="995"/>
  </r>
  <r>
    <x v="1632"/>
    <n v="180025"/>
    <s v="KY"/>
    <s v="KY - Nelson"/>
    <n v="40004"/>
    <s v="Flaget Memorial Hospital"/>
    <s v="Short Term Acute Care Hospital"/>
    <s v="Bardstown"/>
    <n v="17.899999999999999"/>
    <n v="3.4"/>
    <n v="82"/>
    <n v="40"/>
    <n v="4"/>
    <n v="1"/>
    <n v="40"/>
    <n v="1.63"/>
    <n v="1706"/>
    <n v="2057"/>
  </r>
  <r>
    <x v="1633"/>
    <n v="180138"/>
    <s v="KY"/>
    <s v="KY - Oldham"/>
    <n v="40031"/>
    <s v="Baptist Health La Grange (FKA Baptist Hospital Northeast)"/>
    <s v="Short Term Acute Care Hospital"/>
    <s v="La Grange"/>
    <n v="17.399999999999999"/>
    <n v="3.4"/>
    <n v="186"/>
    <n v="90"/>
    <n v="8"/>
    <n v="0.24"/>
    <n v="90"/>
    <n v="1.64"/>
    <n v="1709"/>
    <n v="2196"/>
  </r>
  <r>
    <x v="1634"/>
    <m/>
    <s v="KY"/>
    <s v="KY - Pendleton"/>
    <n v="41040"/>
    <s v="St Elizabeth - Falmouth (Closed)"/>
    <s v="Short Term Acute Care Hospital"/>
    <s v="Falmouth"/>
    <m/>
    <m/>
    <m/>
    <m/>
    <m/>
    <m/>
    <m/>
    <m/>
    <n v="541902"/>
    <m/>
  </r>
  <r>
    <x v="1635"/>
    <n v="180029"/>
    <s v="KY"/>
    <s v="KY - Perry"/>
    <n v="41701"/>
    <s v="Hazard ARH Regional Medical Center"/>
    <s v="Short Term Acute Care Hospital"/>
    <s v="Hazard"/>
    <n v="151.5"/>
    <n v="5.8"/>
    <n v="275"/>
    <n v="229"/>
    <n v="32"/>
    <m/>
    <n v="229"/>
    <n v="1.6"/>
    <n v="1711"/>
    <n v="9699"/>
  </r>
  <r>
    <x v="1636"/>
    <n v="180069"/>
    <s v="KY"/>
    <s v="KY - Pike"/>
    <n v="41503"/>
    <s v="Tug Valley ARH Regional Medical Center (FKA Williamson ARH Hospital)"/>
    <s v="Short Term Acute Care Hospital"/>
    <s v="South Williamson"/>
    <n v="20.7"/>
    <n v="3.8"/>
    <n v="78"/>
    <n v="88"/>
    <n v="6"/>
    <m/>
    <n v="88"/>
    <n v="1.25"/>
    <n v="1712"/>
    <n v="2085"/>
  </r>
  <r>
    <x v="1636"/>
    <n v="180044"/>
    <s v="KY"/>
    <s v="KY - Pike"/>
    <n v="41501"/>
    <s v="Pikeville Medical Center"/>
    <s v="Short Term Acute Care Hospital"/>
    <s v="Pikeville"/>
    <n v="212"/>
    <n v="5.7"/>
    <n v="455"/>
    <n v="298"/>
    <n v="67"/>
    <m/>
    <n v="298"/>
    <n v="1.83"/>
    <n v="1713"/>
    <n v="13901"/>
  </r>
  <r>
    <x v="1637"/>
    <n v="180132"/>
    <s v="KY"/>
    <s v="KY - Pulaski"/>
    <n v="42503"/>
    <s v="Lake Cumberland Regional Hospital"/>
    <s v="Short Term Acute Care Hospital"/>
    <s v="Somerset"/>
    <n v="105.4"/>
    <n v="4.5999999999999996"/>
    <n v="264"/>
    <n v="230"/>
    <n v="38"/>
    <n v="1"/>
    <n v="230"/>
    <n v="1.65"/>
    <n v="1714"/>
    <n v="8950"/>
  </r>
  <r>
    <x v="1638"/>
    <n v="180115"/>
    <s v="KY"/>
    <s v="KY - Rockcastle"/>
    <n v="40456"/>
    <s v="Rockcastle Regional Hospital"/>
    <s v="Short Term Acute Care Hospital"/>
    <s v="Mount Vernon"/>
    <n v="10"/>
    <n v="4.4000000000000004"/>
    <n v="53"/>
    <n v="20"/>
    <m/>
    <m/>
    <n v="20"/>
    <n v="0.99"/>
    <n v="1715"/>
    <n v="842"/>
  </r>
  <r>
    <x v="1639"/>
    <n v="180018"/>
    <s v="KY"/>
    <s v="KY - Rowan"/>
    <n v="40351"/>
    <s v="St Claire Regional Medical Center (AKA St Claire HealthCare)"/>
    <s v="Short Term Acute Care Hospital"/>
    <s v="Morehead"/>
    <n v="40"/>
    <n v="3.5"/>
    <n v="231"/>
    <n v="90"/>
    <n v="14"/>
    <m/>
    <n v="90"/>
    <n v="1.45"/>
    <n v="1716"/>
    <n v="4368"/>
  </r>
  <r>
    <x v="1640"/>
    <n v="180101"/>
    <s v="KY"/>
    <s v="KY - Scott"/>
    <n v="40324"/>
    <s v="Georgetown Community Hospital"/>
    <s v="Short Term Acute Care Hospital"/>
    <s v="Georgetown"/>
    <n v="15.3"/>
    <n v="3.3"/>
    <n v="95"/>
    <n v="75"/>
    <n v="6"/>
    <n v="0.34"/>
    <n v="75"/>
    <n v="1.41"/>
    <n v="1718"/>
    <n v="1931"/>
  </r>
  <r>
    <x v="1641"/>
    <n v="180016"/>
    <s v="KY"/>
    <s v="KY - Shelby"/>
    <n v="40065"/>
    <s v="UofL Health - Shelbyville Hospital (FKA KentuckyOne Health - Jewish Hospital Shelbyville)"/>
    <s v="Short Term Acute Care Hospital"/>
    <s v="Shelbyville"/>
    <n v="2.9"/>
    <n v="2.8"/>
    <n v="48"/>
    <n v="30"/>
    <n v="4"/>
    <n v="0.24"/>
    <n v="30"/>
    <n v="1.33"/>
    <n v="1719"/>
    <n v="382"/>
  </r>
  <r>
    <x v="1642"/>
    <n v="180087"/>
    <s v="KY"/>
    <s v="KY - Taylor"/>
    <n v="42718"/>
    <s v="Taylor Regional Hospital"/>
    <s v="Short Term Acute Care Hospital"/>
    <s v="Campbellsville"/>
    <n v="25.7"/>
    <n v="4.3"/>
    <n v="131"/>
    <n v="90"/>
    <n v="8"/>
    <n v="0.7"/>
    <n v="90"/>
    <n v="1.33"/>
    <n v="1721"/>
    <n v="2346"/>
  </r>
  <r>
    <x v="1643"/>
    <n v="180124"/>
    <s v="KY"/>
    <s v="KY - Warren"/>
    <n v="42104"/>
    <s v="TriStar Greenview Regional Hospital"/>
    <s v="Short Term Acute Care Hospital"/>
    <s v="Bowling Green"/>
    <n v="56.7"/>
    <n v="3.5"/>
    <n v="100"/>
    <n v="162"/>
    <n v="16"/>
    <n v="0.54"/>
    <n v="162"/>
    <n v="1.66"/>
    <n v="1724"/>
    <n v="5957"/>
  </r>
  <r>
    <x v="1643"/>
    <n v="180013"/>
    <s v="KY"/>
    <s v="KY - Warren"/>
    <n v="42101"/>
    <s v="The Medical Center at Bowling Green"/>
    <s v="Short Term Acute Care Hospital"/>
    <s v="Bowling Green"/>
    <n v="224"/>
    <n v="5.2"/>
    <n v="385"/>
    <n v="308"/>
    <n v="16"/>
    <n v="0.54"/>
    <n v="308"/>
    <n v="1.74"/>
    <n v="1725"/>
    <n v="16591"/>
  </r>
  <r>
    <x v="1644"/>
    <n v="180080"/>
    <s v="KY"/>
    <s v="KY - Whitley"/>
    <n v="40701"/>
    <s v="Baptist Health Corbin (FKA Baptist Regional Medical Center)"/>
    <s v="Short Term Acute Care Hospital"/>
    <s v="Corbin"/>
    <n v="107.9"/>
    <n v="4.5"/>
    <n v="367"/>
    <n v="248"/>
    <m/>
    <n v="0.35"/>
    <n v="248"/>
    <n v="1.58"/>
    <n v="1685"/>
    <n v="9602"/>
  </r>
  <r>
    <x v="430"/>
    <n v="190044"/>
    <s v="LA"/>
    <s v="LA - Acadia"/>
    <n v="70526"/>
    <s v="Acadia General Hospital (FKA American Legion Hospital)"/>
    <s v="Short Term Acute Care Hospital"/>
    <s v="Crowley"/>
    <n v="21.7"/>
    <n v="4.5999999999999996"/>
    <n v="75"/>
    <n v="129"/>
    <n v="4"/>
    <n v="0.2"/>
    <n v="129"/>
    <n v="1.5"/>
    <n v="1728"/>
    <n v="1700"/>
  </r>
  <r>
    <x v="1645"/>
    <n v="190106"/>
    <s v="LA"/>
    <s v="LA - Allen"/>
    <n v="71463"/>
    <s v="Oakdale Community Hospital"/>
    <s v="Short Term Acute Care Hospital"/>
    <s v="Oakdale"/>
    <n v="7.9"/>
    <n v="5.0999999999999996"/>
    <n v="24"/>
    <n v="49"/>
    <n v="3"/>
    <m/>
    <n v="49"/>
    <n v="1.0900000000000001"/>
    <n v="1729"/>
    <n v="563"/>
  </r>
  <r>
    <x v="1645"/>
    <n v="190133"/>
    <s v="LA"/>
    <s v="LA - Allen"/>
    <n v="70648"/>
    <s v="Allen Parish Community Healthcare (FKA Allen Parish Hospital)"/>
    <s v="Short Term Acute Care Hospital"/>
    <s v="Kinder"/>
    <n v="4.2"/>
    <n v="4.3"/>
    <n v="15"/>
    <n v="25"/>
    <m/>
    <m/>
    <n v="25"/>
    <n v="1.1000000000000001"/>
    <n v="1730"/>
    <n v="361"/>
  </r>
  <r>
    <x v="431"/>
    <m/>
    <s v="LA"/>
    <s v="LA - Ascension"/>
    <n v="70737"/>
    <s v="Our Lady of the Lake Ascension (FKA St Elizabeth Hospital)"/>
    <s v="Short Term Acute Care Hospital"/>
    <s v="Gonzales"/>
    <n v="31"/>
    <n v="4.2"/>
    <n v="40"/>
    <n v="78"/>
    <n v="7"/>
    <n v="0.24"/>
    <n v="78"/>
    <n v="1.41"/>
    <n v="1731"/>
    <n v="2716"/>
  </r>
  <r>
    <x v="431"/>
    <m/>
    <s v="LA"/>
    <s v="LA - Ascension"/>
    <n v="70769"/>
    <s v="Prairieville Family Hospital"/>
    <s v="Short Term Acute Care Hospital"/>
    <s v="Prairieville"/>
    <m/>
    <m/>
    <n v="4"/>
    <m/>
    <m/>
    <m/>
    <m/>
    <m/>
    <n v="1001815"/>
    <m/>
  </r>
  <r>
    <x v="433"/>
    <n v="190099"/>
    <s v="LA"/>
    <s v="LA - Avoyelles"/>
    <n v="71351"/>
    <s v="Avoyelles Hospital"/>
    <s v="Short Term Acute Care Hospital"/>
    <s v="Marksville"/>
    <n v="8.4"/>
    <n v="3.8"/>
    <n v="49"/>
    <n v="49"/>
    <n v="2"/>
    <m/>
    <n v="49"/>
    <n v="1.1000000000000001"/>
    <n v="1734"/>
    <n v="815"/>
  </r>
  <r>
    <x v="1646"/>
    <n v="190050"/>
    <s v="LA"/>
    <s v="LA - Beauregard"/>
    <n v="70634"/>
    <s v="Beauregard Health System (FKA Beauregard Memorial Hospital)"/>
    <s v="Short Term Acute Care Hospital"/>
    <s v="Deridder"/>
    <n v="21.1"/>
    <n v="4"/>
    <n v="62"/>
    <n v="49"/>
    <n v="6"/>
    <n v="1"/>
    <n v="60"/>
    <n v="1.1499999999999999"/>
    <n v="1735"/>
    <n v="2069"/>
  </r>
  <r>
    <x v="1647"/>
    <m/>
    <s v="LA"/>
    <s v="LA - Bossier"/>
    <n v="71111"/>
    <s v="WK Bossier Health Center"/>
    <s v="Short Term Acute Care Hospital"/>
    <s v="Bossier City"/>
    <n v="80.7"/>
    <n v="4.2"/>
    <n v="32"/>
    <n v="124"/>
    <n v="10"/>
    <n v="0.31"/>
    <n v="124"/>
    <n v="1.42"/>
    <n v="1737"/>
    <n v="7341"/>
  </r>
  <r>
    <x v="1647"/>
    <s v="190258 (Closed)"/>
    <s v="LA"/>
    <s v="LA - Bossier"/>
    <n v="71111"/>
    <s v="Bossier Specialty Hospital (Closed 2009)"/>
    <s v="Short Term Acute Care Hospital"/>
    <s v="Bossier City"/>
    <n v="0.7"/>
    <n v="1.9"/>
    <m/>
    <m/>
    <m/>
    <n v="0.31"/>
    <m/>
    <m/>
    <n v="4800"/>
    <n v="136"/>
  </r>
  <r>
    <x v="1647"/>
    <m/>
    <s v="LA"/>
    <s v="LA - Bossier"/>
    <n v="71111"/>
    <s v="CHRISTUS Bossier Emergency Hospital"/>
    <s v="Short Term Acute Care Hospital"/>
    <s v="Bossier City"/>
    <m/>
    <m/>
    <m/>
    <m/>
    <m/>
    <m/>
    <n v="6"/>
    <m/>
    <n v="957336"/>
    <m/>
  </r>
  <r>
    <x v="435"/>
    <n v="190098"/>
    <s v="LA"/>
    <s v="LA - Caddo"/>
    <n v="71103"/>
    <s v="Ochsner LSU Health Shreveport - Academic Medical Center (FKA University Health Shreveport)"/>
    <s v="Short Term Acute Care Hospital"/>
    <s v="Shreveport"/>
    <n v="264.7"/>
    <n v="4.5"/>
    <n v="490"/>
    <n v="369"/>
    <m/>
    <n v="0.31"/>
    <n v="369"/>
    <n v="1.96"/>
    <n v="1739"/>
    <n v="22013"/>
  </r>
  <r>
    <x v="435"/>
    <n v="190111"/>
    <s v="LA"/>
    <s v="LA - Caddo"/>
    <n v="71103"/>
    <s v="Willis-Knighton Medical Center"/>
    <s v="Short Term Acute Care Hospital"/>
    <s v="Shreveport"/>
    <n v="458.1"/>
    <n v="5.3"/>
    <n v="668"/>
    <n v="762"/>
    <n v="74"/>
    <n v="0.31"/>
    <n v="762"/>
    <n v="1.74"/>
    <n v="1740"/>
    <n v="32649"/>
  </r>
  <r>
    <x v="435"/>
    <m/>
    <s v="LA"/>
    <s v="LA - Caddo"/>
    <n v="71101"/>
    <s v="Christus Schumpert Medical Center (Closed 2013)"/>
    <s v="Short Term Acute Care Hospital"/>
    <s v="Shreveport"/>
    <m/>
    <m/>
    <m/>
    <m/>
    <m/>
    <m/>
    <m/>
    <m/>
    <n v="1741"/>
    <m/>
  </r>
  <r>
    <x v="435"/>
    <s v="190111*"/>
    <s v="LA"/>
    <s v="LA - Caddo"/>
    <n v="71118"/>
    <s v="Willis-Knighton South &amp; the Center for Womens Health"/>
    <s v="Short Term Acute Care Hospital"/>
    <s v="Shreveport"/>
    <m/>
    <m/>
    <n v="40"/>
    <m/>
    <m/>
    <m/>
    <m/>
    <m/>
    <n v="550141"/>
    <m/>
  </r>
  <r>
    <x v="435"/>
    <s v="190111*"/>
    <s v="LA"/>
    <s v="LA - Caddo"/>
    <n v="71115"/>
    <s v="WK Pierremont Health Center"/>
    <s v="Short Term Acute Care Hospital"/>
    <s v="Shreveport"/>
    <m/>
    <m/>
    <n v="47"/>
    <m/>
    <m/>
    <m/>
    <m/>
    <m/>
    <n v="550142"/>
    <m/>
  </r>
  <r>
    <x v="435"/>
    <n v="190041"/>
    <s v="LA"/>
    <s v="LA - Caddo"/>
    <n v="71105"/>
    <s v="CHRISTUS Health Shreveport-Bossier"/>
    <s v="Short Term Acute Care Hospital"/>
    <s v="Shreveport"/>
    <n v="97.8"/>
    <n v="4.0999999999999996"/>
    <n v="254"/>
    <n v="192"/>
    <n v="20"/>
    <n v="0.31"/>
    <n v="192"/>
    <n v="1.79"/>
    <n v="579927"/>
    <n v="9097"/>
  </r>
  <r>
    <x v="435"/>
    <n v="190278"/>
    <s v="LA"/>
    <s v="LA - Caddo"/>
    <n v="71101"/>
    <s v="Specialists Hospital Shreveport"/>
    <s v="Short Term Acute Care Hospital"/>
    <s v="Shreveport"/>
    <n v="6.4"/>
    <n v="2"/>
    <n v="48"/>
    <n v="15"/>
    <m/>
    <n v="0.31"/>
    <n v="15"/>
    <n v="3.08"/>
    <n v="1738"/>
    <n v="1164"/>
  </r>
  <r>
    <x v="436"/>
    <n v="190060"/>
    <s v="LA"/>
    <s v="LA - Calcasieu"/>
    <n v="70601"/>
    <s v="Lake Charles Memorial Hospital"/>
    <s v="Short Term Acute Care Hospital"/>
    <s v="Lake Charles"/>
    <n v="148.69999999999999"/>
    <n v="4.9000000000000004"/>
    <n v="292"/>
    <n v="300"/>
    <n v="38"/>
    <n v="0.32"/>
    <n v="300"/>
    <n v="1.81"/>
    <n v="1742"/>
    <n v="11863"/>
  </r>
  <r>
    <x v="436"/>
    <n v="190027"/>
    <s v="LA"/>
    <s v="LA - Calcasieu"/>
    <n v="70601"/>
    <s v="CHRISTUS Ochsner St Patrick Hospital"/>
    <s v="Short Term Acute Care Hospital"/>
    <s v="Lake Charles"/>
    <n v="75.900000000000006"/>
    <n v="4.2"/>
    <n v="680"/>
    <n v="100"/>
    <n v="17"/>
    <n v="0.32"/>
    <n v="100"/>
    <n v="1.85"/>
    <n v="1743"/>
    <n v="6611"/>
  </r>
  <r>
    <x v="436"/>
    <n v="190013"/>
    <s v="LA"/>
    <s v="LA - Calcasieu"/>
    <n v="70663"/>
    <s v="West Calcasieu Cameron Hospital"/>
    <s v="Short Term Acute Care Hospital"/>
    <s v="Sulphur"/>
    <n v="24.4"/>
    <n v="4.0999999999999996"/>
    <n v="138"/>
    <n v="107"/>
    <n v="12"/>
    <n v="0.32"/>
    <n v="107"/>
    <n v="1.62"/>
    <n v="1744"/>
    <n v="2300"/>
  </r>
  <r>
    <x v="436"/>
    <s v="190161 (Closed)"/>
    <s v="LA"/>
    <s v="LA - Calcasieu"/>
    <n v="70607"/>
    <s v="Moss Memorial Health Clinic (FKA W O Moss Regional Medical Center No Longer Offers Inpatient Services Closed)"/>
    <s v="Short Term Acute Care Hospital"/>
    <s v="Lake Charles"/>
    <n v="7.3"/>
    <n v="4.0999999999999996"/>
    <m/>
    <m/>
    <m/>
    <n v="0.32"/>
    <m/>
    <m/>
    <n v="1745"/>
    <n v="643"/>
  </r>
  <r>
    <x v="436"/>
    <n v="190201"/>
    <s v="LA"/>
    <s v="LA - Calcasieu"/>
    <n v="70605"/>
    <s v="CHRISTUS Ochsner Lake Area Hospital"/>
    <s v="Short Term Acute Care Hospital"/>
    <s v="Lake Charles"/>
    <n v="25.7"/>
    <n v="4.2"/>
    <n v="59"/>
    <n v="108"/>
    <n v="8"/>
    <n v="0.32"/>
    <n v="88"/>
    <n v="1.46"/>
    <n v="1746"/>
    <n v="2743"/>
  </r>
  <r>
    <x v="436"/>
    <s v="190060*"/>
    <s v="LA"/>
    <s v="LA - Calcasieu"/>
    <n v="70605"/>
    <s v="Memorial for Women"/>
    <s v="Short Term Acute Care Hospital"/>
    <s v="Lake Charles"/>
    <m/>
    <m/>
    <n v="11"/>
    <m/>
    <m/>
    <m/>
    <n v="38"/>
    <m/>
    <n v="576755"/>
    <m/>
  </r>
  <r>
    <x v="436"/>
    <m/>
    <s v="LA"/>
    <s v="LA - Calcasieu"/>
    <n v="70605"/>
    <s v="Archer Institute of Lake Charles Memorial Health System"/>
    <s v="Short Term Acute Care Hospital"/>
    <s v="Lake Charles"/>
    <m/>
    <m/>
    <m/>
    <m/>
    <m/>
    <m/>
    <n v="42"/>
    <m/>
    <n v="941999"/>
    <m/>
  </r>
  <r>
    <x v="436"/>
    <n v="190315"/>
    <s v="LA"/>
    <s v="LA - Calcasieu"/>
    <n v="70605"/>
    <s v="Avail Health Lake Charles Hospital"/>
    <s v="Short Term Acute Care Hospital"/>
    <s v="Lake Charles"/>
    <m/>
    <m/>
    <m/>
    <m/>
    <m/>
    <m/>
    <m/>
    <m/>
    <n v="966435"/>
    <m/>
  </r>
  <r>
    <x v="1648"/>
    <n v="190184"/>
    <s v="LA"/>
    <s v="LA - Caldwell"/>
    <n v="71418"/>
    <s v="Citizens Medical Center"/>
    <s v="Short Term Acute Care Hospital"/>
    <s v="Columbia"/>
    <n v="5"/>
    <n v="4.3"/>
    <n v="13"/>
    <n v="40"/>
    <m/>
    <m/>
    <n v="40"/>
    <n v="1.04"/>
    <n v="1747"/>
    <n v="426"/>
  </r>
  <r>
    <x v="1648"/>
    <n v="190190"/>
    <s v="LA"/>
    <s v="LA - Caldwell"/>
    <n v="71418"/>
    <s v="Caldwell Memorial Hospital"/>
    <s v="Short Term Acute Care Hospital"/>
    <s v="Columbia"/>
    <n v="5.7"/>
    <n v="3.6"/>
    <n v="5"/>
    <n v="37"/>
    <m/>
    <m/>
    <n v="37"/>
    <n v="0.98"/>
    <n v="1748"/>
    <n v="575"/>
  </r>
  <r>
    <x v="1649"/>
    <n v="190307"/>
    <s v="LA"/>
    <s v="LA - Cameron"/>
    <n v="70631"/>
    <s v="South Cameron Memorial Hospital"/>
    <s v="Short Term Acute Care Hospital"/>
    <s v="Cameron"/>
    <m/>
    <m/>
    <n v="8"/>
    <n v="25"/>
    <m/>
    <n v="0.32"/>
    <n v="49"/>
    <n v="1.1499999999999999"/>
    <n v="1749"/>
    <m/>
  </r>
  <r>
    <x v="1650"/>
    <n v="190114"/>
    <s v="LA"/>
    <s v="LA - Claiborne"/>
    <n v="71040"/>
    <s v="Claiborne Memorial Medical Center (FKA Homer Memorial Hospital)"/>
    <s v="Short Term Acute Care Hospital"/>
    <s v="Homer"/>
    <n v="13.6"/>
    <n v="5.3"/>
    <n v="19"/>
    <n v="37"/>
    <n v="4"/>
    <m/>
    <n v="37"/>
    <n v="1.1000000000000001"/>
    <n v="1750"/>
    <n v="936"/>
  </r>
  <r>
    <x v="1651"/>
    <n v="190118"/>
    <s v="LA"/>
    <s v="LA - De Soto"/>
    <n v="71052"/>
    <s v="DeSoto Regional Health System"/>
    <s v="Short Term Acute Care Hospital"/>
    <s v="Mansfield"/>
    <n v="3.8"/>
    <n v="3.4"/>
    <n v="26"/>
    <n v="34"/>
    <m/>
    <n v="0.31"/>
    <n v="34"/>
    <n v="0.91"/>
    <n v="1751"/>
    <n v="411"/>
  </r>
  <r>
    <x v="1652"/>
    <s v="190273 (Closed)"/>
    <s v="LA"/>
    <s v="LA - East Baton Rouge"/>
    <n v="70807"/>
    <s v="Greater Baton Rouge Surgical Hospital (Closed December 2012)"/>
    <s v="Short Term Acute Care Hospital"/>
    <s v="Baton Rouge"/>
    <n v="1.2"/>
    <n v="4.8"/>
    <m/>
    <m/>
    <m/>
    <n v="0.24"/>
    <m/>
    <m/>
    <n v="1757"/>
    <n v="90"/>
  </r>
  <r>
    <x v="1652"/>
    <n v="190020"/>
    <s v="LA"/>
    <s v="LA - East Baton Rouge"/>
    <n v="70791"/>
    <s v="Lane Regional Medical Center"/>
    <s v="Short Term Acute Care Hospital"/>
    <s v="Zachary"/>
    <n v="34.200000000000003"/>
    <n v="3.4"/>
    <n v="120"/>
    <n v="113"/>
    <n v="8"/>
    <n v="0.24"/>
    <n v="113"/>
    <n v="1.46"/>
    <n v="1758"/>
    <n v="3833"/>
  </r>
  <r>
    <x v="1652"/>
    <n v="190064"/>
    <s v="LA"/>
    <s v="LA - East Baton Rouge"/>
    <n v="70808"/>
    <s v="Our Lady of the Lake Regional Medical Center"/>
    <s v="Short Term Acute Care Hospital"/>
    <s v="Baton Rouge"/>
    <n v="458.2"/>
    <n v="4.7"/>
    <n v="1473"/>
    <n v="773"/>
    <n v="43"/>
    <n v="0.24"/>
    <n v="773"/>
    <n v="1.89"/>
    <n v="1759"/>
    <n v="33271"/>
  </r>
  <r>
    <x v="1652"/>
    <n v="190065"/>
    <s v="LA"/>
    <s v="LA - East Baton Rouge"/>
    <n v="70806"/>
    <s v="Baton Rouge General Medical Center - Mid City Campus"/>
    <s v="Short Term Acute Care Hospital"/>
    <s v="Baton Rouge"/>
    <n v="160.6"/>
    <n v="4.5"/>
    <n v="341"/>
    <n v="271"/>
    <n v="24"/>
    <n v="0.24"/>
    <n v="271"/>
    <n v="1.89"/>
    <n v="1760"/>
    <n v="13248"/>
  </r>
  <r>
    <x v="1652"/>
    <s v="190122 (Closed)"/>
    <s v="LA"/>
    <s v="LA - East Baton Rouge"/>
    <n v="70805"/>
    <s v="Earl K Long Medical Center (Closed April 2013)"/>
    <s v="Short Term Acute Care Hospital"/>
    <s v="Baton Rouge"/>
    <n v="29.8"/>
    <n v="4.8"/>
    <m/>
    <m/>
    <m/>
    <n v="0.24"/>
    <m/>
    <m/>
    <n v="1752"/>
    <n v="2286"/>
  </r>
  <r>
    <x v="1652"/>
    <n v="190128"/>
    <s v="LA"/>
    <s v="LA - East Baton Rouge"/>
    <n v="70817"/>
    <s v="Womans Hospital"/>
    <s v="Short Term Acute Care Hospital"/>
    <s v="Baton Rouge"/>
    <n v="130"/>
    <n v="5.9"/>
    <n v="254"/>
    <n v="228"/>
    <n v="4"/>
    <n v="0.24"/>
    <n v="228"/>
    <n v="1.33"/>
    <n v="1753"/>
    <n v="10814"/>
  </r>
  <r>
    <x v="1652"/>
    <n v="190202"/>
    <s v="LA"/>
    <s v="LA - East Baton Rouge"/>
    <n v="70816"/>
    <s v="Ochsner Medical Center - Baton Rouge"/>
    <s v="Short Term Acute Care Hospital"/>
    <s v="Baton Rouge"/>
    <n v="66.900000000000006"/>
    <n v="4.2"/>
    <n v="329"/>
    <n v="164"/>
    <n v="20"/>
    <n v="0.24"/>
    <n v="150"/>
    <n v="1.7"/>
    <n v="1754"/>
    <n v="6589"/>
  </r>
  <r>
    <x v="1652"/>
    <n v="190251"/>
    <s v="LA"/>
    <s v="LA - East Baton Rouge"/>
    <n v="70810"/>
    <s v="Surgical Specialty Center of Baton Rouge"/>
    <s v="Short Term Acute Care Hospital"/>
    <s v="Baton Rouge"/>
    <n v="2.8"/>
    <n v="1.7"/>
    <n v="41"/>
    <n v="16"/>
    <m/>
    <n v="0.24"/>
    <n v="16"/>
    <n v="2.65"/>
    <n v="1755"/>
    <n v="616"/>
  </r>
  <r>
    <x v="1652"/>
    <s v="190065*"/>
    <s v="LA"/>
    <s v="LA - East Baton Rouge"/>
    <n v="70809"/>
    <s v="Baton Rouge General Medical Center - Bluebonnet Campus"/>
    <s v="Short Term Acute Care Hospital"/>
    <s v="Baton Rouge"/>
    <m/>
    <m/>
    <m/>
    <m/>
    <m/>
    <m/>
    <n v="335"/>
    <m/>
    <n v="794503"/>
    <m/>
  </r>
  <r>
    <x v="1652"/>
    <m/>
    <s v="LA"/>
    <s v="LA - East Baton Rouge"/>
    <n v="70807"/>
    <s v="Champion Medical Center Baton Rouge (Closed)"/>
    <s v="Short Term Acute Care Hospital"/>
    <s v="Baton Rouge"/>
    <m/>
    <m/>
    <m/>
    <m/>
    <m/>
    <m/>
    <m/>
    <m/>
    <n v="843015"/>
    <m/>
  </r>
  <r>
    <x v="1652"/>
    <m/>
    <s v="LA"/>
    <s v="LA - East Baton Rouge"/>
    <n v="70836"/>
    <s v="Ochsner Medical Complex - The Grove"/>
    <s v="Short Term Acute Care Hospital"/>
    <s v="Baton Rouge"/>
    <m/>
    <m/>
    <m/>
    <m/>
    <m/>
    <m/>
    <m/>
    <m/>
    <n v="1000719"/>
    <m/>
  </r>
  <r>
    <x v="1652"/>
    <n v="190266"/>
    <s v="LA"/>
    <s v="LA - East Baton Rouge"/>
    <n v="70810"/>
    <s v="The Spine Hospital of Louisiana at the NeuroMedical Center (FKA the Neuromedical Center Surgical Hospital)"/>
    <s v="Short Term Acute Care Hospital"/>
    <s v="Baton Rouge"/>
    <n v="6.2"/>
    <n v="1.6"/>
    <n v="31"/>
    <n v="23"/>
    <m/>
    <n v="0.24"/>
    <n v="23"/>
    <n v="3.75"/>
    <n v="1756"/>
    <n v="1409"/>
  </r>
  <r>
    <x v="1653"/>
    <n v="190208"/>
    <s v="LA"/>
    <s v="LA - East Carroll"/>
    <n v="71254"/>
    <s v="East Carroll Parish Hospital"/>
    <s v="Short Term Acute Care Hospital"/>
    <s v="Lake Providence"/>
    <n v="3.2"/>
    <n v="3.2"/>
    <n v="8"/>
    <n v="23"/>
    <m/>
    <m/>
    <n v="23"/>
    <n v="0.91"/>
    <n v="1761"/>
    <n v="367"/>
  </r>
  <r>
    <x v="1654"/>
    <m/>
    <s v="LA"/>
    <s v="LA - East Feliciana"/>
    <n v="70748"/>
    <s v="Villa Feliciana Medical Complex"/>
    <s v="Short Term Acute Care Hospital"/>
    <s v="Jackson"/>
    <m/>
    <n v="2.7"/>
    <m/>
    <m/>
    <m/>
    <m/>
    <n v="299"/>
    <n v="1.1299999999999999"/>
    <n v="1762"/>
    <n v="7"/>
  </r>
  <r>
    <x v="1655"/>
    <n v="190167"/>
    <s v="LA"/>
    <s v="LA - Evangeline"/>
    <n v="70586"/>
    <s v="Mercy Regional Medical Center"/>
    <s v="Short Term Acute Care Hospital"/>
    <s v="Ville Platte"/>
    <n v="32.700000000000003"/>
    <n v="4.9000000000000004"/>
    <n v="71"/>
    <n v="99"/>
    <n v="14"/>
    <m/>
    <n v="99"/>
    <n v="1.26"/>
    <n v="1763"/>
    <n v="2752"/>
  </r>
  <r>
    <x v="1655"/>
    <n v="190025"/>
    <s v="LA"/>
    <s v="LA - Evangeline"/>
    <n v="70554"/>
    <s v="Savoy Medical Center"/>
    <s v="Short Term Acute Care Hospital"/>
    <s v="Mamou"/>
    <n v="8"/>
    <n v="5.0999999999999996"/>
    <n v="31"/>
    <n v="128"/>
    <n v="10"/>
    <m/>
    <n v="128"/>
    <n v="1.1499999999999999"/>
    <n v="1764"/>
    <n v="569"/>
  </r>
  <r>
    <x v="1656"/>
    <n v="190140"/>
    <s v="LA"/>
    <s v="LA - Franklin"/>
    <n v="71295"/>
    <s v="Franklin Medical Center"/>
    <s v="Short Term Acute Care Hospital"/>
    <s v="Winnsboro"/>
    <n v="6.8"/>
    <n v="4.2"/>
    <n v="56"/>
    <n v="29"/>
    <n v="6"/>
    <m/>
    <n v="29"/>
    <n v="1.08"/>
    <n v="1765"/>
    <n v="589"/>
  </r>
  <r>
    <x v="1657"/>
    <n v="190054"/>
    <s v="LA"/>
    <s v="LA - Iberia"/>
    <n v="70560"/>
    <s v="Iberia Medical Center - Main Campus"/>
    <s v="Short Term Acute Care Hospital"/>
    <s v="New Iberia"/>
    <n v="44.5"/>
    <n v="3.7"/>
    <n v="161"/>
    <n v="113"/>
    <n v="11"/>
    <n v="0.2"/>
    <n v="113"/>
    <n v="1.6"/>
    <n v="1766"/>
    <n v="4564"/>
  </r>
  <r>
    <x v="1657"/>
    <s v="190054*"/>
    <s v="LA"/>
    <s v="LA - Iberia"/>
    <n v="70563"/>
    <s v="Iberia Medical Center - North Campus (FKA Dauterive Hospital)"/>
    <s v="Short Term Acute Care Hospital"/>
    <s v="New Iberia"/>
    <m/>
    <m/>
    <m/>
    <m/>
    <m/>
    <m/>
    <m/>
    <m/>
    <n v="1767"/>
    <m/>
  </r>
  <r>
    <x v="1657"/>
    <s v="190054*"/>
    <s v="LA"/>
    <s v="LA - Iberia"/>
    <n v="70560"/>
    <s v="Iberia Extended Care Hospital"/>
    <s v="Short Term Acute Care Hospital"/>
    <s v="New Iberia"/>
    <m/>
    <m/>
    <n v="7"/>
    <m/>
    <m/>
    <m/>
    <n v="18"/>
    <m/>
    <n v="907041"/>
    <m/>
  </r>
  <r>
    <x v="1658"/>
    <s v="190131 (Closed)"/>
    <s v="LA"/>
    <s v="LA - Iberville"/>
    <n v="70764"/>
    <s v="River West Medical Center (Closed)"/>
    <s v="Short Term Acute Care Hospital"/>
    <s v="Plaquemine"/>
    <n v="10.3"/>
    <n v="3"/>
    <m/>
    <m/>
    <m/>
    <n v="0.24"/>
    <m/>
    <m/>
    <n v="4797"/>
    <n v="1237"/>
  </r>
  <r>
    <x v="1659"/>
    <n v="190146"/>
    <s v="LA"/>
    <s v="LA - Jefferson"/>
    <n v="70006"/>
    <s v="East Jefferson General Hospital"/>
    <s v="Short Term Acute Care Hospital"/>
    <s v="Metairie"/>
    <n v="143.4"/>
    <n v="4.3"/>
    <n v="433"/>
    <n v="309"/>
    <n v="29"/>
    <n v="0.15"/>
    <n v="309"/>
    <n v="1.66"/>
    <n v="1769"/>
    <n v="12456"/>
  </r>
  <r>
    <x v="1659"/>
    <n v="190274"/>
    <s v="LA"/>
    <s v="LA - Jefferson"/>
    <n v="70065"/>
    <s v="Ochsner Medical Center - Kenner"/>
    <s v="Short Term Acute Care Hospital"/>
    <s v="Kenner"/>
    <n v="68.7"/>
    <n v="4.2"/>
    <n v="169"/>
    <n v="115"/>
    <n v="16"/>
    <n v="0.15"/>
    <n v="115"/>
    <n v="1.62"/>
    <n v="1770"/>
    <n v="6507"/>
  </r>
  <r>
    <x v="1659"/>
    <n v="190039"/>
    <s v="LA"/>
    <s v="LA - Jefferson"/>
    <n v="70072"/>
    <s v="West Jefferson Medical Center"/>
    <s v="Short Term Acute Care Hospital"/>
    <s v="Marrero"/>
    <n v="143.4"/>
    <n v="6"/>
    <n v="359"/>
    <n v="215"/>
    <n v="12"/>
    <n v="0.15"/>
    <n v="215"/>
    <n v="1.8"/>
    <n v="1771"/>
    <n v="8066"/>
  </r>
  <r>
    <x v="1659"/>
    <n v="190036"/>
    <s v="LA"/>
    <s v="LA - Jefferson"/>
    <n v="70121"/>
    <s v="Ochsner Medical Center - Main Campus"/>
    <s v="Short Term Acute Care Hospital"/>
    <s v="New Orleans"/>
    <n v="618.5"/>
    <n v="5.3"/>
    <n v="1916"/>
    <n v="963"/>
    <n v="100"/>
    <n v="0.15"/>
    <n v="963"/>
    <n v="2.08"/>
    <n v="1772"/>
    <n v="44200"/>
  </r>
  <r>
    <x v="1659"/>
    <s v="190036*"/>
    <s v="LA"/>
    <s v="LA - Jefferson"/>
    <n v="70056"/>
    <s v="Ochsner Medical Center - West Bank Campus"/>
    <s v="Short Term Acute Care Hospital"/>
    <s v="Gretna"/>
    <m/>
    <m/>
    <n v="15"/>
    <m/>
    <m/>
    <m/>
    <n v="180"/>
    <m/>
    <n v="4802"/>
    <m/>
  </r>
  <r>
    <x v="1659"/>
    <s v="190036* (Closed)"/>
    <s v="LA"/>
    <s v="LA - Jefferson"/>
    <n v="70121"/>
    <s v="Ochsner Health Center - Elmwood (Closed - No Longer Offers Inpatient Services)"/>
    <s v="Short Term Acute Care Hospital"/>
    <s v="Harahan"/>
    <m/>
    <m/>
    <m/>
    <m/>
    <m/>
    <m/>
    <m/>
    <m/>
    <n v="541873"/>
    <m/>
  </r>
  <r>
    <x v="1659"/>
    <n v="190302"/>
    <s v="LA"/>
    <s v="LA - Jefferson"/>
    <n v="70002"/>
    <s v="Omega Hospital"/>
    <s v="Short Term Acute Care Hospital"/>
    <s v="Metairie"/>
    <n v="0.4"/>
    <n v="1.8"/>
    <n v="21"/>
    <n v="16"/>
    <m/>
    <n v="0.15"/>
    <n v="16"/>
    <n v="2.44"/>
    <n v="577569"/>
    <n v="71"/>
  </r>
  <r>
    <x v="1659"/>
    <m/>
    <s v="LA"/>
    <s v="LA - Jefferson"/>
    <n v="70121"/>
    <s v="Ochsner Hospital for Orthopedics &amp; Sports Medicine"/>
    <s v="Short Term Acute Care Hospital"/>
    <s v="New Orleans"/>
    <m/>
    <m/>
    <m/>
    <m/>
    <m/>
    <m/>
    <m/>
    <m/>
    <n v="1005795"/>
    <m/>
  </r>
  <r>
    <x v="1660"/>
    <n v="190053"/>
    <s v="LA"/>
    <s v="LA - Jefferson Davis"/>
    <n v="70546"/>
    <s v="Jennings American Legion Hospital"/>
    <s v="Short Term Acute Care Hospital"/>
    <s v="Jennings"/>
    <n v="24.6"/>
    <n v="4.2"/>
    <n v="55"/>
    <n v="49"/>
    <n v="5"/>
    <n v="1"/>
    <n v="49"/>
    <n v="1.23"/>
    <n v="1773"/>
    <n v="2377"/>
  </r>
  <r>
    <x v="1661"/>
    <n v="190102"/>
    <s v="LA"/>
    <s v="LA - Lafayette"/>
    <n v="70508"/>
    <s v="Our Lady of Lourdes Regional Medical Center"/>
    <s v="Short Term Acute Care Hospital"/>
    <s v="Lafayette"/>
    <n v="252.5"/>
    <n v="5.3"/>
    <n v="455"/>
    <n v="331"/>
    <n v="24"/>
    <n v="0.2"/>
    <n v="331"/>
    <n v="1.8"/>
    <n v="1774"/>
    <n v="11972"/>
  </r>
  <r>
    <x v="1661"/>
    <n v="190268"/>
    <s v="LA"/>
    <s v="LA - Lafayette"/>
    <n v="70503"/>
    <s v="Lafayette General Surgical Hospital"/>
    <s v="Short Term Acute Care Hospital"/>
    <s v="Lafayette"/>
    <n v="0.7"/>
    <n v="1.8"/>
    <n v="16"/>
    <n v="10"/>
    <m/>
    <n v="0.2"/>
    <n v="10"/>
    <n v="1.89"/>
    <n v="1775"/>
    <n v="143"/>
  </r>
  <r>
    <x v="1661"/>
    <m/>
    <s v="LA"/>
    <s v="LA - Lafayette"/>
    <n v="70508"/>
    <s v="Our Lady of Lourdes Heart Hospital (FKA Heart Hospital of Lafayette)"/>
    <s v="Short Term Acute Care Hospital"/>
    <s v="Lafayette"/>
    <n v="16.8"/>
    <n v="3.8"/>
    <n v="19"/>
    <n v="32"/>
    <m/>
    <n v="0.2"/>
    <n v="32"/>
    <n v="2.59"/>
    <n v="1776"/>
    <n v="1621"/>
  </r>
  <r>
    <x v="1661"/>
    <s v="190002*"/>
    <s v="LA"/>
    <s v="LA - Lafayette"/>
    <n v="70506"/>
    <s v="Lafayette General Orthopaedic Hospital"/>
    <s v="Short Term Acute Care Hospital"/>
    <s v="Lafayette"/>
    <m/>
    <m/>
    <n v="1"/>
    <m/>
    <m/>
    <m/>
    <n v="131"/>
    <m/>
    <n v="1777"/>
    <m/>
  </r>
  <r>
    <x v="1661"/>
    <n v="190255"/>
    <s v="LA"/>
    <s v="LA - Lafayette"/>
    <n v="70508"/>
    <s v="Park Place Surgical Hospital"/>
    <s v="Short Term Acute Care Hospital"/>
    <s v="Lafayette"/>
    <n v="2.7"/>
    <n v="2.1"/>
    <n v="42"/>
    <n v="10"/>
    <m/>
    <n v="0.2"/>
    <n v="10"/>
    <n v="2.1800000000000002"/>
    <n v="1778"/>
    <n v="473"/>
  </r>
  <r>
    <x v="1661"/>
    <n v="190259"/>
    <s v="LA"/>
    <s v="LA - Lafayette"/>
    <n v="70508"/>
    <s v="Lafayette Surgical Specialty Hospital"/>
    <s v="Short Term Acute Care Hospital"/>
    <s v="Lafayette"/>
    <n v="4.8"/>
    <n v="2"/>
    <n v="74"/>
    <n v="20"/>
    <m/>
    <n v="0.2"/>
    <n v="20"/>
    <n v="2.69"/>
    <n v="1779"/>
    <n v="872"/>
  </r>
  <r>
    <x v="1661"/>
    <n v="190006"/>
    <s v="LA"/>
    <s v="LA - Lafayette"/>
    <n v="70506"/>
    <s v="University Hospital &amp; Clinics (FKA University Medical Center)"/>
    <s v="Short Term Acute Care Hospital"/>
    <s v="Lafayette"/>
    <n v="30"/>
    <n v="3.7"/>
    <n v="134"/>
    <n v="52"/>
    <n v="10"/>
    <n v="0.2"/>
    <n v="52"/>
    <n v="1.46"/>
    <n v="1780"/>
    <n v="2990"/>
  </r>
  <r>
    <x v="1661"/>
    <n v="190002"/>
    <s v="LA"/>
    <s v="LA - Lafayette"/>
    <n v="70503"/>
    <s v="Lafayette General Medical Center"/>
    <s v="Short Term Acute Care Hospital"/>
    <s v="Lafayette"/>
    <n v="269.89999999999998"/>
    <n v="5.2"/>
    <n v="406"/>
    <n v="380"/>
    <n v="34"/>
    <n v="0.2"/>
    <n v="380"/>
    <n v="1.94"/>
    <n v="1781"/>
    <n v="20048"/>
  </r>
  <r>
    <x v="1661"/>
    <m/>
    <s v="LA"/>
    <s v="LA - Lafayette"/>
    <n v="70508"/>
    <s v="Our Lady of Lourdes Womens and Childrens Hospital"/>
    <s v="Short Term Acute Care Hospital"/>
    <s v="Lafayette"/>
    <n v="82.5"/>
    <n v="5.9"/>
    <n v="34"/>
    <n v="161"/>
    <m/>
    <n v="0.2"/>
    <n v="161"/>
    <n v="1.08"/>
    <n v="4799"/>
    <n v="6154"/>
  </r>
  <r>
    <x v="1661"/>
    <s v="190272 (Closed)"/>
    <s v="LA"/>
    <s v="LA - Lafayette"/>
    <n v="70508"/>
    <s v="Southpark Community Hospital (Closed)"/>
    <s v="Short Term Acute Care Hospital"/>
    <s v="Lafayette"/>
    <n v="3.5"/>
    <n v="2.6"/>
    <m/>
    <m/>
    <m/>
    <n v="0.2"/>
    <m/>
    <m/>
    <n v="4801"/>
    <n v="499"/>
  </r>
  <r>
    <x v="439"/>
    <n v="190004"/>
    <s v="LA"/>
    <s v="LA - Lafourche"/>
    <n v="70301"/>
    <s v="Thibodaux Regional Medical Center"/>
    <s v="Short Term Acute Care Hospital"/>
    <s v="Thibodaux"/>
    <n v="52.9"/>
    <n v="3.5"/>
    <n v="180"/>
    <n v="130"/>
    <n v="16"/>
    <n v="0.27"/>
    <n v="130"/>
    <n v="1.64"/>
    <n v="1782"/>
    <n v="6116"/>
  </r>
  <r>
    <x v="440"/>
    <n v="190145"/>
    <s v="LA"/>
    <s v="LA - La Salle"/>
    <n v="71342"/>
    <s v="LaSalle General Hospital"/>
    <s v="Short Term Acute Care Hospital"/>
    <s v="Jena"/>
    <n v="7.8"/>
    <n v="4.3"/>
    <n v="22"/>
    <n v="30"/>
    <m/>
    <m/>
    <n v="30"/>
    <n v="1.03"/>
    <n v="1786"/>
    <n v="660"/>
  </r>
  <r>
    <x v="1662"/>
    <n v="190086"/>
    <s v="LA"/>
    <s v="LA - Lincoln"/>
    <n v="71270"/>
    <s v="Northern Louisiana Medical Center"/>
    <s v="Short Term Acute Care Hospital"/>
    <s v="Ruston"/>
    <n v="39.200000000000003"/>
    <n v="4.3"/>
    <n v="96"/>
    <n v="135"/>
    <n v="17"/>
    <n v="1"/>
    <n v="135"/>
    <n v="1.52"/>
    <n v="1787"/>
    <n v="3948"/>
  </r>
  <r>
    <x v="1662"/>
    <s v="190257 (Closed)"/>
    <s v="LA"/>
    <s v="LA - Lincoln"/>
    <n v="71270"/>
    <s v="Green Clinic Surgical Hospital (Closed - Now a Ambulatory Surgery Center)"/>
    <s v="Short Term Acute Care Hospital"/>
    <s v="Ruston"/>
    <n v="0.3"/>
    <n v="3.3"/>
    <m/>
    <m/>
    <m/>
    <m/>
    <m/>
    <m/>
    <n v="1788"/>
    <n v="182"/>
  </r>
  <r>
    <x v="1663"/>
    <m/>
    <s v="LA"/>
    <s v="LA - Livingston"/>
    <n v="70726"/>
    <s v="Sage Specialty Hospital"/>
    <s v="Short Term Acute Care Hospital"/>
    <s v="Denham Springs"/>
    <m/>
    <m/>
    <m/>
    <m/>
    <m/>
    <m/>
    <m/>
    <m/>
    <n v="1012250"/>
    <m/>
  </r>
  <r>
    <x v="1664"/>
    <n v="190116"/>
    <s v="LA"/>
    <s v="LA - Morehouse"/>
    <n v="71220"/>
    <s v="Morehouse General Hospital"/>
    <s v="Short Term Acute Care Hospital"/>
    <s v="Bastrop"/>
    <n v="8.9"/>
    <n v="3.5"/>
    <n v="48"/>
    <n v="39"/>
    <n v="6"/>
    <n v="0.26"/>
    <n v="39"/>
    <n v="1.03"/>
    <n v="1789"/>
    <n v="1087"/>
  </r>
  <r>
    <x v="1665"/>
    <n v="190007"/>
    <s v="LA"/>
    <s v="LA - Natchitoches"/>
    <n v="71457"/>
    <s v="Natchitoches Regional Medical Center"/>
    <s v="Short Term Acute Care Hospital"/>
    <s v="Natchitoches"/>
    <n v="20.100000000000001"/>
    <n v="4.0999999999999996"/>
    <n v="74"/>
    <n v="81"/>
    <n v="8"/>
    <n v="1"/>
    <n v="81"/>
    <n v="1.32"/>
    <n v="1790"/>
    <n v="2054"/>
  </r>
  <r>
    <x v="1666"/>
    <n v="190005"/>
    <s v="LA"/>
    <s v="LA - Orleans"/>
    <n v="70112"/>
    <s v="University Medical Center New Orleans (FKA Medical Center of Louisiana at New Orleans and Interim LSU Public Hospital)"/>
    <s v="Short Term Acute Care Hospital"/>
    <s v="New Orleans"/>
    <n v="206.4"/>
    <n v="6.3"/>
    <n v="533"/>
    <n v="264"/>
    <n v="40"/>
    <n v="0.15"/>
    <n v="264"/>
    <n v="1.94"/>
    <n v="1791"/>
    <n v="11804"/>
  </r>
  <r>
    <x v="1666"/>
    <n v="190046"/>
    <s v="LA"/>
    <s v="LA - Orleans"/>
    <n v="70115"/>
    <s v="Touro Infirmary"/>
    <s v="Short Term Acute Care Hospital"/>
    <s v="New Orleans"/>
    <n v="153.6"/>
    <n v="5.7"/>
    <n v="368"/>
    <n v="260"/>
    <n v="22"/>
    <n v="0.15"/>
    <n v="260"/>
    <n v="1.82"/>
    <n v="1792"/>
    <n v="9756"/>
  </r>
  <r>
    <x v="1666"/>
    <s v="190036*"/>
    <s v="LA"/>
    <s v="LA - Orleans"/>
    <n v="70115"/>
    <s v="Ochsner Medical Center - Ochsner Baptist"/>
    <s v="Short Term Acute Care Hospital"/>
    <s v="New Orleans"/>
    <m/>
    <m/>
    <n v="5"/>
    <m/>
    <m/>
    <m/>
    <n v="127"/>
    <m/>
    <n v="1793"/>
    <m/>
  </r>
  <r>
    <x v="1666"/>
    <n v="190176"/>
    <s v="LA"/>
    <s v="LA - Orleans"/>
    <n v="70112"/>
    <s v="Tulane Medical Center"/>
    <s v="Short Term Acute Care Hospital"/>
    <s v="New Orleans"/>
    <n v="247"/>
    <n v="5"/>
    <n v="521"/>
    <n v="477"/>
    <m/>
    <n v="0.15"/>
    <n v="235"/>
    <n v="1.91"/>
    <n v="1794"/>
    <n v="18764"/>
  </r>
  <r>
    <x v="1666"/>
    <n v="190313"/>
    <s v="LA"/>
    <s v="LA - Orleans"/>
    <n v="70127"/>
    <s v="New Orleans East Hospital"/>
    <s v="Short Term Acute Care Hospital"/>
    <s v="New Orleans"/>
    <n v="12.7"/>
    <n v="4"/>
    <n v="80"/>
    <n v="50"/>
    <m/>
    <n v="0.15"/>
    <n v="50"/>
    <n v="1.23"/>
    <n v="579921"/>
    <n v="1156"/>
  </r>
  <r>
    <x v="1666"/>
    <n v="190300"/>
    <s v="LA"/>
    <s v="LA - Orleans"/>
    <n v="70130"/>
    <s v="St Charles Surgical Hospital"/>
    <s v="Short Term Acute Care Hospital"/>
    <s v="New Orleans"/>
    <n v="4"/>
    <n v="3.1"/>
    <n v="30"/>
    <n v="39"/>
    <m/>
    <n v="0.15"/>
    <n v="39"/>
    <n v="1.52"/>
    <n v="579951"/>
    <n v="465"/>
  </r>
  <r>
    <x v="1666"/>
    <m/>
    <s v="LA"/>
    <s v="LA - Orleans"/>
    <n v="70130"/>
    <s v="New Orleans Ernest N Morial Convention Center Field Hospital (Temporarily Open due to COVID-19)"/>
    <s v="Short Term Acute Care Hospital"/>
    <s v="New Orleans"/>
    <m/>
    <m/>
    <m/>
    <m/>
    <m/>
    <m/>
    <m/>
    <m/>
    <n v="1011984"/>
    <m/>
  </r>
  <r>
    <x v="1667"/>
    <n v="190125"/>
    <s v="LA"/>
    <s v="LA - Ouachita"/>
    <n v="71201"/>
    <s v="St Francis Medical Center"/>
    <s v="Short Term Acute Care Hospital"/>
    <s v="Monroe"/>
    <n v="185"/>
    <n v="5.6"/>
    <n v="438"/>
    <n v="337"/>
    <n v="32"/>
    <n v="0.26"/>
    <n v="367"/>
    <n v="1.72"/>
    <n v="1795"/>
    <n v="12690"/>
  </r>
  <r>
    <x v="1667"/>
    <s v="190261 (Closed)"/>
    <s v="LA"/>
    <s v="LA - Ouachita"/>
    <n v="71291"/>
    <s v="Ouachita Community Hospital (Closed Inpatient Services)"/>
    <s v="Short Term Acute Care Hospital"/>
    <s v="West Monroe"/>
    <n v="0.7"/>
    <n v="2.1"/>
    <m/>
    <m/>
    <m/>
    <n v="0.26"/>
    <m/>
    <m/>
    <n v="1796"/>
    <n v="118"/>
  </r>
  <r>
    <x v="1667"/>
    <n v="190245"/>
    <s v="LA"/>
    <s v="LA - Ouachita"/>
    <n v="71201"/>
    <s v="Monroe Surgical Hospital"/>
    <s v="Short Term Acute Care Hospital"/>
    <s v="Monroe"/>
    <n v="1.2"/>
    <n v="2.2000000000000002"/>
    <n v="85"/>
    <n v="10"/>
    <m/>
    <n v="0.26"/>
    <n v="10"/>
    <n v="2.4"/>
    <n v="1797"/>
    <n v="209"/>
  </r>
  <r>
    <x v="1667"/>
    <m/>
    <s v="LA"/>
    <s v="LA - Ouachita"/>
    <n v="71201"/>
    <s v="St Francis P&amp;S Surgery &amp; Heart Center"/>
    <s v="Short Term Acute Care Hospital"/>
    <s v="Monroe"/>
    <n v="2.5"/>
    <n v="2.2000000000000002"/>
    <n v="6"/>
    <n v="22"/>
    <m/>
    <n v="0.26"/>
    <n v="22"/>
    <n v="2.33"/>
    <n v="1798"/>
    <n v="416"/>
  </r>
  <r>
    <x v="1667"/>
    <n v="190160"/>
    <s v="LA"/>
    <s v="LA - Ouachita"/>
    <n v="71291"/>
    <s v="Glenwood Regional Medical Center"/>
    <s v="Short Term Acute Care Hospital"/>
    <s v="West Monroe"/>
    <n v="131.4"/>
    <n v="4.8"/>
    <n v="144"/>
    <n v="214"/>
    <n v="44"/>
    <n v="0.26"/>
    <n v="214"/>
    <n v="1.67"/>
    <n v="1799"/>
    <n v="10448"/>
  </r>
  <r>
    <x v="1667"/>
    <n v="190011"/>
    <s v="LA"/>
    <s v="LA - Ouachita"/>
    <n v="71202"/>
    <s v="Ochsner LSU Health Shreveport - Monroe Medical Center (FKA University Health Conway)"/>
    <s v="Short Term Acute Care Hospital"/>
    <s v="Monroe"/>
    <n v="42.5"/>
    <n v="4"/>
    <n v="90"/>
    <n v="93"/>
    <n v="12"/>
    <n v="0.26"/>
    <n v="93"/>
    <n v="1.38"/>
    <n v="1800"/>
    <n v="4669"/>
  </r>
  <r>
    <x v="1667"/>
    <s v="190125* (Closed)"/>
    <s v="LA"/>
    <s v="LA - Ouachita"/>
    <n v="71203"/>
    <s v="St Francis Medical Center - North (Closed)"/>
    <s v="Short Term Acute Care Hospital"/>
    <s v="Monroe"/>
    <m/>
    <m/>
    <m/>
    <m/>
    <m/>
    <m/>
    <m/>
    <m/>
    <n v="582540"/>
    <m/>
  </r>
  <r>
    <x v="1668"/>
    <s v="190009 (Closed)"/>
    <s v="LA"/>
    <s v="LA - Rapides"/>
    <n v="71360"/>
    <s v="Huey P Long Medical Center (Closed)"/>
    <s v="Short Term Acute Care Hospital"/>
    <s v="Pineville"/>
    <n v="7.7"/>
    <n v="4.9000000000000004"/>
    <m/>
    <m/>
    <m/>
    <n v="0.39"/>
    <m/>
    <m/>
    <n v="1803"/>
    <n v="568"/>
  </r>
  <r>
    <x v="1668"/>
    <n v="190019"/>
    <s v="LA"/>
    <s v="LA - Rapides"/>
    <n v="71301"/>
    <s v="CHRISTUS St Frances Cabrini Hospital"/>
    <s v="Short Term Acute Care Hospital"/>
    <s v="Alexandria"/>
    <n v="156.9"/>
    <n v="5.2"/>
    <n v="228"/>
    <n v="276"/>
    <n v="26"/>
    <n v="0.39"/>
    <n v="276"/>
    <n v="1.69"/>
    <n v="1804"/>
    <n v="11634"/>
  </r>
  <r>
    <x v="1668"/>
    <n v="190026"/>
    <s v="LA"/>
    <s v="LA - Rapides"/>
    <n v="71301"/>
    <s v="Rapides Regional Medical Center"/>
    <s v="Short Term Acute Care Hospital"/>
    <s v="Alexandria"/>
    <n v="226.1"/>
    <n v="5.7"/>
    <n v="219"/>
    <n v="357"/>
    <m/>
    <n v="0.39"/>
    <n v="328"/>
    <n v="1.88"/>
    <n v="1805"/>
    <n v="15176"/>
  </r>
  <r>
    <x v="1668"/>
    <n v="190298"/>
    <s v="LA"/>
    <s v="LA - Rapides"/>
    <n v="71301"/>
    <s v="Central Louisiana Surgical Hospital"/>
    <s v="Short Term Acute Care Hospital"/>
    <s v="Alexandria"/>
    <n v="6.9"/>
    <n v="2.1"/>
    <n v="73"/>
    <n v="24"/>
    <m/>
    <n v="0.39"/>
    <n v="24"/>
    <n v="2.3199999999999998"/>
    <n v="553365"/>
    <n v="1195"/>
  </r>
  <r>
    <x v="444"/>
    <n v="190151"/>
    <s v="LA"/>
    <s v="LA - Richland"/>
    <n v="71269"/>
    <s v="Richardson Medical Center"/>
    <s v="Short Term Acute Care Hospital"/>
    <s v="Rayville"/>
    <n v="7.9"/>
    <n v="4.7"/>
    <n v="37"/>
    <n v="38"/>
    <n v="2"/>
    <m/>
    <n v="38"/>
    <n v="1"/>
    <n v="1807"/>
    <n v="623"/>
  </r>
  <r>
    <x v="1669"/>
    <n v="190218"/>
    <s v="LA"/>
    <s v="LA - Sabine"/>
    <n v="71449"/>
    <s v="Sabine Medical Center"/>
    <s v="Short Term Acute Care Hospital"/>
    <s v="Many"/>
    <n v="3.8"/>
    <n v="3.5"/>
    <n v="24"/>
    <n v="48"/>
    <m/>
    <m/>
    <n v="48"/>
    <n v="0.89"/>
    <n v="1808"/>
    <n v="403"/>
  </r>
  <r>
    <x v="1670"/>
    <n v="190308"/>
    <s v="LA"/>
    <s v="LA - Saint Bernard"/>
    <n v="70043"/>
    <s v="St Bernard Parish Hospital"/>
    <s v="Short Term Acute Care Hospital"/>
    <s v="Chalmette"/>
    <n v="15.4"/>
    <n v="4.4000000000000004"/>
    <n v="49"/>
    <n v="40"/>
    <n v="8"/>
    <n v="0.15"/>
    <n v="40"/>
    <n v="1.47"/>
    <n v="560420"/>
    <n v="1285"/>
  </r>
  <r>
    <x v="1671"/>
    <n v="190079"/>
    <s v="LA"/>
    <s v="LA - Saint Charles"/>
    <n v="70070"/>
    <s v="St Charles Parish Hospital"/>
    <s v="Short Term Acute Care Hospital"/>
    <s v="Luling"/>
    <n v="6.9"/>
    <n v="3.4"/>
    <n v="38"/>
    <n v="39"/>
    <n v="8"/>
    <n v="0.15"/>
    <n v="39"/>
    <n v="1.33"/>
    <n v="1809"/>
    <n v="737"/>
  </r>
  <r>
    <x v="1671"/>
    <s v="190310 (Closed)"/>
    <s v="LA"/>
    <s v="LA - Saint Charles"/>
    <n v="70070"/>
    <s v="Specialty Hospital of Luling (Closed)"/>
    <s v="Short Term Acute Care Hospital"/>
    <s v="Luling"/>
    <m/>
    <m/>
    <m/>
    <m/>
    <m/>
    <m/>
    <m/>
    <m/>
    <n v="780756"/>
    <m/>
  </r>
  <r>
    <x v="1672"/>
    <s v="190175 (Closed)"/>
    <s v="LA"/>
    <s v="LA - St John The Baptist"/>
    <n v="70068"/>
    <s v="Ochsner Medical Complex - River Parishes (closed inpatient services)"/>
    <s v="Short Term Acute Care Hospital"/>
    <s v="La Place"/>
    <n v="13.2"/>
    <n v="4"/>
    <m/>
    <m/>
    <m/>
    <n v="0.15"/>
    <m/>
    <m/>
    <n v="1811"/>
    <n v="1191"/>
  </r>
  <r>
    <x v="1673"/>
    <s v="190167*"/>
    <s v="LA"/>
    <s v="LA - Saint Landry"/>
    <n v="70535"/>
    <s v="Acadian Medical Center"/>
    <s v="Short Term Acute Care Hospital"/>
    <s v="Eunice"/>
    <m/>
    <m/>
    <n v="8"/>
    <m/>
    <m/>
    <m/>
    <n v="109"/>
    <m/>
    <n v="1812"/>
    <m/>
  </r>
  <r>
    <x v="1673"/>
    <n v="190017"/>
    <s v="LA"/>
    <s v="LA - Saint Landry"/>
    <n v="70570"/>
    <s v="Opelousas General Health System - Main Campus"/>
    <s v="Short Term Acute Care Hospital"/>
    <s v="Opelousas"/>
    <n v="53"/>
    <n v="3.9"/>
    <n v="176"/>
    <n v="151"/>
    <n v="22"/>
    <n v="1"/>
    <n v="151"/>
    <n v="1.63"/>
    <n v="1813"/>
    <n v="5530"/>
  </r>
  <r>
    <x v="1673"/>
    <s v="190017*"/>
    <s v="LA"/>
    <s v="LA - Saint Landry"/>
    <n v="70570"/>
    <s v="Opelousas General Health System - South Campus"/>
    <s v="Short Term Acute Care Hospital"/>
    <s v="Opelousas"/>
    <m/>
    <m/>
    <m/>
    <m/>
    <m/>
    <m/>
    <n v="197"/>
    <m/>
    <n v="4798"/>
    <m/>
  </r>
  <r>
    <x v="1673"/>
    <s v="190017* (Closed)"/>
    <s v="LA"/>
    <s v="LA - Saint Landry"/>
    <n v="70570"/>
    <s v="Opelousas General Health System - Sunset Campus (Closed inpatient services)"/>
    <s v="Short Term Acute Care Hospital"/>
    <s v="Sunset"/>
    <m/>
    <m/>
    <m/>
    <m/>
    <m/>
    <m/>
    <m/>
    <m/>
    <n v="849510"/>
    <m/>
  </r>
  <r>
    <x v="448"/>
    <n v="190014"/>
    <s v="LA"/>
    <s v="LA - Saint Mary"/>
    <n v="70380"/>
    <s v="Ochsner St Mary (FKA Teche Regional Medical Center)"/>
    <s v="Short Term Acute Care Hospital"/>
    <s v="Morgan City"/>
    <n v="15.8"/>
    <n v="4.0999999999999996"/>
    <n v="46"/>
    <n v="130"/>
    <n v="10"/>
    <n v="0.53"/>
    <n v="130"/>
    <n v="1.3"/>
    <n v="1814"/>
    <n v="1489"/>
  </r>
  <r>
    <x v="1674"/>
    <n v="190045"/>
    <s v="LA"/>
    <s v="LA - Saint Tammany"/>
    <n v="70433"/>
    <s v="St Tammany Parish Hospital"/>
    <s v="Short Term Acute Care Hospital"/>
    <s v="Covington"/>
    <n v="128.6"/>
    <n v="4.3"/>
    <n v="296"/>
    <n v="188"/>
    <n v="24"/>
    <n v="0.15"/>
    <n v="188"/>
    <n v="1.75"/>
    <n v="1815"/>
    <n v="11864"/>
  </r>
  <r>
    <x v="1674"/>
    <n v="190040"/>
    <s v="LA"/>
    <s v="LA - Saint Tammany"/>
    <n v="70458"/>
    <s v="Slidell Memorial Hospital"/>
    <s v="Short Term Acute Care Hospital"/>
    <s v="Slidell"/>
    <n v="93.7"/>
    <n v="4.3"/>
    <n v="242"/>
    <n v="231"/>
    <n v="100"/>
    <n v="0.15"/>
    <n v="223"/>
    <n v="1.59"/>
    <n v="1816"/>
    <n v="8555"/>
  </r>
  <r>
    <x v="1674"/>
    <s v="190176*"/>
    <s v="LA"/>
    <s v="LA - Saint Tammany"/>
    <n v="70433"/>
    <s v="Lakeview Regional Medical Center"/>
    <s v="Short Term Acute Care Hospital"/>
    <s v="Covington"/>
    <m/>
    <m/>
    <n v="33"/>
    <m/>
    <m/>
    <m/>
    <n v="167"/>
    <m/>
    <n v="1817"/>
    <m/>
  </r>
  <r>
    <x v="1674"/>
    <n v="190267"/>
    <s v="LA"/>
    <s v="LA - Saint Tammany"/>
    <n v="70433"/>
    <s v="Avala Hospital (FKA Fairway Medical Center)"/>
    <s v="Short Term Acute Care Hospital"/>
    <s v="Covington"/>
    <n v="3.7"/>
    <n v="1.8"/>
    <n v="56"/>
    <n v="21"/>
    <m/>
    <n v="0.15"/>
    <n v="21"/>
    <n v="3.02"/>
    <n v="1818"/>
    <n v="758"/>
  </r>
  <r>
    <x v="1674"/>
    <n v="190270"/>
    <s v="LA"/>
    <s v="LA - Saint Tammany"/>
    <n v="70458"/>
    <s v="Southern Surgical Hospital"/>
    <s v="Short Term Acute Care Hospital"/>
    <s v="Slidell"/>
    <n v="7.3"/>
    <n v="2.2000000000000002"/>
    <n v="34"/>
    <n v="37"/>
    <n v="5"/>
    <n v="0.15"/>
    <n v="37"/>
    <n v="2.0099999999999998"/>
    <n v="1819"/>
    <n v="1210"/>
  </r>
  <r>
    <x v="1674"/>
    <n v="190204"/>
    <s v="LA"/>
    <s v="LA - Saint Tammany"/>
    <n v="70461"/>
    <s v="Ochsner Medical Center - North Shore"/>
    <s v="Short Term Acute Care Hospital"/>
    <s v="Slidell"/>
    <n v="50.4"/>
    <n v="4.2"/>
    <n v="83"/>
    <n v="150"/>
    <n v="20"/>
    <n v="0.15"/>
    <n v="150"/>
    <n v="1.62"/>
    <n v="1820"/>
    <n v="4429"/>
  </r>
  <r>
    <x v="1674"/>
    <m/>
    <s v="LA"/>
    <s v="LA - Saint Tammany"/>
    <n v="70445"/>
    <s v="Northshore Rehabilitation Hospital (FKA Louisiana Heart Hospital)"/>
    <s v="Short Term Acute Care Hospital"/>
    <s v="Lacombe"/>
    <n v="35.6"/>
    <n v="3.7"/>
    <n v="1"/>
    <n v="137"/>
    <n v="58"/>
    <n v="0.15"/>
    <n v="137"/>
    <m/>
    <n v="1821"/>
    <n v="3514"/>
  </r>
  <r>
    <x v="1674"/>
    <n v="190256"/>
    <s v="LA"/>
    <s v="LA - Saint Tammany"/>
    <n v="70458"/>
    <s v="Sterling Surgical Hospital (FKA Cypress Pointe Hospital East)"/>
    <s v="Short Term Acute Care Hospital"/>
    <s v="Slidell"/>
    <n v="1.6"/>
    <n v="2.5"/>
    <n v="21"/>
    <n v="10"/>
    <m/>
    <n v="0.15"/>
    <n v="10"/>
    <n v="2.77"/>
    <n v="1822"/>
    <n v="229"/>
  </r>
  <r>
    <x v="1674"/>
    <m/>
    <s v="LA"/>
    <s v="LA - Saint Tammany"/>
    <n v="70458"/>
    <s v="Curahealth New Orleans Slidell"/>
    <s v="Short Term Acute Care Hospital"/>
    <s v="Slidell"/>
    <m/>
    <m/>
    <m/>
    <m/>
    <m/>
    <m/>
    <m/>
    <m/>
    <n v="1006240"/>
    <m/>
  </r>
  <r>
    <x v="449"/>
    <n v="190015"/>
    <s v="LA"/>
    <s v="LA - Tangipahoa"/>
    <n v="70403"/>
    <s v="North Oaks Medical Center"/>
    <s v="Short Term Acute Care Hospital"/>
    <s v="Hammond"/>
    <n v="150.4"/>
    <n v="5.0999999999999996"/>
    <n v="284"/>
    <n v="344"/>
    <n v="60"/>
    <n v="0.6"/>
    <n v="330"/>
    <n v="1.58"/>
    <n v="1824"/>
    <n v="11286"/>
  </r>
  <r>
    <x v="449"/>
    <n v="190303"/>
    <s v="LA"/>
    <s v="LA - Tangipahoa"/>
    <n v="70403"/>
    <s v="Cypress Pointe Hospital"/>
    <s v="Short Term Acute Care Hospital"/>
    <s v="Hammond"/>
    <n v="2.6"/>
    <n v="1.9"/>
    <n v="51"/>
    <n v="30"/>
    <m/>
    <n v="0.6"/>
    <n v="30"/>
    <n v="3.19"/>
    <n v="552269"/>
    <n v="516"/>
  </r>
  <r>
    <x v="1675"/>
    <n v="190008"/>
    <s v="LA"/>
    <s v="LA - Terrebonne"/>
    <n v="70360"/>
    <s v="Terrebonne General Medical Center"/>
    <s v="Short Term Acute Care Hospital"/>
    <s v="Houma"/>
    <n v="98.2"/>
    <n v="4.9000000000000004"/>
    <n v="195"/>
    <n v="188"/>
    <n v="18"/>
    <n v="0.27"/>
    <n v="188"/>
    <n v="1.79"/>
    <n v="1825"/>
    <n v="7827"/>
  </r>
  <r>
    <x v="1675"/>
    <n v="190241"/>
    <s v="LA"/>
    <s v="LA - Terrebonne"/>
    <n v="70360"/>
    <s v="Physicians Medical Center"/>
    <s v="Short Term Acute Care Hospital"/>
    <s v="Houma"/>
    <n v="1.7"/>
    <n v="1.9"/>
    <n v="44"/>
    <n v="30"/>
    <m/>
    <n v="0.27"/>
    <n v="30"/>
    <n v="2.08"/>
    <n v="1826"/>
    <n v="321"/>
  </r>
  <r>
    <x v="1675"/>
    <n v="190183"/>
    <s v="LA"/>
    <s v="LA - Terrebonne"/>
    <n v="70363"/>
    <s v="Leonard J Chabert Medical Center"/>
    <s v="Short Term Acute Care Hospital"/>
    <s v="Houma"/>
    <n v="19.899999999999999"/>
    <n v="3.8"/>
    <n v="142"/>
    <n v="66"/>
    <n v="8"/>
    <n v="0.27"/>
    <n v="66"/>
    <n v="1.49"/>
    <n v="1827"/>
    <n v="1921"/>
  </r>
  <r>
    <x v="451"/>
    <n v="190034"/>
    <s v="LA"/>
    <s v="LA - Vermilion"/>
    <n v="70510"/>
    <s v="Abbeville General Hospital"/>
    <s v="Short Term Acute Care Hospital"/>
    <s v="Abbeville"/>
    <n v="14.5"/>
    <n v="4.5999999999999996"/>
    <n v="76"/>
    <n v="44"/>
    <n v="6"/>
    <n v="0.2"/>
    <n v="44"/>
    <n v="1.4"/>
    <n v="1830"/>
    <n v="1240"/>
  </r>
  <r>
    <x v="1676"/>
    <n v="190164"/>
    <s v="LA"/>
    <s v="LA - Vernon"/>
    <n v="71446"/>
    <s v="Byrd Regional Hospital"/>
    <s v="Short Term Acute Care Hospital"/>
    <s v="Leesville"/>
    <n v="19.600000000000001"/>
    <n v="3.8"/>
    <n v="43"/>
    <n v="49"/>
    <n v="7"/>
    <n v="0.7"/>
    <n v="49"/>
    <n v="1.29"/>
    <n v="1831"/>
    <n v="2013"/>
  </r>
  <r>
    <x v="1676"/>
    <s v="190297 (Closed)"/>
    <s v="LA"/>
    <s v="LA - Vernon"/>
    <n v="71496"/>
    <s v="Doctors Hospital at Deer Creek Llc (Closed)"/>
    <s v="Short Term Acute Care Hospital"/>
    <s v="Leesville"/>
    <n v="4.9000000000000004"/>
    <n v="3.4"/>
    <m/>
    <m/>
    <m/>
    <n v="0.7"/>
    <m/>
    <n v="1.25"/>
    <n v="1832"/>
    <n v="532"/>
  </r>
  <r>
    <x v="452"/>
    <n v="190312"/>
    <s v="LA"/>
    <s v="LA - Washington"/>
    <n v="70427"/>
    <s v="Our Lady of the Angels Hospital (FKA LSU Health Bogalusa Medical Center)"/>
    <s v="Short Term Acute Care Hospital"/>
    <s v="Bogalusa"/>
    <n v="13.4"/>
    <n v="3.6"/>
    <n v="99"/>
    <n v="36"/>
    <n v="8"/>
    <n v="0.67"/>
    <n v="36"/>
    <n v="1.29"/>
    <n v="1833"/>
    <n v="1406"/>
  </r>
  <r>
    <x v="1677"/>
    <n v="190144"/>
    <s v="LA"/>
    <s v="LA - Webster"/>
    <n v="71055"/>
    <s v="Minden Medical Center"/>
    <s v="Short Term Acute Care Hospital"/>
    <s v="Minden"/>
    <n v="25.1"/>
    <n v="3.6"/>
    <n v="78"/>
    <n v="125"/>
    <n v="10"/>
    <n v="0.61"/>
    <n v="125"/>
    <n v="1.45"/>
    <n v="1834"/>
    <n v="2536"/>
  </r>
  <r>
    <x v="1677"/>
    <n v="190088"/>
    <s v="LA"/>
    <s v="LA - Webster"/>
    <n v="71075"/>
    <s v="Springhill Medical Center"/>
    <s v="Short Term Acute Care Hospital"/>
    <s v="Springhill"/>
    <n v="6.9"/>
    <n v="3.6"/>
    <n v="33"/>
    <n v="46"/>
    <n v="6"/>
    <n v="0.61"/>
    <n v="46"/>
    <n v="1.07"/>
    <n v="1835"/>
    <n v="697"/>
  </r>
  <r>
    <x v="1678"/>
    <n v="190081"/>
    <s v="LA"/>
    <s v="LA - West Carroll"/>
    <n v="71263"/>
    <s v="West Carroll Memorial Hospital"/>
    <s v="Short Term Acute Care Hospital"/>
    <s v="Oak Grove"/>
    <n v="16.5"/>
    <n v="7.8"/>
    <n v="17"/>
    <n v="30"/>
    <m/>
    <m/>
    <n v="30"/>
    <n v="1.02"/>
    <n v="1836"/>
    <n v="774"/>
  </r>
  <r>
    <x v="1679"/>
    <n v="190090"/>
    <s v="LA"/>
    <s v="LA - Winn"/>
    <n v="71483"/>
    <s v="Winn Parish Medical Center"/>
    <s v="Short Term Acute Care Hospital"/>
    <s v="Winnfield"/>
    <n v="6.6"/>
    <n v="3.6"/>
    <n v="26"/>
    <n v="46"/>
    <n v="5"/>
    <m/>
    <n v="46"/>
    <n v="0.96"/>
    <n v="1838"/>
    <n v="679"/>
  </r>
  <r>
    <x v="1680"/>
    <n v="200024"/>
    <s v="ME"/>
    <s v="ME - Androscoggin"/>
    <s v="04240"/>
    <s v="Central Maine Medical Center"/>
    <s v="Short Term Acute Care Hospital"/>
    <s v="Lewiston"/>
    <n v="112.5"/>
    <n v="4.5999999999999996"/>
    <n v="420"/>
    <n v="221"/>
    <n v="20"/>
    <n v="0.56000000000000005"/>
    <n v="221"/>
    <n v="1.93"/>
    <n v="1839"/>
    <n v="9094"/>
  </r>
  <r>
    <x v="1680"/>
    <n v="200034"/>
    <s v="ME"/>
    <s v="ME - Androscoggin"/>
    <s v="04240"/>
    <s v="St Marys Health System (AKA St Marys Regional Medical Center)"/>
    <s v="Short Term Acute Care Hospital"/>
    <s v="Lewiston"/>
    <n v="56.6"/>
    <n v="4.0999999999999996"/>
    <n v="248"/>
    <n v="140"/>
    <n v="14"/>
    <n v="0.56000000000000005"/>
    <n v="140"/>
    <n v="1.49"/>
    <n v="1840"/>
    <n v="5315"/>
  </r>
  <r>
    <x v="454"/>
    <n v="200031"/>
    <s v="ME"/>
    <s v="ME - Aroostook"/>
    <s v="04736"/>
    <s v="Cary Medical Center"/>
    <s v="Short Term Acute Care Hospital"/>
    <s v="Caribou"/>
    <n v="18.600000000000001"/>
    <n v="4.3"/>
    <n v="80"/>
    <n v="49"/>
    <n v="6"/>
    <m/>
    <n v="49"/>
    <n v="1.29"/>
    <n v="1841"/>
    <n v="1700"/>
  </r>
  <r>
    <x v="454"/>
    <n v="200052"/>
    <s v="ME"/>
    <s v="ME - Aroostook"/>
    <s v="04743"/>
    <s v="Northern Maine Medical Center"/>
    <s v="Short Term Acute Care Hospital"/>
    <s v="Fort Kent"/>
    <n v="18.7"/>
    <n v="6.7"/>
    <n v="64"/>
    <n v="43"/>
    <m/>
    <m/>
    <n v="43"/>
    <n v="1.29"/>
    <n v="1842"/>
    <n v="1027"/>
  </r>
  <r>
    <x v="454"/>
    <n v="200018"/>
    <s v="ME"/>
    <s v="ME - Aroostook"/>
    <s v="04769"/>
    <s v="Northern Light AR Gould Hospital (FKA the Aroostook Medical Center)"/>
    <s v="Short Term Acute Care Hospital"/>
    <s v="Presque Isle"/>
    <n v="24.5"/>
    <n v="4.7"/>
    <n v="163"/>
    <n v="43"/>
    <n v="6"/>
    <m/>
    <n v="43"/>
    <n v="1.27"/>
    <n v="1843"/>
    <n v="1974"/>
  </r>
  <r>
    <x v="455"/>
    <s v="200025 (Closed)"/>
    <s v="ME"/>
    <s v="ME - Cumberland"/>
    <s v="04011"/>
    <s v="Parkview Adventist Medical Center (Closed - No Longer Offering Inpatient Services)"/>
    <s v="Short Term Acute Care Hospital"/>
    <s v="Brunswick"/>
    <n v="7.6"/>
    <n v="4.0999999999999996"/>
    <m/>
    <m/>
    <m/>
    <n v="0.4"/>
    <m/>
    <m/>
    <n v="1846"/>
    <n v="684"/>
  </r>
  <r>
    <x v="455"/>
    <n v="200008"/>
    <s v="ME"/>
    <s v="ME - Cumberland"/>
    <s v="04101"/>
    <s v="Northern Light Mercy Hospital - State Street Campus (FKA Mercy Hospital)"/>
    <s v="Short Term Acute Care Hospital"/>
    <s v="Portland"/>
    <n v="42.7"/>
    <n v="4.0999999999999996"/>
    <n v="381"/>
    <n v="103"/>
    <n v="7"/>
    <n v="0.4"/>
    <n v="103"/>
    <n v="1.82"/>
    <n v="1847"/>
    <n v="4241"/>
  </r>
  <r>
    <x v="455"/>
    <n v="200009"/>
    <s v="ME"/>
    <s v="ME - Cumberland"/>
    <s v="04102"/>
    <s v="Maine Medical Center (AKA MMC - Bramhall)"/>
    <s v="Short Term Acute Care Hospital"/>
    <s v="Portland"/>
    <n v="430.1"/>
    <n v="5.5"/>
    <n v="1503"/>
    <n v="575"/>
    <n v="32"/>
    <n v="0.4"/>
    <n v="575"/>
    <n v="2.16"/>
    <n v="1848"/>
    <n v="29336"/>
  </r>
  <r>
    <x v="455"/>
    <n v="200021"/>
    <s v="ME"/>
    <s v="ME - Cumberland"/>
    <s v="04011"/>
    <s v="Mid Coast Hospital"/>
    <s v="Short Term Acute Care Hospital"/>
    <s v="Brunswick"/>
    <n v="62.6"/>
    <n v="4.7"/>
    <n v="352"/>
    <n v="92"/>
    <n v="11"/>
    <n v="0.4"/>
    <n v="92"/>
    <n v="1.38"/>
    <n v="1849"/>
    <n v="5116"/>
  </r>
  <r>
    <x v="455"/>
    <s v="200008*"/>
    <s v="ME"/>
    <s v="ME - Cumberland"/>
    <s v="04102"/>
    <s v="Northern Light Mercy Hospital - Fore River Campus (FKA Mercy Hospital Fore River Campus)"/>
    <s v="Short Term Acute Care Hospital"/>
    <s v="Portland"/>
    <m/>
    <m/>
    <m/>
    <m/>
    <m/>
    <m/>
    <n v="230"/>
    <m/>
    <n v="574783"/>
    <m/>
  </r>
  <r>
    <x v="1681"/>
    <n v="200037"/>
    <s v="ME"/>
    <s v="ME - Franklin"/>
    <s v="04938"/>
    <s v="Franklin Memorial Hospital"/>
    <s v="Short Term Acute Care Hospital"/>
    <s v="Farmington"/>
    <n v="17.3"/>
    <n v="2.7"/>
    <n v="116"/>
    <n v="48"/>
    <n v="5"/>
    <m/>
    <n v="48"/>
    <n v="1.39"/>
    <n v="1850"/>
    <n v="2552"/>
  </r>
  <r>
    <x v="456"/>
    <n v="200050"/>
    <s v="ME"/>
    <s v="ME - Hancock"/>
    <s v="04605"/>
    <s v="Northern Light Maine Coast Hospital"/>
    <s v="Short Term Acute Care Hospital"/>
    <s v="Ellsworth"/>
    <n v="26.2"/>
    <n v="6.1"/>
    <n v="133"/>
    <n v="48"/>
    <n v="6"/>
    <m/>
    <n v="48"/>
    <n v="1.38"/>
    <n v="1853"/>
    <n v="1631"/>
  </r>
  <r>
    <x v="1682"/>
    <n v="200039"/>
    <s v="ME"/>
    <s v="ME - Kennebec"/>
    <s v="04330"/>
    <s v="MaineGeneral Medical Center - Alfond Center for Health (FKA Augusta Campus)"/>
    <s v="Short Term Acute Care Hospital"/>
    <s v="Augusta"/>
    <n v="139.69999999999999"/>
    <n v="4.9000000000000004"/>
    <n v="640"/>
    <n v="172"/>
    <n v="16"/>
    <n v="0.79"/>
    <n v="172"/>
    <n v="1.46"/>
    <n v="1854"/>
    <n v="11033"/>
  </r>
  <r>
    <x v="1682"/>
    <n v="200041"/>
    <s v="ME"/>
    <s v="ME - Kennebec"/>
    <s v="04901"/>
    <s v="Northern Light Inland Hospital"/>
    <s v="Short Term Acute Care Hospital"/>
    <s v="Waterville"/>
    <n v="12.3"/>
    <n v="4"/>
    <n v="102"/>
    <n v="33"/>
    <m/>
    <n v="0.79"/>
    <n v="33"/>
    <n v="1.27"/>
    <n v="1855"/>
    <n v="1261"/>
  </r>
  <r>
    <x v="1682"/>
    <s v="200039* (Closed)"/>
    <s v="ME"/>
    <s v="ME - Kennebec"/>
    <s v="04901"/>
    <s v="MaineGeneral Medical Center - Seton Campus (Closed)"/>
    <s v="Short Term Acute Care Hospital"/>
    <s v="Waterville"/>
    <m/>
    <m/>
    <m/>
    <m/>
    <m/>
    <m/>
    <m/>
    <m/>
    <n v="551562"/>
    <m/>
  </r>
  <r>
    <x v="1682"/>
    <s v="200039* (Closed)"/>
    <s v="ME"/>
    <s v="ME - Kennebec"/>
    <s v="04901"/>
    <s v="MaineGeneral Medical Center - Thayer Campus (Closed - No Inpatient Services)"/>
    <s v="Short Term Acute Care Hospital"/>
    <s v="Waterville"/>
    <m/>
    <m/>
    <m/>
    <m/>
    <m/>
    <m/>
    <m/>
    <m/>
    <n v="551563"/>
    <m/>
  </r>
  <r>
    <x v="1683"/>
    <n v="200063"/>
    <s v="ME"/>
    <s v="ME - Knox"/>
    <s v="04856"/>
    <s v="Pen Bay Medical Center"/>
    <s v="Short Term Acute Care Hospital"/>
    <s v="Rockport"/>
    <n v="45"/>
    <n v="5.5"/>
    <n v="211"/>
    <n v="81"/>
    <n v="8"/>
    <m/>
    <n v="81"/>
    <n v="1.49"/>
    <n v="1856"/>
    <n v="3083"/>
  </r>
  <r>
    <x v="457"/>
    <m/>
    <s v="ME"/>
    <s v="ME - Lincoln"/>
    <s v="04543"/>
    <s v="LincolnHealth - Miles Campus and Hospital (FKA Miles Memorial Hospital)"/>
    <s v="Short Term Acute Care Hospital"/>
    <s v="Damariscotta"/>
    <n v="18.899999999999999"/>
    <n v="4.3"/>
    <n v="42"/>
    <n v="38"/>
    <n v="4"/>
    <m/>
    <n v="25"/>
    <m/>
    <n v="1858"/>
    <n v="1674"/>
  </r>
  <r>
    <x v="459"/>
    <n v="200033"/>
    <s v="ME"/>
    <s v="ME - Penobscot"/>
    <s v="04401"/>
    <s v="Northern Light Eastern Maine Medical Center"/>
    <s v="Short Term Acute Care Hospital"/>
    <s v="Bangor"/>
    <n v="285.2"/>
    <n v="5.9"/>
    <n v="807"/>
    <n v="313"/>
    <n v="44"/>
    <n v="0.7"/>
    <n v="313"/>
    <n v="1.89"/>
    <n v="1862"/>
    <n v="18113"/>
  </r>
  <r>
    <x v="459"/>
    <n v="200001"/>
    <s v="ME"/>
    <s v="ME - Penobscot"/>
    <s v="04401"/>
    <s v="St Joseph Hospital of ME"/>
    <s v="Short Term Acute Care Hospital"/>
    <s v="Bangor"/>
    <n v="44.2"/>
    <n v="4.3"/>
    <n v="269"/>
    <n v="99"/>
    <n v="7"/>
    <n v="0.7"/>
    <n v="99"/>
    <n v="1.52"/>
    <n v="1864"/>
    <n v="3781"/>
  </r>
  <r>
    <x v="1684"/>
    <s v="200019*"/>
    <s v="ME"/>
    <s v="ME - York"/>
    <s v="04073"/>
    <s v="Southern Maine Health Care - Sanford (AKA SMHC Medical Center - Sanford)"/>
    <s v="Short Term Acute Care Hospital"/>
    <s v="Sanford"/>
    <m/>
    <m/>
    <m/>
    <m/>
    <m/>
    <m/>
    <m/>
    <m/>
    <n v="1872"/>
    <m/>
  </r>
  <r>
    <x v="1684"/>
    <n v="200019"/>
    <s v="ME"/>
    <s v="ME - York"/>
    <s v="04005"/>
    <s v="Southern Maine Health Care - Biddeford (AKA SMHC Medical Center - Biddeford)"/>
    <s v="Short Term Acute Care Hospital"/>
    <s v="Biddeford"/>
    <n v="68"/>
    <n v="2.8"/>
    <n v="413"/>
    <n v="140"/>
    <n v="9"/>
    <n v="0.4"/>
    <n v="140"/>
    <n v="1.4"/>
    <n v="1873"/>
    <n v="9382"/>
  </r>
  <r>
    <x v="1684"/>
    <n v="200020"/>
    <s v="ME"/>
    <s v="ME - York"/>
    <s v="03909"/>
    <s v="York Hospital"/>
    <s v="Short Term Acute Care Hospital"/>
    <s v="York"/>
    <n v="35.4"/>
    <n v="4"/>
    <n v="277"/>
    <n v="66"/>
    <n v="5"/>
    <n v="0.4"/>
    <n v="66"/>
    <n v="1.38"/>
    <n v="1874"/>
    <n v="3255"/>
  </r>
  <r>
    <x v="1685"/>
    <n v="210027"/>
    <s v="MD"/>
    <s v="MD - Allegany"/>
    <n v="21502"/>
    <s v="UPMC Western Maryland (FKA Western Maryland Regional Medical Center)"/>
    <s v="Short Term Acute Care Hospital"/>
    <s v="Cumberland"/>
    <n v="136.1"/>
    <n v="4.4000000000000004"/>
    <n v="360"/>
    <n v="200"/>
    <n v="14"/>
    <n v="0.87"/>
    <n v="200"/>
    <n v="1.56"/>
    <n v="1876"/>
    <n v="11933"/>
  </r>
  <r>
    <x v="1686"/>
    <n v="210023"/>
    <s v="MD"/>
    <s v="MD - Anne Arundel"/>
    <n v="21401"/>
    <s v="Anne Arundel Medical Center (FKA Anne Arundel Health System)"/>
    <s v="Short Term Acute Care Hospital"/>
    <s v="Annapolis"/>
    <n v="266.7"/>
    <n v="4.3"/>
    <n v="1065"/>
    <n v="379"/>
    <n v="20"/>
    <n v="0.08"/>
    <n v="325"/>
    <n v="1.6"/>
    <n v="1877"/>
    <n v="25122"/>
  </r>
  <r>
    <x v="1686"/>
    <n v="210043"/>
    <s v="MD"/>
    <s v="MD - Anne Arundel"/>
    <n v="21061"/>
    <s v="UM Baltimore Washington Medical Center"/>
    <s v="Short Term Acute Care Hospital"/>
    <s v="Glen Burnie"/>
    <n v="208.8"/>
    <n v="2.9"/>
    <n v="612"/>
    <n v="272"/>
    <n v="30"/>
    <n v="0.08"/>
    <n v="158"/>
    <n v="1.62"/>
    <n v="1879"/>
    <n v="27193"/>
  </r>
  <r>
    <x v="1687"/>
    <n v="210044"/>
    <s v="MD"/>
    <s v="MD - Baltimore"/>
    <n v="21204"/>
    <s v="Greater Baltimore Medical Center (AKA GBMC HealthCare)"/>
    <s v="Short Term Acute Care Hospital"/>
    <s v="Baltimore"/>
    <n v="208.5"/>
    <n v="3.8"/>
    <n v="926"/>
    <n v="269"/>
    <n v="24"/>
    <n v="0.08"/>
    <n v="82"/>
    <n v="1.48"/>
    <n v="1880"/>
    <n v="21752"/>
  </r>
  <r>
    <x v="1687"/>
    <n v="210040"/>
    <s v="MD"/>
    <s v="MD - Baltimore"/>
    <n v="21133"/>
    <s v="Northwest Hospital"/>
    <s v="Short Term Acute Care Hospital"/>
    <s v="Randallstown"/>
    <n v="131.9"/>
    <n v="4.7"/>
    <n v="304"/>
    <n v="189"/>
    <n v="16"/>
    <n v="0.08"/>
    <n v="189"/>
    <n v="1.43"/>
    <n v="1881"/>
    <n v="10140"/>
  </r>
  <r>
    <x v="1687"/>
    <n v="210063"/>
    <s v="MD"/>
    <s v="MD - Baltimore"/>
    <n v="21204"/>
    <s v="UM St Joseph Medical Center (FKA St Joseph Medical Center)"/>
    <s v="Short Term Acute Care Hospital"/>
    <s v="Towson"/>
    <n v="164"/>
    <n v="4.3"/>
    <n v="464"/>
    <n v="238"/>
    <n v="28"/>
    <n v="0.08"/>
    <n v="188"/>
    <n v="1.87"/>
    <n v="1882"/>
    <n v="14899"/>
  </r>
  <r>
    <x v="1687"/>
    <n v="210015"/>
    <s v="MD"/>
    <s v="MD - Baltimore"/>
    <n v="21237"/>
    <s v="MedStar Franklin Square Medical Center"/>
    <s v="Short Term Acute Care Hospital"/>
    <s v="Baltimore"/>
    <n v="236.3"/>
    <n v="4.8"/>
    <n v="559"/>
    <n v="347"/>
    <n v="26"/>
    <n v="0.08"/>
    <n v="162"/>
    <n v="1.41"/>
    <n v="1883"/>
    <n v="20083"/>
  </r>
  <r>
    <x v="1687"/>
    <n v="210058"/>
    <s v="MD"/>
    <s v="MD - Baltimore"/>
    <n v="21207"/>
    <s v="UM Rehabilitation &amp; Orthopaedic Institute (FKA Kernan Hospital)"/>
    <s v="Short Term Acute Care Hospital"/>
    <s v="Baltimore"/>
    <n v="89.1"/>
    <n v="13.9"/>
    <n v="79"/>
    <n v="137"/>
    <m/>
    <n v="0.08"/>
    <n v="137"/>
    <n v="1.36"/>
    <n v="1911"/>
    <n v="2345"/>
  </r>
  <r>
    <x v="1687"/>
    <s v="210063*"/>
    <s v="MD"/>
    <s v="MD - Baltimore"/>
    <n v="21204"/>
    <s v="UM St Joseph Medical Center - Heart Institute"/>
    <s v="Short Term Acute Care Hospital"/>
    <s v="Towson"/>
    <m/>
    <m/>
    <n v="4"/>
    <m/>
    <m/>
    <m/>
    <n v="218"/>
    <m/>
    <n v="780644"/>
    <m/>
  </r>
  <r>
    <x v="1688"/>
    <n v="210039"/>
    <s v="MD"/>
    <s v="MD - Calvert"/>
    <n v="20678"/>
    <s v="CalvertHealth Medical Center (FKA Calvert Memorial Hospital)"/>
    <s v="Short Term Acute Care Hospital"/>
    <s v="Prince Frederick"/>
    <n v="50.8"/>
    <n v="3.6"/>
    <n v="222"/>
    <n v="68"/>
    <n v="4"/>
    <n v="0.05"/>
    <n v="41"/>
    <n v="1.42"/>
    <n v="1884"/>
    <n v="5452"/>
  </r>
  <r>
    <x v="1689"/>
    <n v="210033"/>
    <s v="MD"/>
    <s v="MD - Carroll"/>
    <n v="21157"/>
    <s v="Carroll Hospital"/>
    <s v="Short Term Acute Care Hospital"/>
    <s v="Westminster"/>
    <n v="114.5"/>
    <n v="4.2"/>
    <n v="348"/>
    <n v="153"/>
    <n v="12"/>
    <n v="0.08"/>
    <n v="153"/>
    <n v="1.42"/>
    <n v="1885"/>
    <n v="10591"/>
  </r>
  <r>
    <x v="1690"/>
    <n v="210032"/>
    <s v="MD"/>
    <s v="MD - Cecil"/>
    <n v="21921"/>
    <s v="ChristianaCare - Union Hospital (FKA Union Hospital of Cecil County)"/>
    <s v="Short Term Acute Care Hospital"/>
    <s v="Elkton"/>
    <n v="52.9"/>
    <n v="4.2"/>
    <n v="195"/>
    <n v="96"/>
    <n v="5"/>
    <n v="0.05"/>
    <n v="72"/>
    <n v="1.39"/>
    <n v="1886"/>
    <n v="4923"/>
  </r>
  <r>
    <x v="1691"/>
    <n v="210035"/>
    <s v="MD"/>
    <s v="MD - Charles"/>
    <n v="20646"/>
    <s v="University of Maryland Charles Regional Medical Center (FKA Civista Medical Center)"/>
    <s v="Short Term Acute Care Hospital"/>
    <s v="La Plata"/>
    <n v="70.3"/>
    <n v="4.2"/>
    <n v="199"/>
    <n v="98"/>
    <n v="10"/>
    <n v="0.05"/>
    <n v="98"/>
    <n v="1.44"/>
    <n v="1887"/>
    <n v="6424"/>
  </r>
  <r>
    <x v="1692"/>
    <s v="210037*"/>
    <s v="MD"/>
    <s v="MD - Dorchester"/>
    <n v="21613"/>
    <s v="UM Shore Medical Center at Dorchester"/>
    <s v="Short Term Acute Care Hospital"/>
    <s v="Cambridge"/>
    <m/>
    <m/>
    <n v="19"/>
    <m/>
    <m/>
    <m/>
    <m/>
    <m/>
    <n v="274275"/>
    <m/>
  </r>
  <r>
    <x v="1693"/>
    <n v="210005"/>
    <s v="MD"/>
    <s v="MD - Frederick"/>
    <n v="21701"/>
    <s v="Frederick Health Hospital (FKA Frederick Regional Health System)"/>
    <s v="Short Term Acute Care Hospital"/>
    <s v="Frederick"/>
    <n v="201.9"/>
    <n v="5"/>
    <n v="710"/>
    <n v="281"/>
    <n v="18"/>
    <n v="0.05"/>
    <n v="281"/>
    <n v="1.53"/>
    <n v="1888"/>
    <n v="15876"/>
  </r>
  <r>
    <x v="1694"/>
    <n v="210017"/>
    <s v="MD"/>
    <s v="MD - Garrett"/>
    <n v="21550"/>
    <s v="Garrett County Memorial Hospital (AKA Garrett Regional Medical Center)"/>
    <s v="Short Term Acute Care Hospital"/>
    <s v="Oakland"/>
    <n v="16.2"/>
    <n v="5.2"/>
    <n v="95"/>
    <n v="27"/>
    <n v="2"/>
    <m/>
    <n v="27"/>
    <n v="1.44"/>
    <n v="1889"/>
    <n v="1220"/>
  </r>
  <r>
    <x v="1695"/>
    <n v="210006"/>
    <s v="MD"/>
    <s v="MD - Harford"/>
    <n v="21078"/>
    <s v="UM Harford Memorial Hospital"/>
    <s v="Short Term Acute Care Hospital"/>
    <s v="Havre De Grace"/>
    <n v="55.5"/>
    <n v="4.5999999999999996"/>
    <n v="142"/>
    <n v="82"/>
    <n v="5"/>
    <n v="0.08"/>
    <n v="82"/>
    <n v="1.32"/>
    <n v="1890"/>
    <n v="4433"/>
  </r>
  <r>
    <x v="1695"/>
    <n v="210049"/>
    <s v="MD"/>
    <s v="MD - Harford"/>
    <n v="21014"/>
    <s v="UM Upper Chesapeake Medical Center"/>
    <s v="Short Term Acute Care Hospital"/>
    <s v="Bel Air"/>
    <n v="114.8"/>
    <n v="3.9"/>
    <n v="472"/>
    <n v="149"/>
    <n v="14"/>
    <n v="0.08"/>
    <n v="149"/>
    <n v="1.61"/>
    <n v="1891"/>
    <n v="11536"/>
  </r>
  <r>
    <x v="1696"/>
    <n v="210048"/>
    <s v="MD"/>
    <s v="MD - Howard"/>
    <n v="21044"/>
    <s v="Howard County General Hospital"/>
    <s v="Short Term Acute Care Hospital"/>
    <s v="Columbia"/>
    <n v="162"/>
    <n v="4.9000000000000004"/>
    <n v="588"/>
    <n v="245"/>
    <n v="16"/>
    <n v="0.08"/>
    <n v="245"/>
    <n v="1.44"/>
    <n v="1892"/>
    <n v="14469"/>
  </r>
  <r>
    <x v="1696"/>
    <m/>
    <s v="MD"/>
    <s v="MD - Howard"/>
    <n v="20794"/>
    <s v="Clifton T Perkins Hospital Center"/>
    <s v="Short Term Acute Care Hospital"/>
    <s v="Jessup"/>
    <m/>
    <m/>
    <n v="1"/>
    <m/>
    <m/>
    <m/>
    <m/>
    <m/>
    <n v="577651"/>
    <m/>
  </r>
  <r>
    <x v="1697"/>
    <n v="210030"/>
    <s v="MD"/>
    <s v="MD - Kent"/>
    <n v="21620"/>
    <s v="UM Shore Medical Center at Chestertown (FKA Chester River Hospital Center)"/>
    <s v="Short Term Acute Care Hospital"/>
    <s v="Chestertown"/>
    <n v="7.8"/>
    <n v="3.8"/>
    <n v="62"/>
    <n v="21"/>
    <n v="6"/>
    <m/>
    <n v="21"/>
    <n v="1.38"/>
    <n v="1893"/>
    <n v="746"/>
  </r>
  <r>
    <x v="1698"/>
    <n v="210022"/>
    <s v="MD"/>
    <s v="MD - Montgomery"/>
    <n v="20814"/>
    <s v="Suburban Hospital"/>
    <s v="Short Term Acute Care Hospital"/>
    <s v="Bethesda"/>
    <n v="155.6"/>
    <n v="4.0999999999999996"/>
    <n v="493"/>
    <n v="233"/>
    <n v="24"/>
    <n v="0.05"/>
    <n v="233"/>
    <n v="1.78"/>
    <n v="1894"/>
    <n v="13781"/>
  </r>
  <r>
    <x v="1698"/>
    <n v="210018"/>
    <s v="MD"/>
    <s v="MD - Montgomery"/>
    <n v="20832"/>
    <s v="MedStar Montgomery Medical Center"/>
    <s v="Short Term Acute Care Hospital"/>
    <s v="Olney"/>
    <n v="71.3"/>
    <n v="4.5"/>
    <n v="210"/>
    <n v="117"/>
    <n v="12"/>
    <n v="0.05"/>
    <n v="117"/>
    <n v="1.45"/>
    <n v="1895"/>
    <n v="6147"/>
  </r>
  <r>
    <x v="1698"/>
    <m/>
    <s v="MD"/>
    <s v="MD - Montgomery"/>
    <n v="20912"/>
    <s v="Adventist HealthCare Washington Adventist Hospital (Closed)"/>
    <s v="Short Term Acute Care Hospital"/>
    <s v="Takoma Park"/>
    <m/>
    <m/>
    <m/>
    <m/>
    <m/>
    <m/>
    <m/>
    <n v="1.98"/>
    <n v="1896"/>
    <m/>
  </r>
  <r>
    <x v="1698"/>
    <n v="210004"/>
    <s v="MD"/>
    <s v="MD - Montgomery"/>
    <n v="20910"/>
    <s v="Holy Cross Hospital"/>
    <s v="Short Term Acute Care Hospital"/>
    <s v="Silver Spring"/>
    <n v="310.3"/>
    <n v="5.3"/>
    <n v="867"/>
    <n v="441"/>
    <n v="46"/>
    <n v="0.05"/>
    <n v="209"/>
    <n v="1.72"/>
    <n v="1897"/>
    <n v="25005"/>
  </r>
  <r>
    <x v="1698"/>
    <n v="210057"/>
    <s v="MD"/>
    <s v="MD - Montgomery"/>
    <n v="20850"/>
    <s v="Adventist HealthCare Shady Grove Medical Center"/>
    <s v="Short Term Acute Care Hospital"/>
    <s v="Rockville"/>
    <n v="91.6"/>
    <n v="8.8000000000000007"/>
    <n v="601"/>
    <n v="117"/>
    <m/>
    <m/>
    <n v="185"/>
    <n v="1.59"/>
    <n v="1898"/>
    <n v="3814"/>
  </r>
  <r>
    <x v="1698"/>
    <m/>
    <s v="MD"/>
    <s v="MD - Montgomery"/>
    <n v="20892"/>
    <s v="National Institutes of Health Clinical Center"/>
    <s v="Short Term Acute Care Hospital"/>
    <s v="Bethesda"/>
    <m/>
    <m/>
    <m/>
    <m/>
    <m/>
    <m/>
    <n v="200"/>
    <m/>
    <n v="581811"/>
    <m/>
  </r>
  <r>
    <x v="1698"/>
    <n v="210065"/>
    <s v="MD"/>
    <s v="MD - Montgomery"/>
    <n v="20876"/>
    <s v="Holy Cross Germantown Hospital"/>
    <s v="Short Term Acute Care Hospital"/>
    <s v="Germantown"/>
    <n v="54.9"/>
    <n v="4.2"/>
    <n v="98"/>
    <n v="73"/>
    <n v="8"/>
    <n v="0.05"/>
    <n v="58"/>
    <n v="1.54"/>
    <n v="764499"/>
    <n v="5199"/>
  </r>
  <r>
    <x v="1698"/>
    <n v="210016"/>
    <s v="MD"/>
    <s v="MD - Montgomery"/>
    <n v="20904"/>
    <s v="Adventist HealthCare White Oak Medical Center"/>
    <s v="Short Term Acute Care Hospital"/>
    <s v="Silver Spring"/>
    <n v="126"/>
    <n v="4.2"/>
    <n v="74"/>
    <n v="198"/>
    <n v="26"/>
    <n v="0.05"/>
    <n v="198"/>
    <m/>
    <n v="992331"/>
    <n v="12438"/>
  </r>
  <r>
    <x v="1698"/>
    <m/>
    <s v="MD"/>
    <s v="MD - Montgomery"/>
    <n v="20912"/>
    <s v="Adventist HealthCare Takoma Park"/>
    <s v="Short Term Acute Care Hospital"/>
    <s v="Takoma Park"/>
    <m/>
    <m/>
    <n v="74"/>
    <m/>
    <m/>
    <m/>
    <m/>
    <m/>
    <n v="1003882"/>
    <m/>
  </r>
  <r>
    <x v="1698"/>
    <m/>
    <s v="MD"/>
    <s v="MD - Montgomery"/>
    <n v="20871"/>
    <s v="Clarksburg Community Hospital (Closed - Plans Rejected)"/>
    <s v="Short Term Acute Care Hospital"/>
    <s v="Clarksburg"/>
    <m/>
    <m/>
    <m/>
    <m/>
    <m/>
    <m/>
    <m/>
    <m/>
    <n v="550804"/>
    <m/>
  </r>
  <r>
    <x v="1699"/>
    <n v="210051"/>
    <s v="MD"/>
    <s v="MD - Prince Georges"/>
    <n v="20706"/>
    <s v="Doctors Community Hospital (FKA Doctors Community Health System)"/>
    <s v="Short Term Acute Care Hospital"/>
    <s v="Lanham"/>
    <n v="150.6"/>
    <n v="5.3"/>
    <n v="421"/>
    <n v="190"/>
    <n v="22"/>
    <n v="0.05"/>
    <n v="190"/>
    <n v="1.52"/>
    <n v="1899"/>
    <n v="10361"/>
  </r>
  <r>
    <x v="1699"/>
    <n v="210062"/>
    <s v="MD"/>
    <s v="MD - Prince Georges"/>
    <n v="20735"/>
    <s v="MedStar Southern Maryland Hospital Center"/>
    <s v="Short Term Acute Care Hospital"/>
    <s v="Clinton"/>
    <n v="128.4"/>
    <n v="5"/>
    <n v="258"/>
    <n v="176"/>
    <n v="18"/>
    <n v="0.05"/>
    <n v="153"/>
    <n v="1.59"/>
    <n v="1900"/>
    <n v="10173"/>
  </r>
  <r>
    <x v="1699"/>
    <n v="210055"/>
    <s v="MD"/>
    <s v="MD - Prince Georges"/>
    <n v="20707"/>
    <s v="UM Laurel Medical Center (Temporarily Open due to COVID-19)"/>
    <s v="Short Term Acute Care Hospital"/>
    <s v="Laurel"/>
    <n v="50.7"/>
    <n v="5.2"/>
    <m/>
    <m/>
    <m/>
    <n v="0.05"/>
    <m/>
    <n v="1.47"/>
    <n v="1901"/>
    <n v="3549"/>
  </r>
  <r>
    <x v="1699"/>
    <n v="210060"/>
    <s v="MD"/>
    <s v="MD - Prince Georges"/>
    <n v="20744"/>
    <s v="Fort Washington Medical Center"/>
    <s v="Short Term Acute Care Hospital"/>
    <s v="Fort Washington"/>
    <n v="22.5"/>
    <n v="4.8"/>
    <n v="96"/>
    <n v="29"/>
    <n v="4"/>
    <n v="0.05"/>
    <n v="29"/>
    <n v="1.19"/>
    <n v="1902"/>
    <n v="1735"/>
  </r>
  <r>
    <x v="1699"/>
    <n v="210003"/>
    <s v="MD"/>
    <s v="MD - Prince Georges"/>
    <n v="20785"/>
    <s v="UM Prince Georges Hospital Center (FKA Prince Georges Hospital Center)"/>
    <s v="Short Term Acute Care Hospital"/>
    <s v="Cheverly"/>
    <n v="223.3"/>
    <n v="4.8"/>
    <n v="320"/>
    <n v="382"/>
    <n v="34"/>
    <n v="0.05"/>
    <n v="118"/>
    <n v="1.66"/>
    <n v="1903"/>
    <n v="14704"/>
  </r>
  <r>
    <x v="1699"/>
    <m/>
    <s v="MD"/>
    <s v="MD - Prince Georges"/>
    <n v="20774"/>
    <s v="UM Capital Region Medical Center (Opening March 2021)"/>
    <s v="Short Term Acute Care Hospital"/>
    <s v="Largo"/>
    <m/>
    <m/>
    <m/>
    <m/>
    <m/>
    <m/>
    <m/>
    <m/>
    <n v="842962"/>
    <m/>
  </r>
  <r>
    <x v="1700"/>
    <n v="210028"/>
    <s v="MD"/>
    <s v="MD - Saint Marys"/>
    <n v="20650"/>
    <s v="MedStar St Marys Hospital"/>
    <s v="Short Term Acute Care Hospital"/>
    <s v="Leonardtown"/>
    <n v="65"/>
    <n v="4.0999999999999996"/>
    <n v="340"/>
    <n v="96"/>
    <n v="12"/>
    <n v="1"/>
    <n v="96"/>
    <n v="1.38"/>
    <n v="1904"/>
    <n v="6385"/>
  </r>
  <r>
    <x v="1701"/>
    <s v="210045 (Closed)"/>
    <s v="MD"/>
    <s v="MD - Somerset"/>
    <n v="21817"/>
    <s v="Edward W McCready Memorial Hospital (Closed - No Longer Provides Inpatient Care)"/>
    <s v="Short Term Acute Care Hospital"/>
    <s v="Crisfield"/>
    <n v="1.6"/>
    <n v="3.3"/>
    <m/>
    <m/>
    <m/>
    <n v="0.22"/>
    <m/>
    <n v="0.94"/>
    <n v="1905"/>
    <n v="172"/>
  </r>
  <r>
    <x v="1702"/>
    <n v="210037"/>
    <s v="MD"/>
    <s v="MD - Talbot"/>
    <n v="21601"/>
    <s v="UM Shore Medical Center at Easton (FKA Memorial Hospital at Easton)"/>
    <s v="Short Term Acute Care Hospital"/>
    <s v="Easton"/>
    <n v="99.3"/>
    <n v="4.4000000000000004"/>
    <n v="399"/>
    <n v="162"/>
    <n v="16"/>
    <n v="1"/>
    <n v="48"/>
    <n v="1.44"/>
    <n v="1906"/>
    <n v="8836"/>
  </r>
  <r>
    <x v="1703"/>
    <n v="210001"/>
    <s v="MD"/>
    <s v="MD - Washington"/>
    <n v="21742"/>
    <s v="Meritus Medical Center"/>
    <s v="Short Term Acute Care Hospital"/>
    <s v="Hagerstown"/>
    <n v="182.9"/>
    <n v="4.7"/>
    <n v="475"/>
    <n v="254"/>
    <n v="17"/>
    <n v="0.48"/>
    <n v="215"/>
    <n v="1.56"/>
    <n v="1907"/>
    <n v="15466"/>
  </r>
  <r>
    <x v="1704"/>
    <n v="210019"/>
    <s v="MD"/>
    <s v="MD - Wicomico"/>
    <n v="21801"/>
    <s v="Peninsula Regional Medical Center"/>
    <s v="Short Term Acute Care Hospital"/>
    <s v="Salisbury"/>
    <n v="174.1"/>
    <n v="5"/>
    <n v="606"/>
    <n v="288"/>
    <n v="24"/>
    <n v="0.22"/>
    <n v="288"/>
    <n v="1.79"/>
    <n v="1908"/>
    <n v="13715"/>
  </r>
  <r>
    <x v="1704"/>
    <m/>
    <s v="MD"/>
    <s v="MD - Wicomico"/>
    <n v="21801"/>
    <s v="Hallowell Conference Center (Temporarily Open due to COVID-19)"/>
    <s v="Short Term Acute Care Hospital"/>
    <s v="Salisbury"/>
    <m/>
    <m/>
    <m/>
    <m/>
    <m/>
    <m/>
    <m/>
    <m/>
    <n v="1012594"/>
    <m/>
  </r>
  <r>
    <x v="1705"/>
    <n v="210061"/>
    <s v="MD"/>
    <s v="MD - Worcester"/>
    <n v="21811"/>
    <s v="Atlantic General Hospital"/>
    <s v="Short Term Acute Care Hospital"/>
    <s v="Berlin"/>
    <n v="28.7"/>
    <n v="3.4"/>
    <n v="160"/>
    <n v="48"/>
    <n v="6"/>
    <n v="0.22"/>
    <n v="32"/>
    <n v="1.48"/>
    <n v="1909"/>
    <n v="3112"/>
  </r>
  <r>
    <x v="1706"/>
    <n v="210034"/>
    <s v="MD"/>
    <s v="MD - Baltimore City"/>
    <n v="21225"/>
    <s v="MedStar Harbor Hospital"/>
    <s v="Short Term Acute Care Hospital"/>
    <s v="Baltimore"/>
    <n v="88.9"/>
    <n v="4.9000000000000004"/>
    <n v="183"/>
    <n v="129"/>
    <n v="12"/>
    <n v="0.08"/>
    <n v="129"/>
    <n v="1.41"/>
    <n v="1878"/>
    <n v="7468"/>
  </r>
  <r>
    <x v="1706"/>
    <n v="210038"/>
    <s v="MD"/>
    <s v="MD - Baltimore City"/>
    <n v="21201"/>
    <s v="UMMC Midtown Campus (FKA Maryland General Hospital)"/>
    <s v="Short Term Acute Care Hospital"/>
    <s v="Baltimore"/>
    <n v="94.6"/>
    <n v="7.5"/>
    <n v="214"/>
    <n v="177"/>
    <n v="12"/>
    <n v="0.08"/>
    <n v="81"/>
    <n v="1.64"/>
    <n v="1910"/>
    <n v="4618"/>
  </r>
  <r>
    <x v="1706"/>
    <n v="210056"/>
    <s v="MD"/>
    <s v="MD - Baltimore City"/>
    <n v="21239"/>
    <s v="MedStar Good Samaritan Hospital"/>
    <s v="Short Term Acute Care Hospital"/>
    <s v="Baltimore"/>
    <n v="102.5"/>
    <n v="4.4000000000000004"/>
    <n v="368"/>
    <n v="201"/>
    <n v="17"/>
    <n v="0.08"/>
    <n v="73"/>
    <n v="1.41"/>
    <n v="1912"/>
    <n v="8471"/>
  </r>
  <r>
    <x v="1706"/>
    <n v="210008"/>
    <s v="MD"/>
    <s v="MD - Baltimore City"/>
    <n v="21202"/>
    <s v="Mercy Medical Center"/>
    <s v="Short Term Acute Care Hospital"/>
    <s v="Baltimore"/>
    <n v="147.1"/>
    <n v="4.5"/>
    <n v="519"/>
    <n v="200"/>
    <n v="22"/>
    <n v="0.08"/>
    <n v="113"/>
    <n v="2.2000000000000002"/>
    <n v="1913"/>
    <n v="13334"/>
  </r>
  <r>
    <x v="1706"/>
    <n v="210009"/>
    <s v="MD"/>
    <s v="MD - Baltimore City"/>
    <n v="21287"/>
    <s v="The Johns Hopkins Hospital"/>
    <s v="Short Term Acute Care Hospital"/>
    <s v="Baltimore"/>
    <n v="838.2"/>
    <n v="7.3"/>
    <n v="2649"/>
    <n v="1003"/>
    <n v="66"/>
    <n v="0.08"/>
    <n v="1003"/>
    <n v="2.19"/>
    <n v="1914"/>
    <n v="42755"/>
  </r>
  <r>
    <x v="1706"/>
    <n v="210011"/>
    <s v="MD"/>
    <s v="MD - Baltimore City"/>
    <n v="21229"/>
    <s v="Saint Agnes Hospital (AKA Saint Agnes Healthcare)"/>
    <s v="Short Term Acute Care Hospital"/>
    <s v="Baltimore"/>
    <n v="189.3"/>
    <n v="5.3"/>
    <n v="474"/>
    <n v="267"/>
    <n v="16"/>
    <n v="0.08"/>
    <n v="159"/>
    <n v="1.61"/>
    <n v="1915"/>
    <n v="13949"/>
  </r>
  <r>
    <x v="1706"/>
    <n v="210012"/>
    <s v="MD"/>
    <s v="MD - Baltimore City"/>
    <n v="21215"/>
    <s v="Sinai Hospital of Baltimore"/>
    <s v="Short Term Acute Care Hospital"/>
    <s v="Baltimore"/>
    <n v="289.2"/>
    <n v="5.0999999999999996"/>
    <n v="677"/>
    <n v="418"/>
    <n v="35"/>
    <n v="0.08"/>
    <n v="196"/>
    <n v="1.87"/>
    <n v="1916"/>
    <n v="21418"/>
  </r>
  <r>
    <x v="1706"/>
    <n v="210013"/>
    <s v="MD"/>
    <s v="MD - Baltimore City"/>
    <n v="21223"/>
    <s v="Grace Medical Center (FKA Bon Secours Baltimore Hospital)"/>
    <s v="Short Term Acute Care Hospital"/>
    <s v="Baltimore"/>
    <n v="52.5"/>
    <n v="6.4"/>
    <n v="144"/>
    <n v="69"/>
    <n v="8"/>
    <n v="0.08"/>
    <n v="50"/>
    <n v="1.37"/>
    <n v="1917"/>
    <n v="2996"/>
  </r>
  <r>
    <x v="1706"/>
    <n v="210029"/>
    <s v="MD"/>
    <s v="MD - Baltimore City"/>
    <n v="21224"/>
    <s v="Johns Hopkins Bayview Medical Center"/>
    <s v="Short Term Acute Care Hospital"/>
    <s v="Baltimore"/>
    <n v="314.2"/>
    <n v="6.1"/>
    <n v="806"/>
    <n v="411"/>
    <n v="22"/>
    <n v="0.08"/>
    <n v="342"/>
    <n v="1.56"/>
    <n v="1918"/>
    <n v="19138"/>
  </r>
  <r>
    <x v="1706"/>
    <n v="210024"/>
    <s v="MD"/>
    <s v="MD - Baltimore City"/>
    <n v="21218"/>
    <s v="MedStar Union Memorial Hospital"/>
    <s v="Short Term Acute Care Hospital"/>
    <s v="Baltimore"/>
    <n v="132.4"/>
    <n v="4.5"/>
    <n v="360"/>
    <n v="185"/>
    <n v="52"/>
    <n v="0.08"/>
    <n v="185"/>
    <n v="2.17"/>
    <n v="1919"/>
    <n v="10769"/>
  </r>
  <r>
    <x v="1706"/>
    <n v="210002"/>
    <s v="MD"/>
    <s v="MD - Baltimore City"/>
    <n v="21201"/>
    <s v="University of Maryland Medical Center"/>
    <s v="Short Term Acute Care Hospital"/>
    <s v="Baltimore"/>
    <n v="616.70000000000005"/>
    <n v="8.8000000000000007"/>
    <n v="1208"/>
    <n v="829"/>
    <n v="115"/>
    <n v="0.08"/>
    <n v="767"/>
    <n v="2.75"/>
    <n v="1920"/>
    <n v="26014"/>
  </r>
  <r>
    <x v="1706"/>
    <n v="210064"/>
    <s v="MD"/>
    <s v="MD - Baltimore City"/>
    <n v="21215"/>
    <s v="Levindale Hebrew Geriatric Center &amp; Hospital"/>
    <s v="Short Term Acute Care Hospital"/>
    <s v="Baltimore"/>
    <n v="97.8"/>
    <n v="27.4"/>
    <n v="35"/>
    <n v="120"/>
    <m/>
    <n v="0.08"/>
    <n v="120"/>
    <n v="1.23"/>
    <n v="5112"/>
    <n v="1304"/>
  </r>
  <r>
    <x v="1706"/>
    <s v="21015E"/>
    <s v="MD"/>
    <s v="MD - Baltimore City"/>
    <n v="21202"/>
    <s v="Metropolitan Transition Center Correctional Facility"/>
    <s v="Short Term Acute Care Hospital"/>
    <s v="Baltimore"/>
    <m/>
    <m/>
    <m/>
    <m/>
    <m/>
    <m/>
    <m/>
    <m/>
    <n v="842958"/>
    <m/>
  </r>
  <r>
    <x v="1706"/>
    <m/>
    <s v="MD"/>
    <s v="MD - Baltimore City"/>
    <n v="21201"/>
    <s v="Baltimore Convention Center Field Hospital (Temporarily Open due to COVID-19)"/>
    <s v="Short Term Acute Care Hospital"/>
    <s v="Baltimore"/>
    <m/>
    <m/>
    <m/>
    <m/>
    <m/>
    <m/>
    <m/>
    <m/>
    <n v="1012058"/>
    <m/>
  </r>
  <r>
    <x v="1707"/>
    <n v="220012"/>
    <s v="MA"/>
    <s v="MA - Barnstable"/>
    <s v="02601"/>
    <s v="Cape Cod Hospital"/>
    <s v="Short Term Acute Care Hospital"/>
    <s v="Hyannis"/>
    <n v="176.6"/>
    <n v="4.0999999999999996"/>
    <n v="593"/>
    <n v="239"/>
    <n v="11"/>
    <n v="0.66"/>
    <n v="239"/>
    <n v="1.87"/>
    <n v="1921"/>
    <n v="16308"/>
  </r>
  <r>
    <x v="1707"/>
    <n v="220135"/>
    <s v="MA"/>
    <s v="MA - Barnstable"/>
    <s v="02540"/>
    <s v="Falmouth Hospital"/>
    <s v="Short Term Acute Care Hospital"/>
    <s v="Falmouth"/>
    <n v="60.2"/>
    <n v="3.7"/>
    <n v="230"/>
    <n v="95"/>
    <n v="10"/>
    <n v="0.66"/>
    <n v="95"/>
    <n v="1.53"/>
    <n v="1922"/>
    <n v="6270"/>
  </r>
  <r>
    <x v="1707"/>
    <m/>
    <s v="MA"/>
    <s v="MA - Barnstable"/>
    <s v="02542"/>
    <s v="Joint Base Cape Cod Field Hospital (Temporarily Open due to COVID-19)"/>
    <s v="Short Term Acute Care Hospital"/>
    <s v="Buzzards Bay"/>
    <m/>
    <m/>
    <m/>
    <m/>
    <m/>
    <m/>
    <m/>
    <m/>
    <n v="1012821"/>
    <m/>
  </r>
  <r>
    <x v="464"/>
    <n v="220046"/>
    <s v="MA"/>
    <s v="MA - Berkshire"/>
    <s v="01201"/>
    <s v="Berkshire Medical Center"/>
    <s v="Short Term Acute Care Hospital"/>
    <s v="Pittsfield"/>
    <n v="160.30000000000001"/>
    <n v="4.5999999999999996"/>
    <n v="654"/>
    <n v="223"/>
    <n v="20"/>
    <n v="0.68"/>
    <n v="223"/>
    <n v="1.48"/>
    <n v="1924"/>
    <n v="12760"/>
  </r>
  <r>
    <x v="464"/>
    <s v="220051 (Closed)"/>
    <s v="MA"/>
    <s v="MA - Berkshire"/>
    <s v="01247"/>
    <s v="North Adams Regional Hospital (Closed March 2014)"/>
    <s v="Short Term Acute Care Hospital"/>
    <s v="North Adams"/>
    <n v="13.5"/>
    <n v="3.2"/>
    <m/>
    <m/>
    <m/>
    <n v="0.68"/>
    <m/>
    <m/>
    <n v="1925"/>
    <n v="1707"/>
  </r>
  <r>
    <x v="1708"/>
    <n v="220073"/>
    <s v="MA"/>
    <s v="MA - Bristol"/>
    <s v="02780"/>
    <s v="Morton Hospital"/>
    <s v="Short Term Acute Care Hospital"/>
    <s v="Taunton"/>
    <n v="57.4"/>
    <n v="4"/>
    <n v="219"/>
    <n v="93"/>
    <n v="12"/>
    <n v="0.14000000000000001"/>
    <n v="93"/>
    <n v="1.37"/>
    <n v="1926"/>
    <n v="5246"/>
  </r>
  <r>
    <x v="1708"/>
    <n v="220074"/>
    <s v="MA"/>
    <s v="MA - Bristol"/>
    <s v="02720"/>
    <s v="Charlton Memorial Hospital"/>
    <s v="Short Term Acute Care Hospital"/>
    <s v="Fall River"/>
    <n v="406.4"/>
    <n v="4.5999999999999996"/>
    <n v="1012"/>
    <n v="835"/>
    <n v="58"/>
    <n v="0.14000000000000001"/>
    <n v="328"/>
    <n v="1.58"/>
    <n v="1927"/>
    <n v="34283"/>
  </r>
  <r>
    <x v="1708"/>
    <n v="220020"/>
    <s v="MA"/>
    <s v="MA - Bristol"/>
    <s v="02721"/>
    <s v="Saint Annes Hospital"/>
    <s v="Short Term Acute Care Hospital"/>
    <s v="Fall River"/>
    <n v="102.7"/>
    <n v="4.0999999999999996"/>
    <n v="340"/>
    <n v="175"/>
    <n v="12"/>
    <n v="0.14000000000000001"/>
    <n v="175"/>
    <n v="1.42"/>
    <n v="1928"/>
    <n v="9118"/>
  </r>
  <r>
    <x v="1708"/>
    <n v="220008"/>
    <s v="MA"/>
    <s v="MA - Bristol"/>
    <s v="02703"/>
    <s v="Sturdy Memorial Hospital"/>
    <s v="Short Term Acute Care Hospital"/>
    <s v="Attleboro"/>
    <n v="73.5"/>
    <n v="4"/>
    <n v="281"/>
    <n v="131"/>
    <n v="14"/>
    <n v="0.14000000000000001"/>
    <n v="131"/>
    <n v="1.3"/>
    <n v="1929"/>
    <n v="7175"/>
  </r>
  <r>
    <x v="1708"/>
    <s v="220074*"/>
    <s v="MA"/>
    <s v="MA - Bristol"/>
    <s v="02740"/>
    <s v="St Lukes Hospital"/>
    <s v="Short Term Acute Care Hospital"/>
    <s v="New Bedford"/>
    <m/>
    <m/>
    <n v="18"/>
    <m/>
    <m/>
    <m/>
    <n v="391"/>
    <m/>
    <n v="550047"/>
    <m/>
  </r>
  <r>
    <x v="1709"/>
    <s v="220080*"/>
    <s v="MA"/>
    <s v="MA - Essex"/>
    <s v="01830"/>
    <s v="Holy Family Hospital - Haverhill (FKA Merrimack Valley Hospital)"/>
    <s v="Short Term Acute Care Hospital"/>
    <s v="Haverhill"/>
    <m/>
    <m/>
    <n v="4"/>
    <m/>
    <m/>
    <m/>
    <n v="124"/>
    <m/>
    <n v="1931"/>
    <m/>
  </r>
  <r>
    <x v="1709"/>
    <n v="220010"/>
    <s v="MA"/>
    <s v="MA - Essex"/>
    <s v="01841"/>
    <s v="Lawrence General Hospital"/>
    <s v="Short Term Acute Care Hospital"/>
    <s v="Lawrence"/>
    <n v="113.8"/>
    <n v="3.9"/>
    <n v="471"/>
    <n v="186"/>
    <n v="19"/>
    <n v="0.06"/>
    <n v="186"/>
    <n v="1.46"/>
    <n v="1932"/>
    <n v="11933"/>
  </r>
  <r>
    <x v="1709"/>
    <n v="220029"/>
    <s v="MA"/>
    <s v="MA - Essex"/>
    <s v="01950"/>
    <s v="Anna Jaques Hospital"/>
    <s v="Short Term Acute Care Hospital"/>
    <s v="Newburyport"/>
    <n v="67.7"/>
    <n v="4.4000000000000004"/>
    <n v="277"/>
    <n v="120"/>
    <n v="8"/>
    <n v="0.06"/>
    <n v="123"/>
    <n v="1.21"/>
    <n v="1933"/>
    <n v="5580"/>
  </r>
  <r>
    <x v="1709"/>
    <n v="220033"/>
    <s v="MA"/>
    <s v="MA - Essex"/>
    <s v="01915"/>
    <s v="Beverly Hospital"/>
    <s v="Short Term Acute Care Hospital"/>
    <s v="Beverly"/>
    <n v="182.3"/>
    <n v="3.8"/>
    <n v="663"/>
    <n v="296"/>
    <n v="22"/>
    <n v="0.06"/>
    <n v="221"/>
    <n v="1.42"/>
    <n v="1934"/>
    <n v="19620"/>
  </r>
  <r>
    <x v="1709"/>
    <n v="220035"/>
    <s v="MA"/>
    <s v="MA - Essex"/>
    <s v="01970"/>
    <s v="North Shore Medical Center - Salem Hospital"/>
    <s v="Short Term Acute Care Hospital"/>
    <s v="Salem"/>
    <n v="182.2"/>
    <n v="4.5999999999999996"/>
    <n v="887"/>
    <n v="304"/>
    <n v="32"/>
    <n v="0.06"/>
    <n v="304"/>
    <n v="1.42"/>
    <n v="1935"/>
    <n v="15287"/>
  </r>
  <r>
    <x v="1709"/>
    <n v="220080"/>
    <s v="MA"/>
    <s v="MA - Essex"/>
    <s v="01844"/>
    <s v="Holy Family Hospital - Methuen"/>
    <s v="Short Term Acute Care Hospital"/>
    <s v="Methuen"/>
    <n v="151.1"/>
    <n v="5.0999999999999996"/>
    <n v="321"/>
    <n v="330"/>
    <n v="29"/>
    <n v="0.06"/>
    <n v="330"/>
    <n v="1.41"/>
    <n v="1936"/>
    <n v="11538"/>
  </r>
  <r>
    <x v="1709"/>
    <s v="220033*"/>
    <s v="MA"/>
    <s v="MA - Essex"/>
    <s v="01930"/>
    <s v="Addison Gilbert Hospital"/>
    <s v="Short Term Acute Care Hospital"/>
    <s v="Gloucester"/>
    <m/>
    <m/>
    <n v="26"/>
    <m/>
    <m/>
    <m/>
    <n v="58"/>
    <m/>
    <n v="7146"/>
    <m/>
  </r>
  <r>
    <x v="1709"/>
    <s v="220033*"/>
    <s v="MA"/>
    <s v="MA - Essex"/>
    <s v="01904"/>
    <s v="BayRidge Hospital"/>
    <s v="Short Term Acute Care Hospital"/>
    <s v="Lynn"/>
    <m/>
    <m/>
    <n v="4"/>
    <m/>
    <m/>
    <m/>
    <n v="62"/>
    <m/>
    <n v="7147"/>
    <m/>
  </r>
  <r>
    <x v="1709"/>
    <s v="220035*"/>
    <s v="MA"/>
    <s v="MA - Essex"/>
    <s v="01904"/>
    <s v="North Shore Medical Center - Union Hospital"/>
    <s v="Short Term Acute Care Hospital"/>
    <s v="Lynn"/>
    <m/>
    <m/>
    <m/>
    <m/>
    <m/>
    <m/>
    <m/>
    <m/>
    <n v="274185"/>
    <m/>
  </r>
  <r>
    <x v="1709"/>
    <s v="220171*"/>
    <s v="MA"/>
    <s v="MA - Essex"/>
    <s v="01960"/>
    <s v="Lahey Medical Center - Peabody"/>
    <s v="Short Term Acute Care Hospital"/>
    <s v="Peabody"/>
    <m/>
    <m/>
    <m/>
    <m/>
    <m/>
    <m/>
    <n v="10"/>
    <m/>
    <n v="582536"/>
    <m/>
  </r>
  <r>
    <x v="1710"/>
    <n v="220016"/>
    <s v="MA"/>
    <s v="MA - Franklin"/>
    <s v="01301"/>
    <s v="Baystate Franklin Medical Center"/>
    <s v="Short Term Acute Care Hospital"/>
    <s v="Greenfield"/>
    <n v="50.1"/>
    <n v="4.3"/>
    <n v="179"/>
    <n v="89"/>
    <n v="6"/>
    <n v="0.38"/>
    <n v="89"/>
    <n v="1.3"/>
    <n v="1937"/>
    <n v="4504"/>
  </r>
  <r>
    <x v="1711"/>
    <n v="220030"/>
    <s v="MA"/>
    <s v="MA - Hampden"/>
    <s v="01069"/>
    <s v="Baystate Wing Hospital"/>
    <s v="Short Term Acute Care Hospital"/>
    <s v="Palmer"/>
    <n v="24.7"/>
    <n v="3.4"/>
    <n v="136"/>
    <n v="46"/>
    <n v="6"/>
    <n v="0.38"/>
    <n v="46"/>
    <n v="1.29"/>
    <n v="1938"/>
    <n v="2654"/>
  </r>
  <r>
    <x v="1711"/>
    <n v="220024"/>
    <s v="MA"/>
    <s v="MA - Hampden"/>
    <s v="01040"/>
    <s v="Holyoke Medical Center (AKA Valley Health Systems)"/>
    <s v="Short Term Acute Care Hospital"/>
    <s v="Holyoke"/>
    <n v="56.5"/>
    <n v="3.8"/>
    <n v="243"/>
    <n v="165"/>
    <n v="12"/>
    <n v="0.38"/>
    <n v="165"/>
    <n v="1.4"/>
    <n v="1939"/>
    <n v="5655"/>
  </r>
  <r>
    <x v="1711"/>
    <n v="220077"/>
    <s v="MA"/>
    <s v="MA - Hampden"/>
    <s v="01199"/>
    <s v="Baystate Medical Center"/>
    <s v="Short Term Acute Care Hospital"/>
    <s v="Springfield"/>
    <n v="547.6"/>
    <n v="5.5"/>
    <n v="1720"/>
    <n v="705"/>
    <n v="32"/>
    <n v="0.38"/>
    <n v="705"/>
    <n v="1.79"/>
    <n v="1940"/>
    <n v="38132"/>
  </r>
  <r>
    <x v="1711"/>
    <n v="220065"/>
    <s v="MA"/>
    <s v="MA - Hampden"/>
    <s v="01085"/>
    <s v="Baystate Noble Hospital (FKA Noble Hospital)"/>
    <s v="Short Term Acute Care Hospital"/>
    <s v="Westfield"/>
    <n v="33.5"/>
    <n v="5.2"/>
    <n v="75"/>
    <n v="82"/>
    <n v="6"/>
    <n v="0.38"/>
    <n v="82"/>
    <n v="1.3"/>
    <n v="1941"/>
    <n v="2350"/>
  </r>
  <r>
    <x v="1711"/>
    <n v="220066"/>
    <s v="MA"/>
    <s v="MA - Hampden"/>
    <s v="01104"/>
    <s v="Mercy Medical Center"/>
    <s v="Short Term Acute Care Hospital"/>
    <s v="Springfield"/>
    <n v="145.4"/>
    <n v="4.0999999999999996"/>
    <n v="377"/>
    <n v="237"/>
    <n v="27"/>
    <n v="0.38"/>
    <n v="237"/>
    <n v="1.47"/>
    <n v="1942"/>
    <n v="13412"/>
  </r>
  <r>
    <x v="1711"/>
    <s v="220153 (Closed)"/>
    <s v="MA"/>
    <s v="MA - Hampden"/>
    <s v="01040"/>
    <s v="Soldiers Home In Holyoke (Closed - No Longer A Hospital)"/>
    <s v="Short Term Acute Care Hospital"/>
    <s v="Holyoke"/>
    <m/>
    <m/>
    <m/>
    <m/>
    <m/>
    <m/>
    <m/>
    <m/>
    <n v="5641"/>
    <m/>
  </r>
  <r>
    <x v="1712"/>
    <s v="220050 (Closed)"/>
    <s v="MA"/>
    <s v="MA - Hampshire"/>
    <s v="01082"/>
    <s v="Baystate Mary Lane Hospital (Closed - No Longer Offers Inpatient Services)"/>
    <s v="Short Term Acute Care Hospital"/>
    <s v="Ware"/>
    <n v="5.5"/>
    <n v="2.6"/>
    <m/>
    <m/>
    <m/>
    <n v="0.38"/>
    <m/>
    <m/>
    <n v="1943"/>
    <n v="783"/>
  </r>
  <r>
    <x v="1712"/>
    <n v="220015"/>
    <s v="MA"/>
    <s v="MA - Hampshire"/>
    <s v="01060"/>
    <s v="Cooley Dickinson Hospital"/>
    <s v="Short Term Acute Care Hospital"/>
    <s v="Northampton"/>
    <n v="63.8"/>
    <n v="4.2"/>
    <n v="350"/>
    <n v="118"/>
    <n v="11"/>
    <n v="0.38"/>
    <n v="118"/>
    <n v="1.39"/>
    <n v="1944"/>
    <n v="5931"/>
  </r>
  <r>
    <x v="1712"/>
    <s v="220172 (Closed)"/>
    <s v="MA"/>
    <s v="MA - Hampshire"/>
    <s v="01003"/>
    <s v="University of Massachusetts Amherst Health Services (Closed)"/>
    <s v="Short Term Acute Care Hospital"/>
    <s v="Amherst"/>
    <m/>
    <m/>
    <m/>
    <m/>
    <m/>
    <m/>
    <m/>
    <m/>
    <n v="837627"/>
    <m/>
  </r>
  <r>
    <x v="1713"/>
    <n v="220011"/>
    <s v="MA"/>
    <s v="MA - Middlesex"/>
    <s v="02139"/>
    <s v="CHA Cambridge Hospital"/>
    <s v="Short Term Acute Care Hospital"/>
    <s v="Cambridge"/>
    <n v="96.2"/>
    <n v="5.0999999999999996"/>
    <n v="743"/>
    <n v="200"/>
    <n v="18"/>
    <n v="0.06"/>
    <n v="200"/>
    <n v="1.34"/>
    <n v="1945"/>
    <n v="7372"/>
  </r>
  <r>
    <x v="1713"/>
    <n v="220002"/>
    <s v="MA"/>
    <s v="MA - Middlesex"/>
    <s v="02138"/>
    <s v="Mount Auburn Hospital"/>
    <s v="Short Term Acute Care Hospital"/>
    <s v="Cambridge"/>
    <n v="129.5"/>
    <n v="4.0999999999999996"/>
    <n v="635"/>
    <n v="193"/>
    <n v="20"/>
    <n v="0.06"/>
    <n v="193"/>
    <n v="1.48"/>
    <n v="1946"/>
    <n v="13247"/>
  </r>
  <r>
    <x v="1713"/>
    <n v="220063"/>
    <s v="MA"/>
    <s v="MA - Middlesex"/>
    <s v="01854"/>
    <s v="Lowell General Hospital - Main Campus"/>
    <s v="Short Term Acute Care Hospital"/>
    <s v="Lowell"/>
    <n v="204.5"/>
    <n v="4.4000000000000004"/>
    <n v="746"/>
    <n v="407"/>
    <n v="40"/>
    <n v="0.06"/>
    <n v="407"/>
    <n v="1.48"/>
    <n v="1947"/>
    <n v="18305"/>
  </r>
  <r>
    <x v="1713"/>
    <n v="220070"/>
    <s v="MA"/>
    <s v="MA - Middlesex"/>
    <s v="02176"/>
    <s v="MelroseWakefield Hospital"/>
    <s v="Short Term Acute Care Hospital"/>
    <s v="Melrose"/>
    <n v="84.8"/>
    <n v="4.4000000000000004"/>
    <n v="487"/>
    <n v="160"/>
    <n v="12"/>
    <n v="0.06"/>
    <n v="160"/>
    <n v="1.38"/>
    <n v="1948"/>
    <n v="7544"/>
  </r>
  <r>
    <x v="1713"/>
    <n v="220049"/>
    <s v="MA"/>
    <s v="MA - Middlesex"/>
    <s v="01752"/>
    <s v="UMass Memorial Marlborough Hospital"/>
    <s v="Short Term Acute Care Hospital"/>
    <s v="Marlborough"/>
    <n v="45.4"/>
    <n v="4.9000000000000004"/>
    <n v="115"/>
    <n v="67"/>
    <n v="10"/>
    <n v="0.06"/>
    <n v="67"/>
    <n v="1.28"/>
    <n v="1949"/>
    <n v="3360"/>
  </r>
  <r>
    <x v="1713"/>
    <n v="220098"/>
    <s v="MA"/>
    <s v="MA - Middlesex"/>
    <s v="01432"/>
    <s v="Nashoba Valley Medical Center"/>
    <s v="Short Term Acute Care Hospital"/>
    <s v="Ayer"/>
    <n v="15.1"/>
    <n v="3.3"/>
    <n v="90"/>
    <n v="57"/>
    <n v="6"/>
    <n v="0.06"/>
    <n v="57"/>
    <n v="1.2"/>
    <n v="1950"/>
    <n v="1690"/>
  </r>
  <r>
    <x v="1713"/>
    <s v="220063*"/>
    <s v="MA"/>
    <s v="MA - Middlesex"/>
    <s v="01852"/>
    <s v="Lowell General Hospital - Saints Campus (FKA Saints Medical Center)"/>
    <s v="Short Term Acute Care Hospital"/>
    <s v="Lowell"/>
    <m/>
    <m/>
    <n v="2"/>
    <m/>
    <m/>
    <m/>
    <n v="157"/>
    <m/>
    <n v="1951"/>
    <m/>
  </r>
  <r>
    <x v="1713"/>
    <n v="220084"/>
    <s v="MA"/>
    <s v="MA - Middlesex"/>
    <s v="01742"/>
    <s v="Emerson Hospital"/>
    <s v="Short Term Acute Care Hospital"/>
    <s v="Concord"/>
    <n v="55.4"/>
    <n v="4.3"/>
    <n v="464"/>
    <n v="111"/>
    <n v="14"/>
    <n v="0.06"/>
    <n v="111"/>
    <n v="1.45"/>
    <n v="1952"/>
    <n v="5675"/>
  </r>
  <r>
    <x v="1713"/>
    <n v="220101"/>
    <s v="MA"/>
    <s v="MA - Middlesex"/>
    <s v="02462"/>
    <s v="Newton-Wellesley Hospital"/>
    <s v="Short Term Acute Care Hospital"/>
    <s v="Newton"/>
    <n v="130.9"/>
    <n v="4.0999999999999996"/>
    <n v="850"/>
    <n v="228"/>
    <n v="12"/>
    <n v="0.06"/>
    <n v="228"/>
    <n v="1.54"/>
    <n v="1953"/>
    <n v="15050"/>
  </r>
  <r>
    <x v="1713"/>
    <n v="220105"/>
    <s v="MA"/>
    <s v="MA - Middlesex"/>
    <s v="01890"/>
    <s v="Winchester Hospital"/>
    <s v="Short Term Acute Care Hospital"/>
    <s v="Winchester"/>
    <n v="116.6"/>
    <n v="4"/>
    <n v="557"/>
    <n v="205"/>
    <n v="10"/>
    <n v="0.06"/>
    <n v="229"/>
    <n v="1.4"/>
    <n v="1954"/>
    <n v="11884"/>
  </r>
  <r>
    <x v="1713"/>
    <n v="220175"/>
    <s v="MA"/>
    <s v="MA - Middlesex"/>
    <s v="01702"/>
    <s v="MetroWest Medical Center - Framingham Union Hospital"/>
    <s v="Short Term Acute Care Hospital"/>
    <s v="Framingham"/>
    <n v="83.4"/>
    <n v="4.0999999999999996"/>
    <n v="521"/>
    <n v="216"/>
    <n v="22"/>
    <n v="0.06"/>
    <n v="216"/>
    <n v="1.47"/>
    <n v="1955"/>
    <n v="8346"/>
  </r>
  <r>
    <x v="1713"/>
    <n v="220171"/>
    <s v="MA"/>
    <s v="MA - Middlesex"/>
    <s v="01805"/>
    <s v="Lahey Hospital &amp; Medical Center - Burlington (FKA Lahey Clinic Hospital)"/>
    <s v="Short Term Acute Care Hospital"/>
    <s v="Burlington"/>
    <n v="322"/>
    <n v="4.9000000000000004"/>
    <n v="1155"/>
    <n v="345"/>
    <n v="52"/>
    <n v="0.06"/>
    <n v="335"/>
    <n v="1.81"/>
    <n v="1956"/>
    <n v="23936"/>
  </r>
  <r>
    <x v="1713"/>
    <m/>
    <s v="MA"/>
    <s v="MA - Middlesex"/>
    <s v="01854"/>
    <s v="Lowell Treatment Center (AKA Westwood Lodge Hospital - Closed)"/>
    <s v="Short Term Acute Care Hospital"/>
    <s v="Lowell"/>
    <m/>
    <m/>
    <m/>
    <m/>
    <m/>
    <m/>
    <m/>
    <m/>
    <n v="93727"/>
    <m/>
  </r>
  <r>
    <x v="1713"/>
    <s v="220070*"/>
    <s v="MA"/>
    <s v="MA - Middlesex"/>
    <s v="02155"/>
    <s v="Lawrence Memorial Hospital of Medford"/>
    <s v="Short Term Acute Care Hospital"/>
    <s v="Medford"/>
    <m/>
    <m/>
    <n v="6"/>
    <m/>
    <m/>
    <m/>
    <m/>
    <m/>
    <n v="550123"/>
    <m/>
  </r>
  <r>
    <x v="1713"/>
    <s v="220011* (Closed)"/>
    <s v="MA"/>
    <s v="MA - Middlesex"/>
    <s v="02143"/>
    <s v="Cambridge Health Alliance - Somerville Hospital Campus (Closed - No longer offering inpatient services)"/>
    <s v="Short Term Acute Care Hospital"/>
    <s v="Somerville"/>
    <m/>
    <m/>
    <m/>
    <m/>
    <m/>
    <m/>
    <m/>
    <m/>
    <n v="550169"/>
    <m/>
  </r>
  <r>
    <x v="1713"/>
    <s v="220011*"/>
    <s v="MA"/>
    <s v="MA - Middlesex"/>
    <s v="02149"/>
    <s v="CHA Everett Hospital (FKA Whidden Hospital)"/>
    <s v="Short Term Acute Care Hospital"/>
    <s v="Everett"/>
    <m/>
    <m/>
    <m/>
    <m/>
    <m/>
    <m/>
    <n v="162"/>
    <m/>
    <n v="550170"/>
    <m/>
  </r>
  <r>
    <x v="1713"/>
    <s v="220175*"/>
    <s v="MA"/>
    <s v="MA - Middlesex"/>
    <s v="01760"/>
    <s v="MetroWest Medical Center - Leonard Morse Hospital"/>
    <s v="Short Term Acute Care Hospital"/>
    <s v="Natick"/>
    <m/>
    <m/>
    <n v="2"/>
    <m/>
    <m/>
    <m/>
    <m/>
    <m/>
    <n v="583155"/>
    <m/>
  </r>
  <r>
    <x v="1713"/>
    <m/>
    <s v="MA"/>
    <s v="MA - Middlesex"/>
    <s v="01434"/>
    <s v="FMC Devens"/>
    <s v="Short Term Acute Care Hospital"/>
    <s v="Ayer"/>
    <m/>
    <m/>
    <m/>
    <m/>
    <m/>
    <m/>
    <n v="132"/>
    <m/>
    <n v="840580"/>
    <m/>
  </r>
  <r>
    <x v="1713"/>
    <m/>
    <s v="MA"/>
    <s v="MA - Middlesex"/>
    <s v="01854"/>
    <s v="UMass Lowell Recreation Center Field Hospital (Temporarily Open due to COVID-19)"/>
    <s v="Short Term Acute Care Hospital"/>
    <s v="Lowell"/>
    <m/>
    <m/>
    <m/>
    <m/>
    <m/>
    <m/>
    <m/>
    <m/>
    <n v="1012822"/>
    <m/>
  </r>
  <r>
    <x v="1714"/>
    <n v="220177"/>
    <s v="MA"/>
    <s v="MA - Nantucket"/>
    <s v="02554"/>
    <s v="Nantucket Cottage Hospital"/>
    <s v="Short Term Acute Care Hospital"/>
    <s v="Nantucket"/>
    <n v="5"/>
    <n v="4.9000000000000004"/>
    <n v="35"/>
    <n v="19"/>
    <m/>
    <m/>
    <n v="19"/>
    <n v="1.17"/>
    <n v="1957"/>
    <n v="444"/>
  </r>
  <r>
    <x v="1715"/>
    <n v="220126"/>
    <s v="MA"/>
    <s v="MA - Norfolk"/>
    <s v="02062"/>
    <s v="Norwood Hospital"/>
    <s v="Short Term Acute Care Hospital"/>
    <s v="Norwood"/>
    <n v="88.4"/>
    <n v="4.0999999999999996"/>
    <n v="305"/>
    <n v="149"/>
    <n v="10"/>
    <n v="0.06"/>
    <n v="149"/>
    <n v="1.35"/>
    <n v="1958"/>
    <n v="8219"/>
  </r>
  <r>
    <x v="1715"/>
    <n v="220108"/>
    <s v="MA"/>
    <s v="MA - Norfolk"/>
    <s v="02186"/>
    <s v="Beth Israel Deaconess Hospital - Milton (FKA Milton Hospital)"/>
    <s v="Short Term Acute Care Hospital"/>
    <s v="Milton"/>
    <n v="62.9"/>
    <n v="3.7"/>
    <n v="224"/>
    <n v="102"/>
    <n v="8"/>
    <n v="0.06"/>
    <n v="102"/>
    <n v="1.47"/>
    <n v="1959"/>
    <n v="6135"/>
  </r>
  <r>
    <x v="1715"/>
    <n v="220100"/>
    <s v="MA"/>
    <s v="MA - Norfolk"/>
    <s v="02190"/>
    <s v="South Shore Hospital"/>
    <s v="Short Term Acute Care Hospital"/>
    <s v="South Weymouth"/>
    <n v="311.39999999999998"/>
    <n v="4.5"/>
    <n v="925"/>
    <n v="390"/>
    <n v="34"/>
    <n v="0.06"/>
    <n v="390"/>
    <n v="1.42"/>
    <n v="1960"/>
    <n v="27383"/>
  </r>
  <r>
    <x v="1715"/>
    <n v="220083"/>
    <s v="MA"/>
    <s v="MA - Norfolk"/>
    <s v="02492"/>
    <s v="Beth Israel Deaconess Hospital - Needham"/>
    <s v="Short Term Acute Care Hospital"/>
    <s v="Needham"/>
    <n v="29.1"/>
    <n v="4.2"/>
    <n v="228"/>
    <n v="58"/>
    <n v="7"/>
    <n v="0.06"/>
    <n v="58"/>
    <n v="1.39"/>
    <n v="1961"/>
    <n v="2503"/>
  </r>
  <r>
    <x v="1715"/>
    <s v="220067 (Closed)"/>
    <s v="MA"/>
    <s v="MA - Norfolk"/>
    <s v="02169"/>
    <s v="Quincy Medical Center - Manet Community Health Center (Closed)"/>
    <s v="Short Term Acute Care Hospital"/>
    <s v="Quincy"/>
    <n v="43.5"/>
    <n v="4"/>
    <m/>
    <m/>
    <m/>
    <n v="0.06"/>
    <m/>
    <m/>
    <n v="1962"/>
    <n v="3934"/>
  </r>
  <r>
    <x v="1715"/>
    <m/>
    <s v="MA"/>
    <s v="MA - Norfolk"/>
    <s v="02481"/>
    <s v="Saint John School Field Hospital (Temporarily Open due to COVID-19)"/>
    <s v="Short Term Acute Care Hospital"/>
    <s v="Wellesley"/>
    <m/>
    <m/>
    <m/>
    <m/>
    <m/>
    <m/>
    <m/>
    <m/>
    <n v="1012521"/>
    <m/>
  </r>
  <r>
    <x v="1716"/>
    <n v="220052"/>
    <s v="MA"/>
    <s v="MA - Plymouth"/>
    <s v="02302"/>
    <s v="Signature Healthcare Brockton Hospital"/>
    <s v="Short Term Acute Care Hospital"/>
    <s v="Brockton"/>
    <n v="112.8"/>
    <n v="4.7"/>
    <n v="412"/>
    <n v="175"/>
    <n v="16"/>
    <n v="0.06"/>
    <n v="175"/>
    <n v="1.37"/>
    <n v="1963"/>
    <n v="9634"/>
  </r>
  <r>
    <x v="1716"/>
    <n v="220060"/>
    <s v="MA"/>
    <s v="MA - Plymouth"/>
    <s v="02360"/>
    <s v="Beth Israel Deaconess Hospital - Plymouth"/>
    <s v="Short Term Acute Care Hospital"/>
    <s v="Plymouth"/>
    <n v="115.4"/>
    <n v="4"/>
    <n v="465"/>
    <n v="145"/>
    <n v="13"/>
    <n v="0.06"/>
    <n v="145"/>
    <n v="1.5"/>
    <n v="1964"/>
    <n v="11284"/>
  </r>
  <r>
    <x v="1716"/>
    <n v="220111"/>
    <s v="MA"/>
    <s v="MA - Plymouth"/>
    <s v="02301"/>
    <s v="Good Samaritan Medical Center"/>
    <s v="Short Term Acute Care Hospital"/>
    <s v="Brockton"/>
    <n v="182.2"/>
    <n v="4.5"/>
    <n v="380"/>
    <n v="249"/>
    <n v="18"/>
    <n v="0.06"/>
    <n v="267"/>
    <n v="1.45"/>
    <n v="1965"/>
    <n v="15718"/>
  </r>
  <r>
    <x v="1716"/>
    <s v="220074*"/>
    <s v="MA"/>
    <s v="MA - Plymouth"/>
    <s v="02571"/>
    <s v="Tobey Hospital"/>
    <s v="Short Term Acute Care Hospital"/>
    <s v="Wareham"/>
    <m/>
    <m/>
    <n v="8"/>
    <m/>
    <m/>
    <m/>
    <m/>
    <m/>
    <n v="550046"/>
    <m/>
  </r>
  <r>
    <x v="1717"/>
    <n v="220116"/>
    <s v="MA"/>
    <s v="MA - Suffolk"/>
    <s v="02111"/>
    <s v="Tufts Medical Center"/>
    <s v="Short Term Acute Care Hospital"/>
    <s v="Boston"/>
    <n v="244.4"/>
    <n v="5.5"/>
    <n v="806"/>
    <n v="364"/>
    <n v="98"/>
    <n v="0.06"/>
    <n v="364"/>
    <n v="2.52"/>
    <n v="1966"/>
    <n v="16749"/>
  </r>
  <r>
    <x v="1717"/>
    <n v="220119"/>
    <s v="MA"/>
    <s v="MA - Suffolk"/>
    <s v="02130"/>
    <s v="Brigham and Womens Faulkner Hospital"/>
    <s v="Short Term Acute Care Hospital"/>
    <s v="Boston"/>
    <n v="99.2"/>
    <n v="3.9"/>
    <n v="371"/>
    <n v="147"/>
    <m/>
    <n v="0.06"/>
    <n v="147"/>
    <n v="1.41"/>
    <n v="1967"/>
    <n v="9191"/>
  </r>
  <r>
    <x v="1717"/>
    <n v="220110"/>
    <s v="MA"/>
    <s v="MA - Suffolk"/>
    <s v="02115"/>
    <s v="Brigham and Womens Hospital"/>
    <s v="Short Term Acute Care Hospital"/>
    <s v="Boston"/>
    <n v="727.7"/>
    <n v="6.6"/>
    <n v="2095"/>
    <n v="804"/>
    <m/>
    <n v="0.06"/>
    <n v="804"/>
    <n v="2.2599999999999998"/>
    <n v="1969"/>
    <n v="42328"/>
  </r>
  <r>
    <x v="1717"/>
    <n v="220086"/>
    <s v="MA"/>
    <s v="MA - Suffolk"/>
    <s v="02215"/>
    <s v="Beth Israel Deaconess Medical Center"/>
    <s v="Short Term Acute Care Hospital"/>
    <s v="Boston"/>
    <n v="595.1"/>
    <n v="5.8"/>
    <n v="1602"/>
    <n v="694"/>
    <n v="77"/>
    <n v="0.06"/>
    <n v="694"/>
    <n v="2.08"/>
    <n v="1970"/>
    <n v="39871"/>
  </r>
  <r>
    <x v="1717"/>
    <n v="220088"/>
    <s v="MA"/>
    <s v="MA - Suffolk"/>
    <s v="02120"/>
    <s v="New England Baptist Hospital"/>
    <s v="Short Term Acute Care Hospital"/>
    <s v="Boston"/>
    <n v="51.7"/>
    <n v="2.2999999999999998"/>
    <n v="188"/>
    <n v="98"/>
    <n v="10"/>
    <n v="0.06"/>
    <n v="98"/>
    <n v="2.4"/>
    <n v="1971"/>
    <n v="8146"/>
  </r>
  <r>
    <x v="1717"/>
    <n v="220036"/>
    <s v="MA"/>
    <s v="MA - Suffolk"/>
    <s v="02135"/>
    <s v="St Elizabeths Medical Center"/>
    <s v="Short Term Acute Care Hospital"/>
    <s v="Brighton"/>
    <n v="143.1"/>
    <n v="5.0999999999999996"/>
    <n v="380"/>
    <n v="212"/>
    <n v="46"/>
    <n v="0.06"/>
    <n v="212"/>
    <n v="2.0499999999999998"/>
    <n v="1972"/>
    <n v="10714"/>
  </r>
  <r>
    <x v="1717"/>
    <n v="220071"/>
    <s v="MA"/>
    <s v="MA - Suffolk"/>
    <s v="02114"/>
    <s v="Massachusetts General Hospital"/>
    <s v="Short Term Acute Care Hospital"/>
    <s v="Boston"/>
    <n v="841"/>
    <n v="6.5"/>
    <n v="3018"/>
    <n v="993"/>
    <n v="20"/>
    <n v="0.06"/>
    <n v="993"/>
    <n v="2.2200000000000002"/>
    <n v="1973"/>
    <n v="49506"/>
  </r>
  <r>
    <x v="1717"/>
    <n v="220075"/>
    <s v="MA"/>
    <s v="MA - Suffolk"/>
    <s v="02114"/>
    <s v="Massachusetts Eye and Ear"/>
    <s v="Short Term Acute Care Hospital"/>
    <s v="Boston"/>
    <n v="12.2"/>
    <n v="3.8"/>
    <n v="354"/>
    <n v="41"/>
    <m/>
    <n v="0.06"/>
    <n v="41"/>
    <n v="1.84"/>
    <n v="1974"/>
    <n v="1175"/>
  </r>
  <r>
    <x v="1717"/>
    <n v="220017"/>
    <s v="MA"/>
    <s v="MA - Suffolk"/>
    <s v="02124"/>
    <s v="Carney Hospital"/>
    <s v="Short Term Acute Care Hospital"/>
    <s v="Dorchester"/>
    <n v="62.3"/>
    <n v="5.0999999999999996"/>
    <n v="176"/>
    <n v="110"/>
    <n v="10"/>
    <n v="0.06"/>
    <n v="110"/>
    <n v="1.41"/>
    <n v="1975"/>
    <n v="4478"/>
  </r>
  <r>
    <x v="1717"/>
    <n v="220031"/>
    <s v="MA"/>
    <s v="MA - Suffolk"/>
    <s v="02118"/>
    <s v="Boston Medical Center"/>
    <s v="Short Term Acute Care Hospital"/>
    <s v="Boston"/>
    <n v="356.3"/>
    <n v="5.4"/>
    <n v="1763"/>
    <n v="399"/>
    <n v="63"/>
    <n v="0.06"/>
    <n v="399"/>
    <n v="1.94"/>
    <n v="1976"/>
    <n v="25816"/>
  </r>
  <r>
    <x v="1717"/>
    <s v="220154 (Closed)"/>
    <s v="MA"/>
    <s v="MA - Suffolk"/>
    <s v="02150"/>
    <s v="Soldiers Home In Massachusetts (Closed - No Longer offering Inpatient Services)"/>
    <s v="Short Term Acute Care Hospital"/>
    <s v="Chelsea"/>
    <n v="77.400000000000006"/>
    <n v="376.5"/>
    <m/>
    <m/>
    <m/>
    <m/>
    <m/>
    <m/>
    <n v="1977"/>
    <n v="75"/>
  </r>
  <r>
    <x v="1717"/>
    <n v="220162"/>
    <s v="MA"/>
    <s v="MA - Suffolk"/>
    <s v="02215"/>
    <s v="Dana Farber Cancer Institute"/>
    <s v="Short Term Acute Care Hospital"/>
    <s v="Boston"/>
    <n v="28.1"/>
    <n v="6.5"/>
    <n v="409"/>
    <n v="30"/>
    <m/>
    <n v="0.06"/>
    <n v="30"/>
    <n v="2.64"/>
    <n v="1978"/>
    <n v="1568"/>
  </r>
  <r>
    <x v="1717"/>
    <m/>
    <s v="MA"/>
    <s v="MA - Suffolk"/>
    <s v="02110"/>
    <s v="Boston Hope Medical Center Field Hospital"/>
    <s v="Short Term Acute Care Hospital"/>
    <s v="Boston"/>
    <m/>
    <m/>
    <m/>
    <m/>
    <m/>
    <m/>
    <m/>
    <m/>
    <n v="1013729"/>
    <m/>
  </r>
  <r>
    <x v="466"/>
    <n v="220163"/>
    <s v="MA"/>
    <s v="MA - Worcester"/>
    <s v="01655"/>
    <s v="UMass Memorial Medical Center - University Campus"/>
    <s v="Short Term Acute Care Hospital"/>
    <s v="Worcester"/>
    <n v="524.1"/>
    <n v="5.5"/>
    <n v="1862"/>
    <n v="609"/>
    <n v="82"/>
    <n v="0.3"/>
    <n v="609"/>
    <n v="1.92"/>
    <n v="1981"/>
    <n v="37164"/>
  </r>
  <r>
    <x v="466"/>
    <n v="220176"/>
    <s v="MA"/>
    <s v="MA - Worcester"/>
    <s v="01608"/>
    <s v="St Vincent Hospital"/>
    <s v="Short Term Acute Care Hospital"/>
    <s v="Worcester"/>
    <n v="173.4"/>
    <n v="4"/>
    <n v="533"/>
    <n v="259"/>
    <m/>
    <n v="0.3"/>
    <n v="259"/>
    <n v="1.58"/>
    <n v="1982"/>
    <n v="16843"/>
  </r>
  <r>
    <x v="466"/>
    <n v="220019"/>
    <s v="MA"/>
    <s v="MA - Worcester"/>
    <s v="01550"/>
    <s v="Harrington Memorial Hospital"/>
    <s v="Short Term Acute Care Hospital"/>
    <s v="Southbridge"/>
    <n v="53.1"/>
    <n v="4.5"/>
    <n v="283"/>
    <n v="114"/>
    <n v="6"/>
    <n v="0.3"/>
    <n v="114"/>
    <n v="1.24"/>
    <n v="1983"/>
    <n v="4321"/>
  </r>
  <r>
    <x v="466"/>
    <n v="220001"/>
    <s v="MA"/>
    <s v="MA - Worcester"/>
    <s v="01453"/>
    <s v="UMass Memorial HealthAlliance - Leominster Campus"/>
    <s v="Short Term Acute Care Hospital"/>
    <s v="Leominster"/>
    <n v="76.900000000000006"/>
    <n v="4"/>
    <n v="297"/>
    <n v="125"/>
    <n v="10"/>
    <n v="0.3"/>
    <n v="125"/>
    <n v="1.41"/>
    <n v="1984"/>
    <n v="7390"/>
  </r>
  <r>
    <x v="466"/>
    <n v="220062"/>
    <s v="MA"/>
    <s v="MA - Worcester"/>
    <s v="01605"/>
    <s v="AdCare Hospital of Worcester"/>
    <s v="Short Term Acute Care Hospital"/>
    <s v="Worcester"/>
    <n v="103.1"/>
    <n v="6.2"/>
    <n v="21"/>
    <n v="114"/>
    <m/>
    <n v="0.3"/>
    <n v="114"/>
    <n v="0.99"/>
    <n v="1985"/>
    <n v="6037"/>
  </r>
  <r>
    <x v="466"/>
    <m/>
    <s v="MA"/>
    <s v="MA - Worcester"/>
    <s v="01510"/>
    <s v="UMass Memorial HealthAlliance - Clinton Campus"/>
    <s v="Short Term Acute Care Hospital"/>
    <s v="Clinton"/>
    <n v="5.8"/>
    <n v="3.7"/>
    <m/>
    <n v="21"/>
    <m/>
    <n v="0.3"/>
    <n v="21"/>
    <m/>
    <n v="1986"/>
    <n v="573"/>
  </r>
  <r>
    <x v="466"/>
    <n v="220090"/>
    <s v="MA"/>
    <s v="MA - Worcester"/>
    <s v="01757"/>
    <s v="Milford Regional Medical Center"/>
    <s v="Short Term Acute Care Hospital"/>
    <s v="Milford"/>
    <n v="90.5"/>
    <n v="3.9"/>
    <n v="511"/>
    <n v="149"/>
    <n v="10"/>
    <n v="0.3"/>
    <n v="149"/>
    <n v="1.4"/>
    <n v="1987"/>
    <n v="8999"/>
  </r>
  <r>
    <x v="466"/>
    <n v="220095"/>
    <s v="MA"/>
    <s v="MA - Worcester"/>
    <s v="01440"/>
    <s v="Heywood Hospital"/>
    <s v="Short Term Acute Care Hospital"/>
    <s v="Gardner"/>
    <n v="43.2"/>
    <n v="3.9"/>
    <n v="163"/>
    <n v="114"/>
    <n v="11"/>
    <n v="0.3"/>
    <n v="114"/>
    <n v="1.26"/>
    <n v="1988"/>
    <n v="4009"/>
  </r>
  <r>
    <x v="466"/>
    <s v="220025 (Closed)"/>
    <s v="MA"/>
    <s v="MA - Worcester"/>
    <s v="01570"/>
    <s v="Hubbard Regional Hospital (Closed)"/>
    <s v="Short Term Acute Care Hospital"/>
    <s v="Webster"/>
    <n v="8.4"/>
    <n v="3.2"/>
    <m/>
    <m/>
    <m/>
    <n v="0.3"/>
    <m/>
    <m/>
    <n v="4803"/>
    <n v="963"/>
  </r>
  <r>
    <x v="466"/>
    <s v="220001*"/>
    <s v="MA"/>
    <s v="MA - Worcester"/>
    <s v="01420"/>
    <s v="UMass Memorial HealthAlliance - Burbank Campus"/>
    <s v="Short Term Acute Care Hospital"/>
    <s v="Fitchburg"/>
    <m/>
    <m/>
    <m/>
    <m/>
    <m/>
    <m/>
    <n v="163"/>
    <m/>
    <n v="274105"/>
    <m/>
  </r>
  <r>
    <x v="466"/>
    <s v="220163* (Closed)"/>
    <s v="MA"/>
    <s v="MA - Worcester"/>
    <s v="01605"/>
    <s v="UMass Memorial Medical Center - Hahnemann Campus (Closed - No Longer Offers Inpatient Services)"/>
    <s v="Short Term Acute Care Hospital"/>
    <s v="Worcester"/>
    <m/>
    <m/>
    <m/>
    <m/>
    <m/>
    <m/>
    <m/>
    <m/>
    <n v="550114"/>
    <m/>
  </r>
  <r>
    <x v="466"/>
    <s v="220163*"/>
    <s v="MA"/>
    <s v="MA - Worcester"/>
    <s v="01605"/>
    <s v="UMass Memorial Medical Center - Memorial Campus"/>
    <s v="Short Term Acute Care Hospital"/>
    <s v="Worcester"/>
    <m/>
    <m/>
    <n v="2"/>
    <m/>
    <m/>
    <m/>
    <m/>
    <m/>
    <n v="550115"/>
    <m/>
  </r>
  <r>
    <x v="466"/>
    <m/>
    <s v="MA"/>
    <s v="MA - Worcester"/>
    <s v="01608"/>
    <s v="DCU Center Field Hospital (Temporarily Open due to COVID-19)"/>
    <s v="Short Term Acute Care Hospital"/>
    <s v="Worcester"/>
    <m/>
    <m/>
    <m/>
    <m/>
    <m/>
    <m/>
    <m/>
    <m/>
    <n v="1012221"/>
    <m/>
  </r>
  <r>
    <x v="1718"/>
    <n v="230036"/>
    <s v="MI"/>
    <s v="MI - Alpena"/>
    <n v="49707"/>
    <s v="MidMichigan Medical Center - Alpena (FKA Alpena Regional Medical Center)"/>
    <s v="Short Term Acute Care Hospital"/>
    <s v="Alpena"/>
    <n v="41.7"/>
    <n v="3.7"/>
    <n v="189"/>
    <n v="128"/>
    <n v="9"/>
    <n v="1"/>
    <n v="128"/>
    <n v="1.48"/>
    <n v="1990"/>
    <n v="4362"/>
  </r>
  <r>
    <x v="1719"/>
    <n v="230041"/>
    <s v="MI"/>
    <s v="MI - Bay"/>
    <n v="48708"/>
    <s v="McLaren Bay Region (FKA Bay Regional Medical Center)"/>
    <s v="Short Term Acute Care Hospital"/>
    <s v="Bay City"/>
    <n v="180.4"/>
    <n v="4.4000000000000004"/>
    <n v="356"/>
    <n v="291"/>
    <n v="32"/>
    <n v="1"/>
    <n v="291"/>
    <n v="1.77"/>
    <n v="1993"/>
    <n v="14681"/>
  </r>
  <r>
    <x v="1720"/>
    <n v="230021"/>
    <s v="MI"/>
    <s v="MI - Berrien"/>
    <n v="49085"/>
    <s v="Lakeland Medical Center"/>
    <s v="Short Term Acute Care Hospital"/>
    <s v="Saint Joseph"/>
    <n v="128.80000000000001"/>
    <n v="3.4"/>
    <n v="523"/>
    <n v="264"/>
    <n v="20"/>
    <n v="0.81"/>
    <n v="196"/>
    <n v="1.67"/>
    <n v="1995"/>
    <n v="15093"/>
  </r>
  <r>
    <x v="1720"/>
    <n v="230078"/>
    <s v="MI"/>
    <s v="MI - Berrien"/>
    <n v="49098"/>
    <s v="Lakeland Hospital Watervliet"/>
    <s v="Short Term Acute Care Hospital"/>
    <s v="Watervliet"/>
    <n v="0.8"/>
    <n v="1.8"/>
    <n v="51"/>
    <n v="26"/>
    <m/>
    <n v="0.81"/>
    <n v="26"/>
    <n v="1.28"/>
    <n v="1996"/>
    <n v="154"/>
  </r>
  <r>
    <x v="1720"/>
    <s v="230125 (Closed)"/>
    <s v="MI"/>
    <s v="MI - Berrien"/>
    <n v="49102"/>
    <s v="Lakeland Specialty Hospital (closed June 1 2015)"/>
    <s v="Short Term Acute Care Hospital"/>
    <s v="Berrien Center"/>
    <n v="11.1"/>
    <n v="27.5"/>
    <m/>
    <m/>
    <m/>
    <n v="0.81"/>
    <m/>
    <m/>
    <n v="5062"/>
    <n v="122"/>
  </r>
  <r>
    <x v="1720"/>
    <s v="230021*"/>
    <s v="MI"/>
    <s v="MI - Berrien"/>
    <n v="49120"/>
    <s v="Lakeland Hospital Niles"/>
    <s v="Short Term Acute Care Hospital"/>
    <s v="Niles"/>
    <m/>
    <m/>
    <m/>
    <m/>
    <m/>
    <m/>
    <m/>
    <m/>
    <n v="553358"/>
    <m/>
  </r>
  <r>
    <x v="1721"/>
    <n v="230022"/>
    <s v="MI"/>
    <s v="MI - Branch"/>
    <n v="49036"/>
    <s v="ProMedica Coldwater Regional Hospital (FKA Community Health Center of Branch County)"/>
    <s v="Short Term Acute Care Hospital"/>
    <s v="Coldwater"/>
    <n v="31.3"/>
    <n v="4"/>
    <n v="99"/>
    <n v="87"/>
    <n v="10"/>
    <n v="1"/>
    <n v="87"/>
    <n v="1.22"/>
    <n v="1997"/>
    <n v="2927"/>
  </r>
  <r>
    <x v="1722"/>
    <n v="230075"/>
    <s v="MI"/>
    <s v="MI - Calhoun"/>
    <n v="49017"/>
    <s v="Bronson Battle Creek Hospital"/>
    <s v="Short Term Acute Care Hospital"/>
    <s v="Battle Creek"/>
    <n v="77.2"/>
    <n v="3.9"/>
    <n v="258"/>
    <n v="159"/>
    <n v="20"/>
    <n v="0.5"/>
    <n v="159"/>
    <n v="1.56"/>
    <n v="1998"/>
    <n v="7254"/>
  </r>
  <r>
    <x v="1722"/>
    <n v="230217"/>
    <s v="MI"/>
    <s v="MI - Calhoun"/>
    <n v="49068"/>
    <s v="Oaklawn Hospital"/>
    <s v="Short Term Acute Care Hospital"/>
    <s v="Marshall"/>
    <n v="41.4"/>
    <n v="3"/>
    <n v="207"/>
    <n v="78"/>
    <n v="12"/>
    <n v="0.5"/>
    <n v="78"/>
    <n v="1.72"/>
    <n v="2000"/>
    <n v="4953"/>
  </r>
  <r>
    <x v="1723"/>
    <n v="230239"/>
    <s v="MI"/>
    <s v="MI - Chippewa"/>
    <n v="49783"/>
    <s v="War Memorial Hospital"/>
    <s v="Short Term Acute Care Hospital"/>
    <s v="Sault Sainte Marie"/>
    <n v="24.7"/>
    <n v="3.9"/>
    <n v="110"/>
    <n v="49"/>
    <n v="6"/>
    <n v="1"/>
    <n v="49"/>
    <n v="1.35"/>
    <n v="2003"/>
    <n v="2449"/>
  </r>
  <r>
    <x v="1724"/>
    <n v="230180"/>
    <s v="MI"/>
    <s v="MI - Clare"/>
    <n v="48617"/>
    <s v="MidMichigan Medical Center - Clare"/>
    <s v="Short Term Acute Care Hospital"/>
    <s v="Clare"/>
    <n v="7.3"/>
    <n v="2.8"/>
    <n v="79"/>
    <n v="49"/>
    <m/>
    <m/>
    <n v="49"/>
    <n v="1.27"/>
    <n v="2004"/>
    <n v="952"/>
  </r>
  <r>
    <x v="1725"/>
    <n v="230058"/>
    <s v="MI"/>
    <s v="MI - Crawford"/>
    <n v="49738"/>
    <s v="Munson Healthcare Grayling Hospital"/>
    <s v="Short Term Acute Care Hospital"/>
    <s v="Grayling"/>
    <n v="18.100000000000001"/>
    <n v="3.1"/>
    <n v="100"/>
    <n v="49"/>
    <n v="6"/>
    <m/>
    <n v="49"/>
    <n v="1.38"/>
    <n v="2006"/>
    <n v="2284"/>
  </r>
  <r>
    <x v="1726"/>
    <n v="230055"/>
    <s v="MI"/>
    <s v="MI - Dickinson"/>
    <n v="49801"/>
    <s v="Dickinson County Memorial Hospital"/>
    <s v="Short Term Acute Care Hospital"/>
    <s v="Iron Mountain"/>
    <n v="20.100000000000001"/>
    <n v="3.5"/>
    <n v="115"/>
    <n v="39"/>
    <n v="6"/>
    <n v="1"/>
    <n v="39"/>
    <n v="1.56"/>
    <n v="2008"/>
    <n v="2325"/>
  </r>
  <r>
    <x v="1727"/>
    <n v="230105"/>
    <s v="MI"/>
    <s v="MI - Emmet"/>
    <n v="49770"/>
    <s v="McLaren Northern Michigan"/>
    <s v="Short Term Acute Care Hospital"/>
    <s v="Petoskey"/>
    <n v="90.4"/>
    <n v="3.7"/>
    <n v="313"/>
    <n v="170"/>
    <n v="18"/>
    <m/>
    <n v="170"/>
    <n v="1.91"/>
    <n v="2012"/>
    <n v="9131"/>
  </r>
  <r>
    <x v="1728"/>
    <n v="230132"/>
    <s v="MI"/>
    <s v="MI - Genesee"/>
    <n v="48503"/>
    <s v="Hurley Medical Center"/>
    <s v="Short Term Acute Care Hospital"/>
    <s v="Flint"/>
    <n v="246.4"/>
    <n v="5.4"/>
    <n v="524"/>
    <n v="370"/>
    <n v="46"/>
    <n v="0.33"/>
    <n v="370"/>
    <n v="1.62"/>
    <n v="2013"/>
    <n v="17240"/>
  </r>
  <r>
    <x v="1728"/>
    <n v="230141"/>
    <s v="MI"/>
    <s v="MI - Genesee"/>
    <n v="48532"/>
    <s v="McLaren Flint"/>
    <s v="Short Term Acute Care Hospital"/>
    <s v="Flint"/>
    <n v="228.3"/>
    <n v="4.7"/>
    <n v="436"/>
    <n v="305"/>
    <n v="18"/>
    <n v="0.33"/>
    <n v="305"/>
    <n v="1.81"/>
    <n v="2014"/>
    <n v="17969"/>
  </r>
  <r>
    <x v="1728"/>
    <n v="230197"/>
    <s v="MI"/>
    <s v="MI - Genesee"/>
    <n v="48439"/>
    <s v="Ascension Genesys Hospital"/>
    <s v="Short Term Acute Care Hospital"/>
    <s v="Grand Blanc"/>
    <n v="223.9"/>
    <n v="4.3"/>
    <n v="489"/>
    <n v="350"/>
    <n v="45"/>
    <n v="0.33"/>
    <n v="350"/>
    <n v="1.87"/>
    <n v="2015"/>
    <n v="19591"/>
  </r>
  <r>
    <x v="1729"/>
    <n v="230097"/>
    <s v="MI"/>
    <s v="MI - Grand Traverse"/>
    <n v="49684"/>
    <s v="Munson Medical Center"/>
    <s v="Short Term Acute Care Hospital"/>
    <s v="Traverse City"/>
    <n v="241.9"/>
    <n v="4.2"/>
    <n v="777"/>
    <n v="409"/>
    <n v="20"/>
    <n v="0.83"/>
    <n v="409"/>
    <n v="1.89"/>
    <n v="2018"/>
    <n v="21759"/>
  </r>
  <r>
    <x v="1730"/>
    <n v="230030"/>
    <s v="MI"/>
    <s v="MI - Gratiot"/>
    <n v="48801"/>
    <s v="MidMichigan Medical Center - Gratiot"/>
    <s v="Short Term Acute Care Hospital"/>
    <s v="Alma"/>
    <n v="27.3"/>
    <n v="3.3"/>
    <n v="164"/>
    <n v="49"/>
    <m/>
    <n v="1"/>
    <n v="49"/>
    <n v="1.37"/>
    <n v="2019"/>
    <n v="3349"/>
  </r>
  <r>
    <x v="1731"/>
    <n v="230037"/>
    <s v="MI"/>
    <s v="MI - Hillsdale"/>
    <n v="49242"/>
    <s v="Hillsdale Community Health Center (AKA Hillsdale Hospital)"/>
    <s v="Short Term Acute Care Hospital"/>
    <s v="Hillsdale"/>
    <n v="12.2"/>
    <n v="2.5"/>
    <n v="91"/>
    <n v="44"/>
    <n v="4"/>
    <n v="1"/>
    <n v="44"/>
    <n v="1.4"/>
    <n v="2020"/>
    <n v="1981"/>
  </r>
  <r>
    <x v="481"/>
    <n v="230108"/>
    <s v="MI"/>
    <s v="MI - Houghton"/>
    <n v="49930"/>
    <s v="UP Health System - Portage Main Campus"/>
    <s v="Short Term Acute Care Hospital"/>
    <s v="Hancock"/>
    <n v="8.6999999999999993"/>
    <n v="2.9"/>
    <n v="77"/>
    <n v="36"/>
    <m/>
    <n v="0.5"/>
    <n v="36"/>
    <n v="1.48"/>
    <n v="2021"/>
    <n v="1237"/>
  </r>
  <r>
    <x v="482"/>
    <n v="230118"/>
    <s v="MI"/>
    <s v="MI - Huron"/>
    <n v="48413"/>
    <s v="McLaren Thumb Region (FKA Huron Medical Center)"/>
    <s v="Short Term Acute Care Hospital"/>
    <s v="Bad Axe"/>
    <n v="8.1999999999999993"/>
    <n v="2.9"/>
    <n v="56"/>
    <n v="33"/>
    <n v="4"/>
    <m/>
    <n v="33"/>
    <n v="1.51"/>
    <n v="2022"/>
    <n v="1220"/>
  </r>
  <r>
    <x v="1732"/>
    <n v="230230"/>
    <s v="MI"/>
    <s v="MI - Ingham"/>
    <n v="48912"/>
    <s v="Sparrow Hospital"/>
    <s v="Short Term Acute Care Hospital"/>
    <s v="Lansing"/>
    <n v="376.2"/>
    <n v="4.4000000000000004"/>
    <n v="1206"/>
    <n v="533"/>
    <n v="99"/>
    <n v="0.36"/>
    <n v="533"/>
    <n v="1.7"/>
    <n v="2024"/>
    <n v="32636"/>
  </r>
  <r>
    <x v="1732"/>
    <n v="230167"/>
    <s v="MI"/>
    <s v="MI - Ingham"/>
    <n v="48910"/>
    <s v="McLaren Greater Lansing (FKA Ingham Regional Medical Center)"/>
    <s v="Short Term Acute Care Hospital"/>
    <s v="Lansing"/>
    <n v="120.4"/>
    <n v="4.0999999999999996"/>
    <n v="427"/>
    <n v="240"/>
    <n v="16"/>
    <n v="0.36"/>
    <n v="310"/>
    <n v="1.76"/>
    <n v="2025"/>
    <n v="11233"/>
  </r>
  <r>
    <x v="1732"/>
    <s v="230167*"/>
    <s v="MI"/>
    <s v="MI - Ingham"/>
    <n v="48910"/>
    <s v="McLaren Orthopedic Hospital"/>
    <s v="Short Term Acute Care Hospital"/>
    <s v="Lansing"/>
    <m/>
    <m/>
    <m/>
    <m/>
    <m/>
    <m/>
    <n v="52"/>
    <m/>
    <n v="550036"/>
    <m/>
  </r>
  <r>
    <x v="1733"/>
    <n v="230100"/>
    <s v="MI"/>
    <s v="MI - Iosco"/>
    <n v="48763"/>
    <s v="Ascension St Joseph Hospital"/>
    <s v="Short Term Acute Care Hospital"/>
    <s v="Tawas City"/>
    <n v="9.4"/>
    <n v="2.2000000000000002"/>
    <n v="68"/>
    <n v="47"/>
    <n v="4"/>
    <m/>
    <n v="47"/>
    <n v="1.3"/>
    <n v="2027"/>
    <n v="1705"/>
  </r>
  <r>
    <x v="1734"/>
    <n v="230080"/>
    <s v="MI"/>
    <s v="MI - Isabella"/>
    <n v="48858"/>
    <s v="McLaren Central Michigan (FKA Central Michigan Community Hospital)"/>
    <s v="Short Term Acute Care Hospital"/>
    <s v="Mount Pleasant"/>
    <n v="20.3"/>
    <n v="2.7"/>
    <n v="107"/>
    <n v="90"/>
    <n v="8"/>
    <n v="1"/>
    <n v="90"/>
    <n v="1.41"/>
    <n v="2029"/>
    <n v="3138"/>
  </r>
  <r>
    <x v="1735"/>
    <n v="230092"/>
    <s v="MI"/>
    <s v="MI - Jackson"/>
    <n v="49201"/>
    <s v="Henry Ford Allegiance Health (FKA Allegiance Health Hospital WA Foote Memorial Hospital)"/>
    <s v="Short Term Acute Care Hospital"/>
    <s v="Jackson"/>
    <n v="207.5"/>
    <n v="4.2"/>
    <n v="576"/>
    <n v="313"/>
    <n v="34"/>
    <n v="1"/>
    <n v="313"/>
    <n v="1.7"/>
    <n v="2030"/>
    <n v="18252"/>
  </r>
  <r>
    <x v="1735"/>
    <m/>
    <s v="MI"/>
    <s v="MI - Jackson"/>
    <n v="49201"/>
    <s v="Duane Water Health Center"/>
    <s v="Short Term Acute Care Hospital"/>
    <s v="Jackson"/>
    <m/>
    <m/>
    <m/>
    <m/>
    <m/>
    <m/>
    <n v="112"/>
    <m/>
    <n v="581834"/>
    <m/>
  </r>
  <r>
    <x v="1736"/>
    <n v="230017"/>
    <s v="MI"/>
    <s v="MI - Kalamazoo"/>
    <n v="49007"/>
    <s v="Bronson Methodist Hospital"/>
    <s v="Short Term Acute Care Hospital"/>
    <s v="Kalamazoo"/>
    <n v="278.60000000000002"/>
    <n v="4"/>
    <n v="873"/>
    <n v="415"/>
    <n v="55"/>
    <n v="0.5"/>
    <n v="415"/>
    <n v="2.0099999999999998"/>
    <n v="2031"/>
    <n v="26705"/>
  </r>
  <r>
    <x v="1736"/>
    <s v="230190 (Closed)"/>
    <s v="MI"/>
    <s v="MI - Kalamazoo"/>
    <n v="49097"/>
    <s v="Bronson Vicksburg Hospital (Closed - No Longer Offering Inpatient Services)"/>
    <s v="Short Term Acute Care Hospital"/>
    <s v="Vicksburg"/>
    <m/>
    <m/>
    <m/>
    <m/>
    <m/>
    <n v="0.5"/>
    <m/>
    <m/>
    <n v="2032"/>
    <m/>
  </r>
  <r>
    <x v="1736"/>
    <n v="230117"/>
    <s v="MI"/>
    <s v="MI - Kalamazoo"/>
    <n v="49048"/>
    <s v="Ascension Borgess Hospital"/>
    <s v="Short Term Acute Care Hospital"/>
    <s v="Kalamazoo"/>
    <n v="162.5"/>
    <n v="4"/>
    <n v="583"/>
    <n v="306"/>
    <n v="15"/>
    <n v="0.5"/>
    <n v="306"/>
    <n v="1.88"/>
    <n v="2033"/>
    <n v="15308"/>
  </r>
  <r>
    <x v="1737"/>
    <n v="230236"/>
    <s v="MI"/>
    <s v="MI - Kent"/>
    <n v="49519"/>
    <s v="Metro Health Hospital"/>
    <s v="Short Term Acute Care Hospital"/>
    <s v="Wyoming"/>
    <n v="99.1"/>
    <n v="3.4"/>
    <n v="489"/>
    <n v="187"/>
    <n v="16"/>
    <n v="0.41"/>
    <n v="187"/>
    <n v="1.99"/>
    <n v="2034"/>
    <n v="10476"/>
  </r>
  <r>
    <x v="1737"/>
    <n v="230038"/>
    <s v="MI"/>
    <s v="MI - Kent"/>
    <n v="49503"/>
    <s v="Spectrum Health Butterworth Hospital"/>
    <s v="Short Term Acute Care Hospital"/>
    <s v="Grand Rapids"/>
    <n v="789.1"/>
    <n v="4.5999999999999996"/>
    <n v="2547"/>
    <n v="1095"/>
    <n v="94"/>
    <n v="0.41"/>
    <n v="1095"/>
    <n v="2.06"/>
    <n v="2035"/>
    <n v="69396"/>
  </r>
  <r>
    <x v="1737"/>
    <n v="230059"/>
    <s v="MI"/>
    <s v="MI - Kent"/>
    <n v="49503"/>
    <s v="Mercy Health Saint Marys (FKA St Marys Health Care)"/>
    <s v="Short Term Acute Care Hospital"/>
    <s v="Grand Rapids"/>
    <n v="174.7"/>
    <n v="3.9"/>
    <n v="817"/>
    <n v="275"/>
    <n v="32"/>
    <n v="0.41"/>
    <n v="275"/>
    <n v="1.76"/>
    <n v="2036"/>
    <n v="15855"/>
  </r>
  <r>
    <x v="1737"/>
    <s v="230038*"/>
    <s v="MI"/>
    <s v="MI - Kent"/>
    <n v="49506"/>
    <s v="Spectrum Health Blodgett Hospital"/>
    <s v="Short Term Acute Care Hospital"/>
    <s v="Grand Rapids"/>
    <m/>
    <m/>
    <m/>
    <m/>
    <m/>
    <m/>
    <n v="248"/>
    <m/>
    <n v="274208"/>
    <m/>
  </r>
  <r>
    <x v="1738"/>
    <n v="230193"/>
    <s v="MI"/>
    <s v="MI - Lapeer"/>
    <n v="48446"/>
    <s v="McLaren Lapeer Region (FKA Lapeer Regional Medical Center)"/>
    <s v="Short Term Acute Care Hospital"/>
    <s v="Lapeer"/>
    <n v="61.2"/>
    <n v="4.0999999999999996"/>
    <n v="138"/>
    <n v="116"/>
    <n v="10"/>
    <n v="0.06"/>
    <n v="116"/>
    <n v="1.64"/>
    <n v="2038"/>
    <n v="5547"/>
  </r>
  <r>
    <x v="486"/>
    <n v="230005"/>
    <s v="MI"/>
    <s v="MI - Lenawee"/>
    <n v="49221"/>
    <s v="ProMedica Bixby Hospital (Closing Late August 2020)"/>
    <s v="Short Term Acute Care Hospital"/>
    <s v="Adrian"/>
    <n v="28.2"/>
    <n v="3.5"/>
    <n v="173"/>
    <n v="88"/>
    <n v="9"/>
    <n v="0.63"/>
    <n v="88"/>
    <n v="1.51"/>
    <n v="2040"/>
    <n v="3244"/>
  </r>
  <r>
    <x v="1739"/>
    <n v="230069"/>
    <s v="MI"/>
    <s v="MI - Livingston"/>
    <n v="48843"/>
    <s v="St Joseph Mercy Livingston Hospital"/>
    <s v="Short Term Acute Care Hospital"/>
    <s v="Howell"/>
    <n v="23.5"/>
    <n v="3.1"/>
    <n v="202"/>
    <n v="43"/>
    <n v="8"/>
    <n v="0.06"/>
    <n v="43"/>
    <n v="1.49"/>
    <n v="2041"/>
    <n v="2767"/>
  </r>
  <r>
    <x v="1739"/>
    <n v="230279"/>
    <s v="MI"/>
    <s v="MI - Livingston"/>
    <n v="48116"/>
    <s v="Ascension Brighton Center for Recovery (FKA Brighton Hospital)"/>
    <s v="Short Term Acute Care Hospital"/>
    <s v="Brighton"/>
    <n v="45.4"/>
    <n v="7.4"/>
    <n v="9"/>
    <n v="99"/>
    <m/>
    <n v="0.06"/>
    <n v="99"/>
    <n v="1.1499999999999999"/>
    <n v="2042"/>
    <n v="2243"/>
  </r>
  <r>
    <x v="1740"/>
    <s v="230257 (Closed)"/>
    <s v="MI"/>
    <s v="MI - Macomb"/>
    <n v="48045"/>
    <s v="St John North Shores Hospital (Closed 2010)"/>
    <s v="Short Term Acute Care Hospital"/>
    <s v="Harrison Township"/>
    <n v="3.2"/>
    <n v="6.2"/>
    <m/>
    <m/>
    <m/>
    <n v="0.06"/>
    <m/>
    <m/>
    <n v="2043"/>
    <n v="189"/>
  </r>
  <r>
    <x v="1740"/>
    <n v="230195"/>
    <s v="MI"/>
    <s v="MI - Macomb"/>
    <n v="48093"/>
    <s v="Ascension Macomb-Oakland Hospital - Warren Campus"/>
    <s v="Short Term Acute Care Hospital"/>
    <s v="Warren"/>
    <n v="285.39999999999998"/>
    <n v="4.7"/>
    <n v="618"/>
    <n v="429"/>
    <n v="41"/>
    <n v="0.06"/>
    <n v="429"/>
    <n v="1.65"/>
    <n v="2044"/>
    <n v="21954"/>
  </r>
  <r>
    <x v="1740"/>
    <n v="230264"/>
    <s v="MI"/>
    <s v="MI - Macomb"/>
    <n v="48091"/>
    <s v="Insight Surgical Hospital (FKA Michigan Surgical Hospital)"/>
    <s v="Short Term Acute Care Hospital"/>
    <s v="Warren"/>
    <n v="0.7"/>
    <n v="2"/>
    <n v="31"/>
    <n v="13"/>
    <m/>
    <n v="0.06"/>
    <n v="13"/>
    <n v="2.7"/>
    <n v="2045"/>
    <n v="130"/>
  </r>
  <r>
    <x v="1740"/>
    <n v="230227"/>
    <s v="MI"/>
    <s v="MI - Macomb"/>
    <n v="48043"/>
    <s v="McLaren Macomb (AKA Mount Clemens Regional Medical Center)"/>
    <s v="Short Term Acute Care Hospital"/>
    <s v="Mount Clemens"/>
    <n v="176"/>
    <n v="4.5999999999999996"/>
    <n v="390"/>
    <n v="279"/>
    <n v="24"/>
    <n v="0.06"/>
    <n v="279"/>
    <n v="1.73"/>
    <n v="2046"/>
    <n v="14280"/>
  </r>
  <r>
    <x v="1740"/>
    <n v="230047"/>
    <s v="MI"/>
    <s v="MI - Macomb"/>
    <n v="48038"/>
    <s v="Henry Ford Macomb Hospital - Clinton Township"/>
    <s v="Short Term Acute Care Hospital"/>
    <s v="Clinton Township"/>
    <n v="190.2"/>
    <n v="3.9"/>
    <n v="508"/>
    <n v="321"/>
    <n v="48"/>
    <n v="0.06"/>
    <n v="321"/>
    <n v="1.69"/>
    <n v="2047"/>
    <n v="18166"/>
  </r>
  <r>
    <x v="1740"/>
    <s v="230204 (Closed)"/>
    <s v="MI"/>
    <s v="MI - Macomb"/>
    <n v="48089"/>
    <s v="Henry Ford Macomb Hospital - Warren Campus (Closed)"/>
    <s v="Short Term Acute Care Hospital"/>
    <s v="Warren"/>
    <n v="55.1"/>
    <n v="4.2"/>
    <m/>
    <m/>
    <m/>
    <n v="0.06"/>
    <m/>
    <m/>
    <n v="4806"/>
    <n v="4860"/>
  </r>
  <r>
    <x v="1740"/>
    <s v="230047*"/>
    <s v="MI"/>
    <s v="MI - Macomb"/>
    <n v="48043"/>
    <s v="Henry Ford Macomb Hospital - Mt Clemens"/>
    <s v="Short Term Acute Care Hospital"/>
    <s v="Mount Clemens"/>
    <m/>
    <m/>
    <n v="1"/>
    <m/>
    <m/>
    <m/>
    <n v="85"/>
    <m/>
    <n v="577693"/>
    <m/>
  </r>
  <r>
    <x v="1741"/>
    <n v="230303"/>
    <s v="MI"/>
    <s v="MI - Manistee"/>
    <n v="49660"/>
    <s v="Munson Healthcare Manistee Hospital (FKA West Shore Medical Center)"/>
    <s v="Short Term Acute Care Hospital"/>
    <s v="Manistee"/>
    <n v="9"/>
    <n v="2.8"/>
    <n v="86"/>
    <n v="45"/>
    <m/>
    <m/>
    <n v="45"/>
    <n v="1.44"/>
    <n v="2048"/>
    <n v="1301"/>
  </r>
  <r>
    <x v="489"/>
    <n v="230054"/>
    <s v="MI"/>
    <s v="MI - Marquette"/>
    <n v="49855"/>
    <s v="UP Health System - Marquette (FKA Marquette General Hospital)"/>
    <s v="Short Term Acute Care Hospital"/>
    <s v="Marquette"/>
    <n v="99.5"/>
    <n v="4.8"/>
    <n v="312"/>
    <n v="238"/>
    <n v="26"/>
    <n v="0.78"/>
    <n v="238"/>
    <n v="1.85"/>
    <n v="2049"/>
    <n v="8081"/>
  </r>
  <r>
    <x v="1742"/>
    <n v="230110"/>
    <s v="MI"/>
    <s v="MI - Mason"/>
    <n v="49431"/>
    <s v="Spectrum Health Ludington Hospital"/>
    <s v="Short Term Acute Care Hospital"/>
    <s v="Ludington"/>
    <n v="18"/>
    <n v="3.8"/>
    <n v="96"/>
    <n v="45"/>
    <n v="6"/>
    <n v="1"/>
    <n v="45"/>
    <n v="1.47"/>
    <n v="2050"/>
    <n v="1843"/>
  </r>
  <r>
    <x v="1743"/>
    <n v="230093"/>
    <s v="MI"/>
    <s v="MI - Mecosta"/>
    <n v="49307"/>
    <s v="Spectrum Health Big Rapids Hospital (FKA Mecosta County Medical Center)"/>
    <s v="Short Term Acute Care Hospital"/>
    <s v="Big Rapids"/>
    <n v="17"/>
    <n v="3"/>
    <n v="101"/>
    <n v="49"/>
    <n v="4"/>
    <n v="1"/>
    <n v="49"/>
    <n v="1.28"/>
    <n v="2051"/>
    <n v="2395"/>
  </r>
  <r>
    <x v="1744"/>
    <n v="230222"/>
    <s v="MI"/>
    <s v="MI - Midland"/>
    <n v="48670"/>
    <s v="MidMichigan Medical Center - Midland"/>
    <s v="Short Term Acute Care Hospital"/>
    <s v="Midland"/>
    <n v="160.69999999999999"/>
    <n v="3.9"/>
    <n v="488"/>
    <n v="324"/>
    <n v="26"/>
    <n v="1"/>
    <n v="324"/>
    <n v="1.93"/>
    <n v="2052"/>
    <n v="15767"/>
  </r>
  <r>
    <x v="1745"/>
    <n v="230099"/>
    <s v="MI"/>
    <s v="MI - Monroe"/>
    <n v="48162"/>
    <s v="ProMedica Monroe Regional Hospital (FKA Mercy Memorial Hospital)"/>
    <s v="Short Term Acute Care Hospital"/>
    <s v="Monroe"/>
    <n v="54"/>
    <n v="3.9"/>
    <n v="282"/>
    <n v="153"/>
    <n v="14"/>
    <n v="1"/>
    <n v="153"/>
    <n v="1.4"/>
    <n v="2053"/>
    <n v="5342"/>
  </r>
  <r>
    <x v="490"/>
    <n v="230035"/>
    <s v="MI"/>
    <s v="MI - Montcalm"/>
    <n v="48838"/>
    <s v="Spectrum Health United Hospital"/>
    <s v="Short Term Acute Care Hospital"/>
    <s v="Greenville"/>
    <n v="21.3"/>
    <n v="2.7"/>
    <n v="131"/>
    <n v="49"/>
    <n v="8"/>
    <n v="0.41"/>
    <n v="49"/>
    <n v="1.37"/>
    <n v="2054"/>
    <n v="3191"/>
  </r>
  <r>
    <x v="490"/>
    <n v="230208"/>
    <s v="MI"/>
    <s v="MI - Montcalm"/>
    <n v="48811"/>
    <s v="Sparrow Carson Hospital (FKA Carson City Hospital)"/>
    <s v="Short Term Acute Care Hospital"/>
    <s v="Carson City"/>
    <n v="6.2"/>
    <n v="3"/>
    <n v="47"/>
    <n v="48"/>
    <n v="4"/>
    <n v="0.41"/>
    <n v="48"/>
    <n v="1.22"/>
    <n v="2055"/>
    <n v="807"/>
  </r>
  <r>
    <x v="1746"/>
    <s v="230066*"/>
    <s v="MI"/>
    <s v="MI - Muskegon"/>
    <n v="49444"/>
    <s v="Mercy Health Mercy Campus"/>
    <s v="Short Term Acute Care Hospital"/>
    <s v="Muskegon"/>
    <m/>
    <m/>
    <n v="2"/>
    <m/>
    <m/>
    <m/>
    <m/>
    <m/>
    <n v="2056"/>
    <m/>
  </r>
  <r>
    <x v="1746"/>
    <n v="230066"/>
    <s v="MI"/>
    <s v="MI - Muskegon"/>
    <n v="49442"/>
    <s v="Mercy Health Hackley Campus (FKA Mercy Health Muskegon - Hackley)"/>
    <s v="Short Term Acute Care Hospital"/>
    <s v="Muskegon"/>
    <n v="169"/>
    <n v="1.1000000000000001"/>
    <n v="629"/>
    <n v="331"/>
    <n v="44"/>
    <n v="1"/>
    <n v="331"/>
    <n v="1.92"/>
    <n v="2057"/>
    <n v="62990"/>
  </r>
  <r>
    <x v="1746"/>
    <m/>
    <s v="MI"/>
    <s v="MI - Muskegon"/>
    <n v="49444"/>
    <s v="Mercy Health General Campus (FKA Mercy Health Muskegon - Closed No Longer Offers Inpatient Services)"/>
    <s v="Short Term Acute Care Hospital"/>
    <s v="Muskegon"/>
    <m/>
    <m/>
    <m/>
    <m/>
    <m/>
    <m/>
    <m/>
    <m/>
    <n v="542230"/>
    <m/>
  </r>
  <r>
    <x v="1747"/>
    <n v="230029"/>
    <s v="MI"/>
    <s v="MI - Oakland"/>
    <n v="48341"/>
    <s v="St Joseph Mercy Oakland Hospital"/>
    <s v="Short Term Acute Care Hospital"/>
    <s v="Pontiac"/>
    <n v="211.8"/>
    <n v="4.3"/>
    <n v="549"/>
    <n v="380"/>
    <n v="32"/>
    <n v="0.06"/>
    <n v="380"/>
    <n v="1.8"/>
    <n v="2059"/>
    <n v="19102"/>
  </r>
  <r>
    <x v="1747"/>
    <n v="230071"/>
    <s v="MI"/>
    <s v="MI - Oakland"/>
    <n v="48033"/>
    <s v="Straith Hospital for Special Surgery"/>
    <s v="Short Term Acute Care Hospital"/>
    <s v="Southfield"/>
    <n v="16.5"/>
    <n v="7.5"/>
    <n v="37"/>
    <n v="34"/>
    <m/>
    <n v="0.06"/>
    <n v="34"/>
    <n v="1.25"/>
    <n v="2060"/>
    <n v="805"/>
  </r>
  <r>
    <x v="1747"/>
    <n v="230013"/>
    <s v="MI"/>
    <s v="MI - Oakland"/>
    <n v="48341"/>
    <s v="Pontiac General Hospital (FKA Doctors Hospital of Michigan)"/>
    <s v="Short Term Acute Care Hospital"/>
    <s v="Pontiac"/>
    <n v="4.2"/>
    <n v="4.0999999999999996"/>
    <n v="40"/>
    <n v="47"/>
    <n v="10"/>
    <n v="0.06"/>
    <n v="47"/>
    <n v="1.2"/>
    <n v="2061"/>
    <n v="371"/>
  </r>
  <r>
    <x v="1747"/>
    <n v="230019"/>
    <s v="MI"/>
    <s v="MI - Oakland"/>
    <n v="48075"/>
    <s v="Ascension Providence Hospital - Southfield Campus"/>
    <s v="Short Term Acute Care Hospital"/>
    <s v="Southfield"/>
    <n v="347"/>
    <n v="4.3"/>
    <n v="739"/>
    <n v="542"/>
    <n v="34"/>
    <n v="0.06"/>
    <n v="542"/>
    <n v="1.79"/>
    <n v="2062"/>
    <n v="30604"/>
  </r>
  <r>
    <x v="1747"/>
    <n v="230207"/>
    <s v="MI"/>
    <s v="MI - Oakland"/>
    <n v="48342"/>
    <s v="McLaren Oakland (FKA Pontiac Osteopathic Hospital Medical Center)"/>
    <s v="Short Term Acute Care Hospital"/>
    <s v="Pontiac"/>
    <n v="57.5"/>
    <n v="4.8"/>
    <n v="262"/>
    <n v="106"/>
    <n v="9"/>
    <n v="0.06"/>
    <n v="106"/>
    <n v="1.51"/>
    <n v="2063"/>
    <n v="4406"/>
  </r>
  <r>
    <x v="1747"/>
    <n v="230269"/>
    <s v="MI"/>
    <s v="MI - Oakland"/>
    <n v="48085"/>
    <s v="Beaumont Hospital - Troy"/>
    <s v="Short Term Acute Care Hospital"/>
    <s v="Troy"/>
    <n v="383.6"/>
    <n v="4.3"/>
    <n v="1015"/>
    <n v="495"/>
    <n v="56"/>
    <n v="0.06"/>
    <n v="495"/>
    <n v="1.55"/>
    <n v="2064"/>
    <n v="34863"/>
  </r>
  <r>
    <x v="1747"/>
    <n v="230151"/>
    <s v="MI"/>
    <s v="MI - Oakland"/>
    <n v="48336"/>
    <s v="Beaumont Hospital - Farmington Hills (FKA Botsford Hospital)"/>
    <s v="Short Term Acute Care Hospital"/>
    <s v="Farmington Hills"/>
    <n v="155.5"/>
    <n v="4.4000000000000004"/>
    <n v="444"/>
    <n v="256"/>
    <n v="24"/>
    <n v="0.06"/>
    <n v="256"/>
    <n v="1.58"/>
    <n v="2065"/>
    <n v="13159"/>
  </r>
  <r>
    <x v="1747"/>
    <n v="230130"/>
    <s v="MI"/>
    <s v="MI - Oakland"/>
    <n v="48073"/>
    <s v="Beaumont Hospital - Royal Oak"/>
    <s v="Short Term Acute Care Hospital"/>
    <s v="Royal Oak"/>
    <n v="723.8"/>
    <n v="4.5"/>
    <n v="2556"/>
    <n v="998"/>
    <n v="138"/>
    <n v="0.06"/>
    <n v="998"/>
    <n v="1.79"/>
    <n v="2066"/>
    <n v="61758"/>
  </r>
  <r>
    <x v="1747"/>
    <n v="230277"/>
    <s v="MI"/>
    <s v="MI - Oakland"/>
    <n v="48382"/>
    <s v="DMC Huron Valley-Sinai Hospital"/>
    <s v="Short Term Acute Care Hospital"/>
    <s v="Commerce Township"/>
    <n v="71.3"/>
    <n v="3.8"/>
    <n v="165"/>
    <n v="130"/>
    <n v="12"/>
    <n v="0.06"/>
    <n v="130"/>
    <n v="1.6"/>
    <n v="2067"/>
    <n v="7704"/>
  </r>
  <r>
    <x v="1747"/>
    <n v="230301"/>
    <s v="MI"/>
    <s v="MI - Oakland"/>
    <n v="48075"/>
    <s v="Surgeons Choice Medical Center (FKA Oakland Regional Hospital)"/>
    <s v="Short Term Acute Care Hospital"/>
    <s v="Southfield"/>
    <n v="3.9"/>
    <n v="3"/>
    <n v="56"/>
    <n v="45"/>
    <m/>
    <n v="0.06"/>
    <n v="45"/>
    <n v="1.55"/>
    <n v="2068"/>
    <n v="467"/>
  </r>
  <r>
    <x v="1747"/>
    <n v="230302"/>
    <s v="MI"/>
    <s v="MI - Oakland"/>
    <n v="48322"/>
    <s v="Henry Ford West Bloomfield Hospital"/>
    <s v="Short Term Acute Care Hospital"/>
    <s v="West Bloomfield"/>
    <n v="122.2"/>
    <n v="3.8"/>
    <n v="376"/>
    <n v="191"/>
    <n v="36"/>
    <n v="0.06"/>
    <n v="191"/>
    <n v="1.7"/>
    <n v="2069"/>
    <n v="12260"/>
  </r>
  <r>
    <x v="1747"/>
    <n v="230254"/>
    <s v="MI"/>
    <s v="MI - Oakland"/>
    <n v="48307"/>
    <s v="Ascension Providence Rochester Hospital (FKA Ascension Crittenton Hospital)"/>
    <s v="Short Term Acute Care Hospital"/>
    <s v="Rochester"/>
    <n v="84.7"/>
    <n v="4.0999999999999996"/>
    <n v="276"/>
    <n v="180"/>
    <n v="18"/>
    <n v="0.06"/>
    <n v="180"/>
    <n v="1.73"/>
    <n v="2080"/>
    <n v="7868"/>
  </r>
  <r>
    <x v="1747"/>
    <s v="230104* (Closed)"/>
    <s v="MI"/>
    <s v="MI - Oakland"/>
    <n v="48071"/>
    <s v="DMC Surgery Hospital (Closed)"/>
    <s v="Short Term Acute Care Hospital"/>
    <s v="Madison Heights"/>
    <m/>
    <m/>
    <m/>
    <m/>
    <m/>
    <m/>
    <m/>
    <m/>
    <n v="7148"/>
    <m/>
  </r>
  <r>
    <x v="1747"/>
    <s v="230019*"/>
    <s v="MI"/>
    <s v="MI - Oakland"/>
    <n v="48374"/>
    <s v="Ascension Providence Hospital - Novi Campus"/>
    <s v="Short Term Acute Care Hospital"/>
    <s v="Novi"/>
    <m/>
    <m/>
    <n v="1"/>
    <m/>
    <m/>
    <m/>
    <n v="200"/>
    <m/>
    <n v="274358"/>
    <m/>
  </r>
  <r>
    <x v="1747"/>
    <s v="230195*"/>
    <s v="MI"/>
    <s v="MI - Oakland"/>
    <n v="48071"/>
    <s v="Ascension Macomb-Oakland Hospital - Madison Heights Campus"/>
    <s v="Short Term Acute Care Hospital"/>
    <s v="Madison Heights"/>
    <m/>
    <m/>
    <m/>
    <m/>
    <m/>
    <m/>
    <m/>
    <m/>
    <n v="575760"/>
    <m/>
  </r>
  <r>
    <x v="1747"/>
    <m/>
    <s v="MI"/>
    <s v="MI - Oakland"/>
    <n v="48374"/>
    <s v="Suburban Collection Showplace Field Hospital (Temporarily Open due to COVID-19)"/>
    <s v="Short Term Acute Care Hospital"/>
    <s v="Novi"/>
    <m/>
    <m/>
    <m/>
    <m/>
    <m/>
    <m/>
    <m/>
    <m/>
    <n v="1012868"/>
    <m/>
  </r>
  <r>
    <x v="1748"/>
    <n v="230095"/>
    <s v="MI"/>
    <s v="MI - Ogemaw"/>
    <n v="48661"/>
    <s v="MidMichigan Medical Center - West Branch (FKA West Branch Regional Medical Center)"/>
    <s v="Short Term Acute Care Hospital"/>
    <s v="West Branch"/>
    <n v="20.9"/>
    <n v="3.5"/>
    <n v="63"/>
    <n v="88"/>
    <m/>
    <m/>
    <n v="88"/>
    <n v="1.51"/>
    <n v="2070"/>
    <n v="2203"/>
  </r>
  <r>
    <x v="1749"/>
    <n v="230133"/>
    <s v="MI"/>
    <s v="MI - Otsego"/>
    <n v="49735"/>
    <s v="Munson Healthcare Otsego Memorial Hospital"/>
    <s v="Short Term Acute Care Hospital"/>
    <s v="Gaylord"/>
    <n v="16.399999999999999"/>
    <n v="3.2"/>
    <n v="128"/>
    <n v="46"/>
    <n v="4"/>
    <m/>
    <n v="46"/>
    <n v="1.43"/>
    <n v="2072"/>
    <n v="2073"/>
  </r>
  <r>
    <x v="1750"/>
    <n v="230174"/>
    <s v="MI"/>
    <s v="MI - Ottawa"/>
    <n v="49417"/>
    <s v="North Ottawa Community Hospital"/>
    <s v="Short Term Acute Care Hospital"/>
    <s v="Grand Haven"/>
    <n v="7.1"/>
    <n v="2.2000000000000002"/>
    <n v="106"/>
    <n v="81"/>
    <n v="7"/>
    <n v="0.41"/>
    <n v="81"/>
    <n v="1.53"/>
    <n v="2073"/>
    <n v="1386"/>
  </r>
  <r>
    <x v="1750"/>
    <n v="230072"/>
    <s v="MI"/>
    <s v="MI - Ottawa"/>
    <n v="49423"/>
    <s v="Holland Hospital"/>
    <s v="Short Term Acute Care Hospital"/>
    <s v="Holland"/>
    <n v="82.1"/>
    <n v="3.9"/>
    <n v="377"/>
    <n v="189"/>
    <n v="8"/>
    <n v="0.41"/>
    <n v="189"/>
    <n v="1.52"/>
    <n v="2074"/>
    <n v="8639"/>
  </r>
  <r>
    <x v="1750"/>
    <n v="230003"/>
    <s v="MI"/>
    <s v="MI - Ottawa"/>
    <n v="49464"/>
    <s v="Spectrum Health Zeeland Community Hospital"/>
    <s v="Short Term Acute Care Hospital"/>
    <s v="Zeeland"/>
    <n v="17.2"/>
    <n v="2.2999999999999998"/>
    <n v="97"/>
    <n v="55"/>
    <n v="7"/>
    <n v="0.41"/>
    <n v="55"/>
    <n v="1.4"/>
    <n v="2075"/>
    <n v="3304"/>
  </r>
  <r>
    <x v="1751"/>
    <n v="230077"/>
    <s v="MI"/>
    <s v="MI - Saginaw"/>
    <n v="48601"/>
    <s v="Ascension St Marys Hospital (FKA Ascension St Marys of Michigan St Marys Hospital)"/>
    <s v="Short Term Acute Care Hospital"/>
    <s v="Saginaw"/>
    <n v="125.7"/>
    <n v="4.7"/>
    <n v="174"/>
    <n v="204"/>
    <n v="10"/>
    <n v="0.53"/>
    <n v="204"/>
    <n v="1.91"/>
    <n v="2076"/>
    <n v="9667"/>
  </r>
  <r>
    <x v="1751"/>
    <n v="230070"/>
    <s v="MI"/>
    <s v="MI - Saginaw"/>
    <n v="48602"/>
    <s v="Covenant Medical Center - Harrison"/>
    <s v="Short Term Acute Care Hospital"/>
    <s v="Saginaw"/>
    <n v="336.3"/>
    <n v="5.2"/>
    <n v="743"/>
    <n v="473"/>
    <n v="36"/>
    <n v="0.53"/>
    <n v="473"/>
    <n v="1.76"/>
    <n v="2077"/>
    <n v="25113"/>
  </r>
  <r>
    <x v="1751"/>
    <n v="230275"/>
    <s v="MI"/>
    <s v="MI - Saginaw"/>
    <n v="48608"/>
    <s v="Healthsource Saginaw"/>
    <s v="Short Term Acute Care Hospital"/>
    <s v="Saginaw"/>
    <n v="4"/>
    <n v="2.9"/>
    <n v="8"/>
    <n v="7"/>
    <m/>
    <n v="0.53"/>
    <n v="7"/>
    <n v="1.1000000000000001"/>
    <n v="2079"/>
    <n v="512"/>
  </r>
  <r>
    <x v="1751"/>
    <s v="230070*"/>
    <s v="MI"/>
    <s v="MI - Saginaw"/>
    <n v="48602"/>
    <s v="Covenant Medical Center - Cooper"/>
    <s v="Short Term Acute Care Hospital"/>
    <s v="Saginaw"/>
    <m/>
    <m/>
    <n v="2"/>
    <m/>
    <m/>
    <m/>
    <n v="290"/>
    <m/>
    <n v="581745"/>
    <m/>
  </r>
  <r>
    <x v="1752"/>
    <n v="230241"/>
    <s v="MI"/>
    <s v="MI - Saint Clair"/>
    <n v="48054"/>
    <s v="Ascension River District Hospital (FKA St John River District Hospital)"/>
    <s v="Short Term Acute Care Hospital"/>
    <s v="East China"/>
    <n v="7.8"/>
    <n v="2.9"/>
    <n v="47"/>
    <n v="65"/>
    <n v="3"/>
    <n v="0.06"/>
    <n v="65"/>
    <n v="1.25"/>
    <n v="2081"/>
    <n v="1135"/>
  </r>
  <r>
    <x v="1752"/>
    <n v="230216"/>
    <s v="MI"/>
    <s v="MI - Saint Clair"/>
    <n v="48060"/>
    <s v="McLaren Port Huron"/>
    <s v="Short Term Acute Care Hospital"/>
    <s v="Port Huron"/>
    <n v="106.7"/>
    <n v="3.5"/>
    <n v="249"/>
    <n v="163"/>
    <n v="18"/>
    <n v="0.06"/>
    <n v="163"/>
    <n v="1.57"/>
    <n v="2082"/>
    <n v="11579"/>
  </r>
  <r>
    <x v="1752"/>
    <n v="230031"/>
    <s v="MI"/>
    <s v="MI - Saint Clair"/>
    <n v="48060"/>
    <s v="Lake Huron Medical Center (FKA St Joseph Mercy Hospital Port Huron)"/>
    <s v="Short Term Acute Care Hospital"/>
    <s v="Port Huron"/>
    <n v="34.9"/>
    <n v="3.5"/>
    <n v="94"/>
    <n v="154"/>
    <n v="8"/>
    <n v="0.06"/>
    <n v="144"/>
    <n v="1.7"/>
    <n v="2083"/>
    <n v="3680"/>
  </r>
  <r>
    <x v="1753"/>
    <n v="230015"/>
    <s v="MI"/>
    <s v="MI - Saint Joseph"/>
    <n v="49093"/>
    <s v="Three Rivers Health"/>
    <s v="Short Term Acute Care Hospital"/>
    <s v="Three Rivers"/>
    <n v="7.2"/>
    <n v="3.1"/>
    <n v="72"/>
    <n v="48"/>
    <n v="4"/>
    <n v="0.52"/>
    <n v="48"/>
    <n v="1.29"/>
    <n v="2084"/>
    <n v="982"/>
  </r>
  <r>
    <x v="1753"/>
    <n v="230096"/>
    <s v="MI"/>
    <s v="MI - Saint Joseph"/>
    <n v="49091"/>
    <s v="Sturgis Hospital"/>
    <s v="Short Term Acute Care Hospital"/>
    <s v="Sturgis"/>
    <n v="8.3000000000000007"/>
    <n v="2.6"/>
    <n v="46"/>
    <n v="49"/>
    <m/>
    <n v="0.52"/>
    <n v="49"/>
    <n v="1.1299999999999999"/>
    <n v="2085"/>
    <n v="1356"/>
  </r>
  <r>
    <x v="497"/>
    <n v="230121"/>
    <s v="MI"/>
    <s v="MI - Shiawassee"/>
    <n v="48867"/>
    <s v="Memorial Healthcare"/>
    <s v="Short Term Acute Care Hospital"/>
    <s v="Owosso"/>
    <n v="44.6"/>
    <n v="4.4000000000000004"/>
    <n v="202"/>
    <n v="111"/>
    <n v="7"/>
    <n v="0.36"/>
    <n v="111"/>
    <n v="1.4"/>
    <n v="2090"/>
    <n v="3933"/>
  </r>
  <r>
    <x v="499"/>
    <n v="230085"/>
    <s v="MI"/>
    <s v="MI - Van Buren"/>
    <n v="49090"/>
    <s v="Bronson South Haven Hospital (FKA South Haven Community Hospital)"/>
    <s v="Short Term Acute Care Hospital"/>
    <s v="South Haven"/>
    <n v="3.4"/>
    <n v="2.2999999999999998"/>
    <n v="59"/>
    <n v="49"/>
    <m/>
    <m/>
    <n v="49"/>
    <n v="1.26"/>
    <n v="2094"/>
    <n v="534"/>
  </r>
  <r>
    <x v="1754"/>
    <n v="230046"/>
    <s v="MI"/>
    <s v="MI - Washtenaw"/>
    <n v="48109"/>
    <s v="University Hospital"/>
    <s v="Short Term Acute Care Hospital"/>
    <s v="Ann Arbor"/>
    <n v="766.9"/>
    <n v="6.4"/>
    <n v="3288"/>
    <n v="931"/>
    <n v="20"/>
    <n v="0.62"/>
    <n v="931"/>
    <n v="2.25"/>
    <n v="2096"/>
    <n v="44920"/>
  </r>
  <r>
    <x v="1754"/>
    <n v="230259"/>
    <s v="MI"/>
    <s v="MI - Washtenaw"/>
    <n v="48118"/>
    <s v="St Joseph Mercy Chelsea Hospital (FKA Chelsea Community Hospital)"/>
    <s v="Short Term Acute Care Hospital"/>
    <s v="Chelsea"/>
    <n v="25.4"/>
    <n v="2.5"/>
    <n v="159"/>
    <n v="97"/>
    <n v="6"/>
    <n v="0.62"/>
    <n v="97"/>
    <n v="1.54"/>
    <n v="2097"/>
    <n v="3763"/>
  </r>
  <r>
    <x v="1754"/>
    <n v="230156"/>
    <s v="MI"/>
    <s v="MI - Washtenaw"/>
    <n v="48197"/>
    <s v="St Joseph Mercy Ann Arbor Hospital"/>
    <s v="Short Term Acute Care Hospital"/>
    <s v="Ypsilanti"/>
    <n v="329"/>
    <n v="4.3"/>
    <n v="1269"/>
    <n v="450"/>
    <n v="20"/>
    <n v="0.62"/>
    <n v="450"/>
    <n v="1.81"/>
    <n v="2098"/>
    <n v="30614"/>
  </r>
  <r>
    <x v="1754"/>
    <s v="230212 (Closed)"/>
    <s v="MI"/>
    <s v="MI - Washtenaw"/>
    <n v="48176"/>
    <s v="St Joseph Mercy Hospital Saline (Closed)"/>
    <s v="Short Term Acute Care Hospital"/>
    <s v="Saline"/>
    <m/>
    <m/>
    <m/>
    <m/>
    <m/>
    <n v="0.62"/>
    <m/>
    <m/>
    <n v="2099"/>
    <m/>
  </r>
  <r>
    <x v="1754"/>
    <n v="230144"/>
    <s v="MI"/>
    <s v="MI - Washtenaw"/>
    <n v="48198"/>
    <s v="Forest Health Medical Center - Michigan"/>
    <s v="Short Term Acute Care Hospital"/>
    <s v="Ypsilanti"/>
    <n v="4.2"/>
    <n v="1.8"/>
    <n v="16"/>
    <n v="24"/>
    <m/>
    <n v="0.62"/>
    <n v="24"/>
    <n v="1.77"/>
    <n v="4805"/>
    <n v="860"/>
  </r>
  <r>
    <x v="1754"/>
    <s v="230046*"/>
    <s v="MI"/>
    <s v="MI - Washtenaw"/>
    <n v="48109"/>
    <s v="University Hospital - South Medical Short Stay Unit (AKA UH-South)"/>
    <s v="Short Term Acute Care Hospital"/>
    <s v="Ann Arbor"/>
    <m/>
    <m/>
    <m/>
    <m/>
    <m/>
    <m/>
    <m/>
    <m/>
    <n v="550166"/>
    <m/>
  </r>
  <r>
    <x v="1754"/>
    <s v="230046*"/>
    <s v="MI"/>
    <s v="MI - Washtenaw"/>
    <n v="48109"/>
    <s v="Von Voigtlander Womens Hospital"/>
    <s v="Short Term Acute Care Hospital"/>
    <s v="Ann Arbor"/>
    <m/>
    <m/>
    <m/>
    <m/>
    <m/>
    <m/>
    <n v="50"/>
    <m/>
    <n v="7263"/>
    <m/>
  </r>
  <r>
    <x v="1755"/>
    <n v="230244"/>
    <s v="MI"/>
    <s v="MI - Wayne"/>
    <n v="48135"/>
    <s v="Garden City Hospital"/>
    <s v="Short Term Acute Care Hospital"/>
    <s v="Garden City"/>
    <n v="84.2"/>
    <n v="3.9"/>
    <n v="141"/>
    <n v="130"/>
    <n v="13"/>
    <n v="0.06"/>
    <n v="130"/>
    <n v="1.81"/>
    <n v="2100"/>
    <n v="8082"/>
  </r>
  <r>
    <x v="1755"/>
    <n v="230270"/>
    <s v="MI"/>
    <s v="MI - Wayne"/>
    <n v="48180"/>
    <s v="Beaumont Hospital - Taylor (FKA Oakwood Hospital - Taylor)"/>
    <s v="Short Term Acute Care Hospital"/>
    <s v="Taylor"/>
    <n v="69.900000000000006"/>
    <n v="4.2"/>
    <n v="137"/>
    <n v="99"/>
    <n v="16"/>
    <n v="0.06"/>
    <n v="99"/>
    <n v="1.42"/>
    <n v="2101"/>
    <n v="6142"/>
  </r>
  <r>
    <x v="1755"/>
    <n v="230273"/>
    <s v="MI"/>
    <s v="MI - Wayne"/>
    <n v="48201"/>
    <s v="DMC Detroit Receiving Hospital"/>
    <s v="Short Term Acute Care Hospital"/>
    <s v="Detroit"/>
    <n v="165.7"/>
    <n v="5.6"/>
    <n v="184"/>
    <n v="195"/>
    <n v="28"/>
    <n v="0.06"/>
    <n v="195"/>
    <n v="1.63"/>
    <n v="2102"/>
    <n v="10815"/>
  </r>
  <r>
    <x v="1755"/>
    <n v="230165"/>
    <s v="MI"/>
    <s v="MI - Wayne"/>
    <n v="48236"/>
    <s v="Ascension St John Hospital"/>
    <s v="Short Term Acute Care Hospital"/>
    <s v="Detroit"/>
    <n v="335.7"/>
    <n v="5.0999999999999996"/>
    <n v="1275"/>
    <n v="549"/>
    <n v="52"/>
    <n v="0.06"/>
    <n v="549"/>
    <n v="1.87"/>
    <n v="2103"/>
    <n v="25466"/>
  </r>
  <r>
    <x v="1755"/>
    <n v="230176"/>
    <s v="MI"/>
    <s v="MI - Wayne"/>
    <n v="48183"/>
    <s v="Beaumont Hospital - Trenton (FKA Oakwood Hospital - Southshore)"/>
    <s v="Short Term Acute Care Hospital"/>
    <s v="Trenton"/>
    <n v="108"/>
    <n v="4.0999999999999996"/>
    <n v="151"/>
    <n v="193"/>
    <n v="28"/>
    <n v="0.06"/>
    <n v="193"/>
    <n v="1.58"/>
    <n v="2104"/>
    <n v="9816"/>
  </r>
  <r>
    <x v="1755"/>
    <s v="230135 (Closed)"/>
    <s v="MI"/>
    <s v="MI - Wayne"/>
    <n v="48236"/>
    <s v="Henry Ford Cottage Hospital (Closed No Longer a Hospital - Outpatient Rehab Therapy)"/>
    <s v="Short Term Acute Care Hospital"/>
    <s v="Grosse Pointe Farms"/>
    <n v="5.9"/>
    <n v="3.9"/>
    <m/>
    <m/>
    <m/>
    <n v="0.06"/>
    <m/>
    <m/>
    <n v="2105"/>
    <n v="560"/>
  </r>
  <r>
    <x v="1755"/>
    <n v="230142"/>
    <s v="MI"/>
    <s v="MI - Wayne"/>
    <n v="48184"/>
    <s v="Beaumont Hospital - Wayne (FKA Oakwood Hospital - Wayne)"/>
    <s v="Short Term Acute Care Hospital"/>
    <s v="Wayne"/>
    <n v="86.6"/>
    <n v="4.0999999999999996"/>
    <n v="183"/>
    <n v="170"/>
    <n v="18"/>
    <n v="0.06"/>
    <n v="170"/>
    <n v="1.52"/>
    <n v="2106"/>
    <n v="7797"/>
  </r>
  <r>
    <x v="1755"/>
    <n v="230146"/>
    <s v="MI"/>
    <s v="MI - Wayne"/>
    <n v="48192"/>
    <s v="Henry Ford Wyandotte Hospital"/>
    <s v="Short Term Acute Care Hospital"/>
    <s v="Wyandotte"/>
    <n v="143.80000000000001"/>
    <n v="3.8"/>
    <n v="359"/>
    <n v="281"/>
    <n v="80"/>
    <n v="0.06"/>
    <n v="281"/>
    <n v="1.58"/>
    <n v="2107"/>
    <n v="14206"/>
  </r>
  <r>
    <x v="1755"/>
    <n v="230297"/>
    <s v="MI"/>
    <s v="MI - Wayne"/>
    <n v="48201"/>
    <s v="Karmanos Cancer Center (AKA Barbara Ann Karmanos Cancer Hospital)"/>
    <s v="Short Term Acute Care Hospital"/>
    <s v="Detroit"/>
    <n v="66.2"/>
    <n v="8"/>
    <n v="137"/>
    <n v="123"/>
    <n v="12"/>
    <n v="0.06"/>
    <n v="123"/>
    <n v="2.12"/>
    <n v="2109"/>
    <n v="3036"/>
  </r>
  <r>
    <x v="1755"/>
    <n v="230053"/>
    <s v="MI"/>
    <s v="MI - Wayne"/>
    <n v="48202"/>
    <s v="Henry Ford Hospital"/>
    <s v="Short Term Acute Care Hospital"/>
    <s v="Detroit"/>
    <n v="529"/>
    <n v="5.4"/>
    <n v="1825"/>
    <n v="685"/>
    <n v="44"/>
    <n v="0.06"/>
    <n v="685"/>
    <n v="2.21"/>
    <n v="2111"/>
    <n v="35908"/>
  </r>
  <r>
    <x v="1755"/>
    <n v="230020"/>
    <s v="MI"/>
    <s v="MI - Wayne"/>
    <n v="48124"/>
    <s v="Beaumont Hospital - Dearborn (FKA Oakwood Hospital - Dearborn)"/>
    <s v="Short Term Acute Care Hospital"/>
    <s v="Dearborn"/>
    <n v="436.4"/>
    <n v="5.7"/>
    <n v="1036"/>
    <n v="567"/>
    <n v="17"/>
    <n v="0.06"/>
    <n v="567"/>
    <n v="1.85"/>
    <n v="2112"/>
    <n v="30354"/>
  </r>
  <r>
    <x v="1755"/>
    <n v="230024"/>
    <s v="MI"/>
    <s v="MI - Wayne"/>
    <n v="48235"/>
    <s v="DMC Sinai-Grace Hospital"/>
    <s v="Short Term Acute Care Hospital"/>
    <s v="Detroit"/>
    <n v="227.4"/>
    <n v="4.5999999999999996"/>
    <n v="351"/>
    <n v="357"/>
    <n v="39"/>
    <n v="0.06"/>
    <n v="357"/>
    <n v="1.52"/>
    <n v="2113"/>
    <n v="18345"/>
  </r>
  <r>
    <x v="1755"/>
    <n v="230002"/>
    <s v="MI"/>
    <s v="MI - Wayne"/>
    <n v="48154"/>
    <s v="St Mary Mercy Livonia Hospital"/>
    <s v="Short Term Acute Care Hospital"/>
    <s v="Livonia"/>
    <n v="168.1"/>
    <n v="4"/>
    <n v="342"/>
    <n v="252"/>
    <n v="16"/>
    <n v="0.06"/>
    <n v="252"/>
    <n v="1.47"/>
    <n v="2114"/>
    <n v="15804"/>
  </r>
  <r>
    <x v="1755"/>
    <n v="230104"/>
    <s v="MI"/>
    <s v="MI - Wayne"/>
    <n v="48201"/>
    <s v="DMC Harper University Hospital"/>
    <s v="Short Term Acute Care Hospital"/>
    <s v="Detroit"/>
    <n v="231.9"/>
    <n v="4.8"/>
    <n v="455"/>
    <n v="368"/>
    <n v="34"/>
    <n v="0.06"/>
    <n v="368"/>
    <n v="1.82"/>
    <n v="2115"/>
    <n v="19882"/>
  </r>
  <r>
    <x v="1755"/>
    <n v="230089"/>
    <s v="MI"/>
    <s v="MI - Wayne"/>
    <n v="48230"/>
    <s v="Beaumont Hospital - Grosse Pointe"/>
    <s v="Short Term Acute Care Hospital"/>
    <s v="Grosse Pointe"/>
    <n v="124.3"/>
    <n v="3.8"/>
    <n v="335"/>
    <n v="266"/>
    <n v="17"/>
    <n v="0.06"/>
    <n v="266"/>
    <n v="1.48"/>
    <n v="2116"/>
    <n v="12186"/>
  </r>
  <r>
    <x v="1755"/>
    <s v="230104*"/>
    <s v="MI"/>
    <s v="MI - Wayne"/>
    <n v="48201"/>
    <s v="DMC Hutzel Womens Hospital"/>
    <s v="Short Term Acute Care Hospital"/>
    <s v="Detroit"/>
    <m/>
    <m/>
    <n v="2"/>
    <m/>
    <m/>
    <m/>
    <m/>
    <m/>
    <n v="7149"/>
    <m/>
  </r>
  <r>
    <x v="1755"/>
    <m/>
    <s v="MI"/>
    <s v="MI - Wayne"/>
    <n v="48226"/>
    <s v="TCF Center Field Hospital (Temporarily Open due to COVID-19)"/>
    <s v="Short Term Acute Care Hospital"/>
    <s v="Detroit"/>
    <m/>
    <m/>
    <m/>
    <m/>
    <m/>
    <m/>
    <m/>
    <m/>
    <n v="1012026"/>
    <m/>
  </r>
  <r>
    <x v="1755"/>
    <m/>
    <s v="MI"/>
    <s v="MI - Wayne"/>
    <n v="48235"/>
    <s v="Select Specialty Hospital - Northwest Detroit"/>
    <s v="Short Term Acute Care Hospital"/>
    <s v="Detroit"/>
    <n v="26.3"/>
    <n v="36.1"/>
    <m/>
    <n v="36"/>
    <m/>
    <n v="0.06"/>
    <n v="36"/>
    <n v="1.55"/>
    <n v="6436"/>
    <n v="267"/>
  </r>
  <r>
    <x v="1756"/>
    <n v="230081"/>
    <s v="MI"/>
    <s v="MI - Wexford"/>
    <n v="49601"/>
    <s v="Munson Healthcare Cadillac Hospital"/>
    <s v="Short Term Acute Care Hospital"/>
    <s v="Cadillac"/>
    <n v="24"/>
    <n v="3.4"/>
    <n v="135"/>
    <n v="49"/>
    <n v="20"/>
    <n v="1"/>
    <n v="49"/>
    <n v="1.48"/>
    <n v="2117"/>
    <n v="2790"/>
  </r>
  <r>
    <x v="1757"/>
    <n v="240115"/>
    <s v="MN"/>
    <s v="MN - Anoka"/>
    <n v="55433"/>
    <s v="Mercy Hospital"/>
    <s v="Short Term Acute Care Hospital"/>
    <s v="Coon Rapids"/>
    <n v="330.4"/>
    <n v="4.2"/>
    <n v="722"/>
    <n v="466"/>
    <n v="35"/>
    <n v="7.0000000000000007E-2"/>
    <n v="466"/>
    <n v="1.73"/>
    <n v="2119"/>
    <n v="29771"/>
  </r>
  <r>
    <x v="1757"/>
    <s v="240115*"/>
    <s v="MN"/>
    <s v="MN - Anoka"/>
    <n v="55432"/>
    <s v="Mercy Hospital - Unity Campus (FKA Unity Hospital)"/>
    <s v="Short Term Acute Care Hospital"/>
    <s v="Fridley"/>
    <m/>
    <m/>
    <n v="1"/>
    <m/>
    <m/>
    <m/>
    <n v="275"/>
    <m/>
    <n v="2120"/>
    <m/>
  </r>
  <r>
    <x v="1758"/>
    <n v="240101"/>
    <s v="MN"/>
    <s v="MN - Becker"/>
    <n v="56501"/>
    <s v="Essentia Health St Marys - Detroit Lakes (FKA St Marys Regional Health Center)"/>
    <s v="Short Term Acute Care Hospital"/>
    <s v="Detroit Lakes"/>
    <n v="16"/>
    <n v="3.2"/>
    <n v="128"/>
    <n v="36"/>
    <n v="8"/>
    <m/>
    <n v="36"/>
    <n v="1.44"/>
    <n v="2121"/>
    <n v="2111"/>
  </r>
  <r>
    <x v="1759"/>
    <n v="240100"/>
    <s v="MN"/>
    <s v="MN - Beltrami"/>
    <n v="56601"/>
    <s v="Sanford Bemidji Medical Center"/>
    <s v="Short Term Acute Care Hospital"/>
    <s v="Bemidji"/>
    <n v="48"/>
    <n v="4.7"/>
    <n v="234"/>
    <n v="89"/>
    <n v="10"/>
    <n v="1"/>
    <n v="89"/>
    <n v="1.7"/>
    <n v="2122"/>
    <n v="4310"/>
  </r>
  <r>
    <x v="1759"/>
    <n v="240206"/>
    <s v="MN"/>
    <s v="MN - Beltrami"/>
    <n v="56671"/>
    <s v="Red Lake IHS Hospital"/>
    <s v="Short Term Acute Care Hospital"/>
    <s v="Red Lake"/>
    <n v="0.8"/>
    <n v="8.6999999999999993"/>
    <n v="21"/>
    <n v="23"/>
    <m/>
    <m/>
    <n v="23"/>
    <n v="0.95"/>
    <n v="2123"/>
    <n v="32"/>
  </r>
  <r>
    <x v="1760"/>
    <n v="240093"/>
    <s v="MN"/>
    <s v="MN - Blue Earth"/>
    <n v="56001"/>
    <s v="Mayo Clinic Hospital - Mankato"/>
    <s v="Short Term Acute Care Hospital"/>
    <s v="Mankato"/>
    <n v="103.1"/>
    <n v="4.0999999999999996"/>
    <n v="464"/>
    <n v="167"/>
    <n v="29"/>
    <n v="0.84"/>
    <n v="167"/>
    <n v="1.64"/>
    <n v="2126"/>
    <n v="10059"/>
  </r>
  <r>
    <x v="1761"/>
    <n v="240056"/>
    <s v="MN"/>
    <s v="MN - Carver"/>
    <n v="55387"/>
    <s v="Ridgeview Medical Center (AKA RMC)"/>
    <s v="Short Term Acute Care Hospital"/>
    <s v="Waconia"/>
    <n v="56.5"/>
    <n v="3.6"/>
    <n v="405"/>
    <n v="112"/>
    <n v="18"/>
    <n v="7.0000000000000007E-2"/>
    <n v="109"/>
    <n v="1.52"/>
    <n v="2132"/>
    <n v="6375"/>
  </r>
  <r>
    <x v="1762"/>
    <n v="240050"/>
    <s v="MN"/>
    <s v="MN - Chisago"/>
    <n v="55092"/>
    <s v="M Health Fairview Lakes Medical Center"/>
    <s v="Short Term Acute Care Hospital"/>
    <s v="Wyoming"/>
    <n v="24.6"/>
    <n v="3.2"/>
    <n v="196"/>
    <n v="55"/>
    <n v="10"/>
    <n v="7.0000000000000007E-2"/>
    <n v="55"/>
    <n v="1.52"/>
    <n v="2135"/>
    <n v="3165"/>
  </r>
  <r>
    <x v="509"/>
    <n v="240075"/>
    <s v="MN"/>
    <s v="MN - Crow Wing"/>
    <n v="56401"/>
    <s v="Essentia Health - St Josephs Medical Center (FKA St Josephs Medical Center)"/>
    <s v="Short Term Acute Care Hospital"/>
    <s v="Brainerd"/>
    <n v="51.3"/>
    <n v="4"/>
    <n v="219"/>
    <n v="127"/>
    <n v="10"/>
    <n v="0.55000000000000004"/>
    <n v="127"/>
    <n v="1.54"/>
    <n v="2139"/>
    <n v="4856"/>
  </r>
  <r>
    <x v="1763"/>
    <n v="240059"/>
    <s v="MN"/>
    <s v="MN - Dakota"/>
    <n v="55033"/>
    <s v="Regina Hospital"/>
    <s v="Short Term Acute Care Hospital"/>
    <s v="Hastings"/>
    <n v="8.5"/>
    <n v="2.7"/>
    <n v="79"/>
    <n v="29"/>
    <m/>
    <n v="7.0000000000000007E-2"/>
    <n v="29"/>
    <n v="1.44"/>
    <n v="2140"/>
    <n v="1275"/>
  </r>
  <r>
    <x v="1763"/>
    <n v="240207"/>
    <s v="MN"/>
    <s v="MN - Dakota"/>
    <n v="55337"/>
    <s v="M Health Fairview Ridges Hospital"/>
    <s v="Short Term Acute Care Hospital"/>
    <s v="Burnsville"/>
    <n v="116.9"/>
    <n v="4.0999999999999996"/>
    <n v="384"/>
    <n v="171"/>
    <n v="12"/>
    <n v="7.0000000000000007E-2"/>
    <n v="150"/>
    <n v="1.68"/>
    <n v="2141"/>
    <n v="11478"/>
  </r>
  <r>
    <x v="1764"/>
    <n v="240030"/>
    <s v="MN"/>
    <s v="MN - Douglas"/>
    <n v="56308"/>
    <s v="Alomere Health (FKA Douglas County Hospital)"/>
    <s v="Short Term Acute Care Hospital"/>
    <s v="Alexandria"/>
    <n v="29.3"/>
    <n v="3.4"/>
    <n v="213"/>
    <n v="99"/>
    <n v="8"/>
    <n v="1"/>
    <n v="99"/>
    <n v="1.87"/>
    <n v="2142"/>
    <n v="3523"/>
  </r>
  <r>
    <x v="1765"/>
    <n v="240043"/>
    <s v="MN"/>
    <s v="MN - Freeborn"/>
    <n v="56007"/>
    <s v="Mayo Clinic Hospital - Albert Lea"/>
    <s v="Short Term Acute Care Hospital"/>
    <s v="Albert Lea"/>
    <n v="40"/>
    <n v="3.6"/>
    <n v="333"/>
    <n v="159"/>
    <n v="18"/>
    <n v="1"/>
    <n v="159"/>
    <n v="1.42"/>
    <n v="2144"/>
    <n v="4361"/>
  </r>
  <r>
    <x v="511"/>
    <n v="240018"/>
    <s v="MN"/>
    <s v="MN - Goodhue"/>
    <n v="55066"/>
    <s v="Mayo Clinic Hospital - Red Wing (FKA Fairview Red Wing Hospital)"/>
    <s v="Short Term Acute Care Hospital"/>
    <s v="Red Wing"/>
    <n v="12.8"/>
    <n v="2.4"/>
    <n v="144"/>
    <n v="50"/>
    <n v="4"/>
    <n v="0.67"/>
    <n v="50"/>
    <n v="1.56"/>
    <n v="2145"/>
    <n v="2211"/>
  </r>
  <r>
    <x v="1766"/>
    <n v="240004"/>
    <s v="MN"/>
    <s v="MN - Hennepin"/>
    <n v="55415"/>
    <s v="Hennepin County Medical Center (AKA Hennepin Healthcare)"/>
    <s v="Short Term Acute Care Hospital"/>
    <s v="Minneapolis"/>
    <n v="224"/>
    <n v="4.8"/>
    <n v="1012"/>
    <n v="330"/>
    <n v="24"/>
    <n v="7.0000000000000007E-2"/>
    <n v="330"/>
    <n v="1.77"/>
    <n v="2149"/>
    <n v="17773"/>
  </r>
  <r>
    <x v="1766"/>
    <n v="240057"/>
    <s v="MN"/>
    <s v="MN - Hennepin"/>
    <n v="55407"/>
    <s v="Abbott Northwestern Hospital"/>
    <s v="Short Term Acute Care Hospital"/>
    <s v="Minneapolis"/>
    <n v="430.1"/>
    <n v="4.8"/>
    <n v="1954"/>
    <n v="599"/>
    <n v="30"/>
    <n v="7.0000000000000007E-2"/>
    <n v="599"/>
    <n v="2.3199999999999998"/>
    <n v="2151"/>
    <n v="34199"/>
  </r>
  <r>
    <x v="1766"/>
    <n v="240053"/>
    <s v="MN"/>
    <s v="MN - Hennepin"/>
    <n v="55426"/>
    <s v="Methodist Hospital"/>
    <s v="Short Term Acute Care Hospital"/>
    <s v="St Louis Park"/>
    <n v="216.4"/>
    <n v="3.9"/>
    <n v="1373"/>
    <n v="361"/>
    <n v="22"/>
    <n v="7.0000000000000007E-2"/>
    <n v="361"/>
    <n v="1.73"/>
    <n v="2152"/>
    <n v="22641"/>
  </r>
  <r>
    <x v="1766"/>
    <n v="240078"/>
    <s v="MN"/>
    <s v="MN - Hennepin"/>
    <n v="55435"/>
    <s v="M Health Fairview Southdale Hospital"/>
    <s v="Short Term Acute Care Hospital"/>
    <s v="Edina"/>
    <n v="200.1"/>
    <n v="4.3"/>
    <n v="625"/>
    <n v="316"/>
    <n v="23"/>
    <n v="7.0000000000000007E-2"/>
    <n v="316"/>
    <n v="1.98"/>
    <n v="2153"/>
    <n v="18351"/>
  </r>
  <r>
    <x v="1766"/>
    <n v="240080"/>
    <s v="MN"/>
    <s v="MN - Hennepin"/>
    <n v="55454"/>
    <s v="M Health Fairview University of Minnesota Medical Center - West Bank Hospital"/>
    <s v="Short Term Acute Care Hospital"/>
    <s v="Minneapolis"/>
    <n v="589.70000000000005"/>
    <n v="6.7"/>
    <n v="1778"/>
    <n v="778"/>
    <n v="21"/>
    <n v="7.0000000000000007E-2"/>
    <n v="778"/>
    <n v="2.23"/>
    <n v="2154"/>
    <n v="29064"/>
  </r>
  <r>
    <x v="1766"/>
    <m/>
    <s v="MN"/>
    <s v="MN - Hennepin"/>
    <n v="55404"/>
    <s v="Phillips Eye Institute - a campus of Abbott Northwestern Hospital"/>
    <s v="Short Term Acute Care Hospital"/>
    <s v="Minneapolis"/>
    <n v="0"/>
    <n v="4"/>
    <n v="45"/>
    <n v="8"/>
    <m/>
    <n v="7.0000000000000007E-2"/>
    <n v="8"/>
    <n v="1.25"/>
    <n v="2155"/>
    <n v="2"/>
  </r>
  <r>
    <x v="1766"/>
    <n v="240001"/>
    <s v="MN"/>
    <s v="MN - Hennepin"/>
    <n v="55422"/>
    <s v="North Memorial Health Hospital"/>
    <s v="Short Term Acute Care Hospital"/>
    <s v="Robbinsdale"/>
    <n v="206.7"/>
    <n v="4"/>
    <n v="808"/>
    <n v="341"/>
    <n v="53"/>
    <n v="7.0000000000000007E-2"/>
    <n v="341"/>
    <n v="1.86"/>
    <n v="2156"/>
    <n v="18994"/>
  </r>
  <r>
    <x v="1766"/>
    <n v="240214"/>
    <s v="MN"/>
    <s v="MN - Hennepin"/>
    <n v="55369"/>
    <s v="Maple Grove Hospital"/>
    <s v="Short Term Acute Care Hospital"/>
    <s v="Maple Grove"/>
    <n v="75.5"/>
    <n v="3.9"/>
    <n v="141"/>
    <n v="134"/>
    <m/>
    <n v="7.0000000000000007E-2"/>
    <n v="134"/>
    <n v="1.71"/>
    <n v="542024"/>
    <n v="9264"/>
  </r>
  <r>
    <x v="1766"/>
    <s v="240080*"/>
    <s v="MN"/>
    <s v="MN - Hennepin"/>
    <n v="55455"/>
    <s v="M Health Fairview University of Minnesota Medical Center - East Bank Hospital"/>
    <s v="Short Term Acute Care Hospital"/>
    <s v="Minneapolis"/>
    <m/>
    <m/>
    <m/>
    <m/>
    <m/>
    <m/>
    <m/>
    <m/>
    <n v="581744"/>
    <m/>
  </r>
  <r>
    <x v="1766"/>
    <m/>
    <s v="MN"/>
    <s v="MN - Hennepin"/>
    <n v="55443"/>
    <s v="PrairieCare Brooklyn Park"/>
    <s v="Short Term Acute Care Hospital"/>
    <s v="Brooklyn Park"/>
    <m/>
    <m/>
    <n v="45"/>
    <m/>
    <m/>
    <m/>
    <n v="50"/>
    <m/>
    <n v="975497"/>
    <m/>
  </r>
  <r>
    <x v="1767"/>
    <n v="240020"/>
    <s v="MN"/>
    <s v="MN - Isanti"/>
    <n v="55008"/>
    <s v="Cambridge Medical Center"/>
    <s v="Short Term Acute Care Hospital"/>
    <s v="Cambridge"/>
    <n v="26.4"/>
    <n v="3.7"/>
    <n v="120"/>
    <n v="70"/>
    <m/>
    <n v="7.0000000000000007E-2"/>
    <n v="70"/>
    <n v="1.37"/>
    <n v="2158"/>
    <n v="2761"/>
  </r>
  <r>
    <x v="514"/>
    <n v="240064"/>
    <s v="MN"/>
    <s v="MN - Itasca"/>
    <n v="55744"/>
    <s v="Grand Itasca Clinic &amp; Hospital"/>
    <s v="Short Term Acute Care Hospital"/>
    <s v="Grand Rapids"/>
    <n v="12.6"/>
    <n v="3.4"/>
    <n v="89"/>
    <n v="36"/>
    <m/>
    <n v="0.47"/>
    <n v="36"/>
    <n v="1.21"/>
    <n v="2159"/>
    <n v="1544"/>
  </r>
  <r>
    <x v="1768"/>
    <n v="240088"/>
    <s v="MN"/>
    <s v="MN - Kandiyohi"/>
    <n v="56201"/>
    <s v="Carris Health - Rice Memorial Hospital"/>
    <s v="Short Term Acute Care Hospital"/>
    <s v="Willmar"/>
    <n v="33.6"/>
    <n v="4.2"/>
    <n v="139"/>
    <n v="81"/>
    <n v="8"/>
    <n v="1"/>
    <n v="81"/>
    <n v="1.42"/>
    <n v="2164"/>
    <n v="3230"/>
  </r>
  <r>
    <x v="1768"/>
    <m/>
    <s v="MN"/>
    <s v="MN - Kandiyohi"/>
    <n v="56201"/>
    <s v="Minnesota Specialty Health System - Willmar (FKA CBHH - Willmar)"/>
    <s v="Short Term Acute Care Hospital"/>
    <s v="Willmar"/>
    <m/>
    <m/>
    <m/>
    <m/>
    <m/>
    <m/>
    <m/>
    <m/>
    <n v="581959"/>
    <m/>
  </r>
  <r>
    <x v="525"/>
    <n v="240187"/>
    <s v="MN"/>
    <s v="MN - Mcleod"/>
    <n v="55350"/>
    <s v="Hutchinson Health Hospital (FKA Hutchinson Community Hospital)"/>
    <s v="Short Term Acute Care Hospital"/>
    <s v="Hutchinson"/>
    <n v="19.3"/>
    <n v="4.2"/>
    <n v="112"/>
    <n v="49"/>
    <n v="6"/>
    <n v="0.52"/>
    <n v="49"/>
    <n v="1.41"/>
    <n v="2176"/>
    <n v="1822"/>
  </r>
  <r>
    <x v="1769"/>
    <n v="240166"/>
    <s v="MN"/>
    <s v="MN - Martin"/>
    <n v="56031"/>
    <s v="Mayo Clinic Hospital - Fairmont"/>
    <s v="Short Term Acute Care Hospital"/>
    <s v="Fairmont"/>
    <n v="11.9"/>
    <n v="4.0999999999999996"/>
    <n v="82"/>
    <n v="55"/>
    <m/>
    <n v="1"/>
    <n v="55"/>
    <n v="1.36"/>
    <n v="2180"/>
    <n v="1198"/>
  </r>
  <r>
    <x v="529"/>
    <n v="240141"/>
    <s v="MN"/>
    <s v="MN - Mille Lacs"/>
    <n v="55371"/>
    <s v="M Health Fairview Northland Medical Center"/>
    <s v="Short Term Acute Care Hospital"/>
    <s v="Princeton"/>
    <n v="12.4"/>
    <n v="3.3"/>
    <n v="123"/>
    <n v="33"/>
    <n v="4"/>
    <n v="7.0000000000000007E-2"/>
    <n v="33"/>
    <n v="1.62"/>
    <n v="2183"/>
    <n v="1616"/>
  </r>
  <r>
    <x v="1770"/>
    <s v="240043*"/>
    <s v="MN"/>
    <s v="MN - Mower"/>
    <n v="55912"/>
    <s v="Mayo Clinic Hospital - Austin"/>
    <s v="Short Term Acute Care Hospital"/>
    <s v="Austin"/>
    <m/>
    <m/>
    <m/>
    <m/>
    <m/>
    <m/>
    <n v="80"/>
    <m/>
    <n v="2185"/>
    <m/>
  </r>
  <r>
    <x v="1771"/>
    <n v="240022"/>
    <s v="MN"/>
    <s v="MN - Nobles"/>
    <n v="56187"/>
    <s v="Sanford Worthington Medical Center (FKA Regional Hospital Worthington)"/>
    <s v="Short Term Acute Care Hospital"/>
    <s v="Worthington"/>
    <n v="6.9"/>
    <n v="3.1"/>
    <n v="69"/>
    <n v="48"/>
    <m/>
    <n v="1"/>
    <n v="48"/>
    <n v="1.18"/>
    <n v="2188"/>
    <n v="1117"/>
  </r>
  <r>
    <x v="1772"/>
    <n v="240006"/>
    <s v="MN"/>
    <s v="MN - Olmsted"/>
    <n v="55904"/>
    <s v="Olmsted Medical Center"/>
    <s v="Short Term Acute Care Hospital"/>
    <s v="Rochester"/>
    <n v="11.5"/>
    <n v="3.1"/>
    <n v="251"/>
    <n v="61"/>
    <n v="6"/>
    <n v="0.83"/>
    <n v="61"/>
    <n v="1.41"/>
    <n v="2190"/>
    <n v="1990"/>
  </r>
  <r>
    <x v="1772"/>
    <n v="240010"/>
    <s v="MN"/>
    <s v="MN - Olmsted"/>
    <n v="55902"/>
    <s v="Mayo Clinic Hospital - Saint Marys Campus"/>
    <s v="Short Term Acute Care Hospital"/>
    <s v="Rochester"/>
    <n v="818.9"/>
    <n v="5.2"/>
    <n v="4313"/>
    <n v="1115"/>
    <n v="212"/>
    <n v="0.83"/>
    <n v="1115"/>
    <n v="2.2599999999999998"/>
    <n v="2191"/>
    <n v="58001"/>
  </r>
  <r>
    <x v="1772"/>
    <s v="240010*"/>
    <s v="MN"/>
    <s v="MN - Olmsted"/>
    <n v="55902"/>
    <s v="Mayo Clinic Hospital - Methodist Campus"/>
    <s v="Short Term Acute Care Hospital"/>
    <s v="Rochester"/>
    <m/>
    <m/>
    <m/>
    <m/>
    <m/>
    <m/>
    <n v="794"/>
    <m/>
    <n v="2192"/>
    <m/>
  </r>
  <r>
    <x v="1772"/>
    <m/>
    <s v="MN"/>
    <s v="MN - Olmsted"/>
    <n v="55904"/>
    <s v="FMC Rochester"/>
    <s v="Short Term Acute Care Hospital"/>
    <s v="Rochester"/>
    <m/>
    <m/>
    <m/>
    <m/>
    <m/>
    <m/>
    <m/>
    <m/>
    <n v="840578"/>
    <m/>
  </r>
  <r>
    <x v="534"/>
    <n v="240052"/>
    <s v="MN"/>
    <s v="MN - Otter Tail"/>
    <n v="56537"/>
    <s v="Lake Region Healthcare Corporation"/>
    <s v="Short Term Acute Care Hospital"/>
    <s v="Fergus Falls"/>
    <n v="15.3"/>
    <n v="3.6"/>
    <n v="107"/>
    <n v="80"/>
    <n v="5"/>
    <n v="0.56999999999999995"/>
    <n v="80"/>
    <n v="1.49"/>
    <n v="2193"/>
    <n v="1732"/>
  </r>
  <r>
    <x v="536"/>
    <s v="240211 (Closed)"/>
    <s v="MN"/>
    <s v="MN - Pine"/>
    <n v="55063"/>
    <s v="Lakeside Medical Center (Closed Inpatient Services)"/>
    <s v="Short Term Acute Care Hospital"/>
    <s v="Pine City"/>
    <m/>
    <m/>
    <m/>
    <m/>
    <m/>
    <m/>
    <m/>
    <m/>
    <n v="2197"/>
    <m/>
  </r>
  <r>
    <x v="1773"/>
    <n v="240210"/>
    <s v="MN"/>
    <s v="MN - Ramsey"/>
    <n v="55109"/>
    <s v="M Health Fairview St Johns Hospital (FKA HealthEast St Johns Hospital)"/>
    <s v="Short Term Acute Care Hospital"/>
    <s v="Maplewood"/>
    <n v="104.4"/>
    <n v="4.0999999999999996"/>
    <n v="292"/>
    <n v="184"/>
    <n v="20"/>
    <n v="7.0000000000000007E-2"/>
    <n v="184"/>
    <n v="1.45"/>
    <n v="2202"/>
    <n v="11252"/>
  </r>
  <r>
    <x v="1773"/>
    <n v="240106"/>
    <s v="MN"/>
    <s v="MN - Ramsey"/>
    <n v="55101"/>
    <s v="Regions Hospital"/>
    <s v="Short Term Acute Care Hospital"/>
    <s v="Saint Paul"/>
    <n v="360.6"/>
    <n v="5.0999999999999996"/>
    <n v="1220"/>
    <n v="431"/>
    <n v="16"/>
    <n v="7.0000000000000007E-2"/>
    <n v="431"/>
    <n v="1.91"/>
    <n v="2203"/>
    <n v="26407"/>
  </r>
  <r>
    <x v="1773"/>
    <n v="240063"/>
    <s v="MN"/>
    <s v="MN - Ramsey"/>
    <n v="55102"/>
    <s v="M Health Fairview St Josephs Hospital (FKA HealthEast St Josephs Hospital)"/>
    <s v="Short Term Acute Care Hospital"/>
    <s v="Saint Paul"/>
    <n v="155.19999999999999"/>
    <n v="5.5"/>
    <n v="610"/>
    <n v="197"/>
    <n v="48"/>
    <n v="7.0000000000000007E-2"/>
    <n v="197"/>
    <n v="1.93"/>
    <n v="2204"/>
    <n v="10391"/>
  </r>
  <r>
    <x v="1773"/>
    <n v="240038"/>
    <s v="MN"/>
    <s v="MN - Ramsey"/>
    <n v="55102"/>
    <s v="United Hospital"/>
    <s v="Short Term Acute Care Hospital"/>
    <s v="Saint Paul"/>
    <n v="255.6"/>
    <n v="4.2"/>
    <n v="703"/>
    <n v="336"/>
    <n v="21"/>
    <n v="7.0000000000000007E-2"/>
    <n v="336"/>
    <n v="1.9"/>
    <n v="2205"/>
    <n v="23750"/>
  </r>
  <r>
    <x v="1774"/>
    <n v="240014"/>
    <s v="MN"/>
    <s v="MN - Rice"/>
    <n v="55057"/>
    <s v="Northfield Hospital"/>
    <s v="Short Term Acute Care Hospital"/>
    <s v="Northfield"/>
    <n v="12.9"/>
    <n v="3"/>
    <n v="119"/>
    <n v="37"/>
    <m/>
    <n v="0.56999999999999995"/>
    <n v="37"/>
    <n v="1.47"/>
    <n v="2208"/>
    <n v="1929"/>
  </r>
  <r>
    <x v="1774"/>
    <n v="240071"/>
    <s v="MN"/>
    <s v="MN - Rice"/>
    <n v="55021"/>
    <s v="District One Hospital"/>
    <s v="Short Term Acute Care Hospital"/>
    <s v="Faribault"/>
    <n v="10.3"/>
    <n v="2.9"/>
    <n v="56"/>
    <n v="32"/>
    <m/>
    <n v="0.56999999999999995"/>
    <n v="32"/>
    <n v="1.3"/>
    <n v="2209"/>
    <n v="1498"/>
  </r>
  <r>
    <x v="544"/>
    <n v="240084"/>
    <s v="MN"/>
    <s v="MN - Saint Louis"/>
    <n v="55792"/>
    <s v="Essentia Health - Virginia"/>
    <s v="Short Term Acute Care Hospital"/>
    <s v="Virginia"/>
    <n v="13.1"/>
    <n v="3.4"/>
    <n v="121"/>
    <n v="48"/>
    <n v="8"/>
    <n v="0.2"/>
    <n v="48"/>
    <n v="1.35"/>
    <n v="2213"/>
    <n v="1521"/>
  </r>
  <r>
    <x v="544"/>
    <n v="240047"/>
    <s v="MN"/>
    <s v="MN - Saint Louis"/>
    <n v="55805"/>
    <s v="St Lukes Hospital"/>
    <s v="Short Term Acute Care Hospital"/>
    <s v="Duluth"/>
    <n v="152.19999999999999"/>
    <n v="5"/>
    <n v="448"/>
    <n v="238"/>
    <n v="25"/>
    <n v="0.2"/>
    <n v="238"/>
    <n v="1.81"/>
    <n v="2214"/>
    <n v="11461"/>
  </r>
  <r>
    <x v="544"/>
    <n v="240019"/>
    <s v="MN"/>
    <s v="MN - Saint Louis"/>
    <n v="55805"/>
    <s v="Essentia Health - Duluth (FKA SMDC Medical Center)"/>
    <s v="Short Term Acute Care Hospital"/>
    <s v="Duluth"/>
    <n v="54.7"/>
    <n v="7.1"/>
    <n v="491"/>
    <n v="103"/>
    <n v="8"/>
    <n v="0.2"/>
    <n v="103"/>
    <n v="1.57"/>
    <n v="2215"/>
    <n v="2799"/>
  </r>
  <r>
    <x v="544"/>
    <n v="240040"/>
    <s v="MN"/>
    <s v="MN - Saint Louis"/>
    <n v="55746"/>
    <s v="Fairview Range (FKA Fairview Range Medical Center)"/>
    <s v="Short Term Acute Care Hospital"/>
    <s v="Hibbing"/>
    <n v="38"/>
    <n v="5.4"/>
    <n v="112"/>
    <n v="73"/>
    <n v="4"/>
    <n v="0.2"/>
    <n v="73"/>
    <n v="1.35"/>
    <n v="2216"/>
    <n v="2693"/>
  </r>
  <r>
    <x v="544"/>
    <n v="240002"/>
    <s v="MN"/>
    <s v="MN - Saint Louis"/>
    <n v="55805"/>
    <s v="Essentia Health - St Marys Medical Center"/>
    <s v="Short Term Acute Care Hospital"/>
    <s v="Duluth"/>
    <n v="236.1"/>
    <n v="5"/>
    <n v="347"/>
    <n v="307"/>
    <n v="33"/>
    <n v="0.2"/>
    <n v="307"/>
    <n v="1.99"/>
    <n v="2219"/>
    <n v="17661"/>
  </r>
  <r>
    <x v="545"/>
    <n v="240104"/>
    <s v="MN"/>
    <s v="MN - Scott"/>
    <n v="55379"/>
    <s v="St Francis Regional Medical Center"/>
    <s v="Short Term Acute Care Hospital"/>
    <s v="Shakopee"/>
    <n v="45.9"/>
    <n v="3"/>
    <n v="202"/>
    <n v="89"/>
    <m/>
    <n v="7.0000000000000007E-2"/>
    <n v="89"/>
    <n v="1.51"/>
    <n v="2220"/>
    <n v="6158"/>
  </r>
  <r>
    <x v="547"/>
    <n v="240036"/>
    <s v="MN"/>
    <s v="MN - Stearns"/>
    <n v="56303"/>
    <s v="St Cloud Hospital"/>
    <s v="Short Term Acute Care Hospital"/>
    <s v="Saint Cloud"/>
    <n v="311.39999999999998"/>
    <n v="4.3"/>
    <n v="990"/>
    <n v="457"/>
    <n v="42"/>
    <n v="0.76"/>
    <n v="457"/>
    <n v="2.06"/>
    <n v="2223"/>
    <n v="27721"/>
  </r>
  <r>
    <x v="1775"/>
    <n v="240069"/>
    <s v="MN"/>
    <s v="MN - Steele"/>
    <n v="55060"/>
    <s v="Owatonna Hospital"/>
    <s v="Short Term Acute Care Hospital"/>
    <s v="Owatonna"/>
    <n v="14.6"/>
    <n v="3"/>
    <n v="80"/>
    <n v="29"/>
    <m/>
    <n v="1"/>
    <n v="29"/>
    <n v="1.39"/>
    <n v="2229"/>
    <n v="2119"/>
  </r>
  <r>
    <x v="553"/>
    <m/>
    <s v="MN"/>
    <s v="MN - Wadena"/>
    <n v="56482"/>
    <s v="Minnesota Specialty Health System - Wadena (FKA CBHH - Wadena)"/>
    <s v="Short Term Acute Care Hospital"/>
    <s v="Wadena"/>
    <m/>
    <m/>
    <m/>
    <m/>
    <m/>
    <m/>
    <n v="75"/>
    <m/>
    <n v="581960"/>
    <m/>
  </r>
  <r>
    <x v="1776"/>
    <n v="240213"/>
    <s v="MN"/>
    <s v="MN - Washington"/>
    <n v="55125"/>
    <s v="M Health Fairview Woodwinds Hospital (FKA HealthEast - Woodwinds Health Campus)"/>
    <s v="Short Term Acute Care Hospital"/>
    <s v="Woodbury"/>
    <n v="53.8"/>
    <n v="3.2"/>
    <n v="157"/>
    <n v="86"/>
    <n v="18"/>
    <n v="7.0000000000000007E-2"/>
    <n v="86"/>
    <n v="1.77"/>
    <n v="2239"/>
    <n v="7634"/>
  </r>
  <r>
    <x v="1776"/>
    <n v="240066"/>
    <s v="MN"/>
    <s v="MN - Washington"/>
    <n v="55082"/>
    <s v="Lakeview Hospital"/>
    <s v="Short Term Acute Care Hospital"/>
    <s v="Stillwater"/>
    <n v="27"/>
    <n v="2.8"/>
    <n v="171"/>
    <n v="68"/>
    <n v="13"/>
    <n v="7.0000000000000007E-2"/>
    <n v="68"/>
    <n v="1.64"/>
    <n v="2240"/>
    <n v="4005"/>
  </r>
  <r>
    <x v="1777"/>
    <n v="240044"/>
    <s v="MN"/>
    <s v="MN - Winona"/>
    <n v="55987"/>
    <s v="Winona Health Services Hospital"/>
    <s v="Short Term Acute Care Hospital"/>
    <s v="Winona"/>
    <n v="19.2"/>
    <n v="4.3"/>
    <n v="141"/>
    <n v="41"/>
    <n v="8"/>
    <n v="1"/>
    <n v="49"/>
    <n v="1.28"/>
    <n v="2244"/>
    <n v="1737"/>
  </r>
  <r>
    <x v="557"/>
    <n v="240076"/>
    <s v="MN"/>
    <s v="MN - Wright"/>
    <n v="55313"/>
    <s v="Buffalo Hospital"/>
    <s v="Short Term Acute Care Hospital"/>
    <s v="Buffalo"/>
    <n v="15.5"/>
    <n v="3.1"/>
    <n v="103"/>
    <n v="44"/>
    <m/>
    <n v="7.0000000000000007E-2"/>
    <n v="44"/>
    <n v="1.5"/>
    <n v="2245"/>
    <n v="2176"/>
  </r>
  <r>
    <x v="1778"/>
    <n v="250084"/>
    <s v="MS"/>
    <s v="MS - Adams"/>
    <n v="39120"/>
    <s v="Merit Health Natchez (FKA Natchez Regional Medical Center)"/>
    <s v="Short Term Acute Care Hospital"/>
    <s v="Natchez"/>
    <n v="43.3"/>
    <n v="4.5"/>
    <n v="80"/>
    <n v="147"/>
    <n v="15"/>
    <n v="0.42"/>
    <n v="147"/>
    <n v="1.36"/>
    <n v="2250"/>
    <n v="3852"/>
  </r>
  <r>
    <x v="1778"/>
    <s v="250122 (Closed)"/>
    <s v="MS"/>
    <s v="MS - Adams"/>
    <n v="39120"/>
    <s v="Natchez Community Hospital (Closed - November 11 2015)"/>
    <s v="Short Term Acute Care Hospital"/>
    <s v="Natchez"/>
    <n v="33.200000000000003"/>
    <n v="4.5999999999999996"/>
    <m/>
    <m/>
    <m/>
    <n v="0.42"/>
    <m/>
    <m/>
    <n v="2249"/>
    <n v="3098"/>
  </r>
  <r>
    <x v="1779"/>
    <n v="250009"/>
    <s v="MS"/>
    <s v="MS - Alcorn"/>
    <n v="38834"/>
    <s v="Magnolia Regional Health Center"/>
    <s v="Short Term Acute Care Hospital"/>
    <s v="Corinth"/>
    <n v="75.3"/>
    <n v="4"/>
    <n v="189"/>
    <n v="163"/>
    <n v="24"/>
    <n v="1"/>
    <n v="163"/>
    <n v="1.53"/>
    <n v="2251"/>
    <n v="7140"/>
  </r>
  <r>
    <x v="1780"/>
    <n v="250093"/>
    <s v="MS"/>
    <s v="MS - Bolivar"/>
    <n v="38732"/>
    <s v="Bolivar Medical Center"/>
    <s v="Short Term Acute Care Hospital"/>
    <s v="Cleveland"/>
    <n v="29.3"/>
    <n v="4.0999999999999996"/>
    <n v="66"/>
    <n v="152"/>
    <n v="8"/>
    <n v="1"/>
    <n v="152"/>
    <n v="1.3"/>
    <n v="2253"/>
    <n v="2834"/>
  </r>
  <r>
    <x v="1781"/>
    <n v="250017"/>
    <s v="MS"/>
    <s v="MS - Chickasaw"/>
    <n v="38851"/>
    <s v="Trace Regional Hospital"/>
    <s v="Short Term Acute Care Hospital"/>
    <s v="Houston"/>
    <n v="5.0999999999999996"/>
    <n v="17.2"/>
    <n v="25"/>
    <n v="39"/>
    <m/>
    <m/>
    <n v="39"/>
    <n v="1.1299999999999999"/>
    <n v="2254"/>
    <n v="108"/>
  </r>
  <r>
    <x v="1782"/>
    <n v="250067"/>
    <s v="MS"/>
    <s v="MS - Clay"/>
    <n v="39773"/>
    <s v="North Mississippi Medical Center - West Point"/>
    <s v="Short Term Acute Care Hospital"/>
    <s v="West Point"/>
    <n v="20.8"/>
    <n v="5.3"/>
    <n v="33"/>
    <n v="49"/>
    <n v="6"/>
    <n v="1"/>
    <n v="49"/>
    <n v="1.21"/>
    <n v="2257"/>
    <n v="1603"/>
  </r>
  <r>
    <x v="1783"/>
    <n v="250042"/>
    <s v="MS"/>
    <s v="MS - Coahoma"/>
    <n v="38614"/>
    <s v="Northwest Mississippi Medical Center"/>
    <s v="Short Term Acute Care Hospital"/>
    <s v="Clarksdale"/>
    <n v="26.9"/>
    <n v="5.5"/>
    <n v="61"/>
    <n v="181"/>
    <n v="10"/>
    <n v="1"/>
    <n v="181"/>
    <n v="1.45"/>
    <n v="2258"/>
    <n v="2087"/>
  </r>
  <r>
    <x v="1784"/>
    <n v="250141"/>
    <s v="MS"/>
    <s v="MS - Desoto"/>
    <n v="38671"/>
    <s v="Baptist Memorial Hospital - Desoto"/>
    <s v="Short Term Acute Care Hospital"/>
    <s v="Southaven"/>
    <n v="206.1"/>
    <n v="5"/>
    <n v="302"/>
    <n v="299"/>
    <m/>
    <n v="0.27"/>
    <n v="299"/>
    <n v="1.65"/>
    <n v="2261"/>
    <n v="15685"/>
  </r>
  <r>
    <x v="1784"/>
    <n v="250167"/>
    <s v="MS"/>
    <s v="MS - Desoto"/>
    <n v="38654"/>
    <s v="Methodist Olive Branch Hospital"/>
    <s v="Short Term Acute Care Hospital"/>
    <s v="Olive Branch"/>
    <n v="25.9"/>
    <n v="1"/>
    <n v="90"/>
    <n v="53"/>
    <n v="8"/>
    <n v="0.27"/>
    <n v="53"/>
    <n v="1.57"/>
    <n v="542017"/>
    <n v="10904"/>
  </r>
  <r>
    <x v="1785"/>
    <n v="250078"/>
    <s v="MS"/>
    <s v="MS - Forrest"/>
    <n v="39401"/>
    <s v="Forrest General Hospital"/>
    <s v="Short Term Acute Care Hospital"/>
    <s v="Hattiesburg"/>
    <n v="300.5"/>
    <n v="4.5"/>
    <n v="441"/>
    <n v="429"/>
    <n v="40"/>
    <n v="0.59"/>
    <n v="429"/>
    <n v="1.85"/>
    <n v="2262"/>
    <n v="26309"/>
  </r>
  <r>
    <x v="1785"/>
    <n v="250094"/>
    <s v="MS"/>
    <s v="MS - Forrest"/>
    <n v="39402"/>
    <s v="Merit Health Wesley (FKA Wesley Medical Center)"/>
    <s v="Short Term Acute Care Hospital"/>
    <s v="Hattiesburg"/>
    <n v="62.1"/>
    <n v="4.2"/>
    <n v="166"/>
    <n v="130"/>
    <n v="17"/>
    <n v="0.59"/>
    <n v="130"/>
    <n v="1.69"/>
    <n v="2263"/>
    <n v="6019"/>
  </r>
  <r>
    <x v="1785"/>
    <m/>
    <s v="MS"/>
    <s v="MS - Forrest"/>
    <n v="39401"/>
    <s v="The Orthopedic Institute"/>
    <s v="Short Term Acute Care Hospital"/>
    <s v="Hattiesburg"/>
    <m/>
    <m/>
    <m/>
    <m/>
    <m/>
    <m/>
    <n v="30"/>
    <m/>
    <n v="581766"/>
    <m/>
  </r>
  <r>
    <x v="1786"/>
    <n v="250036"/>
    <s v="MS"/>
    <s v="MS - George"/>
    <n v="39452"/>
    <s v="George Regional Hospital"/>
    <s v="Short Term Acute Care Hospital"/>
    <s v="Lucedale"/>
    <n v="8.4"/>
    <n v="3.6"/>
    <n v="50"/>
    <n v="42"/>
    <n v="6"/>
    <m/>
    <n v="42"/>
    <n v="1.28"/>
    <n v="2264"/>
    <n v="1012"/>
  </r>
  <r>
    <x v="1787"/>
    <n v="250168"/>
    <s v="MS"/>
    <s v="MS - Grenada"/>
    <n v="38901"/>
    <s v="UMMC Grenada (FKA Grenada Lake Medical Center)"/>
    <s v="Short Term Acute Care Hospital"/>
    <s v="Grenada"/>
    <n v="18.100000000000001"/>
    <n v="4.0999999999999996"/>
    <n v="81"/>
    <n v="49"/>
    <m/>
    <n v="1"/>
    <n v="49"/>
    <n v="1.41"/>
    <n v="2265"/>
    <n v="1786"/>
  </r>
  <r>
    <x v="1788"/>
    <n v="250162"/>
    <s v="MS"/>
    <s v="MS - Hancock"/>
    <n v="39520"/>
    <s v="Ochsner Medical Center - Hancock (FKA Hancock Medical Center)"/>
    <s v="Short Term Acute Care Hospital"/>
    <s v="Bay St Louis"/>
    <n v="8.6999999999999993"/>
    <n v="3.5"/>
    <n v="53"/>
    <n v="51"/>
    <n v="6"/>
    <n v="0.35"/>
    <n v="51"/>
    <n v="1.35"/>
    <n v="2266"/>
    <n v="1005"/>
  </r>
  <r>
    <x v="1789"/>
    <n v="250123"/>
    <s v="MS"/>
    <s v="MS - Harrison"/>
    <n v="39503"/>
    <s v="Garden Park Medical Center"/>
    <s v="Short Term Acute Care Hospital"/>
    <s v="Gulfport"/>
    <n v="29.2"/>
    <n v="3.8"/>
    <n v="70"/>
    <n v="100"/>
    <n v="13"/>
    <n v="0.35"/>
    <n v="100"/>
    <n v="1.56"/>
    <n v="2268"/>
    <n v="3177"/>
  </r>
  <r>
    <x v="1789"/>
    <n v="250007"/>
    <s v="MS"/>
    <s v="MS - Harrison"/>
    <n v="39530"/>
    <s v="Merit Health Biloxi (FKA Biloxi Regional Medical Center)"/>
    <s v="Short Term Acute Care Hospital"/>
    <s v="Biloxi"/>
    <n v="51.5"/>
    <n v="3.8"/>
    <n v="103"/>
    <n v="143"/>
    <n v="18"/>
    <n v="0.35"/>
    <n v="143"/>
    <n v="1.63"/>
    <n v="2270"/>
    <n v="5401"/>
  </r>
  <r>
    <x v="1789"/>
    <n v="250019"/>
    <s v="MS"/>
    <s v="MS - Harrison"/>
    <n v="39501"/>
    <s v="Memorial Hospital at Gulfport"/>
    <s v="Short Term Acute Care Hospital"/>
    <s v="Gulfport"/>
    <n v="185.5"/>
    <n v="4.2"/>
    <n v="462"/>
    <n v="281"/>
    <n v="26"/>
    <n v="0.35"/>
    <n v="281"/>
    <n v="1.72"/>
    <n v="2269"/>
    <n v="16777"/>
  </r>
  <r>
    <x v="1790"/>
    <n v="250001"/>
    <s v="MS"/>
    <s v="MS - Hinds"/>
    <n v="39216"/>
    <s v="The University of Mississippi Medical Center"/>
    <s v="Short Term Acute Care Hospital"/>
    <s v="Jackson"/>
    <n v="569.6"/>
    <n v="6.9"/>
    <n v="919"/>
    <n v="698"/>
    <n v="20"/>
    <n v="0.22"/>
    <n v="697"/>
    <n v="2.16"/>
    <n v="2271"/>
    <n v="30747"/>
  </r>
  <r>
    <x v="1790"/>
    <n v="250102"/>
    <s v="MS"/>
    <s v="MS - Hinds"/>
    <n v="39202"/>
    <s v="Mississippi Baptist Medical Center (FKA Mississippi Hospital for Restorative Care)"/>
    <s v="Short Term Acute Care Hospital"/>
    <s v="Jackson"/>
    <n v="279.3"/>
    <n v="4.7"/>
    <n v="521"/>
    <n v="424"/>
    <n v="28"/>
    <n v="0.22"/>
    <n v="424"/>
    <n v="1.8"/>
    <n v="2272"/>
    <n v="22220"/>
  </r>
  <r>
    <x v="1790"/>
    <n v="250152"/>
    <s v="MS"/>
    <s v="MS - Hinds"/>
    <n v="39216"/>
    <s v="Mississippi Methodist Rehabilitation Center"/>
    <s v="Short Term Acute Care Hospital"/>
    <s v="Jackson"/>
    <m/>
    <m/>
    <n v="21"/>
    <n v="31"/>
    <m/>
    <n v="0.22"/>
    <n v="31"/>
    <n v="1.1200000000000001"/>
    <n v="2274"/>
    <m/>
  </r>
  <r>
    <x v="1790"/>
    <n v="250048"/>
    <s v="MS"/>
    <s v="MS - Hinds"/>
    <n v="39216"/>
    <s v="St Dominic Hospital (AKA St Dominic Jackson Memorial Hospital)"/>
    <s v="Short Term Acute Care Hospital"/>
    <s v="Jackson"/>
    <n v="331.9"/>
    <n v="5"/>
    <n v="533"/>
    <n v="545"/>
    <n v="56"/>
    <n v="0.22"/>
    <n v="571"/>
    <n v="1.73"/>
    <n v="2276"/>
    <n v="24967"/>
  </r>
  <r>
    <x v="1790"/>
    <n v="250072"/>
    <s v="MS"/>
    <s v="MS - Hinds"/>
    <n v="39204"/>
    <s v="Merit Health Central (FKA Central Mississippi Medical Center)"/>
    <s v="Short Term Acute Care Hospital"/>
    <s v="Jackson"/>
    <n v="87"/>
    <n v="4.9000000000000004"/>
    <n v="121"/>
    <n v="248"/>
    <n v="45"/>
    <n v="0.22"/>
    <n v="248"/>
    <n v="1.98"/>
    <n v="2277"/>
    <n v="6775"/>
  </r>
  <r>
    <x v="1790"/>
    <s v="250001*"/>
    <s v="MS"/>
    <s v="MS - Hinds"/>
    <n v="39216"/>
    <s v="Wiser Hospital for Women and Infants"/>
    <s v="Short Term Acute Care Hospital"/>
    <s v="Jackson"/>
    <m/>
    <m/>
    <m/>
    <m/>
    <m/>
    <m/>
    <n v="90"/>
    <m/>
    <n v="553398"/>
    <m/>
  </r>
  <r>
    <x v="1790"/>
    <s v="250001*"/>
    <s v="MS"/>
    <s v="MS - Hinds"/>
    <n v="39216"/>
    <s v="Wallace Conerly Critical Care Hospital"/>
    <s v="Short Term Acute Care Hospital"/>
    <s v="Jackson"/>
    <m/>
    <m/>
    <m/>
    <m/>
    <m/>
    <m/>
    <n v="92"/>
    <m/>
    <n v="553400"/>
    <m/>
  </r>
  <r>
    <x v="1791"/>
    <n v="250040"/>
    <s v="MS"/>
    <s v="MS - Jackson"/>
    <n v="39581"/>
    <s v="Singing River Hospital"/>
    <s v="Short Term Acute Care Hospital"/>
    <s v="Pascagoula"/>
    <n v="185.1"/>
    <n v="4.4000000000000004"/>
    <n v="682"/>
    <n v="328"/>
    <n v="48"/>
    <n v="0.35"/>
    <n v="435"/>
    <n v="1.68"/>
    <n v="2279"/>
    <n v="15924"/>
  </r>
  <r>
    <x v="1791"/>
    <s v="250040*"/>
    <s v="MS"/>
    <s v="MS - Jackson"/>
    <n v="39564"/>
    <s v="Ocean Springs Hospital"/>
    <s v="Short Term Acute Care Hospital"/>
    <s v="Ocean Springs"/>
    <m/>
    <m/>
    <m/>
    <m/>
    <m/>
    <m/>
    <n v="136"/>
    <m/>
    <n v="550110"/>
    <m/>
  </r>
  <r>
    <x v="1792"/>
    <n v="250018"/>
    <s v="MS"/>
    <s v="MS - Jasper"/>
    <n v="39422"/>
    <s v="Jasper General Hospital"/>
    <s v="Short Term Acute Care Hospital"/>
    <s v="Bay Springs"/>
    <n v="6.4"/>
    <n v="129.6"/>
    <n v="18"/>
    <n v="20"/>
    <m/>
    <n v="0.84"/>
    <n v="16"/>
    <n v="0.91"/>
    <n v="2280"/>
    <n v="18"/>
  </r>
  <r>
    <x v="1793"/>
    <n v="250060"/>
    <s v="MS"/>
    <s v="MS - Jefferson"/>
    <n v="39069"/>
    <s v="Jefferson County Hospital"/>
    <s v="Short Term Acute Care Hospital"/>
    <s v="Fayette"/>
    <n v="0.9"/>
    <n v="3.3"/>
    <n v="9"/>
    <n v="12"/>
    <m/>
    <m/>
    <n v="12"/>
    <n v="1.0900000000000001"/>
    <n v="2281"/>
    <n v="96"/>
  </r>
  <r>
    <x v="1794"/>
    <n v="250058"/>
    <s v="MS"/>
    <s v="MS - Jones"/>
    <n v="39440"/>
    <s v="South Central Regional Medical Center"/>
    <s v="Short Term Acute Care Hospital"/>
    <s v="Laurel"/>
    <n v="93.1"/>
    <n v="5.0999999999999996"/>
    <n v="179"/>
    <n v="268"/>
    <n v="14"/>
    <n v="0.84"/>
    <n v="268"/>
    <n v="1.34"/>
    <n v="2283"/>
    <n v="7093"/>
  </r>
  <r>
    <x v="1795"/>
    <n v="250034"/>
    <s v="MS"/>
    <s v="MS - Lafayette"/>
    <n v="38655"/>
    <s v="Baptist Memorial Hospital - North Mississippi"/>
    <s v="Short Term Acute Care Hospital"/>
    <s v="Oxford"/>
    <n v="94.6"/>
    <n v="3.9"/>
    <n v="196"/>
    <n v="171"/>
    <n v="24"/>
    <n v="1"/>
    <n v="171"/>
    <n v="1.74"/>
    <n v="2284"/>
    <n v="9374"/>
  </r>
  <r>
    <x v="1796"/>
    <n v="250069"/>
    <s v="MS"/>
    <s v="MS - Lauderdale"/>
    <n v="39301"/>
    <s v="Rush Foundation Hospital"/>
    <s v="Short Term Acute Care Hospital"/>
    <s v="Meridian"/>
    <n v="58.1"/>
    <n v="3.9"/>
    <n v="211"/>
    <n v="182"/>
    <n v="22"/>
    <n v="0.32"/>
    <n v="182"/>
    <n v="1.46"/>
    <n v="2285"/>
    <n v="5941"/>
  </r>
  <r>
    <x v="1796"/>
    <n v="250081"/>
    <s v="MS"/>
    <s v="MS - Lauderdale"/>
    <n v="39301"/>
    <s v="Anderson Regional Medical Center - South (FKA Riley Hospital)"/>
    <s v="Short Term Acute Care Hospital"/>
    <s v="Meridian"/>
    <n v="19"/>
    <n v="6932"/>
    <n v="10"/>
    <n v="33"/>
    <m/>
    <n v="0.32"/>
    <n v="33"/>
    <n v="1.1499999999999999"/>
    <n v="2286"/>
    <n v="1"/>
  </r>
  <r>
    <x v="1796"/>
    <n v="250151"/>
    <s v="MS"/>
    <s v="MS - Lauderdale"/>
    <n v="39301"/>
    <s v="Alliance Health Center"/>
    <s v="Short Term Acute Care Hospital"/>
    <s v="Meridian"/>
    <n v="18.5"/>
    <n v="5.7"/>
    <n v="13"/>
    <n v="83"/>
    <m/>
    <n v="0.32"/>
    <n v="83"/>
    <n v="1.05"/>
    <n v="2287"/>
    <n v="1177"/>
  </r>
  <r>
    <x v="1796"/>
    <n v="250104"/>
    <s v="MS"/>
    <s v="MS - Lauderdale"/>
    <n v="39301"/>
    <s v="Anderson Regional Medical Center - North"/>
    <s v="Short Term Acute Care Hospital"/>
    <s v="Meridian"/>
    <n v="104.1"/>
    <n v="4.2"/>
    <n v="197"/>
    <n v="260"/>
    <n v="17"/>
    <n v="0.32"/>
    <n v="260"/>
    <n v="1.66"/>
    <n v="576748"/>
    <n v="9906"/>
  </r>
  <r>
    <x v="1797"/>
    <n v="250004"/>
    <s v="MS"/>
    <s v="MS - Lee"/>
    <n v="38801"/>
    <s v="North Mississippi Medical Center - Tupelo"/>
    <s v="Short Term Acute Care Hospital"/>
    <s v="Tupelo"/>
    <n v="300.8"/>
    <n v="5.0999999999999996"/>
    <n v="654"/>
    <n v="536"/>
    <n v="24"/>
    <n v="0.89"/>
    <n v="536"/>
    <n v="1.84"/>
    <n v="2290"/>
    <n v="23178"/>
  </r>
  <r>
    <x v="1797"/>
    <s v="250004*"/>
    <s v="MS"/>
    <s v="MS - Lee"/>
    <n v="38801"/>
    <s v="North Mississippi Medical Center Womens Hospital"/>
    <s v="Short Term Acute Care Hospital"/>
    <s v="Tupelo"/>
    <m/>
    <m/>
    <m/>
    <m/>
    <m/>
    <m/>
    <n v="123"/>
    <m/>
    <n v="957740"/>
    <m/>
  </r>
  <r>
    <x v="1798"/>
    <n v="250099"/>
    <s v="MS"/>
    <s v="MS - Leflore"/>
    <n v="38930"/>
    <s v="Greenwood Leflore Hospital"/>
    <s v="Short Term Acute Care Hospital"/>
    <s v="Greenwood"/>
    <n v="52.1"/>
    <n v="3.7"/>
    <n v="110"/>
    <n v="173"/>
    <n v="9"/>
    <n v="1"/>
    <n v="173"/>
    <n v="1.52"/>
    <n v="2291"/>
    <n v="5383"/>
  </r>
  <r>
    <x v="1799"/>
    <n v="250057"/>
    <s v="MS"/>
    <s v="MS - Lincoln"/>
    <n v="39601"/>
    <s v="Kings Daughters Medical Center"/>
    <s v="Short Term Acute Care Hospital"/>
    <s v="Brookhaven"/>
    <n v="16.100000000000001"/>
    <n v="2.9"/>
    <n v="138"/>
    <n v="90"/>
    <n v="5"/>
    <n v="1"/>
    <n v="90"/>
    <n v="1.52"/>
    <n v="2292"/>
    <n v="2506"/>
  </r>
  <r>
    <x v="1800"/>
    <n v="250100"/>
    <s v="MS"/>
    <s v="MS - Lowndes"/>
    <n v="39701"/>
    <s v="Baptist Memorial Hospital - Golden Triangle"/>
    <s v="Short Term Acute Care Hospital"/>
    <s v="Columbus"/>
    <n v="67.3"/>
    <n v="3.9"/>
    <n v="155"/>
    <n v="159"/>
    <n v="18"/>
    <n v="1"/>
    <n v="159"/>
    <n v="1.95"/>
    <n v="2293"/>
    <n v="6754"/>
  </r>
  <r>
    <x v="1801"/>
    <n v="250038"/>
    <s v="MS"/>
    <s v="MS - Madison"/>
    <n v="39046"/>
    <s v="Merit Health Madison"/>
    <s v="Short Term Acute Care Hospital"/>
    <s v="Canton"/>
    <n v="11.8"/>
    <n v="3.4"/>
    <n v="46"/>
    <n v="67"/>
    <n v="7"/>
    <n v="0.22"/>
    <n v="67"/>
    <n v="1.36"/>
    <n v="2294"/>
    <n v="1588"/>
  </r>
  <r>
    <x v="1802"/>
    <n v="250085"/>
    <s v="MS"/>
    <s v="MS - Marion"/>
    <n v="39429"/>
    <s v="Marion General Hospital"/>
    <s v="Short Term Acute Care Hospital"/>
    <s v="Columbia"/>
    <n v="17.2"/>
    <n v="9.5"/>
    <n v="33"/>
    <n v="49"/>
    <n v="6"/>
    <m/>
    <n v="49"/>
    <n v="1.1200000000000001"/>
    <n v="2295"/>
    <n v="660"/>
  </r>
  <r>
    <x v="1803"/>
    <n v="250012"/>
    <s v="MS"/>
    <s v="MS - Marshall"/>
    <n v="38635"/>
    <s v="Alliance Hospital (AKA Alliance HealthCare System)"/>
    <s v="Short Term Acute Care Hospital"/>
    <s v="Holly Springs"/>
    <n v="5.5"/>
    <n v="6.1"/>
    <n v="19"/>
    <n v="27"/>
    <m/>
    <n v="0.27"/>
    <n v="27"/>
    <n v="0.94"/>
    <n v="2296"/>
    <n v="331"/>
  </r>
  <r>
    <x v="574"/>
    <n v="250025"/>
    <s v="MS"/>
    <s v="MS - Monroe"/>
    <n v="38821"/>
    <s v="North Mississippi Medical Center - Gilmore-Amory"/>
    <s v="Short Term Acute Care Hospital"/>
    <s v="Amory"/>
    <n v="26.8"/>
    <n v="4.5"/>
    <n v="44"/>
    <n v="94"/>
    <n v="9"/>
    <m/>
    <n v="94"/>
    <n v="1.32"/>
    <n v="2297"/>
    <n v="2424"/>
  </r>
  <r>
    <x v="575"/>
    <s v="250051 (Closed)"/>
    <s v="MS"/>
    <s v="MS - Montgomery"/>
    <n v="39747"/>
    <s v="Kilmichael Hospital (Closed)"/>
    <s v="Short Term Acute Care Hospital"/>
    <s v="Kilmichael"/>
    <n v="1.3"/>
    <n v="3.7"/>
    <m/>
    <m/>
    <m/>
    <m/>
    <m/>
    <m/>
    <n v="2298"/>
    <n v="125"/>
  </r>
  <r>
    <x v="576"/>
    <n v="250127"/>
    <s v="MS"/>
    <s v="MS - Neshoba"/>
    <n v="39350"/>
    <s v="Choctaw Health Center"/>
    <s v="Short Term Acute Care Hospital"/>
    <s v="Choctaw"/>
    <n v="1.8"/>
    <n v="3.4"/>
    <n v="31"/>
    <n v="20"/>
    <m/>
    <m/>
    <n v="20"/>
    <n v="0.87"/>
    <n v="2300"/>
    <n v="195"/>
  </r>
  <r>
    <x v="576"/>
    <n v="250043"/>
    <s v="MS"/>
    <s v="MS - Neshoba"/>
    <n v="39350"/>
    <s v="Neshoba County General Hospital"/>
    <s v="Short Term Acute Care Hospital"/>
    <s v="Philadelphia"/>
    <n v="12.2"/>
    <n v="3.7"/>
    <n v="38"/>
    <n v="38"/>
    <m/>
    <m/>
    <n v="38"/>
    <n v="0.98"/>
    <n v="2301"/>
    <n v="1209"/>
  </r>
  <r>
    <x v="1804"/>
    <n v="250050"/>
    <s v="MS"/>
    <s v="MS - Oktibbeha"/>
    <n v="39759"/>
    <s v="OCH Regional Medical Center"/>
    <s v="Short Term Acute Care Hospital"/>
    <s v="Starkville"/>
    <n v="19.3"/>
    <n v="6.3"/>
    <n v="87"/>
    <n v="88"/>
    <n v="6"/>
    <n v="0.62"/>
    <n v="88"/>
    <n v="1.6"/>
    <n v="2303"/>
    <n v="1474"/>
  </r>
  <r>
    <x v="1805"/>
    <n v="250128"/>
    <s v="MS"/>
    <s v="MS - Panola"/>
    <n v="38606"/>
    <s v="Panola Medical Center (FKA Merit Health - Batesville)"/>
    <s v="Short Term Acute Care Hospital"/>
    <s v="Batesville"/>
    <n v="25.9"/>
    <n v="4.5999999999999996"/>
    <n v="46"/>
    <n v="45"/>
    <m/>
    <m/>
    <n v="45"/>
    <n v="1.06"/>
    <n v="2304"/>
    <n v="2096"/>
  </r>
  <r>
    <x v="579"/>
    <n v="250117"/>
    <s v="MS"/>
    <s v="MS - Pearl River"/>
    <n v="39466"/>
    <s v="Highland Community Hospital"/>
    <s v="Short Term Acute Care Hospital"/>
    <s v="Picayune"/>
    <n v="22.4"/>
    <n v="5.5"/>
    <n v="65"/>
    <n v="49"/>
    <n v="6"/>
    <n v="0.56999999999999995"/>
    <n v="49"/>
    <n v="1.35"/>
    <n v="2305"/>
    <n v="1586"/>
  </r>
  <r>
    <x v="1806"/>
    <n v="250049"/>
    <s v="MS"/>
    <s v="MS - Pike"/>
    <n v="39652"/>
    <s v="Beacham Memorial Hospital"/>
    <s v="Short Term Acute Care Hospital"/>
    <s v="Magnolia"/>
    <n v="3.6"/>
    <n v="3.7"/>
    <n v="2"/>
    <n v="17"/>
    <m/>
    <n v="0.92"/>
    <n v="17"/>
    <n v="1.0900000000000001"/>
    <n v="2307"/>
    <n v="346"/>
  </r>
  <r>
    <x v="1806"/>
    <n v="250097"/>
    <s v="MS"/>
    <s v="MS - Pike"/>
    <n v="39648"/>
    <s v="Southwest Mississippi Regional Medical Center"/>
    <s v="Short Term Acute Care Hospital"/>
    <s v="McComb"/>
    <n v="37.299999999999997"/>
    <n v="3.6"/>
    <n v="143"/>
    <n v="160"/>
    <n v="16"/>
    <n v="0.92"/>
    <n v="160"/>
    <n v="1.63"/>
    <n v="2308"/>
    <n v="4150"/>
  </r>
  <r>
    <x v="1807"/>
    <n v="250044"/>
    <s v="MS"/>
    <s v="MS - Prentiss"/>
    <n v="38829"/>
    <s v="Baptist Memorial Hospital - Booneville"/>
    <s v="Short Term Acute Care Hospital"/>
    <s v="Booneville"/>
    <n v="7.2"/>
    <n v="3.9"/>
    <n v="28"/>
    <n v="39"/>
    <m/>
    <n v="0.89"/>
    <n v="39"/>
    <n v="1.29"/>
    <n v="2310"/>
    <n v="667"/>
  </r>
  <r>
    <x v="1808"/>
    <n v="250138"/>
    <s v="MS"/>
    <s v="MS - Rankin"/>
    <n v="39232"/>
    <s v="Merit Health River Oaks (FKA River Oaks Hospital - Jackson)"/>
    <s v="Short Term Acute Care Hospital"/>
    <s v="Flowood"/>
    <n v="46.8"/>
    <n v="4.4000000000000004"/>
    <n v="157"/>
    <n v="158"/>
    <n v="10"/>
    <n v="0.22"/>
    <n v="160"/>
    <n v="1.94"/>
    <n v="10"/>
    <n v="4713"/>
  </r>
  <r>
    <x v="1808"/>
    <n v="250096"/>
    <s v="MS"/>
    <s v="MS - Rankin"/>
    <n v="39042"/>
    <s v="Merit Health Rankin (FKA Crossgates River Oaks Hospital)"/>
    <s v="Short Term Acute Care Hospital"/>
    <s v="Brandon"/>
    <n v="15.7"/>
    <n v="4.0999999999999996"/>
    <n v="39"/>
    <n v="114"/>
    <n v="8"/>
    <n v="0.22"/>
    <n v="114"/>
    <n v="1.58"/>
    <n v="2311"/>
    <n v="1412"/>
  </r>
  <r>
    <x v="1808"/>
    <n v="250136"/>
    <s v="MS"/>
    <s v="MS - Rankin"/>
    <n v="39232"/>
    <s v="Merit Health Womans Hospital (FKA Womans Hospital at River Oaks)"/>
    <s v="Short Term Acute Care Hospital"/>
    <s v="Flowood"/>
    <n v="10"/>
    <n v="4.4000000000000004"/>
    <n v="39"/>
    <n v="33"/>
    <m/>
    <n v="0.22"/>
    <n v="33"/>
    <n v="1.37"/>
    <n v="2275"/>
    <n v="1260"/>
  </r>
  <r>
    <x v="1808"/>
    <n v="250134"/>
    <s v="MS"/>
    <s v="MS - Rankin"/>
    <n v="39193"/>
    <s v="Whitfield Medical Surgical Hospital"/>
    <s v="Short Term Acute Care Hospital"/>
    <s v="Whitfield"/>
    <n v="3.3"/>
    <n v="8.8000000000000007"/>
    <n v="12"/>
    <n v="32"/>
    <m/>
    <m/>
    <n v="32"/>
    <n v="1"/>
    <n v="2312"/>
    <n v="136"/>
  </r>
  <r>
    <x v="1809"/>
    <n v="250079"/>
    <s v="MS"/>
    <s v="MS - Sharkey"/>
    <n v="39159"/>
    <s v="Sharkey Issaquena Community Hospital"/>
    <s v="Short Term Acute Care Hospital"/>
    <s v="Rolling Fork"/>
    <n v="4.5"/>
    <n v="10.4"/>
    <n v="15"/>
    <n v="19"/>
    <m/>
    <m/>
    <n v="19"/>
    <n v="0.91"/>
    <n v="2315"/>
    <n v="160"/>
  </r>
  <r>
    <x v="584"/>
    <n v="250124"/>
    <s v="MS"/>
    <s v="MS - Simpson"/>
    <n v="39111"/>
    <s v="Magee General Hospital"/>
    <s v="Short Term Acute Care Hospital"/>
    <s v="Magee"/>
    <n v="11.8"/>
    <n v="7.3"/>
    <n v="58"/>
    <n v="44"/>
    <m/>
    <n v="0.22"/>
    <n v="44"/>
    <n v="1.01"/>
    <n v="2317"/>
    <n v="590"/>
  </r>
  <r>
    <x v="1810"/>
    <n v="250163"/>
    <s v="MS"/>
    <s v="MS - Smith"/>
    <n v="39153"/>
    <s v="Patients Choice Medical Center of Smith County"/>
    <s v="Short Term Acute Care Hospital"/>
    <s v="Raleigh"/>
    <n v="0"/>
    <n v="2.5"/>
    <m/>
    <n v="19"/>
    <m/>
    <m/>
    <n v="19"/>
    <n v="1.1399999999999999"/>
    <n v="6263"/>
    <n v="2"/>
  </r>
  <r>
    <x v="586"/>
    <n v="250095"/>
    <s v="MS"/>
    <s v="MS - Sunflower"/>
    <n v="38751"/>
    <s v="South Sunflower County Hospital"/>
    <s v="Short Term Acute Care Hospital"/>
    <s v="Indianola"/>
    <n v="11.5"/>
    <n v="5.6"/>
    <n v="36"/>
    <n v="47"/>
    <m/>
    <n v="0.59"/>
    <n v="47"/>
    <n v="1.04"/>
    <n v="2320"/>
    <n v="823"/>
  </r>
  <r>
    <x v="1811"/>
    <s v="250126 (Closed)"/>
    <s v="MS"/>
    <s v="MS - Tate"/>
    <n v="38668"/>
    <s v="North Oak Regional Medical Center (Closed)"/>
    <s v="Short Term Acute Care Hospital"/>
    <s v="Senatobia"/>
    <n v="5.0999999999999996"/>
    <n v="3.5"/>
    <m/>
    <m/>
    <m/>
    <n v="0.27"/>
    <m/>
    <n v="1.02"/>
    <n v="2321"/>
    <n v="531"/>
  </r>
  <r>
    <x v="1812"/>
    <n v="250002"/>
    <s v="MS"/>
    <s v="MS - Tishomingo"/>
    <n v="38852"/>
    <s v="North Mississippi Medical Center - Iuka"/>
    <s v="Short Term Acute Care Hospital"/>
    <s v="Iuka"/>
    <n v="15.2"/>
    <n v="5.9"/>
    <n v="16"/>
    <n v="66"/>
    <m/>
    <m/>
    <n v="66"/>
    <n v="1.1299999999999999"/>
    <n v="2323"/>
    <n v="680"/>
  </r>
  <r>
    <x v="1813"/>
    <n v="250006"/>
    <s v="MS"/>
    <s v="MS - Union"/>
    <n v="38652"/>
    <s v="Baptist Memorial Hospital - Union County"/>
    <s v="Short Term Acute Care Hospital"/>
    <s v="New Albany"/>
    <n v="22.6"/>
    <n v="3.9"/>
    <n v="102"/>
    <n v="92"/>
    <n v="8"/>
    <m/>
    <n v="92"/>
    <n v="1.32"/>
    <n v="2324"/>
    <n v="2594"/>
  </r>
  <r>
    <x v="1814"/>
    <n v="250031"/>
    <s v="MS"/>
    <s v="MS - Warren"/>
    <n v="39183"/>
    <s v="Merit Health River Region (FKA River Region Health System)"/>
    <s v="Short Term Acute Care Hospital"/>
    <s v="Vicksburg"/>
    <n v="97.6"/>
    <n v="5.3"/>
    <n v="96"/>
    <n v="301"/>
    <n v="22"/>
    <n v="1"/>
    <n v="301"/>
    <n v="1.56"/>
    <n v="2327"/>
    <n v="6919"/>
  </r>
  <r>
    <x v="1815"/>
    <n v="250082"/>
    <s v="MS"/>
    <s v="MS - Washington"/>
    <n v="38703"/>
    <s v="Delta Regional Medical Center - Main Campus"/>
    <s v="Short Term Acute Care Hospital"/>
    <s v="Greenville"/>
    <n v="72.400000000000006"/>
    <n v="5"/>
    <n v="115"/>
    <n v="177"/>
    <n v="22"/>
    <n v="1"/>
    <n v="177"/>
    <n v="1.52"/>
    <n v="2328"/>
    <n v="5641"/>
  </r>
  <r>
    <x v="1815"/>
    <s v="250082*"/>
    <s v="MS"/>
    <s v="MS - Washington"/>
    <n v="38701"/>
    <s v="Delta Regional Medical Center - West Campus"/>
    <s v="Short Term Acute Care Hospital"/>
    <s v="Greenville"/>
    <m/>
    <m/>
    <n v="1"/>
    <m/>
    <m/>
    <m/>
    <m/>
    <m/>
    <n v="581775"/>
    <m/>
  </r>
  <r>
    <x v="1816"/>
    <n v="250077"/>
    <s v="MS"/>
    <s v="MS - Wayne"/>
    <n v="39367"/>
    <s v="Wayne General Hospital"/>
    <s v="Short Term Acute Care Hospital"/>
    <s v="Waynesboro"/>
    <n v="22.1"/>
    <n v="6.6"/>
    <n v="27"/>
    <n v="49"/>
    <n v="6"/>
    <m/>
    <n v="49"/>
    <n v="1.05"/>
    <n v="2329"/>
    <n v="1279"/>
  </r>
  <r>
    <x v="1817"/>
    <n v="250020"/>
    <s v="MS"/>
    <s v="MS - Webster"/>
    <n v="39744"/>
    <s v="North Mississippi Medical Center - Eupora"/>
    <s v="Short Term Acute Care Hospital"/>
    <s v="Eupora"/>
    <n v="20.399999999999999"/>
    <n v="7.8"/>
    <n v="12"/>
    <n v="38"/>
    <m/>
    <n v="0.62"/>
    <n v="38"/>
    <n v="1.05"/>
    <n v="2330"/>
    <n v="960"/>
  </r>
  <r>
    <x v="1818"/>
    <n v="250027"/>
    <s v="MS"/>
    <s v="MS - Winston"/>
    <n v="39339"/>
    <s v="Winston Medical Center"/>
    <s v="Short Term Acute Care Hospital"/>
    <s v="Louisville"/>
    <n v="3.4"/>
    <n v="3.8"/>
    <n v="18"/>
    <n v="14"/>
    <m/>
    <m/>
    <n v="14"/>
    <n v="1.02"/>
    <n v="2332"/>
    <n v="319"/>
  </r>
  <r>
    <x v="1819"/>
    <n v="250061"/>
    <s v="MS"/>
    <s v="MS - Yalobusha"/>
    <n v="38965"/>
    <s v="Yalobusha General Hospital"/>
    <s v="Short Term Acute Care Hospital"/>
    <s v="Water Valley"/>
    <n v="16.399999999999999"/>
    <n v="9"/>
    <n v="29"/>
    <n v="26"/>
    <m/>
    <m/>
    <n v="26"/>
    <n v="0.9"/>
    <n v="2333"/>
    <n v="662"/>
  </r>
  <r>
    <x v="1820"/>
    <n v="260022"/>
    <s v="MO"/>
    <s v="MO - Adair"/>
    <n v="63501"/>
    <s v="Northeast Regional Medical Center"/>
    <s v="Short Term Acute Care Hospital"/>
    <s v="Kirksville"/>
    <n v="23.4"/>
    <n v="4.2"/>
    <n v="111"/>
    <n v="51"/>
    <n v="10"/>
    <n v="1"/>
    <n v="51"/>
    <n v="1.78"/>
    <n v="2334"/>
    <n v="2309"/>
  </r>
  <r>
    <x v="1821"/>
    <n v="260064"/>
    <s v="MO"/>
    <s v="MO - Audrain"/>
    <n v="65265"/>
    <s v="SSM Health St Marys Hospital - Audrain"/>
    <s v="Short Term Acute Care Hospital"/>
    <s v="Mexico"/>
    <n v="11.6"/>
    <n v="2.9"/>
    <n v="76"/>
    <n v="40"/>
    <m/>
    <n v="1"/>
    <n v="40"/>
    <n v="1.28"/>
    <n v="2336"/>
    <n v="1598"/>
  </r>
  <r>
    <x v="1822"/>
    <n v="260034"/>
    <s v="MO"/>
    <s v="MO - Bates"/>
    <n v="64730"/>
    <s v="Bates County Memorial Hospital"/>
    <s v="Short Term Acute Care Hospital"/>
    <s v="Butler"/>
    <n v="9.1"/>
    <n v="4"/>
    <n v="37"/>
    <n v="44"/>
    <m/>
    <n v="0.1"/>
    <n v="44"/>
    <n v="1.19"/>
    <n v="2340"/>
    <n v="825"/>
  </r>
  <r>
    <x v="1823"/>
    <n v="260068"/>
    <s v="MO"/>
    <s v="MO - Boone"/>
    <n v="65201"/>
    <s v="Boone Hospital Center"/>
    <s v="Short Term Acute Care Hospital"/>
    <s v="Columbia"/>
    <n v="146"/>
    <n v="4.4000000000000004"/>
    <n v="325"/>
    <n v="335"/>
    <n v="32"/>
    <n v="0.65"/>
    <n v="335"/>
    <n v="2.09"/>
    <n v="2341"/>
    <n v="12845"/>
  </r>
  <r>
    <x v="1823"/>
    <n v="260141"/>
    <s v="MO"/>
    <s v="MO - Boone"/>
    <n v="65212"/>
    <s v="University Hospital"/>
    <s v="Short Term Acute Care Hospital"/>
    <s v="Columbia"/>
    <n v="389"/>
    <n v="5.3"/>
    <n v="939"/>
    <n v="530"/>
    <n v="82"/>
    <n v="0.65"/>
    <n v="530"/>
    <n v="1.97"/>
    <n v="274095"/>
    <n v="25942"/>
  </r>
  <r>
    <x v="1823"/>
    <m/>
    <s v="MO"/>
    <s v="MO - Boone"/>
    <n v="65212"/>
    <s v="Missouri Orthopaedic Institute"/>
    <s v="Short Term Acute Care Hospital"/>
    <s v="Columbia"/>
    <m/>
    <m/>
    <m/>
    <m/>
    <m/>
    <m/>
    <n v="18"/>
    <m/>
    <n v="582541"/>
    <m/>
  </r>
  <r>
    <x v="1823"/>
    <s v="260141*"/>
    <s v="MO"/>
    <s v="MO - Boone"/>
    <n v="65212"/>
    <s v="Ellis Fischel Cancer Center"/>
    <s v="Short Term Acute Care Hospital"/>
    <s v="Columbia"/>
    <m/>
    <m/>
    <m/>
    <m/>
    <m/>
    <m/>
    <m/>
    <m/>
    <n v="582542"/>
    <m/>
  </r>
  <r>
    <x v="1823"/>
    <m/>
    <s v="MO"/>
    <s v="MO - Boone"/>
    <n v="65202"/>
    <s v="CenterPointe Hospital of Columbia"/>
    <s v="Short Term Acute Care Hospital"/>
    <s v="Columbia"/>
    <m/>
    <m/>
    <n v="5"/>
    <m/>
    <m/>
    <m/>
    <m/>
    <m/>
    <n v="923676"/>
    <m/>
  </r>
  <r>
    <x v="1824"/>
    <n v="260006"/>
    <s v="MO"/>
    <s v="MO - Buchanan"/>
    <n v="64506"/>
    <s v="Mosaic Life Care at St Joseph - Medical Center"/>
    <s v="Short Term Acute Care Hospital"/>
    <s v="Saint Joseph"/>
    <n v="189.6"/>
    <n v="3.4"/>
    <n v="368"/>
    <n v="352"/>
    <n v="21"/>
    <n v="1"/>
    <n v="352"/>
    <n v="1.73"/>
    <n v="2345"/>
    <n v="21465"/>
  </r>
  <r>
    <x v="1825"/>
    <n v="260119"/>
    <s v="MO"/>
    <s v="MO - Butler"/>
    <n v="63901"/>
    <s v="Poplar Bluff Regional Medical Center - Oak Grove"/>
    <s v="Short Term Acute Care Hospital"/>
    <s v="Poplar Bluff"/>
    <n v="123.1"/>
    <n v="4.3"/>
    <n v="147"/>
    <n v="220"/>
    <n v="14"/>
    <n v="0.79"/>
    <n v="220"/>
    <n v="1.52"/>
    <n v="2347"/>
    <n v="11000"/>
  </r>
  <r>
    <x v="1825"/>
    <s v="260119*"/>
    <s v="MO"/>
    <s v="MO - Butler"/>
    <n v="63901"/>
    <s v="Poplar Bluff Regional Medical Center - Westwood"/>
    <s v="Short Term Acute Care Hospital"/>
    <s v="Poplar Bluff"/>
    <m/>
    <m/>
    <m/>
    <m/>
    <m/>
    <m/>
    <m/>
    <m/>
    <n v="931300"/>
    <m/>
  </r>
  <r>
    <x v="1825"/>
    <s v="260227 (Closed)"/>
    <s v="MO"/>
    <s v="MO - Butler"/>
    <n v="63901"/>
    <s v="Saint Francis Health Center - Poplar Bluff (FKA Black River Medical Center - Closed)"/>
    <s v="Short Term Acute Care Hospital"/>
    <s v="Poplar Bluff"/>
    <n v="1.7"/>
    <n v="2.9"/>
    <m/>
    <m/>
    <m/>
    <n v="0.79"/>
    <m/>
    <n v="0.98"/>
    <n v="579954"/>
    <n v="215"/>
  </r>
  <r>
    <x v="1826"/>
    <n v="260209"/>
    <s v="MO"/>
    <s v="MO - Callaway"/>
    <n v="65251"/>
    <s v="Fulton Medical Center (AKA Callaway Community Hospital)"/>
    <s v="Short Term Acute Care Hospital"/>
    <s v="Fulton"/>
    <n v="0.9"/>
    <n v="2.2999999999999998"/>
    <n v="18"/>
    <n v="18"/>
    <m/>
    <n v="0.48"/>
    <n v="18"/>
    <n v="1.1100000000000001"/>
    <n v="2348"/>
    <n v="143"/>
  </r>
  <r>
    <x v="1827"/>
    <n v="260186"/>
    <s v="MO"/>
    <s v="MO - Camden"/>
    <n v="65065"/>
    <s v="Lake Regional Health System"/>
    <s v="Short Term Acute Care Hospital"/>
    <s v="Osage Beach"/>
    <n v="40.299999999999997"/>
    <n v="3.4"/>
    <n v="163"/>
    <n v="100"/>
    <n v="18"/>
    <m/>
    <n v="100"/>
    <n v="1.62"/>
    <n v="2349"/>
    <n v="4705"/>
  </r>
  <r>
    <x v="1828"/>
    <n v="260110"/>
    <s v="MO"/>
    <s v="MO - Cape Girardeau"/>
    <n v="63701"/>
    <s v="Southeast Hospital"/>
    <s v="Short Term Acute Care Hospital"/>
    <s v="Cape Girardeau"/>
    <n v="99"/>
    <n v="5.3"/>
    <n v="228"/>
    <n v="181"/>
    <m/>
    <n v="0.53"/>
    <n v="181"/>
    <n v="1.92"/>
    <n v="2350"/>
    <n v="7639"/>
  </r>
  <r>
    <x v="1828"/>
    <n v="260183"/>
    <s v="MO"/>
    <s v="MO - Cape Girardeau"/>
    <n v="63703"/>
    <s v="Saint Francis Medical Center (AKA Saint Francis Healthcare System)"/>
    <s v="Short Term Acute Care Hospital"/>
    <s v="Cape Girardeau"/>
    <n v="131.6"/>
    <n v="5"/>
    <n v="438"/>
    <n v="283"/>
    <n v="31"/>
    <n v="0.53"/>
    <n v="283"/>
    <n v="1.85"/>
    <n v="2351"/>
    <n v="10055"/>
  </r>
  <r>
    <x v="596"/>
    <n v="260214"/>
    <s v="MO"/>
    <s v="MO - Cass"/>
    <n v="64012"/>
    <s v="Belton Regional Medical Center (FKA Research Belton Hospital)"/>
    <s v="Short Term Acute Care Hospital"/>
    <s v="Belton"/>
    <n v="29"/>
    <n v="3"/>
    <n v="72"/>
    <n v="71"/>
    <n v="5"/>
    <n v="0.1"/>
    <n v="71"/>
    <n v="1.36"/>
    <n v="2354"/>
    <n v="3557"/>
  </r>
  <r>
    <x v="1829"/>
    <s v="260065*"/>
    <s v="MO"/>
    <s v="MO - Christian"/>
    <n v="65721"/>
    <s v="Mercy Orthopedic Hospital Springfield"/>
    <s v="Short Term Acute Care Hospital"/>
    <s v="Ozark"/>
    <m/>
    <m/>
    <m/>
    <m/>
    <m/>
    <m/>
    <n v="48"/>
    <m/>
    <n v="764473"/>
    <m/>
  </r>
  <r>
    <x v="598"/>
    <n v="260096"/>
    <s v="MO"/>
    <s v="MO - Clay"/>
    <n v="64116"/>
    <s v="North Kansas City Hospital"/>
    <s v="Short Term Acute Care Hospital"/>
    <s v="North Kansas City"/>
    <n v="219.8"/>
    <n v="6.4"/>
    <n v="488"/>
    <n v="363"/>
    <n v="14"/>
    <n v="0.1"/>
    <n v="363"/>
    <n v="1.75"/>
    <n v="2355"/>
    <n v="13097"/>
  </r>
  <r>
    <x v="598"/>
    <n v="260177"/>
    <s v="MO"/>
    <s v="MO - Clay"/>
    <n v="64068"/>
    <s v="Liberty Hospital"/>
    <s v="Short Term Acute Care Hospital"/>
    <s v="Liberty"/>
    <n v="81.5"/>
    <n v="4.2"/>
    <n v="201"/>
    <n v="199"/>
    <n v="20"/>
    <n v="0.1"/>
    <n v="199"/>
    <n v="1.63"/>
    <n v="2356"/>
    <n v="7747"/>
  </r>
  <r>
    <x v="598"/>
    <s v="260062*"/>
    <s v="MO"/>
    <s v="MO - Clay"/>
    <n v="64089"/>
    <s v="Saint Lukes North Hospital - Smithville"/>
    <s v="Short Term Acute Care Hospital"/>
    <s v="Smithville"/>
    <m/>
    <m/>
    <m/>
    <m/>
    <m/>
    <m/>
    <m/>
    <m/>
    <n v="553325"/>
    <m/>
  </r>
  <r>
    <x v="1830"/>
    <n v="260057"/>
    <s v="MO"/>
    <s v="MO - Clinton"/>
    <n v="64429"/>
    <s v="Cameron Regional Medical Center"/>
    <s v="Short Term Acute Care Hospital"/>
    <s v="Cameron"/>
    <n v="17.7"/>
    <n v="4.9000000000000004"/>
    <n v="81"/>
    <n v="42"/>
    <n v="5"/>
    <n v="0.1"/>
    <n v="42"/>
    <n v="1.1100000000000001"/>
    <n v="2357"/>
    <n v="1352"/>
  </r>
  <r>
    <x v="1831"/>
    <n v="260047"/>
    <s v="MO"/>
    <s v="MO - Cole"/>
    <n v="65101"/>
    <s v="Capital Region Medical Center"/>
    <s v="Short Term Acute Care Hospital"/>
    <s v="Jefferson City"/>
    <n v="48.3"/>
    <n v="3.5"/>
    <n v="217"/>
    <n v="100"/>
    <n v="12"/>
    <n v="0.48"/>
    <n v="100"/>
    <n v="1.51"/>
    <n v="2358"/>
    <n v="5319"/>
  </r>
  <r>
    <x v="1831"/>
    <n v="260011"/>
    <s v="MO"/>
    <s v="MO - Cole"/>
    <n v="65109"/>
    <s v="SSM Health St Marys Hospital - Jefferson City"/>
    <s v="Short Term Acute Care Hospital"/>
    <s v="Jefferson City"/>
    <n v="68.3"/>
    <n v="3.9"/>
    <n v="172"/>
    <n v="167"/>
    <n v="13"/>
    <n v="0.48"/>
    <n v="154"/>
    <n v="1.76"/>
    <n v="2359"/>
    <n v="6861"/>
  </r>
  <r>
    <x v="1832"/>
    <s v="260004 (Closed)"/>
    <s v="MO"/>
    <s v="MO - Cooper"/>
    <n v="65233"/>
    <s v="Pinnacle Regional Hospital - Boonville (AKA Cooper County Memorial Hospital - Closed)"/>
    <s v="Short Term Acute Care Hospital"/>
    <s v="Boonville"/>
    <n v="5.9"/>
    <n v="11.6"/>
    <m/>
    <m/>
    <m/>
    <n v="0.65"/>
    <m/>
    <n v="1.02"/>
    <n v="2360"/>
    <n v="185"/>
  </r>
  <r>
    <x v="1833"/>
    <s v="260015 (Closed)"/>
    <s v="MO"/>
    <s v="MO - Dunklin"/>
    <n v="63857"/>
    <s v="Twin Rivers Regional Medical Center (Closed)"/>
    <s v="Short Term Acute Care Hospital"/>
    <s v="Kennett"/>
    <n v="19.399999999999999"/>
    <n v="3.3"/>
    <m/>
    <m/>
    <m/>
    <n v="1"/>
    <m/>
    <n v="1.23"/>
    <n v="2362"/>
    <n v="2376"/>
  </r>
  <r>
    <x v="600"/>
    <n v="260052"/>
    <s v="MO"/>
    <s v="MO - Franklin"/>
    <n v="63090"/>
    <s v="Mercy Hospital Washington"/>
    <s v="Short Term Acute Care Hospital"/>
    <s v="Washington"/>
    <n v="55.9"/>
    <n v="3.3"/>
    <n v="292"/>
    <n v="148"/>
    <n v="13"/>
    <n v="0.08"/>
    <n v="148"/>
    <n v="1.74"/>
    <n v="2363"/>
    <n v="6706"/>
  </r>
  <r>
    <x v="1834"/>
    <s v="260207(closed)"/>
    <s v="MO"/>
    <s v="MO - Greene"/>
    <n v="65803"/>
    <s v="Ozarks Community Hospital Springfield - North Clinic Campus (Closed - No Longer Provides Inpatient Services)"/>
    <s v="Short Term Acute Care Hospital"/>
    <s v="Springfield"/>
    <n v="2.9"/>
    <n v="3.2"/>
    <m/>
    <m/>
    <m/>
    <n v="0.43"/>
    <m/>
    <m/>
    <n v="2367"/>
    <n v="328"/>
  </r>
  <r>
    <x v="1834"/>
    <n v="260065"/>
    <s v="MO"/>
    <s v="MO - Greene"/>
    <n v="65804"/>
    <s v="Mercy Hospital Springfield (FKA St Johns Hospital)"/>
    <s v="Short Term Acute Care Hospital"/>
    <s v="Springfield"/>
    <n v="470.8"/>
    <n v="4.9000000000000004"/>
    <n v="998"/>
    <n v="665"/>
    <n v="55"/>
    <n v="0.43"/>
    <n v="665"/>
    <n v="1.98"/>
    <n v="2368"/>
    <n v="36279"/>
  </r>
  <r>
    <x v="1834"/>
    <n v="260040"/>
    <s v="MO"/>
    <s v="MO - Greene"/>
    <n v="65807"/>
    <s v="Cox Medical Center South"/>
    <s v="Short Term Acute Care Hospital"/>
    <s v="Springfield"/>
    <n v="448.8"/>
    <n v="5.2"/>
    <n v="932"/>
    <n v="596"/>
    <n v="74"/>
    <n v="0.43"/>
    <n v="596"/>
    <n v="1.86"/>
    <n v="2369"/>
    <n v="32971"/>
  </r>
  <r>
    <x v="1834"/>
    <s v="260040*"/>
    <s v="MO"/>
    <s v="MO - Greene"/>
    <n v="65802"/>
    <s v="Cox North Hospital"/>
    <s v="Short Term Acute Care Hospital"/>
    <s v="Springfield"/>
    <m/>
    <m/>
    <m/>
    <m/>
    <m/>
    <m/>
    <n v="75"/>
    <m/>
    <n v="541875"/>
    <m/>
  </r>
  <r>
    <x v="1834"/>
    <m/>
    <s v="MO"/>
    <s v="MO - Greene"/>
    <n v="65807"/>
    <s v="MCFP Springfield"/>
    <s v="Short Term Acute Care Hospital"/>
    <s v="Springfield"/>
    <m/>
    <m/>
    <m/>
    <m/>
    <m/>
    <m/>
    <m/>
    <m/>
    <n v="833126"/>
    <m/>
  </r>
  <r>
    <x v="1835"/>
    <n v="260175"/>
    <s v="MO"/>
    <s v="MO - Henry"/>
    <n v="64735"/>
    <s v="Golden Valley Memorial Hospital"/>
    <s v="Short Term Acute Care Hospital"/>
    <s v="Clinton"/>
    <n v="17.7"/>
    <n v="3.6"/>
    <n v="117"/>
    <n v="42"/>
    <n v="8"/>
    <m/>
    <n v="42"/>
    <n v="1.35"/>
    <n v="2372"/>
    <n v="2051"/>
  </r>
  <r>
    <x v="605"/>
    <n v="260078"/>
    <s v="MO"/>
    <s v="MO - Howell"/>
    <n v="65775"/>
    <s v="Ozarks Medical Center"/>
    <s v="Short Term Acute Care Hospital"/>
    <s v="West Plains"/>
    <n v="51.2"/>
    <n v="3.5"/>
    <n v="164"/>
    <n v="103"/>
    <n v="12"/>
    <n v="0.86"/>
    <n v="103"/>
    <n v="1.47"/>
    <n v="2373"/>
    <n v="5687"/>
  </r>
  <r>
    <x v="1836"/>
    <n v="260216"/>
    <s v="MO"/>
    <s v="MO - Jackson"/>
    <n v="64086"/>
    <s v="Saint Lukes East Hospital"/>
    <s v="Short Term Acute Care Hospital"/>
    <s v="Lees Summit"/>
    <n v="137"/>
    <n v="4.0999999999999996"/>
    <n v="256"/>
    <n v="184"/>
    <n v="16"/>
    <n v="0.1"/>
    <n v="184"/>
    <n v="1.51"/>
    <n v="2376"/>
    <n v="13566"/>
  </r>
  <r>
    <x v="1836"/>
    <n v="260085"/>
    <s v="MO"/>
    <s v="MO - Jackson"/>
    <n v="64114"/>
    <s v="St Joseph Medical Center"/>
    <s v="Short Term Acute Care Hospital"/>
    <s v="Kansas City"/>
    <n v="69.2"/>
    <n v="4"/>
    <n v="140"/>
    <n v="127"/>
    <n v="16"/>
    <n v="0.1"/>
    <n v="127"/>
    <n v="1.88"/>
    <n v="2378"/>
    <n v="6316"/>
  </r>
  <r>
    <x v="1836"/>
    <n v="260102"/>
    <s v="MO"/>
    <s v="MO - Jackson"/>
    <n v="64139"/>
    <s v="Truman Medical Center Lakewood"/>
    <s v="Short Term Acute Care Hospital"/>
    <s v="Kansas City"/>
    <n v="53.3"/>
    <n v="5.0999999999999996"/>
    <n v="224"/>
    <n v="110"/>
    <n v="8"/>
    <n v="0.1"/>
    <n v="110"/>
    <n v="1.45"/>
    <n v="2379"/>
    <n v="4416"/>
  </r>
  <r>
    <x v="1836"/>
    <n v="260095"/>
    <s v="MO"/>
    <s v="MO - Jackson"/>
    <n v="64057"/>
    <s v="Centerpoint Medical Center"/>
    <s v="Short Term Acute Care Hospital"/>
    <s v="Independence"/>
    <n v="187.9"/>
    <n v="4"/>
    <n v="312"/>
    <n v="265"/>
    <n v="40"/>
    <n v="0.1"/>
    <n v="265"/>
    <n v="1.6"/>
    <n v="2380"/>
    <n v="16651"/>
  </r>
  <r>
    <x v="1836"/>
    <n v="260138"/>
    <s v="MO"/>
    <s v="MO - Jackson"/>
    <n v="64111"/>
    <s v="Saint Lukes Hospital of Kansas City"/>
    <s v="Short Term Acute Care Hospital"/>
    <s v="Kansas City"/>
    <n v="331.2"/>
    <n v="5.9"/>
    <n v="944"/>
    <n v="443"/>
    <n v="71"/>
    <n v="0.1"/>
    <n v="443"/>
    <n v="2.3199999999999998"/>
    <n v="2381"/>
    <n v="21183"/>
  </r>
  <r>
    <x v="1836"/>
    <n v="260190"/>
    <s v="MO"/>
    <s v="MO - Jackson"/>
    <n v="64063"/>
    <s v="Lees Summit Medical Center"/>
    <s v="Short Term Acute Care Hospital"/>
    <s v="Lees Summit"/>
    <n v="43.8"/>
    <n v="3.6"/>
    <n v="95"/>
    <n v="80"/>
    <n v="10"/>
    <n v="0.1"/>
    <n v="80"/>
    <n v="1.52"/>
    <n v="2382"/>
    <n v="4431"/>
  </r>
  <r>
    <x v="1836"/>
    <n v="260193"/>
    <s v="MO"/>
    <s v="MO - Jackson"/>
    <n v="64014"/>
    <s v="St Marys Medical Center"/>
    <s v="Short Term Acute Care Hospital"/>
    <s v="Blue Springs"/>
    <n v="47.6"/>
    <n v="3.7"/>
    <n v="89"/>
    <n v="73"/>
    <n v="8"/>
    <n v="0.1"/>
    <n v="73"/>
    <n v="1.7"/>
    <n v="2383"/>
    <n v="4690"/>
  </r>
  <r>
    <x v="1836"/>
    <n v="260027"/>
    <s v="MO"/>
    <s v="MO - Jackson"/>
    <n v="64132"/>
    <s v="Research Medical Center"/>
    <s v="Short Term Acute Care Hospital"/>
    <s v="Kansas City"/>
    <n v="238.7"/>
    <n v="5.5"/>
    <n v="342"/>
    <n v="330"/>
    <n v="28"/>
    <n v="0.1"/>
    <n v="374"/>
    <n v="1.87"/>
    <n v="2384"/>
    <n v="16398"/>
  </r>
  <r>
    <x v="1836"/>
    <n v="260048"/>
    <s v="MO"/>
    <s v="MO - Jackson"/>
    <n v="64108"/>
    <s v="Truman Medical Center Health Sciences District"/>
    <s v="Short Term Acute Care Hospital"/>
    <s v="Kansas City"/>
    <n v="188.6"/>
    <n v="6"/>
    <n v="389"/>
    <n v="238"/>
    <n v="41"/>
    <n v="0.1"/>
    <n v="238"/>
    <n v="1.49"/>
    <n v="2385"/>
    <n v="12317"/>
  </r>
  <r>
    <x v="1836"/>
    <s v="260027* (Closed)"/>
    <s v="MO"/>
    <s v="MO - Jackson"/>
    <n v="64130"/>
    <s v="Research Medical Center Brookside Campus (Closed - No Longer Offers Inpatient Services)"/>
    <s v="Short Term Acute Care Hospital"/>
    <s v="Kansas City"/>
    <m/>
    <m/>
    <m/>
    <m/>
    <m/>
    <m/>
    <m/>
    <m/>
    <n v="575966"/>
    <m/>
  </r>
  <r>
    <x v="607"/>
    <n v="260137"/>
    <s v="MO"/>
    <s v="MO - Jasper"/>
    <n v="64804"/>
    <s v="Freeman Hospital West"/>
    <s v="Short Term Acute Care Hospital"/>
    <s v="Joplin"/>
    <n v="224.6"/>
    <n v="5"/>
    <n v="373"/>
    <n v="361"/>
    <n v="39"/>
    <n v="0.47"/>
    <n v="339"/>
    <n v="1.81"/>
    <n v="2387"/>
    <n v="16999"/>
  </r>
  <r>
    <x v="607"/>
    <n v="260001"/>
    <s v="MO"/>
    <s v="MO - Jasper"/>
    <n v="64804"/>
    <s v="Mercy Hospital Joplin"/>
    <s v="Short Term Acute Care Hospital"/>
    <s v="Joplin"/>
    <n v="155"/>
    <n v="4.5999999999999996"/>
    <n v="262"/>
    <n v="240"/>
    <n v="48"/>
    <n v="0.47"/>
    <n v="240"/>
    <n v="1.74"/>
    <n v="2389"/>
    <n v="12793"/>
  </r>
  <r>
    <x v="607"/>
    <s v="260137*"/>
    <s v="MO"/>
    <s v="MO - Jasper"/>
    <n v="64804"/>
    <s v="Freeman Hospital East"/>
    <s v="Short Term Acute Care Hospital"/>
    <s v="Joplin"/>
    <m/>
    <m/>
    <m/>
    <m/>
    <m/>
    <m/>
    <n v="72"/>
    <m/>
    <n v="274064"/>
    <m/>
  </r>
  <r>
    <x v="1837"/>
    <n v="260023"/>
    <s v="MO"/>
    <s v="MO - Jefferson"/>
    <n v="63028"/>
    <s v="Mercy Hospital Jefferson (FKA Jefferson Regional Medical Center)"/>
    <s v="Short Term Acute Care Hospital"/>
    <s v="Festus"/>
    <n v="112.3"/>
    <n v="4.4000000000000004"/>
    <n v="224"/>
    <n v="279"/>
    <n v="28"/>
    <n v="0.08"/>
    <n v="279"/>
    <n v="1.61"/>
    <n v="2391"/>
    <n v="9618"/>
  </r>
  <r>
    <x v="1838"/>
    <n v="260097"/>
    <s v="MO"/>
    <s v="MO - Johnson"/>
    <n v="64093"/>
    <s v="Western Missouri Medical Center"/>
    <s v="Short Term Acute Care Hospital"/>
    <s v="Warrensburg"/>
    <n v="19.8"/>
    <n v="3.5"/>
    <n v="89"/>
    <n v="46"/>
    <m/>
    <n v="1"/>
    <n v="46"/>
    <n v="1.37"/>
    <n v="2392"/>
    <n v="2468"/>
  </r>
  <r>
    <x v="1839"/>
    <n v="260059"/>
    <s v="MO"/>
    <s v="MO - Laclede"/>
    <n v="65536"/>
    <s v="Mercy Hospital Lebanon"/>
    <s v="Short Term Acute Care Hospital"/>
    <s v="Lebanon"/>
    <n v="15.3"/>
    <n v="2.4"/>
    <n v="108"/>
    <n v="43"/>
    <n v="4"/>
    <n v="1"/>
    <n v="43"/>
    <n v="1.42"/>
    <n v="2393"/>
    <n v="2497"/>
  </r>
  <r>
    <x v="1840"/>
    <n v="260025"/>
    <s v="MO"/>
    <s v="MO - Marion"/>
    <n v="63401"/>
    <s v="Hannibal Regional Hospital"/>
    <s v="Short Term Acute Care Hospital"/>
    <s v="Hannibal"/>
    <n v="41.7"/>
    <n v="3.6"/>
    <n v="157"/>
    <n v="86"/>
    <n v="8"/>
    <n v="1"/>
    <n v="86"/>
    <n v="1.39"/>
    <n v="2399"/>
    <n v="4534"/>
  </r>
  <r>
    <x v="1841"/>
    <n v="260050"/>
    <s v="MO"/>
    <s v="MO - Nodaway"/>
    <n v="64468"/>
    <s v="Mosaic Medical Center - Maryville (FKA SSM Health St Francis Hospital - Maryville)"/>
    <s v="Short Term Acute Care Hospital"/>
    <s v="Maryville"/>
    <n v="6.9"/>
    <n v="2.7"/>
    <n v="44"/>
    <n v="38"/>
    <m/>
    <n v="1"/>
    <n v="38"/>
    <n v="1.1299999999999999"/>
    <n v="2402"/>
    <n v="1124"/>
  </r>
  <r>
    <x v="1842"/>
    <n v="260070"/>
    <s v="MO"/>
    <s v="MO - Pemiscot"/>
    <n v="63851"/>
    <s v="Pemiscot Memorial Hospital"/>
    <s v="Short Term Acute Care Hospital"/>
    <s v="Hayti"/>
    <n v="17.100000000000001"/>
    <n v="4.4000000000000004"/>
    <n v="23"/>
    <n v="49"/>
    <n v="7"/>
    <m/>
    <n v="49"/>
    <n v="1.1100000000000001"/>
    <n v="2403"/>
    <n v="1428"/>
  </r>
  <r>
    <x v="1843"/>
    <n v="260009"/>
    <s v="MO"/>
    <s v="MO - Pettis"/>
    <n v="65301"/>
    <s v="Bothwell Regional Health Center"/>
    <s v="Short Term Acute Care Hospital"/>
    <s v="Sedalia"/>
    <n v="40.4"/>
    <n v="4"/>
    <n v="132"/>
    <n v="108"/>
    <n v="9"/>
    <n v="1"/>
    <n v="108"/>
    <n v="1.44"/>
    <n v="2405"/>
    <n v="3923"/>
  </r>
  <r>
    <x v="1844"/>
    <n v="260017"/>
    <s v="MO"/>
    <s v="MO - Phelps"/>
    <n v="65401"/>
    <s v="Phelps Health (FKA Phelps County Regional Medical Center)"/>
    <s v="Short Term Acute Care Hospital"/>
    <s v="Rolla"/>
    <n v="48.7"/>
    <n v="3.9"/>
    <n v="173"/>
    <n v="172"/>
    <n v="18"/>
    <n v="1"/>
    <n v="172"/>
    <n v="1.4"/>
    <n v="2406"/>
    <n v="4963"/>
  </r>
  <r>
    <x v="1845"/>
    <n v="260062"/>
    <s v="MO"/>
    <s v="MO - Platte"/>
    <n v="64154"/>
    <s v="Saint Lukes North Hospital - Barry Road"/>
    <s v="Short Term Acute Care Hospital"/>
    <s v="Kansas City"/>
    <n v="74.2"/>
    <n v="4"/>
    <n v="109"/>
    <n v="118"/>
    <m/>
    <n v="0.1"/>
    <n v="118"/>
    <n v="1.41"/>
    <n v="2408"/>
    <n v="7198"/>
  </r>
  <r>
    <x v="1846"/>
    <n v="260195"/>
    <s v="MO"/>
    <s v="MO - Polk"/>
    <n v="65613"/>
    <s v="Citizens Memorial Hospital"/>
    <s v="Short Term Acute Care Hospital"/>
    <s v="Bolivar"/>
    <n v="23.2"/>
    <n v="3"/>
    <n v="166"/>
    <n v="52"/>
    <n v="8"/>
    <n v="0.43"/>
    <n v="52"/>
    <n v="1.64"/>
    <n v="2409"/>
    <n v="3141"/>
  </r>
  <r>
    <x v="1847"/>
    <n v="260074"/>
    <s v="MO"/>
    <s v="MO - Randolph"/>
    <n v="65270"/>
    <s v="Moberly Regional Medical Center"/>
    <s v="Short Term Acute Care Hospital"/>
    <s v="Moberly"/>
    <n v="8.6"/>
    <n v="3.6"/>
    <n v="52"/>
    <n v="33"/>
    <n v="8"/>
    <n v="1"/>
    <n v="33"/>
    <n v="1.38"/>
    <n v="2411"/>
    <n v="919"/>
  </r>
  <r>
    <x v="1848"/>
    <s v="260080 (Closed)"/>
    <s v="MO"/>
    <s v="MO - Ripley"/>
    <n v="63935"/>
    <s v="Southeast Health Center of Ripley County (Closed)"/>
    <s v="Short Term Acute Care Hospital"/>
    <s v="Doniphan"/>
    <n v="1.8"/>
    <n v="3.1"/>
    <m/>
    <m/>
    <m/>
    <n v="0.79"/>
    <m/>
    <n v="1.1399999999999999"/>
    <n v="2414"/>
    <n v="214"/>
  </r>
  <r>
    <x v="1849"/>
    <n v="260005"/>
    <s v="MO"/>
    <s v="MO - Saint Charles"/>
    <n v="63301"/>
    <s v="SSM Health St Joseph Hospital - St Charles"/>
    <s v="Short Term Acute Care Hospital"/>
    <s v="St Charles"/>
    <n v="161.6"/>
    <n v="4.4000000000000004"/>
    <n v="279"/>
    <n v="233"/>
    <n v="14"/>
    <n v="0.08"/>
    <n v="333"/>
    <n v="1.65"/>
    <n v="2415"/>
    <n v="13836"/>
  </r>
  <r>
    <x v="1849"/>
    <n v="260200"/>
    <s v="MO"/>
    <s v="MO - Saint Charles"/>
    <n v="63367"/>
    <s v="SSM Health St Joseph Hospital - Lake Saint Louis"/>
    <s v="Short Term Acute Care Hospital"/>
    <s v="Lake St Louis"/>
    <n v="95.1"/>
    <n v="3.4"/>
    <n v="231"/>
    <n v="199"/>
    <n v="9"/>
    <n v="0.08"/>
    <n v="199"/>
    <n v="1.59"/>
    <n v="2416"/>
    <n v="10902"/>
  </r>
  <r>
    <x v="1849"/>
    <n v="260191"/>
    <s v="MO"/>
    <s v="MO - Saint Charles"/>
    <n v="63376"/>
    <s v="Barnes-Jewish St Peters Hospital"/>
    <s v="Short Term Acute Care Hospital"/>
    <s v="Saint Peters"/>
    <n v="56.8"/>
    <n v="3.9"/>
    <n v="140"/>
    <n v="113"/>
    <n v="16"/>
    <n v="0.08"/>
    <n v="113"/>
    <n v="1.49"/>
    <n v="2417"/>
    <n v="5350"/>
  </r>
  <r>
    <x v="1849"/>
    <n v="260219"/>
    <s v="MO"/>
    <s v="MO - Saint Charles"/>
    <n v="63368"/>
    <s v="Progress West Hospital (FKA Progress West Healthcare Center)"/>
    <s v="Short Term Acute Care Hospital"/>
    <s v="O Fallon"/>
    <n v="28.2"/>
    <n v="3.9"/>
    <n v="73"/>
    <n v="68"/>
    <m/>
    <n v="0.08"/>
    <n v="68"/>
    <n v="1.5"/>
    <n v="2418"/>
    <n v="3300"/>
  </r>
  <r>
    <x v="1849"/>
    <s v="260005*"/>
    <s v="MO"/>
    <s v="MO - Saint Charles"/>
    <n v="63385"/>
    <s v="SSM Health St Joseph Hospital - Wentzville"/>
    <s v="Short Term Acute Care Hospital"/>
    <s v="Wentzville"/>
    <m/>
    <m/>
    <n v="2"/>
    <m/>
    <m/>
    <m/>
    <n v="77"/>
    <m/>
    <n v="550069"/>
    <m/>
  </r>
  <r>
    <x v="621"/>
    <s v="260147 (closed)"/>
    <s v="MO"/>
    <s v="MO - Saint Clair"/>
    <n v="64776"/>
    <s v="Sac - Osage Hospital (Closed)"/>
    <s v="Short Term Acute Care Hospital"/>
    <s v="Osceola"/>
    <n v="2.7"/>
    <n v="4.0999999999999996"/>
    <m/>
    <m/>
    <m/>
    <m/>
    <m/>
    <m/>
    <n v="2419"/>
    <n v="240"/>
  </r>
  <r>
    <x v="623"/>
    <n v="260163"/>
    <s v="MO"/>
    <s v="MO - Saint Francois"/>
    <n v="63640"/>
    <s v="Parkland Health Center - Farmington"/>
    <s v="Short Term Acute Care Hospital"/>
    <s v="Farmington"/>
    <n v="24.2"/>
    <n v="3.2"/>
    <n v="108"/>
    <n v="92"/>
    <n v="10"/>
    <n v="0.84"/>
    <n v="92"/>
    <n v="1.36"/>
    <n v="2421"/>
    <n v="3209"/>
  </r>
  <r>
    <x v="623"/>
    <s v="260116 (Closed)"/>
    <s v="MO"/>
    <s v="MO - Saint Francois"/>
    <n v="63640"/>
    <s v="Parkland Health Center - Weber Road (Closed - Services Transferred to Parkland Health Center)"/>
    <s v="Short Term Acute Care Hospital"/>
    <s v="Farmington"/>
    <n v="10.3"/>
    <n v="4.4000000000000004"/>
    <m/>
    <m/>
    <m/>
    <n v="0.84"/>
    <m/>
    <m/>
    <n v="2422"/>
    <n v="861"/>
  </r>
  <r>
    <x v="1850"/>
    <n v="260081"/>
    <s v="MO"/>
    <s v="MO - Saint Louis"/>
    <n v="63026"/>
    <s v="SSM Health St Clare Hospital - Fenton"/>
    <s v="Short Term Acute Care Hospital"/>
    <s v="Fenton"/>
    <n v="110.9"/>
    <n v="3.6"/>
    <n v="280"/>
    <n v="180"/>
    <n v="39"/>
    <n v="0.08"/>
    <n v="180"/>
    <n v="1.84"/>
    <n v="2390"/>
    <n v="12032"/>
  </r>
  <r>
    <x v="1850"/>
    <n v="260108"/>
    <s v="MO"/>
    <s v="MO - Saint Louis"/>
    <n v="63131"/>
    <s v="Missouri Baptist Medical Center"/>
    <s v="Short Term Acute Care Hospital"/>
    <s v="Saint Louis"/>
    <n v="239.9"/>
    <n v="4.5999999999999996"/>
    <n v="487"/>
    <n v="406"/>
    <n v="40"/>
    <n v="0.08"/>
    <n v="406"/>
    <n v="1.79"/>
    <n v="2423"/>
    <n v="21022"/>
  </r>
  <r>
    <x v="1850"/>
    <n v="260104"/>
    <s v="MO"/>
    <s v="MO - Saint Louis"/>
    <n v="63044"/>
    <s v="SSM Health DePaul Hospital - St Louis"/>
    <s v="Short Term Acute Care Hospital"/>
    <s v="Bridgeton"/>
    <n v="280.5"/>
    <n v="4.2"/>
    <n v="409"/>
    <n v="438"/>
    <n v="16"/>
    <n v="0.08"/>
    <n v="438"/>
    <n v="1.79"/>
    <n v="2424"/>
    <n v="25205"/>
  </r>
  <r>
    <x v="1850"/>
    <n v="260091"/>
    <s v="MO"/>
    <s v="MO - Saint Louis"/>
    <n v="63117"/>
    <s v="SSM Health St Marys Hospital - St Louis"/>
    <s v="Short Term Acute Care Hospital"/>
    <s v="Saint Louis"/>
    <n v="339"/>
    <n v="4.5999999999999996"/>
    <n v="461"/>
    <n v="634"/>
    <n v="52"/>
    <n v="0.08"/>
    <n v="634"/>
    <n v="1.68"/>
    <n v="2425"/>
    <n v="28259"/>
  </r>
  <r>
    <x v="1850"/>
    <n v="260179"/>
    <s v="MO"/>
    <s v="MO - Saint Louis"/>
    <n v="63017"/>
    <s v="St Lukes Hospital"/>
    <s v="Short Term Acute Care Hospital"/>
    <s v="Chesterfield"/>
    <n v="181.9"/>
    <n v="4.5999999999999996"/>
    <n v="611"/>
    <n v="394"/>
    <n v="18"/>
    <n v="0.08"/>
    <n v="394"/>
    <n v="1.81"/>
    <n v="2426"/>
    <n v="14702"/>
  </r>
  <r>
    <x v="1850"/>
    <n v="260180"/>
    <s v="MO"/>
    <s v="MO - Saint Louis"/>
    <n v="63136"/>
    <s v="Christian Hospital"/>
    <s v="Short Term Acute Care Hospital"/>
    <s v="Saint Louis"/>
    <n v="168.1"/>
    <n v="4.8"/>
    <n v="269"/>
    <n v="205"/>
    <n v="18"/>
    <n v="0.08"/>
    <n v="205"/>
    <n v="1.81"/>
    <n v="2427"/>
    <n v="12659"/>
  </r>
  <r>
    <x v="1850"/>
    <s v="260159 (Closed)"/>
    <s v="MO"/>
    <s v="MO - Saint Louis"/>
    <n v="63031"/>
    <s v="Christian Hospital Northwest (Closed Inpatient Services in 2010)"/>
    <s v="Short Term Acute Care Hospital"/>
    <s v="Florissant"/>
    <m/>
    <m/>
    <m/>
    <m/>
    <m/>
    <n v="0.08"/>
    <m/>
    <m/>
    <n v="2428"/>
    <m/>
  </r>
  <r>
    <x v="1850"/>
    <n v="260162"/>
    <s v="MO"/>
    <s v="MO - Saint Louis"/>
    <n v="63141"/>
    <s v="Barnes-Jewish West County Hospital"/>
    <s v="Short Term Acute Care Hospital"/>
    <s v="Creve Coeur"/>
    <n v="17"/>
    <n v="2.2000000000000002"/>
    <n v="133"/>
    <n v="77"/>
    <n v="8"/>
    <n v="0.08"/>
    <n v="77"/>
    <n v="1.75"/>
    <n v="2429"/>
    <n v="2845"/>
  </r>
  <r>
    <x v="1850"/>
    <n v="260176"/>
    <s v="MO"/>
    <s v="MO - Saint Louis"/>
    <n v="63122"/>
    <s v="St Lukes Des Peres Hospital"/>
    <s v="Short Term Acute Care Hospital"/>
    <s v="Saint Louis"/>
    <n v="26"/>
    <n v="2.9"/>
    <n v="96"/>
    <n v="88"/>
    <n v="10"/>
    <n v="0.08"/>
    <n v="88"/>
    <n v="2.17"/>
    <n v="2430"/>
    <n v="3255"/>
  </r>
  <r>
    <x v="1850"/>
    <n v="260020"/>
    <s v="MO"/>
    <s v="MO - Saint Louis"/>
    <n v="63141"/>
    <s v="Mercy Hospital St Louis"/>
    <s v="Short Term Acute Care Hospital"/>
    <s v="Saint Louis"/>
    <n v="576"/>
    <n v="5.6"/>
    <n v="1239"/>
    <n v="843"/>
    <n v="66"/>
    <n v="0.08"/>
    <n v="843"/>
    <n v="1.92"/>
    <n v="2431"/>
    <n v="41026"/>
  </r>
  <r>
    <x v="1850"/>
    <n v="260077"/>
    <s v="MO"/>
    <s v="MO - Saint Louis"/>
    <n v="63128"/>
    <s v="Mercy Hospital South (FKA St Anthonys Medical Center)"/>
    <s v="Short Term Acute Care Hospital"/>
    <s v="Saint Louis"/>
    <n v="332.8"/>
    <n v="4.7"/>
    <n v="698"/>
    <n v="720"/>
    <n v="193"/>
    <n v="0.08"/>
    <n v="720"/>
    <n v="1.73"/>
    <n v="2432"/>
    <n v="26057"/>
  </r>
  <r>
    <x v="1850"/>
    <s v="260020*"/>
    <s v="MO"/>
    <s v="MO - Saint Louis"/>
    <n v="63141"/>
    <s v="Mercy Heart and Vascular Hospital St Louis"/>
    <s v="Short Term Acute Care Hospital"/>
    <s v="Saint Louis"/>
    <m/>
    <m/>
    <m/>
    <m/>
    <m/>
    <m/>
    <m/>
    <m/>
    <n v="576765"/>
    <m/>
  </r>
  <r>
    <x v="624"/>
    <n v="260142"/>
    <s v="MO"/>
    <s v="MO - Saline"/>
    <n v="65340"/>
    <s v="Fitzgibbon Hospital"/>
    <s v="Short Term Acute Care Hospital"/>
    <s v="Marshall"/>
    <n v="11.4"/>
    <n v="3.3"/>
    <n v="70"/>
    <n v="42"/>
    <n v="7"/>
    <n v="0.79"/>
    <n v="42"/>
    <n v="1.1499999999999999"/>
    <n v="2433"/>
    <n v="1384"/>
  </r>
  <r>
    <x v="1851"/>
    <n v="260113"/>
    <s v="MO"/>
    <s v="MO - Scott"/>
    <n v="63801"/>
    <s v="Missouri Delta Medical Center"/>
    <s v="Short Term Acute Care Hospital"/>
    <s v="Sikeston"/>
    <n v="30.6"/>
    <n v="3.8"/>
    <n v="107"/>
    <n v="87"/>
    <n v="12"/>
    <n v="1"/>
    <n v="87"/>
    <n v="1.42"/>
    <n v="2400"/>
    <n v="3198"/>
  </r>
  <r>
    <x v="1852"/>
    <n v="260160"/>
    <s v="MO"/>
    <s v="MO - Stoddard"/>
    <n v="63841"/>
    <s v="Southeast Health Center of Stoddard County (FKA Dexter Hospital)"/>
    <s v="Short Term Acute Care Hospital"/>
    <s v="Dexter"/>
    <n v="13.6"/>
    <n v="3.3"/>
    <n v="45"/>
    <n v="48"/>
    <n v="4"/>
    <m/>
    <n v="48"/>
    <n v="1.08"/>
    <n v="2435"/>
    <n v="1508"/>
  </r>
  <r>
    <x v="1853"/>
    <n v="260094"/>
    <s v="MO"/>
    <s v="MO - Taney"/>
    <n v="65616"/>
    <s v="Cox Medical Center Branson (FKA Skaggs Regional Medical Center)"/>
    <s v="Short Term Acute Care Hospital"/>
    <s v="Branson"/>
    <n v="73.900000000000006"/>
    <n v="4.2"/>
    <n v="180"/>
    <n v="111"/>
    <n v="18"/>
    <n v="1"/>
    <n v="111"/>
    <n v="1.57"/>
    <n v="2437"/>
    <n v="6671"/>
  </r>
  <r>
    <x v="1854"/>
    <n v="260024"/>
    <s v="MO"/>
    <s v="MO - Texas"/>
    <n v="65483"/>
    <s v="Texas County Memorial Hospital"/>
    <s v="Short Term Acute Care Hospital"/>
    <s v="Houston"/>
    <n v="12.6"/>
    <n v="4.0999999999999996"/>
    <n v="54"/>
    <n v="47"/>
    <n v="4"/>
    <m/>
    <n v="47"/>
    <n v="1.1599999999999999"/>
    <n v="2438"/>
    <n v="1191"/>
  </r>
  <r>
    <x v="1855"/>
    <n v="260061"/>
    <s v="MO"/>
    <s v="MO - Vernon"/>
    <n v="64772"/>
    <s v="Nevada Regional Medical Center"/>
    <s v="Short Term Acute Care Hospital"/>
    <s v="Nevada"/>
    <n v="7.1"/>
    <n v="3.2"/>
    <n v="59"/>
    <n v="41"/>
    <n v="6"/>
    <m/>
    <n v="41"/>
    <n v="1.1399999999999999"/>
    <n v="2439"/>
    <n v="976"/>
  </r>
  <r>
    <x v="1856"/>
    <n v="260210"/>
    <s v="MO"/>
    <s v="MO - Saint Louis City"/>
    <n v="63118"/>
    <s v="St Alexius Hospital - Broadway Campus"/>
    <s v="Short Term Acute Care Hospital"/>
    <s v="Saint Louis"/>
    <n v="53.7"/>
    <n v="7.7"/>
    <n v="53"/>
    <n v="147"/>
    <n v="12"/>
    <n v="0.08"/>
    <n v="147"/>
    <n v="1.23"/>
    <n v="2441"/>
    <n v="2534"/>
  </r>
  <r>
    <x v="1856"/>
    <n v="260032"/>
    <s v="MO"/>
    <s v="MO - Saint Louis City"/>
    <n v="63110"/>
    <s v="Barnes-Jewish Hospital"/>
    <s v="Short Term Acute Care Hospital"/>
    <s v="Saint Louis"/>
    <n v="811.6"/>
    <n v="6.1"/>
    <n v="1869"/>
    <n v="1272"/>
    <n v="65"/>
    <n v="0.08"/>
    <n v="1272"/>
    <n v="2.31"/>
    <n v="2442"/>
    <n v="49494"/>
  </r>
  <r>
    <x v="1856"/>
    <s v="260021 (Closed)"/>
    <s v="MO"/>
    <s v="MO - Saint Louis City"/>
    <n v="63139"/>
    <s v="Forest Park Hospital (Closed May 2011)"/>
    <s v="Short Term Acute Care Hospital"/>
    <s v="Saint Louis"/>
    <n v="20.3"/>
    <n v="6"/>
    <m/>
    <m/>
    <m/>
    <n v="0.08"/>
    <m/>
    <m/>
    <n v="2443"/>
    <n v="1228"/>
  </r>
  <r>
    <x v="1856"/>
    <n v="260105"/>
    <s v="MO"/>
    <s v="MO - Saint Louis City"/>
    <n v="63110"/>
    <s v="SSM Health Saint Louis University Hospital"/>
    <s v="Short Term Acute Care Hospital"/>
    <s v="Saint Louis"/>
    <n v="244.7"/>
    <n v="4.0999999999999996"/>
    <n v="537"/>
    <n v="288"/>
    <n v="79"/>
    <n v="0.08"/>
    <n v="288"/>
    <n v="2.17"/>
    <n v="2444"/>
    <n v="21743"/>
  </r>
  <r>
    <x v="1857"/>
    <n v="270012"/>
    <s v="MT"/>
    <s v="MT - Cascade"/>
    <n v="59405"/>
    <s v="Benefis Hospital - East Campus"/>
    <s v="Short Term Acute Care Hospital"/>
    <s v="Great Falls"/>
    <n v="111.9"/>
    <n v="4.4000000000000004"/>
    <n v="280"/>
    <n v="312"/>
    <n v="20"/>
    <n v="0.77"/>
    <n v="312"/>
    <n v="1.84"/>
    <n v="2450"/>
    <n v="9884"/>
  </r>
  <r>
    <x v="1857"/>
    <n v="270086"/>
    <s v="MT"/>
    <s v="MT - Cascade"/>
    <n v="59405"/>
    <s v="Great Falls Clinic Hospital"/>
    <s v="Short Term Acute Care Hospital"/>
    <s v="Great Falls"/>
    <n v="10.5"/>
    <n v="3"/>
    <n v="161"/>
    <n v="20"/>
    <m/>
    <n v="0.77"/>
    <n v="20"/>
    <n v="1.6"/>
    <n v="2451"/>
    <n v="1274"/>
  </r>
  <r>
    <x v="1857"/>
    <s v="270012*"/>
    <s v="MT"/>
    <s v="MT - Cascade"/>
    <n v="59405"/>
    <s v="Benefis Hospital - West Campus"/>
    <s v="Short Term Acute Care Hospital"/>
    <s v="Great Falls"/>
    <m/>
    <m/>
    <m/>
    <m/>
    <m/>
    <m/>
    <m/>
    <m/>
    <n v="550196"/>
    <m/>
  </r>
  <r>
    <x v="641"/>
    <n v="270051"/>
    <s v="MT"/>
    <s v="MT - Flathead"/>
    <n v="59901"/>
    <s v="Kalispell Regional Medical Center"/>
    <s v="Short Term Acute Care Hospital"/>
    <s v="Kalispell"/>
    <n v="109.7"/>
    <n v="4.5999999999999996"/>
    <n v="406"/>
    <n v="178"/>
    <n v="18"/>
    <n v="0.37"/>
    <n v="178"/>
    <n v="1.97"/>
    <n v="2459"/>
    <n v="8928"/>
  </r>
  <r>
    <x v="641"/>
    <n v="270087"/>
    <s v="MT"/>
    <s v="MT - Flathead"/>
    <n v="59901"/>
    <s v="The HealthCenter"/>
    <s v="Short Term Acute Care Hospital"/>
    <s v="Kalispell"/>
    <n v="3.4"/>
    <n v="2.7"/>
    <n v="78"/>
    <n v="17"/>
    <m/>
    <n v="0.37"/>
    <n v="17"/>
    <n v="1.43"/>
    <n v="2460"/>
    <n v="463"/>
  </r>
  <r>
    <x v="642"/>
    <n v="270057"/>
    <s v="MT"/>
    <s v="MT - Gallatin"/>
    <n v="59715"/>
    <s v="Bozeman Health Deaconess Hospital"/>
    <s v="Short Term Acute Care Hospital"/>
    <s v="Bozeman"/>
    <n v="51.4"/>
    <n v="3.1"/>
    <n v="392"/>
    <n v="83"/>
    <n v="8"/>
    <n v="0.95"/>
    <n v="83"/>
    <n v="1.78"/>
    <n v="2461"/>
    <n v="7039"/>
  </r>
  <r>
    <x v="644"/>
    <n v="270074"/>
    <s v="MT"/>
    <s v="MT - Glacier"/>
    <n v="59417"/>
    <s v="Blackfeet Service Unit (AKA Blackfeet Community Hospital)"/>
    <s v="Short Term Acute Care Hospital"/>
    <s v="Browning"/>
    <n v="4.7"/>
    <n v="4"/>
    <n v="25"/>
    <n v="26"/>
    <m/>
    <m/>
    <n v="26"/>
    <n v="0.96"/>
    <n v="2463"/>
    <n v="491"/>
  </r>
  <r>
    <x v="1858"/>
    <n v="270032"/>
    <s v="MT"/>
    <s v="MT - Hill"/>
    <n v="59501"/>
    <s v="Northern Montana Hospital"/>
    <s v="Short Term Acute Care Hospital"/>
    <s v="Havre"/>
    <n v="8.1"/>
    <n v="3.2"/>
    <n v="52"/>
    <n v="49"/>
    <n v="6"/>
    <m/>
    <n v="49"/>
    <n v="1.31"/>
    <n v="2465"/>
    <n v="1129"/>
  </r>
  <r>
    <x v="1859"/>
    <n v="270003"/>
    <s v="MT"/>
    <s v="MT - Lewis And Clark"/>
    <n v="59601"/>
    <s v="St Peters Health Regional Medical Center (FKA St Peters Hospital)"/>
    <s v="Short Term Acute Care Hospital"/>
    <s v="Helena"/>
    <n v="55.9"/>
    <n v="3"/>
    <n v="319"/>
    <n v="101"/>
    <n v="8"/>
    <n v="1"/>
    <n v="101"/>
    <n v="1.44"/>
    <n v="2469"/>
    <n v="7371"/>
  </r>
  <r>
    <x v="1860"/>
    <n v="270014"/>
    <s v="MT"/>
    <s v="MT - Missoula"/>
    <n v="59802"/>
    <s v="Providence St Patrick Hospital"/>
    <s v="Short Term Acute Care Hospital"/>
    <s v="Missoula"/>
    <n v="108.7"/>
    <n v="4.2"/>
    <n v="427"/>
    <n v="158"/>
    <n v="24"/>
    <n v="0.56999999999999995"/>
    <n v="158"/>
    <n v="2.12"/>
    <n v="2475"/>
    <n v="9651"/>
  </r>
  <r>
    <x v="1860"/>
    <n v="270023"/>
    <s v="MT"/>
    <s v="MT - Missoula"/>
    <n v="59804"/>
    <s v="Community Medical Center"/>
    <s v="Short Term Acute Care Hospital"/>
    <s v="Missoula"/>
    <n v="52.5"/>
    <n v="4.7"/>
    <n v="201"/>
    <n v="141"/>
    <n v="8"/>
    <n v="0.56999999999999995"/>
    <n v="141"/>
    <n v="1.68"/>
    <n v="2476"/>
    <n v="4490"/>
  </r>
  <r>
    <x v="1861"/>
    <n v="270017"/>
    <s v="MT"/>
    <s v="MT - Silver Bow"/>
    <n v="59701"/>
    <s v="St James Healthcare"/>
    <s v="Short Term Acute Care Hospital"/>
    <s v="Butte"/>
    <n v="39.200000000000003"/>
    <n v="4.0999999999999996"/>
    <n v="140"/>
    <n v="71"/>
    <n v="11"/>
    <n v="1"/>
    <n v="71"/>
    <n v="1.72"/>
    <n v="2488"/>
    <n v="3623"/>
  </r>
  <r>
    <x v="1862"/>
    <n v="270049"/>
    <s v="MT"/>
    <s v="MT - Yellowstone"/>
    <n v="59101"/>
    <s v="St Vincent Healthcare"/>
    <s v="Short Term Acute Care Hospital"/>
    <s v="Billings"/>
    <n v="132.30000000000001"/>
    <n v="3.2"/>
    <n v="477"/>
    <n v="236"/>
    <n v="17"/>
    <n v="0.5"/>
    <n v="236"/>
    <n v="2.1"/>
    <n v="2495"/>
    <n v="15762"/>
  </r>
  <r>
    <x v="1862"/>
    <n v="270004"/>
    <s v="MT"/>
    <s v="MT - Yellowstone"/>
    <n v="59101"/>
    <s v="Billings Clinic Hospital"/>
    <s v="Short Term Acute Care Hospital"/>
    <s v="Billings"/>
    <n v="208.8"/>
    <n v="4.9000000000000004"/>
    <n v="616"/>
    <n v="301"/>
    <n v="24"/>
    <n v="0.5"/>
    <n v="301"/>
    <n v="2.02"/>
    <n v="2496"/>
    <n v="15822"/>
  </r>
  <r>
    <x v="1863"/>
    <n v="280032"/>
    <s v="NE"/>
    <s v="NE - Adams"/>
    <n v="68901"/>
    <s v="Mary Lanning Memorial Hospital"/>
    <s v="Short Term Acute Care Hospital"/>
    <s v="Hastings"/>
    <n v="37.4"/>
    <n v="3.9"/>
    <n v="172"/>
    <n v="97"/>
    <n v="10"/>
    <n v="1"/>
    <n v="97"/>
    <n v="1.47"/>
    <n v="2497"/>
    <n v="4211"/>
  </r>
  <r>
    <x v="1864"/>
    <n v="280009"/>
    <s v="NE"/>
    <s v="NE - Buffalo"/>
    <n v="68847"/>
    <s v="CHI Health Good Samaritan (FKA Good Samaritan Hospital)"/>
    <s v="Short Term Acute Care Hospital"/>
    <s v="Kearney"/>
    <n v="84.2"/>
    <n v="4.5"/>
    <n v="173"/>
    <n v="227"/>
    <n v="16"/>
    <n v="0.49"/>
    <n v="268"/>
    <n v="1.99"/>
    <n v="2504"/>
    <n v="6989"/>
  </r>
  <r>
    <x v="1864"/>
    <n v="280134"/>
    <s v="NE"/>
    <s v="NE - Buffalo"/>
    <n v="68845"/>
    <s v="Kearney Regional Medical Center"/>
    <s v="Short Term Acute Care Hospital"/>
    <s v="Kearney"/>
    <n v="40.9"/>
    <n v="4.8"/>
    <n v="79"/>
    <n v="94"/>
    <n v="18"/>
    <n v="0.49"/>
    <n v="94"/>
    <n v="1.95"/>
    <n v="800693"/>
    <n v="2710"/>
  </r>
  <r>
    <x v="1865"/>
    <n v="280077"/>
    <s v="NE"/>
    <s v="NE - Dodge"/>
    <n v="68025"/>
    <s v="Methodist Fremont Health (FKA Fremont Health Medical Center)"/>
    <s v="Short Term Acute Care Hospital"/>
    <s v="Fremont"/>
    <n v="20.3"/>
    <n v="3.6"/>
    <n v="111"/>
    <n v="50"/>
    <m/>
    <n v="1"/>
    <n v="50"/>
    <n v="1.39"/>
    <n v="2518"/>
    <n v="2234"/>
  </r>
  <r>
    <x v="1866"/>
    <n v="280081"/>
    <s v="NE"/>
    <s v="NE - Douglas"/>
    <n v="68122"/>
    <s v="CHI Health Immanuel (FKA Alegent Health Immanuel Medical Center)"/>
    <s v="Short Term Acute Care Hospital"/>
    <s v="Omaha"/>
    <n v="109.4"/>
    <n v="4.3"/>
    <n v="146"/>
    <n v="177"/>
    <n v="24"/>
    <n v="0.15"/>
    <n v="177"/>
    <n v="1.56"/>
    <n v="2519"/>
    <n v="9702"/>
  </r>
  <r>
    <x v="1866"/>
    <s v="280030 (Closed)"/>
    <s v="NE"/>
    <s v="NE - Douglas"/>
    <n v="68131"/>
    <s v="University Campus of CHI Health Creighton University Medical Center - Bergan Mercy (Closed)"/>
    <s v="Short Term Acute Care Hospital"/>
    <s v="Omaha"/>
    <n v="93.3"/>
    <n v="5.5"/>
    <m/>
    <m/>
    <m/>
    <n v="0.15"/>
    <m/>
    <m/>
    <n v="2520"/>
    <n v="6420"/>
  </r>
  <r>
    <x v="1866"/>
    <n v="280040"/>
    <s v="NE"/>
    <s v="NE - Douglas"/>
    <n v="68114"/>
    <s v="Methodist Hospital of Nebraska Methodist Health System"/>
    <s v="Short Term Acute Care Hospital"/>
    <s v="Omaha"/>
    <n v="230.7"/>
    <n v="5.0999999999999996"/>
    <n v="578"/>
    <n v="356"/>
    <n v="22"/>
    <n v="0.15"/>
    <n v="356"/>
    <n v="1.79"/>
    <n v="2521"/>
    <n v="18408"/>
  </r>
  <r>
    <x v="1866"/>
    <n v="280060"/>
    <s v="NE"/>
    <s v="NE - Douglas"/>
    <n v="68124"/>
    <s v="CHI Health Creighton University Medical Center - Bergan Mercy (FKA Alegent Health Bergan Mercy Medical Center)"/>
    <s v="Short Term Acute Care Hospital"/>
    <s v="Omaha"/>
    <n v="286.7"/>
    <n v="4.8"/>
    <n v="786"/>
    <n v="385"/>
    <n v="52"/>
    <n v="0.15"/>
    <n v="385"/>
    <n v="1.9"/>
    <n v="2522"/>
    <n v="23238"/>
  </r>
  <r>
    <x v="1866"/>
    <n v="280129"/>
    <s v="NE"/>
    <s v="NE - Douglas"/>
    <n v="68144"/>
    <s v="OrthoNebraska Hospital (FKA Nebraska Orthopaedic Hospital)"/>
    <s v="Short Term Acute Care Hospital"/>
    <s v="Omaha"/>
    <n v="8.4"/>
    <n v="1.6"/>
    <n v="82"/>
    <n v="24"/>
    <m/>
    <n v="0.15"/>
    <n v="24"/>
    <n v="2.2400000000000002"/>
    <n v="2524"/>
    <n v="1875"/>
  </r>
  <r>
    <x v="1866"/>
    <n v="280130"/>
    <s v="NE"/>
    <s v="NE - Douglas"/>
    <n v="68130"/>
    <s v="CHI Health Lakeside (FKA Alegent Health Lakeside Hospital)"/>
    <s v="Short Term Acute Care Hospital"/>
    <s v="Omaha"/>
    <n v="57.2"/>
    <n v="3.5"/>
    <n v="171"/>
    <n v="108"/>
    <n v="16"/>
    <n v="0.15"/>
    <n v="108"/>
    <n v="1.75"/>
    <n v="2525"/>
    <n v="6545"/>
  </r>
  <r>
    <x v="1866"/>
    <n v="280131"/>
    <s v="NE"/>
    <s v="NE - Douglas"/>
    <n v="68114"/>
    <s v="Midwest Surgical Hospital"/>
    <s v="Short Term Acute Care Hospital"/>
    <s v="Omaha"/>
    <n v="5.9"/>
    <n v="1.4"/>
    <n v="54"/>
    <n v="19"/>
    <m/>
    <n v="0.15"/>
    <n v="19"/>
    <n v="2.74"/>
    <n v="2526"/>
    <n v="1496"/>
  </r>
  <r>
    <x v="1866"/>
    <n v="280013"/>
    <s v="NE"/>
    <s v="NE - Douglas"/>
    <n v="68105"/>
    <s v="Nebraska Medical Center"/>
    <s v="Short Term Acute Care Hospital"/>
    <s v="Omaha"/>
    <n v="452.7"/>
    <n v="5.8"/>
    <n v="1581"/>
    <n v="568"/>
    <n v="60"/>
    <n v="0.15"/>
    <n v="568"/>
    <n v="2.1800000000000002"/>
    <n v="2527"/>
    <n v="29102"/>
  </r>
  <r>
    <x v="1866"/>
    <m/>
    <s v="NE"/>
    <s v="NE - Douglas"/>
    <n v="68022"/>
    <s v="Methodist Womens Hospital"/>
    <s v="Short Term Acute Care Hospital"/>
    <s v="Omaha"/>
    <m/>
    <m/>
    <n v="35"/>
    <m/>
    <m/>
    <m/>
    <n v="153"/>
    <m/>
    <n v="542189"/>
    <m/>
  </r>
  <r>
    <x v="1866"/>
    <n v="280133"/>
    <s v="NE"/>
    <s v="NE - Douglas"/>
    <n v="68122"/>
    <s v="Nebraska Spine Hospital"/>
    <s v="Short Term Acute Care Hospital"/>
    <s v="Omaha"/>
    <n v="6.4"/>
    <n v="2.6"/>
    <n v="29"/>
    <n v="34"/>
    <m/>
    <n v="0.15"/>
    <n v="34"/>
    <n v="5.26"/>
    <n v="552489"/>
    <n v="884"/>
  </r>
  <r>
    <x v="690"/>
    <s v="280123 (Closed)"/>
    <s v="NE"/>
    <s v="NE - Gage"/>
    <n v="68310"/>
    <s v="Beatrice State Development Center (Closed - Now Residential Treatment Facility)"/>
    <s v="Short Term Acute Care Hospital"/>
    <s v="Beatrice"/>
    <n v="7.1"/>
    <n v="66.400000000000006"/>
    <m/>
    <m/>
    <m/>
    <n v="0.6"/>
    <m/>
    <m/>
    <n v="5252"/>
    <n v="39"/>
  </r>
  <r>
    <x v="1867"/>
    <n v="280023"/>
    <s v="NE"/>
    <s v="NE - Hall"/>
    <n v="68803"/>
    <s v="CHI Health St Francis (FKA St Francis Medical Center)"/>
    <s v="Short Term Acute Care Hospital"/>
    <s v="Grand Island"/>
    <n v="56.9"/>
    <n v="3.6"/>
    <n v="150"/>
    <n v="140"/>
    <n v="16"/>
    <n v="0.75"/>
    <n v="140"/>
    <n v="1.68"/>
    <n v="2535"/>
    <n v="6107"/>
  </r>
  <r>
    <x v="1867"/>
    <m/>
    <s v="NE"/>
    <s v="NE - Hall"/>
    <n v="68803"/>
    <s v="Grand Island Regional Hospital (Opening 2020)"/>
    <s v="Short Term Acute Care Hospital"/>
    <s v="Grand Island"/>
    <m/>
    <m/>
    <m/>
    <m/>
    <m/>
    <m/>
    <m/>
    <m/>
    <n v="954648"/>
    <m/>
  </r>
  <r>
    <x v="1868"/>
    <n v="280128"/>
    <s v="NE"/>
    <s v="NE - Lancaster"/>
    <n v="68526"/>
    <s v="CHI Health Nebraska Heart (FKA Nebraska Heart Hospital)"/>
    <s v="Short Term Acute Care Hospital"/>
    <s v="Lincoln"/>
    <n v="17"/>
    <n v="2.2999999999999998"/>
    <n v="34"/>
    <n v="54"/>
    <m/>
    <n v="0.47"/>
    <n v="54"/>
    <n v="3.42"/>
    <n v="2548"/>
    <n v="2707"/>
  </r>
  <r>
    <x v="1868"/>
    <n v="280020"/>
    <s v="NE"/>
    <s v="NE - Lancaster"/>
    <n v="68510"/>
    <s v="CHI Health St Elizabeth (FKA St Elizabeth Regional Medical Center)"/>
    <s v="Short Term Acute Care Hospital"/>
    <s v="Lincoln"/>
    <n v="81.8"/>
    <n v="4.2"/>
    <n v="327"/>
    <n v="235"/>
    <n v="16"/>
    <n v="0.47"/>
    <n v="235"/>
    <n v="1.86"/>
    <n v="2549"/>
    <n v="7655"/>
  </r>
  <r>
    <x v="1868"/>
    <n v="280003"/>
    <s v="NE"/>
    <s v="NE - Lancaster"/>
    <n v="68506"/>
    <s v="Bryan East Campus"/>
    <s v="Short Term Acute Care Hospital"/>
    <s v="Lincoln"/>
    <n v="318.7"/>
    <n v="5.0999999999999996"/>
    <n v="710"/>
    <n v="505"/>
    <n v="36"/>
    <n v="0.47"/>
    <n v="374"/>
    <n v="1.91"/>
    <n v="2550"/>
    <n v="24028"/>
  </r>
  <r>
    <x v="1868"/>
    <s v="280003*"/>
    <s v="NE"/>
    <s v="NE - Lancaster"/>
    <n v="68502"/>
    <s v="Bryan West Campus"/>
    <s v="Short Term Acute Care Hospital"/>
    <s v="Lincoln"/>
    <m/>
    <m/>
    <m/>
    <m/>
    <m/>
    <m/>
    <n v="266"/>
    <m/>
    <n v="553435"/>
    <m/>
  </r>
  <r>
    <x v="1868"/>
    <n v="280127"/>
    <s v="NE"/>
    <s v="NE - Lancaster"/>
    <n v="68506"/>
    <s v="Lincoln Surgical Hospital"/>
    <s v="Short Term Acute Care Hospital"/>
    <s v="Lincoln"/>
    <n v="4.8"/>
    <n v="1.3"/>
    <n v="51"/>
    <n v="21"/>
    <m/>
    <n v="0.47"/>
    <n v="21"/>
    <n v="2.12"/>
    <n v="2547"/>
    <n v="1313"/>
  </r>
  <r>
    <x v="1869"/>
    <n v="280065"/>
    <s v="NE"/>
    <s v="NE - Lincoln"/>
    <n v="69101"/>
    <s v="Great Plains Health (FKA Great Plains Medical Center)"/>
    <s v="Short Term Acute Care Hospital"/>
    <s v="North Platte"/>
    <n v="48.7"/>
    <n v="3.7"/>
    <n v="177"/>
    <n v="97"/>
    <n v="19"/>
    <n v="1"/>
    <n v="97"/>
    <n v="1.62"/>
    <n v="2551"/>
    <n v="5195"/>
  </r>
  <r>
    <x v="702"/>
    <n v="280125"/>
    <s v="NE"/>
    <s v="NE - Madison"/>
    <n v="68701"/>
    <s v="Faith Regional Health Services"/>
    <s v="Short Term Acute Care Hospital"/>
    <s v="Norfolk"/>
    <n v="47"/>
    <n v="4.0999999999999996"/>
    <n v="226"/>
    <n v="122"/>
    <n v="24"/>
    <n v="0.79"/>
    <n v="131"/>
    <n v="1.88"/>
    <n v="2552"/>
    <n v="4985"/>
  </r>
  <r>
    <x v="1870"/>
    <n v="280111"/>
    <s v="NE"/>
    <s v="NE - Platte"/>
    <n v="68601"/>
    <s v="Columbus Community Hospital"/>
    <s v="Short Term Acute Care Hospital"/>
    <s v="Columbus"/>
    <n v="16.3"/>
    <n v="4"/>
    <n v="103"/>
    <n v="47"/>
    <n v="5"/>
    <n v="1"/>
    <n v="47"/>
    <n v="1.49"/>
    <n v="2563"/>
    <n v="1793"/>
  </r>
  <r>
    <x v="1871"/>
    <n v="280105"/>
    <s v="NE"/>
    <s v="NE - Sarpy"/>
    <n v="68046"/>
    <s v="CHI Health Midlands (FKA Alegent Health Midlands Hospital)"/>
    <s v="Short Term Acute Care Hospital"/>
    <s v="Papillion"/>
    <n v="4.5999999999999996"/>
    <n v="2.6"/>
    <n v="44"/>
    <n v="28"/>
    <m/>
    <n v="0.15"/>
    <n v="28"/>
    <n v="1.42"/>
    <n v="2570"/>
    <n v="651"/>
  </r>
  <r>
    <x v="1871"/>
    <n v="280132"/>
    <s v="NE"/>
    <s v="NE - Sarpy"/>
    <n v="68123"/>
    <s v="Bellevue Medical Center"/>
    <s v="Short Term Acute Care Hospital"/>
    <s v="Bellevue"/>
    <n v="40.1"/>
    <n v="3.2"/>
    <n v="100"/>
    <n v="61"/>
    <n v="8"/>
    <m/>
    <n v="61"/>
    <n v="1.26"/>
    <n v="274213"/>
    <n v="4897"/>
  </r>
  <r>
    <x v="1872"/>
    <n v="280061"/>
    <s v="NE"/>
    <s v="NE - Scotts Bluff"/>
    <n v="69361"/>
    <s v="Regional West Medical Center"/>
    <s v="Short Term Acute Care Hospital"/>
    <s v="Scottsbluff"/>
    <n v="54.7"/>
    <n v="4.0999999999999996"/>
    <n v="244"/>
    <n v="122"/>
    <n v="22"/>
    <n v="1"/>
    <n v="122"/>
    <n v="1.64"/>
    <n v="2572"/>
    <n v="5295"/>
  </r>
  <r>
    <x v="722"/>
    <n v="280119"/>
    <s v="NE"/>
    <s v="NE - Thurston"/>
    <n v="68071"/>
    <s v="Twelve Clans Unity Hospital (FKA Winnebago Service Unit Winnebago Hospital)"/>
    <s v="Short Term Acute Care Hospital"/>
    <s v="Winnebago"/>
    <n v="1.7"/>
    <n v="2.2999999999999998"/>
    <n v="4"/>
    <n v="13"/>
    <m/>
    <m/>
    <n v="13"/>
    <m/>
    <n v="2576"/>
    <n v="270"/>
  </r>
  <r>
    <x v="729"/>
    <n v="290007"/>
    <s v="NV"/>
    <s v="NV - Clark"/>
    <n v="89102"/>
    <s v="University Medical Center (UMC) of Southern Nevada"/>
    <s v="Short Term Acute Care Hospital"/>
    <s v="Las Vegas"/>
    <n v="347.9"/>
    <n v="5"/>
    <n v="482"/>
    <n v="498"/>
    <n v="20"/>
    <n v="0.09"/>
    <n v="498"/>
    <n v="2.0099999999999998"/>
    <n v="2585"/>
    <n v="25789"/>
  </r>
  <r>
    <x v="729"/>
    <n v="290003"/>
    <s v="NV"/>
    <s v="NV - Clark"/>
    <n v="89109"/>
    <s v="Sunrise Hospital &amp; Medical Center"/>
    <s v="Short Term Acute Care Hospital"/>
    <s v="Las Vegas"/>
    <n v="488.7"/>
    <n v="6.3"/>
    <n v="550"/>
    <n v="554"/>
    <n v="64"/>
    <n v="0.09"/>
    <n v="554"/>
    <n v="1.91"/>
    <n v="2586"/>
    <n v="28518"/>
  </r>
  <r>
    <x v="729"/>
    <n v="290005"/>
    <s v="NV"/>
    <s v="NV - Clark"/>
    <n v="89030"/>
    <s v="North Vista Hospital"/>
    <s v="Short Term Acute Care Hospital"/>
    <s v="North Las Vegas"/>
    <n v="101.5"/>
    <n v="4.4000000000000004"/>
    <n v="92"/>
    <n v="136"/>
    <n v="20"/>
    <n v="0.09"/>
    <n v="136"/>
    <n v="1.5"/>
    <n v="2587"/>
    <n v="8357"/>
  </r>
  <r>
    <x v="729"/>
    <n v="290012"/>
    <s v="NV"/>
    <s v="NV - Clark"/>
    <n v="89015"/>
    <s v="Dignity Health St Rose Dominican - Rose De Lima Campus"/>
    <s v="Short Term Acute Care Hospital"/>
    <s v="Henderson"/>
    <n v="10.4"/>
    <n v="3.7"/>
    <n v="25"/>
    <n v="82"/>
    <n v="10"/>
    <n v="0.09"/>
    <n v="82"/>
    <n v="1.54"/>
    <n v="2588"/>
    <n v="1022"/>
  </r>
  <r>
    <x v="729"/>
    <n v="290021"/>
    <s v="NV"/>
    <s v="NV - Clark"/>
    <n v="89106"/>
    <s v="Valley Hospital Medical Center"/>
    <s v="Short Term Acute Care Hospital"/>
    <s v="Las Vegas"/>
    <n v="234.6"/>
    <n v="5.7"/>
    <n v="262"/>
    <n v="274"/>
    <n v="20"/>
    <n v="0.09"/>
    <n v="274"/>
    <n v="1.78"/>
    <n v="2589"/>
    <n v="14923"/>
  </r>
  <r>
    <x v="729"/>
    <n v="290022"/>
    <s v="NV"/>
    <s v="NV - Clark"/>
    <n v="89119"/>
    <s v="Desert Springs Hospital Medical Center"/>
    <s v="Short Term Acute Care Hospital"/>
    <s v="Las Vegas"/>
    <n v="160.4"/>
    <n v="4.5999999999999996"/>
    <n v="185"/>
    <n v="249"/>
    <n v="34"/>
    <n v="0.09"/>
    <n v="249"/>
    <n v="1.62"/>
    <n v="2590"/>
    <n v="12675"/>
  </r>
  <r>
    <x v="729"/>
    <n v="290039"/>
    <s v="NV"/>
    <s v="NV - Clark"/>
    <n v="89128"/>
    <s v="MountainView Hospital"/>
    <s v="Short Term Acute Care Hospital"/>
    <s v="Las Vegas"/>
    <n v="302.5"/>
    <n v="4.7"/>
    <n v="448"/>
    <n v="348"/>
    <n v="47"/>
    <n v="0.09"/>
    <n v="348"/>
    <n v="1.77"/>
    <n v="2591"/>
    <n v="21837"/>
  </r>
  <r>
    <x v="729"/>
    <n v="290041"/>
    <s v="NV"/>
    <s v="NV - Clark"/>
    <n v="89144"/>
    <s v="Summerlin Hospital Medical Center"/>
    <s v="Short Term Acute Care Hospital"/>
    <s v="Las Vegas"/>
    <n v="284.7"/>
    <n v="4.9000000000000004"/>
    <n v="465"/>
    <n v="370"/>
    <n v="59"/>
    <n v="0.09"/>
    <n v="370"/>
    <n v="1.61"/>
    <n v="2592"/>
    <n v="22993"/>
  </r>
  <r>
    <x v="729"/>
    <n v="290045"/>
    <s v="NV"/>
    <s v="NV - Clark"/>
    <n v="89052"/>
    <s v="Dignity Health St Rose Dominican - Siena Campus"/>
    <s v="Short Term Acute Care Hospital"/>
    <s v="Henderson"/>
    <n v="253.7"/>
    <n v="5"/>
    <n v="402"/>
    <n v="326"/>
    <n v="50"/>
    <n v="0.09"/>
    <n v="326"/>
    <n v="1.98"/>
    <n v="2593"/>
    <n v="19564"/>
  </r>
  <r>
    <x v="729"/>
    <n v="290046"/>
    <s v="NV"/>
    <s v="NV - Clark"/>
    <n v="89118"/>
    <s v="Spring Valley Hospital Medical Center"/>
    <s v="Short Term Acute Care Hospital"/>
    <s v="Las Vegas"/>
    <n v="213.8"/>
    <n v="4.7"/>
    <n v="189"/>
    <n v="337"/>
    <n v="28"/>
    <n v="0.09"/>
    <n v="328"/>
    <n v="1.87"/>
    <n v="2594"/>
    <n v="17218"/>
  </r>
  <r>
    <x v="729"/>
    <n v="290047"/>
    <s v="NV"/>
    <s v="NV - Clark"/>
    <n v="89148"/>
    <s v="Southern Hills Hospital &amp; Medical Center"/>
    <s v="Short Term Acute Care Hospital"/>
    <s v="Las Vegas"/>
    <n v="103.8"/>
    <n v="4"/>
    <n v="176"/>
    <n v="172"/>
    <n v="22"/>
    <n v="0.09"/>
    <n v="180"/>
    <n v="1.8"/>
    <n v="2595"/>
    <n v="9899"/>
  </r>
  <r>
    <x v="729"/>
    <n v="290053"/>
    <s v="NV"/>
    <s v="NV - Clark"/>
    <n v="89113"/>
    <s v="Dignity Health St Rose Dominican - San Martin Campus"/>
    <s v="Short Term Acute Care Hospital"/>
    <s v="Las Vegas"/>
    <n v="86.1"/>
    <n v="4.4000000000000004"/>
    <n v="94"/>
    <n v="136"/>
    <n v="24"/>
    <n v="0.09"/>
    <n v="136"/>
    <n v="1.9"/>
    <n v="2596"/>
    <n v="7543"/>
  </r>
  <r>
    <x v="729"/>
    <n v="290054"/>
    <s v="NV"/>
    <s v="NV - Clark"/>
    <n v="89149"/>
    <s v="Centennial Hills Hospital Medical Center"/>
    <s v="Short Term Acute Care Hospital"/>
    <s v="Las Vegas"/>
    <n v="176.4"/>
    <n v="4.4000000000000004"/>
    <n v="173"/>
    <n v="248"/>
    <n v="16"/>
    <n v="0.09"/>
    <n v="262"/>
    <n v="1.67"/>
    <n v="2597"/>
    <n v="15560"/>
  </r>
  <r>
    <x v="729"/>
    <n v="290042"/>
    <s v="NV"/>
    <s v="NV - Clark"/>
    <n v="89119"/>
    <s v="Harmon Hospital"/>
    <s v="Short Term Acute Care Hospital"/>
    <s v="Las Vegas"/>
    <m/>
    <m/>
    <n v="13"/>
    <m/>
    <m/>
    <m/>
    <m/>
    <m/>
    <n v="6408"/>
    <m/>
  </r>
  <r>
    <x v="729"/>
    <n v="290056"/>
    <s v="NV"/>
    <s v="NV - Clark"/>
    <n v="89148"/>
    <s v="Orthopedic Specialty Hospital of Nevada (FKA Mountains Edge Hospital)"/>
    <s v="Short Term Acute Care Hospital"/>
    <s v="Las Vegas"/>
    <n v="56.8"/>
    <n v="6.1"/>
    <n v="10"/>
    <n v="130"/>
    <m/>
    <n v="0.09"/>
    <n v="130"/>
    <n v="0.99"/>
    <n v="842950"/>
    <n v="3375"/>
  </r>
  <r>
    <x v="729"/>
    <n v="290057"/>
    <s v="NV"/>
    <s v="NV - Clark"/>
    <n v="89011"/>
    <s v="Henderson Hospital"/>
    <s v="Short Term Acute Care Hospital"/>
    <s v="Henderson"/>
    <n v="90.6"/>
    <n v="3.4"/>
    <n v="104"/>
    <n v="140"/>
    <n v="16"/>
    <n v="0.09"/>
    <n v="140"/>
    <n v="1.55"/>
    <n v="841721"/>
    <n v="10545"/>
  </r>
  <r>
    <x v="729"/>
    <n v="290058"/>
    <s v="NV"/>
    <s v="NV - Clark"/>
    <n v="89032"/>
    <s v="Dignity Health St Rose Dominican - North Las Vegas Campus"/>
    <s v="Short Term Acute Care Hospital"/>
    <s v="North Las Vegas"/>
    <n v="3.8"/>
    <n v="2.1"/>
    <n v="24"/>
    <n v="32"/>
    <m/>
    <n v="0.09"/>
    <n v="32"/>
    <n v="0.88"/>
    <n v="854788"/>
    <n v="682"/>
  </r>
  <r>
    <x v="729"/>
    <m/>
    <s v="NV"/>
    <s v="NV - Clark"/>
    <n v="89139"/>
    <s v="Dignity Health St Rose Dominican - Blue Diamond Campus"/>
    <s v="Short Term Acute Care Hospital"/>
    <s v="Las Vegas"/>
    <m/>
    <m/>
    <n v="2"/>
    <m/>
    <m/>
    <m/>
    <m/>
    <m/>
    <n v="941893"/>
    <m/>
  </r>
  <r>
    <x v="729"/>
    <m/>
    <s v="NV"/>
    <s v="NV - Clark"/>
    <n v="89102"/>
    <s v="Dignity Health St Rose Dominican - Sahara Campus"/>
    <s v="Short Term Acute Care Hospital"/>
    <s v="Las Vegas"/>
    <m/>
    <m/>
    <n v="6"/>
    <m/>
    <m/>
    <m/>
    <n v="8"/>
    <m/>
    <n v="941894"/>
    <m/>
  </r>
  <r>
    <x v="729"/>
    <m/>
    <s v="NV"/>
    <s v="NV - Clark"/>
    <n v="89147"/>
    <s v="Dignity Health St Rose Dominican - West Flamingo Campus"/>
    <s v="Short Term Acute Care Hospital"/>
    <s v="Las Vegas"/>
    <m/>
    <m/>
    <n v="2"/>
    <m/>
    <m/>
    <m/>
    <n v="8"/>
    <m/>
    <n v="941896"/>
    <m/>
  </r>
  <r>
    <x v="731"/>
    <n v="290008"/>
    <s v="NV"/>
    <s v="NV - Elko"/>
    <n v="89801"/>
    <s v="Northeastern Nevada Regional Hospital"/>
    <s v="Short Term Acute Care Hospital"/>
    <s v="Elko"/>
    <n v="11.8"/>
    <n v="2.6"/>
    <n v="114"/>
    <n v="59"/>
    <n v="7"/>
    <n v="1"/>
    <n v="59"/>
    <n v="1.42"/>
    <n v="2601"/>
    <n v="1958"/>
  </r>
  <r>
    <x v="737"/>
    <s v="290020 (Closed)"/>
    <s v="NV"/>
    <s v="NV - Nye"/>
    <n v="89049"/>
    <s v="Nye Regional Medical Center (Closed)"/>
    <s v="Short Term Acute Care Hospital"/>
    <s v="Tonopah"/>
    <n v="0.4"/>
    <n v="2.7"/>
    <m/>
    <m/>
    <m/>
    <n v="0.69"/>
    <m/>
    <m/>
    <n v="2605"/>
    <n v="51"/>
  </r>
  <r>
    <x v="739"/>
    <n v="290032"/>
    <s v="NV"/>
    <s v="NV - Washoe"/>
    <n v="89434"/>
    <s v="Northern Nevada Medical Center"/>
    <s v="Short Term Acute Care Hospital"/>
    <s v="Sparks"/>
    <n v="36.299999999999997"/>
    <n v="3.3"/>
    <n v="93"/>
    <n v="72"/>
    <n v="12"/>
    <n v="0.42"/>
    <n v="72"/>
    <n v="1.57"/>
    <n v="2608"/>
    <n v="4042"/>
  </r>
  <r>
    <x v="739"/>
    <n v="290009"/>
    <s v="NV"/>
    <s v="NV - Washoe"/>
    <n v="89503"/>
    <s v="Saint Marys Regional Medical Center (AKA Saint Marys Health Network)"/>
    <s v="Short Term Acute Care Hospital"/>
    <s v="Reno"/>
    <n v="159.30000000000001"/>
    <n v="4.5"/>
    <n v="364"/>
    <n v="252"/>
    <n v="28"/>
    <n v="0.42"/>
    <n v="252"/>
    <n v="2.1"/>
    <n v="2609"/>
    <n v="13342"/>
  </r>
  <r>
    <x v="739"/>
    <n v="290001"/>
    <s v="NV"/>
    <s v="NV - Washoe"/>
    <n v="89502"/>
    <s v="Renown Regional Medical Center"/>
    <s v="Short Term Acute Care Hospital"/>
    <s v="Reno"/>
    <n v="490"/>
    <n v="5.7"/>
    <n v="992"/>
    <n v="637"/>
    <n v="216"/>
    <n v="0.42"/>
    <n v="637"/>
    <n v="2.06"/>
    <n v="2610"/>
    <n v="32725"/>
  </r>
  <r>
    <x v="739"/>
    <n v="290049"/>
    <s v="NV"/>
    <s v="NV - Washoe"/>
    <n v="89521"/>
    <s v="Renown South Meadows Medical Center"/>
    <s v="Short Term Acute Care Hospital"/>
    <s v="Reno"/>
    <n v="36.700000000000003"/>
    <n v="3.3"/>
    <n v="69"/>
    <n v="76"/>
    <n v="34"/>
    <n v="0.42"/>
    <n v="76"/>
    <n v="1.48"/>
    <n v="2612"/>
    <n v="4080"/>
  </r>
  <r>
    <x v="1873"/>
    <n v="290019"/>
    <s v="NV"/>
    <s v="NV - Carson City"/>
    <n v="89703"/>
    <s v="Carson Tahoe Regional Medical Center"/>
    <s v="Short Term Acute Care Hospital"/>
    <s v="Carson City"/>
    <n v="124.2"/>
    <n v="4.3"/>
    <n v="400"/>
    <n v="175"/>
    <n v="24"/>
    <n v="0.83"/>
    <n v="175"/>
    <n v="1.73"/>
    <n v="2611"/>
    <n v="10795"/>
  </r>
  <r>
    <x v="1873"/>
    <n v="290051"/>
    <s v="NV"/>
    <s v="NV - Carson City"/>
    <n v="89703"/>
    <s v="Carson Tahoe Sierra Surgery Hospital"/>
    <s v="Short Term Acute Care Hospital"/>
    <s v="Carson City"/>
    <n v="4.9000000000000004"/>
    <n v="2.4"/>
    <n v="2"/>
    <n v="15"/>
    <m/>
    <n v="0.83"/>
    <n v="15"/>
    <m/>
    <n v="2613"/>
    <n v="753"/>
  </r>
  <r>
    <x v="1874"/>
    <n v="300005"/>
    <s v="NH"/>
    <s v="NH - Belknap"/>
    <s v="03246"/>
    <s v="Lakes Region General Hospital"/>
    <s v="Short Term Acute Care Hospital"/>
    <s v="Laconia"/>
    <n v="51.7"/>
    <n v="5.4"/>
    <n v="192"/>
    <n v="86"/>
    <n v="10"/>
    <n v="1"/>
    <n v="86"/>
    <n v="1.7"/>
    <n v="2614"/>
    <n v="3504"/>
  </r>
  <r>
    <x v="1875"/>
    <n v="300019"/>
    <s v="NH"/>
    <s v="NH - Cheshire"/>
    <s v="03431"/>
    <s v="Cheshire Medical Center an Affiliate of Dartmouth-Hitchcock Health"/>
    <s v="Short Term Acute Care Hospital"/>
    <s v="Keene"/>
    <n v="50.3"/>
    <n v="4.4000000000000004"/>
    <n v="243"/>
    <n v="86"/>
    <n v="27"/>
    <n v="1"/>
    <n v="86"/>
    <n v="1.47"/>
    <n v="2617"/>
    <n v="4347"/>
  </r>
  <r>
    <x v="743"/>
    <n v="300003"/>
    <s v="NH"/>
    <s v="NH - Grafton"/>
    <s v="03756"/>
    <s v="Dartmouth-Hitchcock Medical Center"/>
    <s v="Short Term Acute Care Hospital"/>
    <s v="Lebanon"/>
    <n v="318.39999999999998"/>
    <n v="6.1"/>
    <n v="1357"/>
    <n v="401"/>
    <n v="48"/>
    <n v="0.54"/>
    <n v="401"/>
    <n v="2.39"/>
    <n v="2625"/>
    <n v="18966"/>
  </r>
  <r>
    <x v="744"/>
    <n v="300034"/>
    <s v="NH"/>
    <s v="NH - Hillsborough"/>
    <s v="03102"/>
    <s v="Catholic Medical Center"/>
    <s v="Short Term Acute Care Hospital"/>
    <s v="Manchester"/>
    <n v="162.9"/>
    <n v="5.6"/>
    <n v="412"/>
    <n v="239"/>
    <n v="30"/>
    <n v="0.25"/>
    <n v="239"/>
    <n v="1.98"/>
    <n v="2626"/>
    <n v="11289"/>
  </r>
  <r>
    <x v="744"/>
    <n v="300020"/>
    <s v="NH"/>
    <s v="NH - Hillsborough"/>
    <s v="03060"/>
    <s v="Southern New Hampshire Medical Center"/>
    <s v="Short Term Acute Care Hospital"/>
    <s v="Nashua"/>
    <n v="90.2"/>
    <n v="3.9"/>
    <n v="428"/>
    <n v="142"/>
    <n v="11"/>
    <n v="0.25"/>
    <n v="142"/>
    <n v="1.39"/>
    <n v="2627"/>
    <n v="9425"/>
  </r>
  <r>
    <x v="744"/>
    <n v="300011"/>
    <s v="NH"/>
    <s v="NH - Hillsborough"/>
    <s v="03060"/>
    <s v="St Joseph Hospital of NH"/>
    <s v="Short Term Acute Care Hospital"/>
    <s v="Nashua"/>
    <n v="60.3"/>
    <n v="4.9000000000000004"/>
    <n v="229"/>
    <n v="184"/>
    <n v="15"/>
    <n v="0.25"/>
    <n v="184"/>
    <n v="1.38"/>
    <n v="2628"/>
    <n v="4691"/>
  </r>
  <r>
    <x v="744"/>
    <n v="300012"/>
    <s v="NH"/>
    <s v="NH - Hillsborough"/>
    <s v="03103"/>
    <s v="Elliot Hospital (AKA Elliot Health System)"/>
    <s v="Short Term Acute Care Hospital"/>
    <s v="Manchester"/>
    <n v="133"/>
    <n v="5"/>
    <n v="703"/>
    <n v="199"/>
    <n v="16"/>
    <n v="0.25"/>
    <n v="199"/>
    <n v="1.6"/>
    <n v="2629"/>
    <n v="11833"/>
  </r>
  <r>
    <x v="744"/>
    <s v="300020*"/>
    <s v="NH"/>
    <s v="NH - Hillsborough"/>
    <s v="03063"/>
    <s v="Southern New Hampshire Medical Center - West Campus"/>
    <s v="Short Term Acute Care Hospital"/>
    <s v="Nashua"/>
    <m/>
    <m/>
    <m/>
    <m/>
    <m/>
    <m/>
    <n v="188"/>
    <m/>
    <n v="579931"/>
    <m/>
  </r>
  <r>
    <x v="745"/>
    <n v="300001"/>
    <s v="NH"/>
    <s v="NH - Merrimack"/>
    <s v="03301"/>
    <s v="Concord Hospital (AKA Capital Region Health Care)"/>
    <s v="Short Term Acute Care Hospital"/>
    <s v="Concord"/>
    <n v="162.5"/>
    <n v="4.5"/>
    <n v="620"/>
    <n v="206"/>
    <n v="18"/>
    <n v="0.74"/>
    <n v="206"/>
    <n v="1.7"/>
    <n v="2633"/>
    <n v="12480"/>
  </r>
  <r>
    <x v="1876"/>
    <n v="300023"/>
    <s v="NH"/>
    <s v="NH - Rockingham"/>
    <s v="03833"/>
    <s v="Exeter Hospital"/>
    <s v="Short Term Acute Care Hospital"/>
    <s v="Exeter"/>
    <n v="55.9"/>
    <n v="4"/>
    <n v="294"/>
    <n v="97"/>
    <n v="19"/>
    <n v="0.06"/>
    <n v="97"/>
    <n v="1.56"/>
    <n v="2634"/>
    <n v="5388"/>
  </r>
  <r>
    <x v="1876"/>
    <n v="300029"/>
    <s v="NH"/>
    <s v="NH - Rockingham"/>
    <s v="03801"/>
    <s v="Portsmouth Regional Hospital"/>
    <s v="Short Term Acute Care Hospital"/>
    <s v="Portsmouth"/>
    <n v="126.9"/>
    <n v="5.0999999999999996"/>
    <n v="293"/>
    <n v="143"/>
    <n v="16"/>
    <n v="0.06"/>
    <n v="143"/>
    <n v="1.8"/>
    <n v="2635"/>
    <n v="8601"/>
  </r>
  <r>
    <x v="1876"/>
    <n v="300017"/>
    <s v="NH"/>
    <s v="NH - Rockingham"/>
    <s v="03038"/>
    <s v="Parkland Medical Center"/>
    <s v="Short Term Acute Care Hospital"/>
    <s v="Derry"/>
    <n v="41.6"/>
    <n v="5.6"/>
    <n v="147"/>
    <n v="68"/>
    <n v="8"/>
    <n v="0.06"/>
    <n v="68"/>
    <n v="1.38"/>
    <n v="2636"/>
    <n v="2769"/>
  </r>
  <r>
    <x v="1877"/>
    <n v="300018"/>
    <s v="NH"/>
    <s v="NH - Strafford"/>
    <s v="03820"/>
    <s v="Wentworth-Douglass Hospital"/>
    <s v="Short Term Acute Care Hospital"/>
    <s v="Dover"/>
    <n v="79"/>
    <n v="3.9"/>
    <n v="429"/>
    <n v="118"/>
    <n v="11"/>
    <n v="0.06"/>
    <n v="118"/>
    <n v="1.51"/>
    <n v="2637"/>
    <n v="8253"/>
  </r>
  <r>
    <x v="1877"/>
    <n v="300014"/>
    <s v="NH"/>
    <s v="NH - Strafford"/>
    <s v="03867"/>
    <s v="Frisbie Memorial Hospital"/>
    <s v="Short Term Acute Care Hospital"/>
    <s v="Rochester"/>
    <n v="31.8"/>
    <n v="4.3"/>
    <n v="167"/>
    <n v="64"/>
    <n v="6"/>
    <n v="0.06"/>
    <n v="64"/>
    <n v="1.4"/>
    <n v="2638"/>
    <n v="2841"/>
  </r>
  <r>
    <x v="1878"/>
    <n v="310047"/>
    <s v="NJ"/>
    <s v="NJ - Atlantic"/>
    <s v="08244"/>
    <s v="Shore Medical Center (FKA Shore Memorial Hospital)"/>
    <s v="Short Term Acute Care Hospital"/>
    <s v="Somers Point"/>
    <n v="85.6"/>
    <n v="4"/>
    <n v="292"/>
    <n v="199"/>
    <n v="16"/>
    <n v="0.67"/>
    <n v="199"/>
    <n v="1.47"/>
    <n v="2640"/>
    <n v="8638"/>
  </r>
  <r>
    <x v="1878"/>
    <n v="310064"/>
    <s v="NJ"/>
    <s v="NJ - Atlantic"/>
    <s v="08401"/>
    <s v="AtlantiCare Regional Medical Center - Atlantic City Campus"/>
    <s v="Short Term Acute Care Hospital"/>
    <s v="Atlantic City"/>
    <n v="360.9"/>
    <n v="4.5"/>
    <n v="694"/>
    <n v="540"/>
    <n v="38"/>
    <n v="0.67"/>
    <n v="540"/>
    <n v="1.64"/>
    <n v="2641"/>
    <n v="30244"/>
  </r>
  <r>
    <x v="1878"/>
    <s v="310088 (Closed)"/>
    <s v="NJ"/>
    <s v="NJ - Atlantic"/>
    <s v="08037"/>
    <s v="William B Kessler Memorial Hospital (Closed)"/>
    <s v="Short Term Acute Care Hospital"/>
    <s v="Hammonton"/>
    <n v="35.6"/>
    <n v="4.8"/>
    <m/>
    <m/>
    <m/>
    <n v="0.67"/>
    <m/>
    <m/>
    <n v="4814"/>
    <n v="2746"/>
  </r>
  <r>
    <x v="1878"/>
    <s v="310064*"/>
    <s v="NJ"/>
    <s v="NJ - Atlantic"/>
    <s v="08240"/>
    <s v="AtlantiCare Regional Medical Center - Mainland Campus"/>
    <s v="Short Term Acute Care Hospital"/>
    <s v="Pomona"/>
    <m/>
    <m/>
    <n v="6"/>
    <m/>
    <m/>
    <m/>
    <n v="266"/>
    <m/>
    <n v="541939"/>
    <m/>
  </r>
  <r>
    <x v="1878"/>
    <m/>
    <s v="NJ"/>
    <s v="NJ - Atlantic"/>
    <s v="08401"/>
    <s v="Atlantic City Convention Center Field Hospital (Temporarily Open due to COVID-19)"/>
    <s v="Short Term Acute Care Hospital"/>
    <s v="Atlantic City"/>
    <m/>
    <m/>
    <m/>
    <m/>
    <m/>
    <m/>
    <m/>
    <m/>
    <n v="1012061"/>
    <m/>
  </r>
  <r>
    <x v="1879"/>
    <n v="310045"/>
    <s v="NJ"/>
    <s v="NJ - Bergen"/>
    <s v="07631"/>
    <s v="Englewood Hospital and Medical Center (AKA Englewood Health)"/>
    <s v="Short Term Acute Care Hospital"/>
    <s v="Englewood"/>
    <n v="182.2"/>
    <n v="5.2"/>
    <n v="861"/>
    <n v="275"/>
    <n v="26"/>
    <n v="0.02"/>
    <n v="275"/>
    <n v="1.83"/>
    <n v="2642"/>
    <n v="13937"/>
  </r>
  <r>
    <x v="1879"/>
    <n v="310058"/>
    <s v="NJ"/>
    <s v="NJ - Bergen"/>
    <s v="07652"/>
    <s v="Bergen New Bridge Medical Center (FKA Bergen Regional Medical Center)"/>
    <s v="Short Term Acute Care Hospital"/>
    <s v="Paramus"/>
    <n v="73.400000000000006"/>
    <n v="3.8"/>
    <n v="128"/>
    <n v="127"/>
    <n v="9"/>
    <n v="0.02"/>
    <n v="127"/>
    <n v="1.1599999999999999"/>
    <n v="2643"/>
    <n v="7067"/>
  </r>
  <r>
    <x v="1879"/>
    <n v="310008"/>
    <s v="NJ"/>
    <s v="NJ - Bergen"/>
    <s v="07666"/>
    <s v="Holy Name Medical Center (AKA Holy Name Health)"/>
    <s v="Short Term Acute Care Hospital"/>
    <s v="Teaneck"/>
    <n v="167.8"/>
    <n v="5.3"/>
    <n v="609"/>
    <n v="284"/>
    <n v="19"/>
    <n v="0.02"/>
    <n v="284"/>
    <n v="1.59"/>
    <n v="2644"/>
    <n v="12271"/>
  </r>
  <r>
    <x v="1879"/>
    <n v="310001"/>
    <s v="NJ"/>
    <s v="NJ - Bergen"/>
    <s v="07601"/>
    <s v="Hackensack University Medical Center"/>
    <s v="Short Term Acute Care Hospital"/>
    <s v="Hackensack"/>
    <n v="568.79999999999995"/>
    <n v="6"/>
    <n v="1479"/>
    <n v="687"/>
    <n v="35"/>
    <n v="0.02"/>
    <n v="687"/>
    <n v="2.21"/>
    <n v="2645"/>
    <n v="36706"/>
  </r>
  <r>
    <x v="1879"/>
    <n v="310012"/>
    <s v="NJ"/>
    <s v="NJ - Bergen"/>
    <s v="07450"/>
    <s v="The Valley Hospital (AKA Valley Health System)"/>
    <s v="Short Term Acute Care Hospital"/>
    <s v="Ridgewood"/>
    <n v="228.6"/>
    <n v="4.5"/>
    <n v="877"/>
    <n v="363"/>
    <n v="14"/>
    <n v="0.02"/>
    <n v="363"/>
    <n v="1.97"/>
    <n v="2646"/>
    <n v="20249"/>
  </r>
  <r>
    <x v="1879"/>
    <n v="310130"/>
    <s v="NJ"/>
    <s v="NJ - Bergen"/>
    <s v="07675"/>
    <s v="Hackensack Meridian Health Pascack Valley Medical Center"/>
    <s v="Short Term Acute Care Hospital"/>
    <s v="Westwood"/>
    <n v="46.6"/>
    <n v="4"/>
    <n v="117"/>
    <n v="78"/>
    <n v="9"/>
    <n v="0.02"/>
    <n v="78"/>
    <n v="1.57"/>
    <n v="550094"/>
    <n v="4955"/>
  </r>
  <r>
    <x v="1879"/>
    <s v="310001*"/>
    <s v="NJ"/>
    <s v="NJ - Bergen"/>
    <s v="07601"/>
    <s v="Donna A Sanzari Womens Hospital"/>
    <s v="Short Term Acute Care Hospital"/>
    <s v="Hackensack"/>
    <m/>
    <m/>
    <m/>
    <m/>
    <m/>
    <m/>
    <n v="66"/>
    <m/>
    <n v="550096"/>
    <m/>
  </r>
  <r>
    <x v="1879"/>
    <s v="310001*"/>
    <s v="NJ"/>
    <s v="NJ - Bergen"/>
    <s v="07601"/>
    <s v="Heart &amp; Vascular Hospital at Hackensack University Medical Center"/>
    <s v="Short Term Acute Care Hospital"/>
    <s v="Hackensack"/>
    <m/>
    <m/>
    <n v="5"/>
    <m/>
    <m/>
    <m/>
    <n v="775"/>
    <m/>
    <n v="553382"/>
    <m/>
  </r>
  <r>
    <x v="1880"/>
    <n v="310031"/>
    <s v="NJ"/>
    <s v="NJ - Burlington"/>
    <s v="08015"/>
    <s v="Deborah Heart and Lung Center"/>
    <s v="Short Term Acute Care Hospital"/>
    <s v="Browns Mills"/>
    <n v="56"/>
    <n v="5.3"/>
    <n v="122"/>
    <n v="86"/>
    <n v="24"/>
    <n v="0.05"/>
    <n v="86"/>
    <n v="2.72"/>
    <n v="2647"/>
    <n v="3840"/>
  </r>
  <r>
    <x v="1880"/>
    <n v="310057"/>
    <s v="NJ"/>
    <s v="NJ - Burlington"/>
    <s v="08060"/>
    <s v="Virtua Memorial Hospital (FKA Virtua Memorial Hospital of Burlington County)"/>
    <s v="Short Term Acute Care Hospital"/>
    <s v="Mount Holly"/>
    <n v="186.6"/>
    <n v="4.3"/>
    <n v="463"/>
    <n v="317"/>
    <n v="38"/>
    <n v="0.05"/>
    <n v="317"/>
    <n v="1.46"/>
    <n v="2648"/>
    <n v="16955"/>
  </r>
  <r>
    <x v="1880"/>
    <n v="310061"/>
    <s v="NJ"/>
    <s v="NJ - Burlington"/>
    <s v="08046"/>
    <s v="Virtua Willingboro Hospital (FKA Lourdes Medical Center of Burlington County)"/>
    <s v="Short Term Acute Care Hospital"/>
    <s v="Willingboro"/>
    <n v="81.7"/>
    <n v="4.5"/>
    <n v="178"/>
    <n v="124"/>
    <n v="20"/>
    <n v="0.05"/>
    <n v="124"/>
    <n v="1.33"/>
    <n v="2649"/>
    <n v="6686"/>
  </r>
  <r>
    <x v="1880"/>
    <s v="310022*"/>
    <s v="NJ"/>
    <s v="NJ - Burlington"/>
    <s v="08053"/>
    <s v="Virtua Marlton Hospital (FKA Virtua Marlton Regional Medical Center)"/>
    <s v="Short Term Acute Care Hospital"/>
    <s v="Marlton"/>
    <m/>
    <m/>
    <m/>
    <m/>
    <m/>
    <m/>
    <n v="188"/>
    <m/>
    <n v="274215"/>
    <m/>
  </r>
  <r>
    <x v="1881"/>
    <n v="310086"/>
    <s v="NJ"/>
    <s v="NJ - Camden"/>
    <s v="08084"/>
    <s v="Jefferson Stratford Hospital (FKA Kennedy University Hospital - Stratford)"/>
    <s v="Short Term Acute Care Hospital"/>
    <s v="Stratford"/>
    <n v="343.7"/>
    <n v="4.7"/>
    <n v="682"/>
    <n v="522"/>
    <n v="67"/>
    <n v="0.05"/>
    <n v="522"/>
    <n v="1.5"/>
    <n v="2650"/>
    <n v="26906"/>
  </r>
  <r>
    <x v="1881"/>
    <n v="310029"/>
    <s v="NJ"/>
    <s v="NJ - Camden"/>
    <s v="08103"/>
    <s v="Virtua Our Lady of Lourdes Hospital"/>
    <s v="Short Term Acute Care Hospital"/>
    <s v="Camden"/>
    <n v="145.30000000000001"/>
    <n v="3.7"/>
    <n v="323"/>
    <n v="257"/>
    <n v="21"/>
    <n v="0.05"/>
    <n v="257"/>
    <n v="2.13"/>
    <n v="2651"/>
    <n v="14304"/>
  </r>
  <r>
    <x v="1881"/>
    <s v="310022* (Closed)"/>
    <s v="NJ"/>
    <s v="NJ - Camden"/>
    <s v="08009"/>
    <s v="Virtua Berlin Outpatient Center (Closed - No Longer Offers Inpatient Services)"/>
    <s v="Short Term Acute Care Hospital"/>
    <s v="Berlin"/>
    <m/>
    <m/>
    <m/>
    <m/>
    <m/>
    <m/>
    <m/>
    <m/>
    <n v="2652"/>
    <m/>
  </r>
  <r>
    <x v="1881"/>
    <n v="310014"/>
    <s v="NJ"/>
    <s v="NJ - Camden"/>
    <s v="08103"/>
    <s v="Cooper University Hospital (AKA Cooper University Health Care)"/>
    <s v="Short Term Acute Care Hospital"/>
    <s v="Camden"/>
    <n v="405.4"/>
    <n v="5.5"/>
    <n v="1121"/>
    <n v="574"/>
    <n v="30"/>
    <n v="0.05"/>
    <n v="574"/>
    <n v="2.11"/>
    <n v="2653"/>
    <n v="28570"/>
  </r>
  <r>
    <x v="1881"/>
    <n v="310022"/>
    <s v="NJ"/>
    <s v="NJ - Camden"/>
    <s v="08043"/>
    <s v="Virtua Voorhees Hospital"/>
    <s v="Short Term Acute Care Hospital"/>
    <s v="Voorhees"/>
    <n v="373.8"/>
    <n v="4.2"/>
    <n v="865"/>
    <n v="587"/>
    <n v="48"/>
    <n v="0.05"/>
    <n v="389"/>
    <n v="1.43"/>
    <n v="7129"/>
    <n v="35329"/>
  </r>
  <r>
    <x v="1881"/>
    <s v="310086*"/>
    <s v="NJ"/>
    <s v="NJ - Camden"/>
    <s v="08002"/>
    <s v="Jefferson Cherry Hill Hospital (FKA Kennedy University Hospital - Cherry Hill)"/>
    <s v="Short Term Acute Care Hospital"/>
    <s v="Cherry Hill"/>
    <m/>
    <m/>
    <n v="7"/>
    <m/>
    <m/>
    <m/>
    <n v="150"/>
    <m/>
    <n v="550092"/>
    <m/>
  </r>
  <r>
    <x v="1881"/>
    <s v="310086*"/>
    <s v="NJ"/>
    <s v="NJ - Camden"/>
    <s v="08012"/>
    <s v="Jefferson Washington Township Hospital (FKA Kennedy University Hospital - Washington Township)"/>
    <s v="Short Term Acute Care Hospital"/>
    <s v="Turnersville"/>
    <m/>
    <m/>
    <m/>
    <m/>
    <m/>
    <m/>
    <n v="202"/>
    <m/>
    <n v="550093"/>
    <m/>
  </r>
  <r>
    <x v="1882"/>
    <n v="310011"/>
    <s v="NJ"/>
    <s v="NJ - Cape May"/>
    <s v="08210"/>
    <s v="Cape Regional Health System (AKA Cape Regional Medical Center)"/>
    <s v="Short Term Acute Care Hospital"/>
    <s v="Cape May Court House"/>
    <n v="64.5"/>
    <n v="3.7"/>
    <n v="294"/>
    <n v="149"/>
    <n v="16"/>
    <n v="1"/>
    <n v="149"/>
    <n v="1.42"/>
    <n v="2654"/>
    <n v="6520"/>
  </r>
  <r>
    <x v="1883"/>
    <n v="310032"/>
    <s v="NJ"/>
    <s v="NJ - Cumberland"/>
    <s v="08360"/>
    <s v="Inspira Medical Center Vineland (FKA South Jersey Healthcare Regional Medical Center)"/>
    <s v="Short Term Acute Care Hospital"/>
    <s v="Vineland"/>
    <n v="189.3"/>
    <n v="4.7"/>
    <n v="513"/>
    <n v="280"/>
    <n v="12"/>
    <n v="1"/>
    <n v="280"/>
    <n v="1.41"/>
    <n v="2655"/>
    <n v="16308"/>
  </r>
  <r>
    <x v="1884"/>
    <n v="310002"/>
    <s v="NJ"/>
    <s v="NJ - Essex"/>
    <s v="07112"/>
    <s v="Newark Beth Israel Medical Center"/>
    <s v="Short Term Acute Care Hospital"/>
    <s v="Newark"/>
    <n v="319.8"/>
    <n v="6.7"/>
    <n v="528"/>
    <n v="442"/>
    <n v="35"/>
    <n v="0.02"/>
    <n v="442"/>
    <n v="2.2599999999999998"/>
    <n v="2657"/>
    <n v="18423"/>
  </r>
  <r>
    <x v="1884"/>
    <n v="310009"/>
    <s v="NJ"/>
    <s v="NJ - Essex"/>
    <s v="07109"/>
    <s v="Clara Maass Medical Center"/>
    <s v="Short Term Acute Care Hospital"/>
    <s v="Belleville"/>
    <n v="179"/>
    <n v="5.5"/>
    <n v="453"/>
    <n v="280"/>
    <n v="32"/>
    <n v="0.02"/>
    <n v="280"/>
    <n v="1.59"/>
    <n v="2658"/>
    <n v="12605"/>
  </r>
  <r>
    <x v="1884"/>
    <n v="310083"/>
    <s v="NJ"/>
    <s v="NJ - Essex"/>
    <s v="07018"/>
    <s v="East Orange General Hospital"/>
    <s v="Short Term Acute Care Hospital"/>
    <s v="East Orange"/>
    <n v="69.2"/>
    <n v="5.0999999999999996"/>
    <n v="133"/>
    <n v="159"/>
    <n v="15"/>
    <n v="0.02"/>
    <n v="159"/>
    <n v="1.68"/>
    <n v="2659"/>
    <n v="4929"/>
  </r>
  <r>
    <x v="1884"/>
    <n v="310076"/>
    <s v="NJ"/>
    <s v="NJ - Essex"/>
    <s v="07039"/>
    <s v="Saint Barnabas Medical Center"/>
    <s v="Short Term Acute Care Hospital"/>
    <s v="Livingston"/>
    <n v="413.1"/>
    <n v="5.8"/>
    <n v="1085"/>
    <n v="552"/>
    <n v="46"/>
    <n v="0.02"/>
    <n v="552"/>
    <n v="1.84"/>
    <n v="2660"/>
    <n v="28094"/>
  </r>
  <r>
    <x v="1884"/>
    <n v="310054"/>
    <s v="NJ"/>
    <s v="NJ - Essex"/>
    <s v="07042"/>
    <s v="Hackensack Meridian Health Mountainside Medical Center"/>
    <s v="Short Term Acute Care Hospital"/>
    <s v="Montclair"/>
    <n v="109.6"/>
    <n v="3.9"/>
    <n v="270"/>
    <n v="185"/>
    <n v="16"/>
    <n v="0.02"/>
    <n v="185"/>
    <n v="1.48"/>
    <n v="2661"/>
    <n v="10662"/>
  </r>
  <r>
    <x v="1884"/>
    <n v="310096"/>
    <s v="NJ"/>
    <s v="NJ - Essex"/>
    <s v="07102"/>
    <s v="Saint Michaels Medical Center"/>
    <s v="Short Term Acute Care Hospital"/>
    <s v="Newark"/>
    <n v="95.5"/>
    <n v="4.2"/>
    <n v="178"/>
    <n v="147"/>
    <n v="30"/>
    <n v="0.02"/>
    <n v="147"/>
    <n v="2.0299999999999998"/>
    <n v="2662"/>
    <n v="8370"/>
  </r>
  <r>
    <x v="1884"/>
    <n v="310119"/>
    <s v="NJ"/>
    <s v="NJ - Essex"/>
    <s v="07103"/>
    <s v="The University Hospital (FKA UMDNJ University Hospital)"/>
    <s v="Short Term Acute Care Hospital"/>
    <s v="Newark"/>
    <n v="266"/>
    <n v="6.5"/>
    <n v="555"/>
    <n v="355"/>
    <n v="41"/>
    <n v="0.02"/>
    <n v="355"/>
    <n v="2"/>
    <n v="2663"/>
    <n v="15230"/>
  </r>
  <r>
    <x v="1884"/>
    <s v="310018 (Closed)"/>
    <s v="NJ"/>
    <s v="NJ - Essex"/>
    <s v="07105"/>
    <s v="St James Hospital (Closed As Hospital 2008)"/>
    <s v="Short Term Acute Care Hospital"/>
    <s v="Newark"/>
    <n v="50.7"/>
    <n v="6.3"/>
    <m/>
    <m/>
    <m/>
    <n v="0.02"/>
    <m/>
    <m/>
    <n v="5246"/>
    <n v="1946"/>
  </r>
  <r>
    <x v="1885"/>
    <n v="310081"/>
    <s v="NJ"/>
    <s v="NJ - Gloucester"/>
    <s v="08096"/>
    <s v="Inspira Medical Center Woodbury (FKA Underwood Memorial Hospital)"/>
    <s v="Short Term Acute Care Hospital"/>
    <s v="Woodbury"/>
    <n v="102"/>
    <n v="4.9000000000000004"/>
    <n v="252"/>
    <n v="233"/>
    <n v="14"/>
    <n v="0.05"/>
    <n v="233"/>
    <n v="1.45"/>
    <n v="2664"/>
    <n v="8125"/>
  </r>
  <r>
    <x v="1885"/>
    <m/>
    <s v="NJ"/>
    <s v="NJ - Gloucester"/>
    <s v="08062"/>
    <s v="Inspira Medical Center Mullica Hill"/>
    <s v="Short Term Acute Care Hospital"/>
    <s v="Mullica Hill"/>
    <m/>
    <m/>
    <n v="8"/>
    <m/>
    <m/>
    <m/>
    <m/>
    <m/>
    <n v="923869"/>
    <m/>
  </r>
  <r>
    <x v="1886"/>
    <n v="310074"/>
    <s v="NJ"/>
    <s v="NJ - Hudson"/>
    <s v="07302"/>
    <s v="Jersey City Medical Center"/>
    <s v="Short Term Acute Care Hospital"/>
    <s v="Jersey City"/>
    <n v="184.6"/>
    <n v="5.4"/>
    <n v="354"/>
    <n v="272"/>
    <n v="18"/>
    <n v="0.02"/>
    <n v="272"/>
    <n v="1.79"/>
    <n v="2665"/>
    <n v="13027"/>
  </r>
  <r>
    <x v="1886"/>
    <n v="310040"/>
    <s v="NJ"/>
    <s v="NJ - Hudson"/>
    <s v="07030"/>
    <s v="Hoboken University Medical Center"/>
    <s v="Short Term Acute Care Hospital"/>
    <s v="Hoboken"/>
    <n v="54"/>
    <n v="4.8"/>
    <n v="183"/>
    <n v="117"/>
    <n v="15"/>
    <n v="0.02"/>
    <n v="117"/>
    <n v="1.34"/>
    <n v="2666"/>
    <n v="4659"/>
  </r>
  <r>
    <x v="1886"/>
    <n v="310003"/>
    <s v="NJ"/>
    <s v="NJ - Hudson"/>
    <s v="07047"/>
    <s v="Palisades Medical Center"/>
    <s v="Short Term Acute Care Hospital"/>
    <s v="North Bergen"/>
    <n v="105.4"/>
    <n v="4.4000000000000004"/>
    <n v="198"/>
    <n v="202"/>
    <n v="10"/>
    <n v="0.02"/>
    <n v="202"/>
    <n v="1.61"/>
    <n v="2667"/>
    <n v="9575"/>
  </r>
  <r>
    <x v="1886"/>
    <n v="310016"/>
    <s v="NJ"/>
    <s v="NJ - Hudson"/>
    <s v="07306"/>
    <s v="Christ Hospital"/>
    <s v="Short Term Acute Care Hospital"/>
    <s v="Jersey City"/>
    <n v="120.6"/>
    <n v="5.2"/>
    <n v="170"/>
    <n v="178"/>
    <n v="18"/>
    <n v="0.02"/>
    <n v="178"/>
    <n v="1.56"/>
    <n v="2668"/>
    <n v="8868"/>
  </r>
  <r>
    <x v="1886"/>
    <n v="310025"/>
    <s v="NJ"/>
    <s v="NJ - Hudson"/>
    <s v="07002"/>
    <s v="Bayonne Medical Center"/>
    <s v="Short Term Acute Care Hospital"/>
    <s v="Bayonne"/>
    <n v="66.099999999999994"/>
    <n v="4.5"/>
    <n v="137"/>
    <n v="131"/>
    <n v="14"/>
    <n v="0.02"/>
    <n v="131"/>
    <n v="1.38"/>
    <n v="2669"/>
    <n v="5083"/>
  </r>
  <r>
    <x v="1886"/>
    <n v="310118"/>
    <s v="NJ"/>
    <s v="NJ - Hudson"/>
    <s v="07094"/>
    <s v="Hudson Regional Hospital (FKA Meadowlands Hospital Medical Center)"/>
    <s v="Short Term Acute Care Hospital"/>
    <s v="Secaucus"/>
    <n v="22"/>
    <n v="3.8"/>
    <n v="104"/>
    <n v="102"/>
    <n v="14"/>
    <n v="0.02"/>
    <n v="102"/>
    <n v="1.44"/>
    <n v="2670"/>
    <n v="2299"/>
  </r>
  <r>
    <x v="1886"/>
    <m/>
    <s v="NJ"/>
    <s v="NJ - Hudson"/>
    <s v="07094"/>
    <s v="Meadowlands Exposition Center Field Hospital (Temporarily Open due to COVID-19)"/>
    <s v="Short Term Acute Care Hospital"/>
    <s v="Secaucus"/>
    <m/>
    <m/>
    <m/>
    <m/>
    <m/>
    <m/>
    <m/>
    <m/>
    <n v="1012027"/>
    <m/>
  </r>
  <r>
    <x v="1887"/>
    <n v="310005"/>
    <s v="NJ"/>
    <s v="NJ - Hunterdon"/>
    <s v="08822"/>
    <s v="Hunterdon Medical Center (AKA Hunterdon Healthcare)"/>
    <s v="Short Term Acute Care Hospital"/>
    <s v="Flemington"/>
    <n v="96.6"/>
    <n v="4.4000000000000004"/>
    <n v="474"/>
    <n v="170"/>
    <n v="12"/>
    <n v="0.02"/>
    <n v="170"/>
    <n v="1.5"/>
    <n v="2671"/>
    <n v="8670"/>
  </r>
  <r>
    <x v="1888"/>
    <n v="310021"/>
    <s v="NJ"/>
    <s v="NJ - Mercer"/>
    <s v="08629"/>
    <s v="St Francis Medical Center"/>
    <s v="Short Term Acute Care Hospital"/>
    <s v="Trenton"/>
    <n v="61.5"/>
    <n v="4.8"/>
    <n v="94"/>
    <n v="134"/>
    <n v="12"/>
    <n v="0.3"/>
    <n v="134"/>
    <n v="1.85"/>
    <n v="2673"/>
    <n v="4718"/>
  </r>
  <r>
    <x v="1888"/>
    <n v="310044"/>
    <s v="NJ"/>
    <s v="NJ - Mercer"/>
    <s v="08534"/>
    <s v="Capital Health Medical Center - Hopewell"/>
    <s v="Short Term Acute Care Hospital"/>
    <s v="Pennington"/>
    <n v="128.19999999999999"/>
    <n v="5.3"/>
    <n v="395"/>
    <n v="145"/>
    <n v="16"/>
    <n v="0.3"/>
    <n v="145"/>
    <n v="1.64"/>
    <n v="2674"/>
    <n v="11188"/>
  </r>
  <r>
    <x v="1888"/>
    <n v="310110"/>
    <s v="NJ"/>
    <s v="NJ - Mercer"/>
    <s v="08690"/>
    <s v="RWJ University Hospital Hamilton"/>
    <s v="Short Term Acute Care Hospital"/>
    <s v="Hamilton"/>
    <n v="96.1"/>
    <n v="5"/>
    <n v="329"/>
    <n v="152"/>
    <n v="20"/>
    <n v="0.3"/>
    <n v="152"/>
    <n v="1.55"/>
    <n v="2675"/>
    <n v="7055"/>
  </r>
  <r>
    <x v="1888"/>
    <n v="310092"/>
    <s v="NJ"/>
    <s v="NJ - Mercer"/>
    <s v="08638"/>
    <s v="Capital Health Regional Medical Center"/>
    <s v="Short Term Acute Care Hospital"/>
    <s v="Trenton"/>
    <n v="112.6"/>
    <n v="6.2"/>
    <n v="163"/>
    <n v="134"/>
    <n v="32"/>
    <n v="0.3"/>
    <n v="134"/>
    <n v="1.71"/>
    <n v="2676"/>
    <n v="6579"/>
  </r>
  <r>
    <x v="1888"/>
    <m/>
    <s v="NJ"/>
    <s v="NJ - Mercer"/>
    <s v="08648"/>
    <s v="Al Rashid Health and Wellness Center"/>
    <s v="Short Term Acute Care Hospital"/>
    <s v="Lawrenceville"/>
    <m/>
    <m/>
    <m/>
    <m/>
    <m/>
    <m/>
    <n v="18"/>
    <m/>
    <n v="581781"/>
    <m/>
  </r>
  <r>
    <x v="1889"/>
    <n v="310010"/>
    <s v="NJ"/>
    <s v="NJ - Middlesex"/>
    <s v="08536"/>
    <s v="Princeton Medical Center (FKA University Medical Center of Princeton at Plainsboro)"/>
    <s v="Short Term Acute Care Hospital"/>
    <s v="Plainsboro"/>
    <n v="152.69999999999999"/>
    <n v="4.3"/>
    <n v="1017"/>
    <n v="206"/>
    <n v="24"/>
    <n v="0.02"/>
    <n v="206"/>
    <n v="1.47"/>
    <n v="2672"/>
    <n v="13863"/>
  </r>
  <r>
    <x v="1889"/>
    <n v="310108"/>
    <s v="NJ"/>
    <s v="NJ - Middlesex"/>
    <s v="08820"/>
    <s v="JFK Medical Center"/>
    <s v="Short Term Acute Care Hospital"/>
    <s v="Edison"/>
    <n v="243.9"/>
    <n v="4.7"/>
    <n v="782"/>
    <n v="357"/>
    <m/>
    <n v="0.02"/>
    <n v="357"/>
    <n v="1.62"/>
    <n v="2677"/>
    <n v="20340"/>
  </r>
  <r>
    <x v="1889"/>
    <n v="310070"/>
    <s v="NJ"/>
    <s v="NJ - Middlesex"/>
    <s v="08901"/>
    <s v="Saint Peters University Hospital"/>
    <s v="Short Term Acute Care Hospital"/>
    <s v="New Brunswick"/>
    <n v="214.6"/>
    <n v="4.7"/>
    <n v="395"/>
    <n v="353"/>
    <n v="28"/>
    <n v="0.02"/>
    <n v="353"/>
    <n v="1.55"/>
    <n v="2678"/>
    <n v="18954"/>
  </r>
  <r>
    <x v="1889"/>
    <n v="310038"/>
    <s v="NJ"/>
    <s v="NJ - Middlesex"/>
    <s v="08901"/>
    <s v="Robert Wood Johnson University Hospital New Brunswick"/>
    <s v="Short Term Acute Care Hospital"/>
    <s v="New Brunswick"/>
    <n v="457.4"/>
    <n v="5.6"/>
    <n v="1081"/>
    <n v="610"/>
    <n v="16"/>
    <n v="0.02"/>
    <n v="600"/>
    <n v="2.1"/>
    <n v="2679"/>
    <n v="30830"/>
  </r>
  <r>
    <x v="1889"/>
    <n v="310039"/>
    <s v="NJ"/>
    <s v="NJ - Middlesex"/>
    <s v="08861"/>
    <s v="Raritan Bay Medical Center - Perth Amboy"/>
    <s v="Short Term Acute Care Hospital"/>
    <s v="Perth Amboy"/>
    <n v="157.1"/>
    <n v="5.2"/>
    <n v="361"/>
    <n v="302"/>
    <n v="29"/>
    <n v="0.02"/>
    <n v="302"/>
    <n v="1.58"/>
    <n v="2680"/>
    <n v="11641"/>
  </r>
  <r>
    <x v="1889"/>
    <s v="310039*"/>
    <s v="NJ"/>
    <s v="NJ - Middlesex"/>
    <s v="08857"/>
    <s v="Raritan Bay Medical Center - Old Bridge"/>
    <s v="Short Term Acute Care Hospital"/>
    <s v="Old Bridge"/>
    <m/>
    <m/>
    <n v="6"/>
    <m/>
    <m/>
    <m/>
    <n v="113"/>
    <m/>
    <n v="553228"/>
    <m/>
  </r>
  <r>
    <x v="1889"/>
    <m/>
    <s v="NJ"/>
    <s v="NJ - Middlesex"/>
    <s v="08837"/>
    <s v="New Jersey Convention and Exposition Center Field Hospital (Temporarily Open due to COVID-19)"/>
    <s v="Short Term Acute Care Hospital"/>
    <s v="Edison"/>
    <m/>
    <m/>
    <m/>
    <m/>
    <m/>
    <m/>
    <m/>
    <m/>
    <n v="1012062"/>
    <m/>
  </r>
  <r>
    <x v="1890"/>
    <n v="310073"/>
    <s v="NJ"/>
    <s v="NJ - Monmouth"/>
    <s v="07753"/>
    <s v="Jersey Shore University Medical Center"/>
    <s v="Short Term Acute Care Hospital"/>
    <s v="Neptune"/>
    <n v="397.4"/>
    <n v="5.0999999999999996"/>
    <n v="902"/>
    <n v="597"/>
    <n v="37"/>
    <n v="0.02"/>
    <n v="597"/>
    <n v="2.1"/>
    <n v="2681"/>
    <n v="29251"/>
  </r>
  <r>
    <x v="1890"/>
    <n v="310075"/>
    <s v="NJ"/>
    <s v="NJ - Monmouth"/>
    <s v="07740"/>
    <s v="Monmouth Medical Center"/>
    <s v="Short Term Acute Care Hospital"/>
    <s v="Long Branch"/>
    <n v="151.1"/>
    <n v="4.5"/>
    <n v="550"/>
    <n v="279"/>
    <n v="23"/>
    <n v="0.02"/>
    <n v="279"/>
    <n v="1.59"/>
    <n v="2682"/>
    <n v="14787"/>
  </r>
  <r>
    <x v="1890"/>
    <n v="310111"/>
    <s v="NJ"/>
    <s v="NJ - Monmouth"/>
    <s v="07728"/>
    <s v="CentraState Medical Center"/>
    <s v="Short Term Acute Care Hospital"/>
    <s v="Freehold"/>
    <n v="153.69999999999999"/>
    <n v="4.7"/>
    <n v="535"/>
    <n v="264"/>
    <n v="25"/>
    <n v="0.02"/>
    <n v="264"/>
    <n v="1.53"/>
    <n v="2683"/>
    <n v="12451"/>
  </r>
  <r>
    <x v="1890"/>
    <n v="310112"/>
    <s v="NJ"/>
    <s v="NJ - Monmouth"/>
    <s v="07733"/>
    <s v="Bayshore Medical Center (FKA Bayshore Community Hospital)"/>
    <s v="Short Term Acute Care Hospital"/>
    <s v="Holmdel"/>
    <n v="102.6"/>
    <n v="5.2"/>
    <n v="220"/>
    <n v="169"/>
    <n v="16"/>
    <n v="0.02"/>
    <n v="169"/>
    <n v="1.56"/>
    <n v="2684"/>
    <n v="7212"/>
  </r>
  <r>
    <x v="1890"/>
    <n v="310034"/>
    <s v="NJ"/>
    <s v="NJ - Monmouth"/>
    <s v="07701"/>
    <s v="Riverview Medical Center"/>
    <s v="Short Term Acute Care Hospital"/>
    <s v="Red Bank"/>
    <n v="153"/>
    <n v="4.2"/>
    <n v="446"/>
    <n v="274"/>
    <n v="27"/>
    <n v="0.02"/>
    <n v="274"/>
    <n v="1.57"/>
    <n v="2685"/>
    <n v="13930"/>
  </r>
  <r>
    <x v="1891"/>
    <n v="310017"/>
    <s v="NJ"/>
    <s v="NJ - Morris"/>
    <s v="07444"/>
    <s v="Chilton Medical Center"/>
    <s v="Short Term Acute Care Hospital"/>
    <s v="Pompton Plains"/>
    <n v="105.4"/>
    <n v="4.4000000000000004"/>
    <n v="393"/>
    <n v="175"/>
    <n v="12"/>
    <n v="0.02"/>
    <n v="175"/>
    <n v="1.46"/>
    <n v="2686"/>
    <n v="9116"/>
  </r>
  <r>
    <x v="1891"/>
    <n v="310015"/>
    <s v="NJ"/>
    <s v="NJ - Morris"/>
    <s v="07960"/>
    <s v="Morristown Medical Center"/>
    <s v="Short Term Acute Care Hospital"/>
    <s v="Morristown"/>
    <n v="489.3"/>
    <n v="4.5999999999999996"/>
    <n v="1534"/>
    <n v="614"/>
    <n v="44"/>
    <n v="0.02"/>
    <n v="614"/>
    <n v="2.12"/>
    <n v="2687"/>
    <n v="41066"/>
  </r>
  <r>
    <x v="1891"/>
    <n v="310050"/>
    <s v="NJ"/>
    <s v="NJ - Morris"/>
    <s v="07834"/>
    <s v="Saint Clares Denville Hospital"/>
    <s v="Short Term Acute Care Hospital"/>
    <s v="Denville"/>
    <n v="142.9"/>
    <n v="3.8"/>
    <n v="336"/>
    <n v="325"/>
    <n v="25"/>
    <n v="0.02"/>
    <n v="264"/>
    <n v="1.69"/>
    <n v="2688"/>
    <n v="14713"/>
  </r>
  <r>
    <x v="1891"/>
    <s v="310050*"/>
    <s v="NJ"/>
    <s v="NJ - Morris"/>
    <s v="07801"/>
    <s v="Saint Clares Dover Hospital"/>
    <s v="Short Term Acute Care Hospital"/>
    <s v="Dover"/>
    <m/>
    <m/>
    <n v="1"/>
    <m/>
    <m/>
    <m/>
    <n v="60"/>
    <m/>
    <n v="274204"/>
    <m/>
  </r>
  <r>
    <x v="1892"/>
    <n v="310052"/>
    <s v="NJ"/>
    <s v="NJ - Ocean"/>
    <s v="08724"/>
    <s v="Ocean Medical Center"/>
    <s v="Short Term Acute Care Hospital"/>
    <s v="Brick"/>
    <n v="201.4"/>
    <n v="5.4"/>
    <n v="445"/>
    <n v="318"/>
    <n v="24"/>
    <n v="0.02"/>
    <n v="318"/>
    <n v="1.54"/>
    <n v="2689"/>
    <n v="13885"/>
  </r>
  <r>
    <x v="1892"/>
    <n v="310041"/>
    <s v="NJ"/>
    <s v="NJ - Ocean"/>
    <s v="08755"/>
    <s v="Community Medical Center"/>
    <s v="Short Term Acute Care Hospital"/>
    <s v="Toms River"/>
    <n v="280.5"/>
    <n v="5.5"/>
    <n v="608"/>
    <n v="424"/>
    <n v="38"/>
    <n v="0.02"/>
    <n v="424"/>
    <n v="1.51"/>
    <n v="2690"/>
    <n v="19660"/>
  </r>
  <r>
    <x v="1892"/>
    <n v="310113"/>
    <s v="NJ"/>
    <s v="NJ - Ocean"/>
    <s v="08050"/>
    <s v="Southern Ocean Medical Center"/>
    <s v="Short Term Acute Care Hospital"/>
    <s v="Manahawkin"/>
    <n v="71.599999999999994"/>
    <n v="3.5"/>
    <n v="250"/>
    <n v="154"/>
    <n v="12"/>
    <n v="0.02"/>
    <n v="154"/>
    <n v="1.56"/>
    <n v="2691"/>
    <n v="7613"/>
  </r>
  <r>
    <x v="1892"/>
    <n v="310084"/>
    <s v="NJ"/>
    <s v="NJ - Ocean"/>
    <s v="08701"/>
    <s v="Monmouth Medical Center Southern Campus"/>
    <s v="Short Term Acute Care Hospital"/>
    <s v="Lakewood"/>
    <n v="98.5"/>
    <n v="5.9"/>
    <n v="194"/>
    <n v="201"/>
    <n v="20"/>
    <n v="0.02"/>
    <n v="201"/>
    <n v="1.53"/>
    <n v="2692"/>
    <n v="6098"/>
  </r>
  <r>
    <x v="1893"/>
    <n v="310019"/>
    <s v="NJ"/>
    <s v="NJ - Passaic"/>
    <s v="07503"/>
    <s v="St Josephs University Medical Center (FKA St Josephs Regional Medical Center)"/>
    <s v="Short Term Acute Care Hospital"/>
    <s v="Paterson"/>
    <n v="496.1"/>
    <n v="5.7"/>
    <n v="889"/>
    <n v="678"/>
    <n v="28"/>
    <n v="0.02"/>
    <n v="678"/>
    <n v="1.87"/>
    <n v="2693"/>
    <n v="33009"/>
  </r>
  <r>
    <x v="1893"/>
    <n v="310006"/>
    <s v="NJ"/>
    <s v="NJ - Passaic"/>
    <s v="07055"/>
    <s v="St Marys General Hospital"/>
    <s v="Short Term Acute Care Hospital"/>
    <s v="Passaic"/>
    <n v="82.8"/>
    <n v="4.3"/>
    <n v="217"/>
    <n v="145"/>
    <n v="25"/>
    <n v="0.02"/>
    <n v="145"/>
    <n v="1.83"/>
    <n v="2694"/>
    <n v="6044"/>
  </r>
  <r>
    <x v="1893"/>
    <s v="310019*"/>
    <s v="NJ"/>
    <s v="NJ - Passaic"/>
    <s v="07470"/>
    <s v="St Josephs Wayne Medical Center (AKA St Josephs Wayne Hospital)"/>
    <s v="Short Term Acute Care Hospital"/>
    <s v="Wayne"/>
    <m/>
    <m/>
    <n v="6"/>
    <m/>
    <m/>
    <m/>
    <n v="229"/>
    <m/>
    <n v="2695"/>
    <m/>
  </r>
  <r>
    <x v="1894"/>
    <n v="310091"/>
    <s v="NJ"/>
    <s v="NJ - Salem"/>
    <s v="08079"/>
    <s v="Salem Medical Center (FKA the Memorial Hospital of Salem County)"/>
    <s v="Short Term Acute Care Hospital"/>
    <s v="Salem"/>
    <n v="24.8"/>
    <n v="3.4"/>
    <n v="90"/>
    <n v="126"/>
    <n v="12"/>
    <n v="0.05"/>
    <n v="126"/>
    <n v="1.23"/>
    <n v="2696"/>
    <n v="2647"/>
  </r>
  <r>
    <x v="1894"/>
    <n v="310069"/>
    <s v="NJ"/>
    <s v="NJ - Salem"/>
    <s v="08318"/>
    <s v="Inspira Medical Center Elmer (FKA South Jersey Healthcare - Elmer Hospital)"/>
    <s v="Short Term Acute Care Hospital"/>
    <s v="Elmer"/>
    <n v="30.6"/>
    <n v="4"/>
    <n v="72"/>
    <n v="83"/>
    <n v="7"/>
    <n v="0.05"/>
    <n v="83"/>
    <n v="1.31"/>
    <n v="2697"/>
    <n v="2916"/>
  </r>
  <r>
    <x v="1895"/>
    <n v="310048"/>
    <s v="NJ"/>
    <s v="NJ - Somerset"/>
    <s v="08876"/>
    <s v="RWJ University Hospital Somerset (FKA Somerset Medical Center)"/>
    <s v="Short Term Acute Care Hospital"/>
    <s v="Somerville"/>
    <n v="160.6"/>
    <n v="4.8"/>
    <n v="450"/>
    <n v="281"/>
    <n v="28"/>
    <n v="0.02"/>
    <n v="281"/>
    <n v="1.54"/>
    <n v="2698"/>
    <n v="12611"/>
  </r>
  <r>
    <x v="1896"/>
    <n v="310028"/>
    <s v="NJ"/>
    <s v="NJ - Sussex"/>
    <s v="07860"/>
    <s v="Newton Medical Center"/>
    <s v="Short Term Acute Care Hospital"/>
    <s v="Newton"/>
    <n v="92.8"/>
    <n v="4.3"/>
    <n v="241"/>
    <n v="130"/>
    <n v="10"/>
    <n v="0.02"/>
    <n v="130"/>
    <n v="1.46"/>
    <n v="2699"/>
    <n v="8118"/>
  </r>
  <r>
    <x v="1896"/>
    <s v="310120 (Closed)"/>
    <s v="NJ"/>
    <s v="NJ - Sussex"/>
    <s v="07461"/>
    <s v="Saint Clares Health Center at Sussex (Closed - No Inpatient Services)"/>
    <s v="Short Term Acute Care Hospital"/>
    <s v="Sussex"/>
    <n v="10.1"/>
    <n v="3.1"/>
    <m/>
    <m/>
    <m/>
    <n v="0.02"/>
    <m/>
    <m/>
    <n v="2700"/>
    <n v="1188"/>
  </r>
  <r>
    <x v="1897"/>
    <n v="310027"/>
    <s v="NJ"/>
    <s v="NJ - Union"/>
    <s v="07202"/>
    <s v="Trinitas Regional Medical Center"/>
    <s v="Short Term Acute Care Hospital"/>
    <s v="Elizabeth"/>
    <n v="131.19999999999999"/>
    <n v="4.8"/>
    <n v="274"/>
    <n v="220"/>
    <n v="25"/>
    <n v="0.02"/>
    <n v="220"/>
    <n v="1.52"/>
    <n v="2701"/>
    <n v="10723"/>
  </r>
  <r>
    <x v="1897"/>
    <n v="310024"/>
    <s v="NJ"/>
    <s v="NJ - Union"/>
    <s v="07065"/>
    <s v="RWJ University Hospital Rahway"/>
    <s v="Short Term Acute Care Hospital"/>
    <s v="Rahway"/>
    <n v="69"/>
    <n v="5.3"/>
    <n v="194"/>
    <n v="122"/>
    <m/>
    <n v="0.02"/>
    <n v="122"/>
    <n v="1.67"/>
    <n v="2702"/>
    <n v="4776"/>
  </r>
  <r>
    <x v="1897"/>
    <n v="310051"/>
    <s v="NJ"/>
    <s v="NJ - Union"/>
    <s v="07901"/>
    <s v="Overlook Medical Center"/>
    <s v="Short Term Acute Care Hospital"/>
    <s v="Summit"/>
    <n v="250.6"/>
    <n v="4.0999999999999996"/>
    <n v="891"/>
    <n v="443"/>
    <n v="30"/>
    <n v="0.02"/>
    <n v="443"/>
    <n v="1.63"/>
    <n v="2703"/>
    <n v="23734"/>
  </r>
  <r>
    <x v="1897"/>
    <s v="310063 (Closed)"/>
    <s v="NJ"/>
    <s v="NJ - Union"/>
    <s v="07060"/>
    <s v="Muhlenberg Regional Medical Center (Closed Inpatient Services 2008)"/>
    <s v="Short Term Acute Care Hospital"/>
    <s v="Plainfield"/>
    <n v="92.3"/>
    <n v="4.7"/>
    <m/>
    <m/>
    <m/>
    <n v="0.02"/>
    <m/>
    <m/>
    <n v="4813"/>
    <n v="7634"/>
  </r>
  <r>
    <x v="1898"/>
    <n v="310060"/>
    <s v="NJ"/>
    <s v="NJ - Warren"/>
    <s v="08865"/>
    <s v="St Lukes Warren Campus (FKA Warren Hospital)"/>
    <s v="Short Term Acute Care Hospital"/>
    <s v="Phillipsburg"/>
    <n v="46.2"/>
    <n v="4.0999999999999996"/>
    <n v="178"/>
    <n v="92"/>
    <n v="12"/>
    <n v="0.32"/>
    <n v="92"/>
    <n v="1.51"/>
    <n v="2704"/>
    <n v="4077"/>
  </r>
  <r>
    <x v="1898"/>
    <n v="310115"/>
    <s v="NJ"/>
    <s v="NJ - Warren"/>
    <s v="07840"/>
    <s v="Hackettstown Medical Center"/>
    <s v="Short Term Acute Care Hospital"/>
    <s v="Hackettstown"/>
    <n v="37.1"/>
    <n v="4.0999999999999996"/>
    <n v="142"/>
    <n v="64"/>
    <n v="8"/>
    <m/>
    <n v="64"/>
    <n v="1.5"/>
    <n v="2705"/>
    <n v="3330"/>
  </r>
  <r>
    <x v="1899"/>
    <n v="320001"/>
    <s v="NM"/>
    <s v="NM - Bernalillo"/>
    <n v="87106"/>
    <s v="University of New Mexico Hospital (AKA UNM Hospital)"/>
    <s v="Short Term Acute Care Hospital"/>
    <s v="Albuquerque"/>
    <n v="385.9"/>
    <n v="6.7"/>
    <n v="1197"/>
    <n v="473"/>
    <m/>
    <n v="0.34"/>
    <n v="451"/>
    <n v="2.04"/>
    <n v="2706"/>
    <n v="22737"/>
  </r>
  <r>
    <x v="1899"/>
    <n v="320009"/>
    <s v="NM"/>
    <s v="NM - Bernalillo"/>
    <n v="87102"/>
    <s v="Lovelace Medical Center"/>
    <s v="Short Term Acute Care Hospital"/>
    <s v="Albuquerque"/>
    <n v="171.9"/>
    <n v="5"/>
    <n v="400"/>
    <n v="293"/>
    <n v="48"/>
    <n v="0.34"/>
    <n v="293"/>
    <n v="2.19"/>
    <n v="2707"/>
    <n v="12469"/>
  </r>
  <r>
    <x v="1899"/>
    <n v="320021"/>
    <s v="NM"/>
    <s v="NM - Bernalillo"/>
    <n v="87106"/>
    <s v="Presbyterian Hospital"/>
    <s v="Short Term Acute Care Hospital"/>
    <s v="Albuquerque"/>
    <n v="485.1"/>
    <n v="4.7"/>
    <n v="1320"/>
    <n v="671"/>
    <n v="47"/>
    <n v="0.34"/>
    <n v="453"/>
    <n v="1.83"/>
    <n v="2708"/>
    <n v="39171"/>
  </r>
  <r>
    <x v="1899"/>
    <n v="320017"/>
    <s v="NM"/>
    <s v="NM - Bernalillo"/>
    <n v="87109"/>
    <s v="Lovelace Womens Hospital"/>
    <s v="Short Term Acute Care Hospital"/>
    <s v="Albuquerque"/>
    <n v="72.5"/>
    <n v="4.8"/>
    <n v="384"/>
    <n v="162"/>
    <n v="8"/>
    <n v="0.34"/>
    <n v="162"/>
    <n v="1.46"/>
    <n v="2709"/>
    <n v="6772"/>
  </r>
  <r>
    <x v="1899"/>
    <n v="320074"/>
    <s v="NM"/>
    <s v="NM - Bernalillo"/>
    <n v="87114"/>
    <s v="Lovelace Westside Hospital"/>
    <s v="Short Term Acute Care Hospital"/>
    <s v="Albuquerque"/>
    <n v="24.8"/>
    <n v="3.2"/>
    <n v="100"/>
    <n v="70"/>
    <n v="8"/>
    <n v="0.34"/>
    <n v="70"/>
    <n v="1.51"/>
    <n v="2710"/>
    <n v="3079"/>
  </r>
  <r>
    <x v="1899"/>
    <s v="320009*"/>
    <s v="NM"/>
    <s v="NM - Bernalillo"/>
    <n v="87102"/>
    <s v="Heart Hospital of New Mexico"/>
    <s v="Short Term Acute Care Hospital"/>
    <s v="Albuquerque"/>
    <m/>
    <m/>
    <n v="6"/>
    <m/>
    <m/>
    <m/>
    <n v="55"/>
    <m/>
    <n v="2711"/>
    <m/>
  </r>
  <r>
    <x v="1899"/>
    <s v="320021*"/>
    <s v="NM"/>
    <s v="NM - Bernalillo"/>
    <n v="87110"/>
    <s v="Presbyterian Kaseman Hospital"/>
    <s v="Short Term Acute Care Hospital"/>
    <s v="Albuquerque"/>
    <m/>
    <m/>
    <m/>
    <m/>
    <m/>
    <m/>
    <m/>
    <m/>
    <n v="553301"/>
    <m/>
  </r>
  <r>
    <x v="1899"/>
    <m/>
    <s v="NM"/>
    <s v="NM - Bernalillo"/>
    <n v="87108"/>
    <s v="Turquoise Lodge Hospital"/>
    <s v="Short Term Acute Care Hospital"/>
    <s v="Albuquerque"/>
    <m/>
    <m/>
    <n v="1"/>
    <m/>
    <m/>
    <m/>
    <n v="40"/>
    <m/>
    <n v="579955"/>
    <m/>
  </r>
  <r>
    <x v="1899"/>
    <m/>
    <s v="NM"/>
    <s v="NM - Bernalillo"/>
    <n v="87108"/>
    <s v="Gibson Medical Center Field Hospital (Temporarily Open due to COVID-19)"/>
    <s v="Short Term Acute Care Hospital"/>
    <s v="Albuquerque"/>
    <m/>
    <m/>
    <m/>
    <m/>
    <m/>
    <m/>
    <m/>
    <m/>
    <n v="1012599"/>
    <m/>
  </r>
  <r>
    <x v="1900"/>
    <n v="320086"/>
    <s v="NM"/>
    <s v="NM - Chaves"/>
    <n v="88201"/>
    <s v="Lovelace Regional Hospital (FKA Roswell Regional Hospital)"/>
    <s v="Short Term Acute Care Hospital"/>
    <s v="Roswell"/>
    <n v="14.3"/>
    <n v="3.3"/>
    <n v="68"/>
    <n v="27"/>
    <n v="4"/>
    <n v="0.6"/>
    <n v="27"/>
    <n v="1.51"/>
    <n v="2712"/>
    <n v="2011"/>
  </r>
  <r>
    <x v="1900"/>
    <n v="320006"/>
    <s v="NM"/>
    <s v="NM - Chaves"/>
    <n v="88201"/>
    <s v="Eastern New Mexico Medical Center"/>
    <s v="Short Term Acute Care Hospital"/>
    <s v="Roswell"/>
    <n v="52.1"/>
    <n v="3.9"/>
    <n v="118"/>
    <n v="162"/>
    <n v="20"/>
    <n v="0.6"/>
    <n v="162"/>
    <n v="1.59"/>
    <n v="2713"/>
    <n v="5105"/>
  </r>
  <r>
    <x v="747"/>
    <n v="320070"/>
    <s v="NM"/>
    <s v="NM - Cibola"/>
    <n v="87034"/>
    <s v="Acoma-Canoncito-Laguna Service Unit"/>
    <s v="Short Term Acute Care Hospital"/>
    <s v="Acoma Pueblo"/>
    <n v="0.3"/>
    <n v="3.2"/>
    <n v="21"/>
    <n v="6"/>
    <m/>
    <m/>
    <n v="6"/>
    <n v="1.1299999999999999"/>
    <n v="2715"/>
    <n v="38"/>
  </r>
  <r>
    <x v="1901"/>
    <n v="320022"/>
    <s v="NM"/>
    <s v="NM - Curry"/>
    <n v="88101"/>
    <s v="Plains Regional Medical Center"/>
    <s v="Short Term Acute Care Hospital"/>
    <s v="Clovis"/>
    <n v="30"/>
    <n v="3.7"/>
    <n v="116"/>
    <n v="106"/>
    <n v="8"/>
    <n v="1"/>
    <n v="106"/>
    <n v="1.36"/>
    <n v="2717"/>
    <n v="3562"/>
  </r>
  <r>
    <x v="1902"/>
    <n v="320018"/>
    <s v="NM"/>
    <s v="NM - Dona Ana"/>
    <n v="88011"/>
    <s v="Memorial Medical Center"/>
    <s v="Short Term Acute Care Hospital"/>
    <s v="Las Cruces"/>
    <n v="104.8"/>
    <n v="4.2"/>
    <n v="407"/>
    <n v="199"/>
    <n v="28"/>
    <n v="0.51"/>
    <n v="199"/>
    <n v="1.72"/>
    <n v="2718"/>
    <n v="10247"/>
  </r>
  <r>
    <x v="1902"/>
    <n v="320085"/>
    <s v="NM"/>
    <s v="NM - Dona Ana"/>
    <n v="88011"/>
    <s v="MountainView Regional Medical Center"/>
    <s v="Short Term Acute Care Hospital"/>
    <s v="Las Cruces"/>
    <n v="118.5"/>
    <n v="4.7"/>
    <n v="233"/>
    <n v="180"/>
    <n v="23"/>
    <n v="0.51"/>
    <n v="168"/>
    <n v="2"/>
    <n v="2719"/>
    <n v="9795"/>
  </r>
  <r>
    <x v="1903"/>
    <n v="320030"/>
    <s v="NM"/>
    <s v="NM - Eddy"/>
    <n v="88210"/>
    <s v="Artesia General Hospital"/>
    <s v="Short Term Acute Care Hospital"/>
    <s v="Artesia"/>
    <n v="6.1"/>
    <n v="2.5"/>
    <n v="94"/>
    <n v="34"/>
    <m/>
    <n v="0.53"/>
    <n v="34"/>
    <n v="1.39"/>
    <n v="2720"/>
    <n v="892"/>
  </r>
  <r>
    <x v="1903"/>
    <n v="320063"/>
    <s v="NM"/>
    <s v="NM - Eddy"/>
    <n v="88220"/>
    <s v="Carlsbad Medical Center"/>
    <s v="Short Term Acute Care Hospital"/>
    <s v="Carlsbad"/>
    <n v="17.7"/>
    <n v="3.4"/>
    <n v="80"/>
    <n v="82"/>
    <n v="15"/>
    <n v="0.53"/>
    <n v="82"/>
    <n v="1.6"/>
    <n v="2721"/>
    <n v="2050"/>
  </r>
  <r>
    <x v="1904"/>
    <n v="320016"/>
    <s v="NM"/>
    <s v="NM - Grant"/>
    <n v="88061"/>
    <s v="Gila Regional Medical Center"/>
    <s v="Short Term Acute Care Hospital"/>
    <s v="Silver City"/>
    <n v="10.7"/>
    <n v="4.3"/>
    <n v="112"/>
    <n v="32"/>
    <n v="6"/>
    <n v="1"/>
    <n v="32"/>
    <n v="1.47"/>
    <n v="2722"/>
    <n v="1033"/>
  </r>
  <r>
    <x v="1905"/>
    <n v="320067"/>
    <s v="NM"/>
    <s v="NM - Guadalupe"/>
    <n v="88435"/>
    <s v="Guadalupe County Hospital"/>
    <s v="Short Term Acute Care Hospital"/>
    <s v="Santa Rosa"/>
    <n v="1.6"/>
    <n v="2.8"/>
    <n v="16"/>
    <n v="10"/>
    <m/>
    <m/>
    <n v="10"/>
    <n v="0.9"/>
    <n v="2723"/>
    <n v="212"/>
  </r>
  <r>
    <x v="749"/>
    <n v="320065"/>
    <s v="NM"/>
    <s v="NM - Lea"/>
    <n v="88240"/>
    <s v="Lea Regional Medical Center"/>
    <s v="Short Term Acute Care Hospital"/>
    <s v="Hobbs"/>
    <n v="8.3000000000000007"/>
    <n v="3"/>
    <n v="52"/>
    <n v="61"/>
    <n v="8"/>
    <n v="0.54"/>
    <n v="61"/>
    <n v="1.42"/>
    <n v="2725"/>
    <n v="2157"/>
  </r>
  <r>
    <x v="1906"/>
    <n v="320033"/>
    <s v="NM"/>
    <s v="NM - Los Alamos"/>
    <n v="87544"/>
    <s v="Los Alamos Medical Center"/>
    <s v="Short Term Acute Care Hospital"/>
    <s v="Los Alamos"/>
    <n v="6.2"/>
    <n v="3.6"/>
    <n v="78"/>
    <n v="47"/>
    <n v="6"/>
    <n v="1"/>
    <n v="47"/>
    <n v="1.28"/>
    <n v="2727"/>
    <n v="756"/>
  </r>
  <r>
    <x v="1907"/>
    <n v="320038"/>
    <s v="NM"/>
    <s v="NM - Mckinley"/>
    <n v="87301"/>
    <s v="RMCHCS Hospital (AKA Rehoboth McKinley Christian Health Care Services)"/>
    <s v="Short Term Acute Care Hospital"/>
    <s v="Gallup"/>
    <n v="18.899999999999999"/>
    <n v="3.2"/>
    <n v="100"/>
    <n v="28"/>
    <n v="5"/>
    <n v="1"/>
    <n v="28"/>
    <n v="1.48"/>
    <n v="2729"/>
    <n v="2368"/>
  </r>
  <r>
    <x v="1907"/>
    <n v="320060"/>
    <s v="NM"/>
    <s v="NM - Mckinley"/>
    <n v="87327"/>
    <s v="Zuni Comprehensive Health Center"/>
    <s v="Short Term Acute Care Hospital"/>
    <s v="Zuni"/>
    <n v="5.9"/>
    <n v="3.9"/>
    <n v="27"/>
    <n v="27"/>
    <m/>
    <m/>
    <n v="27"/>
    <n v="1.1000000000000001"/>
    <n v="2730"/>
    <n v="548"/>
  </r>
  <r>
    <x v="1907"/>
    <n v="320061"/>
    <s v="NM"/>
    <s v="NM - Mckinley"/>
    <n v="87301"/>
    <s v="Gallup Indian Medical Center"/>
    <s v="Short Term Acute Care Hospital"/>
    <s v="Gallup"/>
    <n v="32.5"/>
    <n v="4.4000000000000004"/>
    <n v="174"/>
    <n v="74"/>
    <m/>
    <m/>
    <n v="74"/>
    <n v="1.1299999999999999"/>
    <n v="2731"/>
    <n v="2696"/>
  </r>
  <r>
    <x v="1907"/>
    <n v="320062"/>
    <s v="NM"/>
    <s v="NM - Mckinley"/>
    <n v="87313"/>
    <s v="Crownpoint Health Care Facility"/>
    <s v="Short Term Acute Care Hospital"/>
    <s v="Crownpoint"/>
    <n v="3.2"/>
    <n v="3.3"/>
    <n v="67"/>
    <n v="19"/>
    <m/>
    <m/>
    <n v="19"/>
    <n v="1.05"/>
    <n v="2732"/>
    <n v="353"/>
  </r>
  <r>
    <x v="1908"/>
    <n v="320058"/>
    <s v="NM"/>
    <s v="NM - Otero"/>
    <n v="88340"/>
    <s v="Mescalero Service Unit (AKA Mescalero Indian Hospital)"/>
    <s v="Short Term Acute Care Hospital"/>
    <s v="Mescalero"/>
    <n v="0.4"/>
    <n v="3.3"/>
    <n v="17"/>
    <n v="6"/>
    <m/>
    <m/>
    <n v="6"/>
    <n v="0.93"/>
    <n v="2733"/>
    <n v="48"/>
  </r>
  <r>
    <x v="1908"/>
    <n v="320004"/>
    <s v="NM"/>
    <s v="NM - Otero"/>
    <n v="88310"/>
    <s v="Gerald Champion Regional Medical Center"/>
    <s v="Short Term Acute Care Hospital"/>
    <s v="Alamogordo"/>
    <n v="26.7"/>
    <n v="3.4"/>
    <n v="184"/>
    <n v="50"/>
    <n v="10"/>
    <n v="1"/>
    <n v="50"/>
    <n v="1.53"/>
    <n v="2734"/>
    <n v="3103"/>
  </r>
  <r>
    <x v="1909"/>
    <n v="320011"/>
    <s v="NM"/>
    <s v="NM - Rio Arriba"/>
    <n v="87532"/>
    <s v="Presbyterian Espanola Hospital"/>
    <s v="Short Term Acute Care Hospital"/>
    <s v="Espanola"/>
    <n v="21.1"/>
    <n v="3.8"/>
    <n v="91"/>
    <n v="52"/>
    <n v="8"/>
    <n v="1"/>
    <n v="52"/>
    <n v="1.52"/>
    <n v="2736"/>
    <n v="2097"/>
  </r>
  <r>
    <x v="1910"/>
    <n v="320084"/>
    <s v="NM"/>
    <s v="NM - Roosevelt"/>
    <n v="88130"/>
    <s v="Roosevelt General Hospital"/>
    <s v="Short Term Acute Care Hospital"/>
    <s v="Portales"/>
    <n v="2.6"/>
    <n v="2.6"/>
    <n v="36"/>
    <n v="20"/>
    <m/>
    <n v="1"/>
    <n v="20"/>
    <n v="1.05"/>
    <n v="2737"/>
    <n v="359"/>
  </r>
  <r>
    <x v="1911"/>
    <s v="320021*"/>
    <s v="NM"/>
    <s v="NM - Sandoval"/>
    <n v="87124"/>
    <s v="Presbyterian Rust Medical Center"/>
    <s v="Short Term Acute Care Hospital"/>
    <s v="Rio Rancho"/>
    <m/>
    <m/>
    <m/>
    <m/>
    <m/>
    <m/>
    <n v="140"/>
    <m/>
    <n v="550788"/>
    <m/>
  </r>
  <r>
    <x v="1911"/>
    <n v="320089"/>
    <s v="NM"/>
    <s v="NM - Sandoval"/>
    <n v="87144"/>
    <s v="UNM Sandoval Regional Medical Center"/>
    <s v="Short Term Acute Care Hospital"/>
    <s v="Rio Rancho"/>
    <n v="32.700000000000003"/>
    <n v="4.0999999999999996"/>
    <n v="106"/>
    <n v="60"/>
    <m/>
    <n v="0.34"/>
    <n v="60"/>
    <n v="1.68"/>
    <n v="560402"/>
    <n v="2950"/>
  </r>
  <r>
    <x v="1912"/>
    <n v="320005"/>
    <s v="NM"/>
    <s v="NM - San Juan"/>
    <n v="87401"/>
    <s v="San Juan Regional Medical Center"/>
    <s v="Short Term Acute Care Hospital"/>
    <s v="Farmington"/>
    <n v="94.9"/>
    <n v="4.0999999999999996"/>
    <n v="273"/>
    <n v="184"/>
    <n v="10"/>
    <n v="1"/>
    <n v="184"/>
    <n v="1.81"/>
    <n v="2738"/>
    <n v="8857"/>
  </r>
  <r>
    <x v="1912"/>
    <n v="320059"/>
    <s v="NM"/>
    <s v="NM - San Juan"/>
    <n v="87420"/>
    <s v="Shiprock - Northern Navajo Medical Center"/>
    <s v="Short Term Acute Care Hospital"/>
    <s v="Shiprock"/>
    <n v="19.2"/>
    <n v="4.0999999999999996"/>
    <n v="176"/>
    <n v="60"/>
    <m/>
    <m/>
    <n v="60"/>
    <n v="1.2"/>
    <n v="2739"/>
    <n v="1692"/>
  </r>
  <r>
    <x v="1913"/>
    <n v="320003"/>
    <s v="NM"/>
    <s v="NM - San Miguel"/>
    <n v="87701"/>
    <s v="Alta Vista Regional Hospital"/>
    <s v="Short Term Acute Care Hospital"/>
    <s v="Las Vegas"/>
    <n v="9.6999999999999993"/>
    <n v="3.4"/>
    <n v="63"/>
    <n v="46"/>
    <n v="8"/>
    <n v="1"/>
    <n v="46"/>
    <n v="1.3"/>
    <n v="2740"/>
    <n v="1090"/>
  </r>
  <r>
    <x v="1914"/>
    <n v="320002"/>
    <s v="NM"/>
    <s v="NM - Santa Fe"/>
    <n v="87505"/>
    <s v="CHRISTUS St Vincent Regional Medical Center (AKA CHRISTUS St Vincent Health System)"/>
    <s v="Short Term Acute Care Hospital"/>
    <s v="Santa Fe"/>
    <n v="113.4"/>
    <n v="4.4000000000000004"/>
    <n v="467"/>
    <n v="185"/>
    <n v="18"/>
    <n v="0.71"/>
    <n v="185"/>
    <n v="1.65"/>
    <n v="2741"/>
    <n v="10031"/>
  </r>
  <r>
    <x v="1914"/>
    <n v="320057"/>
    <s v="NM"/>
    <s v="NM - Santa Fe"/>
    <n v="87501"/>
    <s v="Santa Fe Service Unit (AKA Santa Fe Indian Hospital)"/>
    <s v="Short Term Acute Care Hospital"/>
    <s v="Santa Fe"/>
    <n v="0.2"/>
    <n v="4.5"/>
    <n v="46"/>
    <n v="4"/>
    <m/>
    <m/>
    <n v="4"/>
    <n v="2.35"/>
    <n v="2742"/>
    <n v="19"/>
  </r>
  <r>
    <x v="1914"/>
    <s v="320002*"/>
    <s v="NM"/>
    <s v="NM - Santa Fe"/>
    <n v="87505"/>
    <s v="CHRISTUS St Vincent Physicians Medical Center"/>
    <s v="Short Term Acute Care Hospital"/>
    <s v="Santa Fe"/>
    <m/>
    <m/>
    <m/>
    <m/>
    <m/>
    <m/>
    <n v="19"/>
    <m/>
    <n v="2743"/>
    <m/>
  </r>
  <r>
    <x v="1914"/>
    <n v="320090"/>
    <s v="NM"/>
    <s v="NM - Santa Fe"/>
    <n v="87507"/>
    <s v="Presbyterian Santa Fe Medical Center"/>
    <s v="Short Term Acute Care Hospital"/>
    <s v="Santa Fe"/>
    <n v="15.5"/>
    <n v="2.9"/>
    <n v="48"/>
    <n v="36"/>
    <n v="6"/>
    <n v="0.71"/>
    <n v="36"/>
    <n v="1.48"/>
    <n v="873536"/>
    <n v="1947"/>
  </r>
  <r>
    <x v="1915"/>
    <n v="330003"/>
    <s v="NY"/>
    <s v="NY - Albany"/>
    <n v="12204"/>
    <s v="Samaritan Hospital - Albany Memorial Campus (FKA Albany Memorial Hospital)"/>
    <s v="Short Term Acute Care Hospital"/>
    <s v="Albany"/>
    <n v="17.8"/>
    <n v="3.8"/>
    <n v="130"/>
    <n v="73"/>
    <n v="16"/>
    <n v="0.2"/>
    <n v="73"/>
    <n v="1.48"/>
    <n v="2748"/>
    <n v="1714"/>
  </r>
  <r>
    <x v="1915"/>
    <n v="330013"/>
    <s v="NY"/>
    <s v="NY - Albany"/>
    <n v="12208"/>
    <s v="Albany Medical Center"/>
    <s v="Short Term Acute Care Hospital"/>
    <s v="Albany"/>
    <n v="576.6"/>
    <n v="5.5"/>
    <n v="883"/>
    <n v="747"/>
    <n v="65"/>
    <n v="0.2"/>
    <n v="747"/>
    <n v="1.97"/>
    <n v="2749"/>
    <n v="39130"/>
  </r>
  <r>
    <x v="1915"/>
    <n v="330057"/>
    <s v="NY"/>
    <s v="NY - Albany"/>
    <n v="12208"/>
    <s v="St Peters Hospital"/>
    <s v="Short Term Acute Care Hospital"/>
    <s v="Albany"/>
    <n v="365.9"/>
    <n v="5.0999999999999996"/>
    <n v="1214"/>
    <n v="482"/>
    <m/>
    <n v="0.2"/>
    <n v="482"/>
    <n v="1.81"/>
    <n v="2750"/>
    <n v="27097"/>
  </r>
  <r>
    <x v="1915"/>
    <s v="330013*"/>
    <s v="NY"/>
    <s v="NY - Albany"/>
    <n v="12208"/>
    <s v="Albany Medical Center - South Clinical Campus"/>
    <s v="Short Term Acute Care Hospital"/>
    <s v="Albany"/>
    <m/>
    <m/>
    <m/>
    <m/>
    <m/>
    <m/>
    <n v="20"/>
    <m/>
    <n v="2751"/>
    <m/>
  </r>
  <r>
    <x v="1915"/>
    <s v="330407 (Closed)"/>
    <s v="NY"/>
    <s v="NY - Albany"/>
    <n v="12047"/>
    <s v="Eddy Cohoes Rehabilitation Center (Closed Hospital Services)"/>
    <s v="Short Term Acute Care Hospital"/>
    <s v="Cohoes"/>
    <n v="3.6"/>
    <n v="8.1999999999999993"/>
    <m/>
    <m/>
    <m/>
    <n v="0.2"/>
    <m/>
    <m/>
    <n v="4826"/>
    <n v="159"/>
  </r>
  <r>
    <x v="756"/>
    <n v="330096"/>
    <s v="NY"/>
    <s v="NY - Allegany"/>
    <n v="14895"/>
    <s v="Jones Memorial Hospital"/>
    <s v="Short Term Acute Care Hospital"/>
    <s v="Wellsville"/>
    <n v="18.100000000000001"/>
    <n v="4.4000000000000004"/>
    <n v="81"/>
    <n v="49"/>
    <n v="6"/>
    <m/>
    <n v="49"/>
    <n v="1.21"/>
    <n v="2752"/>
    <n v="1729"/>
  </r>
  <r>
    <x v="1916"/>
    <n v="330080"/>
    <s v="NY"/>
    <s v="NY - Bronx"/>
    <n v="10451"/>
    <s v="NYC Health and Hospitals - Lincoln (FKA Lincoln Medical &amp; Mental Health Center)"/>
    <s v="Short Term Acute Care Hospital"/>
    <s v="Bronx"/>
    <n v="219.2"/>
    <n v="4.5"/>
    <n v="396"/>
    <n v="287"/>
    <n v="38"/>
    <n v="0.02"/>
    <n v="287"/>
    <n v="1.54"/>
    <n v="2753"/>
    <n v="18730"/>
  </r>
  <r>
    <x v="1916"/>
    <n v="330127"/>
    <s v="NY"/>
    <s v="NY - Bronx"/>
    <n v="10461"/>
    <s v="NYC Health and Hospitals - Jacobi (FKA Jacobi Medical Center)"/>
    <s v="Short Term Acute Care Hospital"/>
    <s v="Bronx"/>
    <n v="248.6"/>
    <n v="5.7"/>
    <n v="405"/>
    <n v="326"/>
    <n v="32"/>
    <n v="0.02"/>
    <n v="326"/>
    <n v="1.56"/>
    <n v="2755"/>
    <n v="16900"/>
  </r>
  <r>
    <x v="1916"/>
    <s v="330316 (Closed)"/>
    <s v="NY"/>
    <s v="NY - Bronx"/>
    <n v="10461"/>
    <s v="New York Westchester Square Medical Center (Inpatient Closed March 2013)"/>
    <s v="Short Term Acute Care Hospital"/>
    <s v="Bronx"/>
    <n v="55.8"/>
    <n v="6.9"/>
    <m/>
    <m/>
    <m/>
    <n v="0.02"/>
    <m/>
    <m/>
    <n v="2756"/>
    <n v="2958"/>
  </r>
  <r>
    <x v="1916"/>
    <n v="330009"/>
    <s v="NY"/>
    <s v="NY - Bronx"/>
    <n v="10456"/>
    <s v="BronxCare Hospital Center - Fulton Campus"/>
    <s v="Short Term Acute Care Hospital"/>
    <s v="Bronx"/>
    <n v="349.8"/>
    <n v="4.8"/>
    <n v="448"/>
    <n v="460"/>
    <n v="31"/>
    <n v="0.02"/>
    <n v="460"/>
    <n v="1.61"/>
    <n v="2757"/>
    <n v="27254"/>
  </r>
  <r>
    <x v="1916"/>
    <n v="330385"/>
    <s v="NY"/>
    <s v="NY - Bronx"/>
    <n v="10467"/>
    <s v="NYC Health and Hospitals - North Central Bronx (FKA North Central Bronx Hospital)"/>
    <s v="Short Term Acute Care Hospital"/>
    <s v="Bronx"/>
    <n v="58.3"/>
    <n v="4.5"/>
    <n v="113"/>
    <n v="130"/>
    <n v="20"/>
    <n v="0.02"/>
    <n v="130"/>
    <n v="1.19"/>
    <n v="2758"/>
    <n v="5312"/>
  </r>
  <r>
    <x v="1916"/>
    <n v="330399"/>
    <s v="NY"/>
    <s v="NY - Bronx"/>
    <n v="10457"/>
    <s v="St Barnabas Hospital"/>
    <s v="Short Term Acute Care Hospital"/>
    <s v="Bronx"/>
    <n v="169.3"/>
    <n v="4.8"/>
    <n v="376"/>
    <n v="283"/>
    <n v="26"/>
    <n v="0.02"/>
    <n v="283"/>
    <n v="1.57"/>
    <n v="2759"/>
    <n v="13301"/>
  </r>
  <r>
    <x v="1916"/>
    <n v="330059"/>
    <s v="NY"/>
    <s v="NY - Bronx"/>
    <n v="10467"/>
    <s v="Montefiore Hospital - Moses Campus"/>
    <s v="Short Term Acute Care Hospital"/>
    <s v="Bronx"/>
    <n v="1299.7"/>
    <n v="5.5"/>
    <n v="2204"/>
    <n v="1458"/>
    <n v="54"/>
    <n v="0.02"/>
    <n v="1458"/>
    <n v="1.82"/>
    <n v="273024"/>
    <n v="88041"/>
  </r>
  <r>
    <x v="1916"/>
    <s v="330059*"/>
    <s v="NY"/>
    <s v="NY - Bronx"/>
    <n v="10461"/>
    <s v="Montefiore Hospital - Einstein Campus (AKA Jack D Weiler Hospital)"/>
    <s v="Short Term Acute Care Hospital"/>
    <s v="Bronx"/>
    <m/>
    <m/>
    <n v="34"/>
    <m/>
    <m/>
    <m/>
    <m/>
    <m/>
    <n v="274051"/>
    <m/>
  </r>
  <r>
    <x v="1916"/>
    <s v="330059*"/>
    <s v="NY"/>
    <s v="NY - Bronx"/>
    <n v="10466"/>
    <s v="Montefiore Wakefield Campus"/>
    <s v="Short Term Acute Care Hospital"/>
    <s v="Bronx"/>
    <m/>
    <m/>
    <n v="1"/>
    <m/>
    <m/>
    <m/>
    <m/>
    <m/>
    <n v="274052"/>
    <m/>
  </r>
  <r>
    <x v="1916"/>
    <s v="330009*"/>
    <s v="NY"/>
    <s v="NY - Bronx"/>
    <n v="10457"/>
    <s v="BronxCare Hospital Center - Grand Concourse Campus"/>
    <s v="Short Term Acute Care Hospital"/>
    <s v="Bronx"/>
    <m/>
    <m/>
    <n v="17"/>
    <m/>
    <m/>
    <m/>
    <m/>
    <m/>
    <n v="794506"/>
    <m/>
  </r>
  <r>
    <x v="1916"/>
    <m/>
    <s v="NY"/>
    <s v="NY - Bronx"/>
    <n v="10474"/>
    <s v="New York Expo Center Field Hospital (Temporarily Open due to COVID-19)"/>
    <s v="Short Term Acute Care Hospital"/>
    <s v="Bronx"/>
    <m/>
    <m/>
    <m/>
    <m/>
    <m/>
    <m/>
    <m/>
    <m/>
    <n v="1012065"/>
    <m/>
  </r>
  <r>
    <x v="1917"/>
    <n v="330011"/>
    <s v="NY"/>
    <s v="NY - Broome"/>
    <n v="13905"/>
    <s v="Our Lady of Lourdes Memorial Hospital (AKA Ascension Lourdes Hospital)"/>
    <s v="Short Term Acute Care Hospital"/>
    <s v="Binghamton"/>
    <n v="109.9"/>
    <n v="4.4000000000000004"/>
    <n v="510"/>
    <n v="161"/>
    <n v="10"/>
    <n v="0.55000000000000004"/>
    <n v="161"/>
    <n v="1.52"/>
    <n v="2761"/>
    <n v="9534"/>
  </r>
  <r>
    <x v="1917"/>
    <n v="330394"/>
    <s v="NY"/>
    <s v="NY - Broome"/>
    <n v="13903"/>
    <s v="UHS Binghamton General Hospital"/>
    <s v="Short Term Acute Care Hospital"/>
    <s v="Binghamton"/>
    <n v="222.8"/>
    <n v="5.3"/>
    <n v="583"/>
    <n v="373"/>
    <n v="37"/>
    <n v="0.55000000000000004"/>
    <n v="220"/>
    <n v="1.77"/>
    <n v="274102"/>
    <n v="15405"/>
  </r>
  <r>
    <x v="1917"/>
    <s v="330394*"/>
    <s v="NY"/>
    <s v="NY - Broome"/>
    <n v="13790"/>
    <s v="UHS Wilson Medical Center"/>
    <s v="Short Term Acute Care Hospital"/>
    <s v="Johnson City"/>
    <m/>
    <m/>
    <m/>
    <m/>
    <m/>
    <m/>
    <n v="280"/>
    <m/>
    <n v="274103"/>
    <m/>
  </r>
  <r>
    <x v="1918"/>
    <s v="330132* (Closed)"/>
    <s v="NY"/>
    <s v="NY - Cattaraugus"/>
    <n v="14070"/>
    <s v="Tri - County Memorial Hospital (Closed)"/>
    <s v="Short Term Acute Care Hospital"/>
    <s v="Gowanda"/>
    <n v="41.5"/>
    <n v="6"/>
    <m/>
    <m/>
    <m/>
    <n v="0.68"/>
    <m/>
    <m/>
    <n v="2762"/>
    <n v="2536"/>
  </r>
  <r>
    <x v="1918"/>
    <n v="330103"/>
    <s v="NY"/>
    <s v="NY - Cattaraugus"/>
    <n v="14760"/>
    <s v="Olean General Hospital"/>
    <s v="Short Term Acute Care Hospital"/>
    <s v="Olean"/>
    <n v="109.6"/>
    <n v="5.2"/>
    <n v="287"/>
    <n v="260"/>
    <m/>
    <n v="0.68"/>
    <n v="260"/>
    <n v="1.38"/>
    <n v="2763"/>
    <n v="7889"/>
  </r>
  <r>
    <x v="1919"/>
    <n v="330235"/>
    <s v="NY"/>
    <s v="NY - Cayuga"/>
    <n v="13021"/>
    <s v="Auburn Community Hospital"/>
    <s v="Short Term Acute Care Hospital"/>
    <s v="Auburn"/>
    <n v="47.1"/>
    <n v="4"/>
    <n v="213"/>
    <n v="85"/>
    <m/>
    <n v="1"/>
    <n v="85"/>
    <n v="1.34"/>
    <n v="2764"/>
    <n v="4466"/>
  </r>
  <r>
    <x v="1920"/>
    <n v="330239"/>
    <s v="NY"/>
    <s v="NY - Chautauqua"/>
    <n v="14702"/>
    <s v="UPMC Chautauqua"/>
    <s v="Short Term Acute Care Hospital"/>
    <s v="Jamestown"/>
    <n v="71.8"/>
    <n v="5"/>
    <n v="271"/>
    <n v="159"/>
    <n v="23"/>
    <n v="0.52"/>
    <n v="159"/>
    <n v="1.32"/>
    <n v="2765"/>
    <n v="5555"/>
  </r>
  <r>
    <x v="1920"/>
    <n v="330229"/>
    <s v="NY"/>
    <s v="NY - Chautauqua"/>
    <n v="14048"/>
    <s v="Brooks Memorial Hospital"/>
    <s v="Short Term Acute Care Hospital"/>
    <s v="Dunkirk"/>
    <n v="21.3"/>
    <n v="4.7"/>
    <n v="163"/>
    <n v="45"/>
    <n v="3"/>
    <n v="0.52"/>
    <n v="45"/>
    <n v="1.28"/>
    <n v="2766"/>
    <n v="2180"/>
  </r>
  <r>
    <x v="1920"/>
    <n v="330166"/>
    <s v="NY"/>
    <s v="NY - Chautauqua"/>
    <n v="14787"/>
    <s v="Westfield Memorial Hospital"/>
    <s v="Short Term Acute Care Hospital"/>
    <s v="Westfield"/>
    <n v="0.1"/>
    <n v="3.7"/>
    <n v="33"/>
    <n v="4"/>
    <m/>
    <n v="0.52"/>
    <n v="4"/>
    <n v="0.84"/>
    <n v="2767"/>
    <n v="11"/>
  </r>
  <r>
    <x v="1920"/>
    <s v="330132 (Closed)"/>
    <s v="NY"/>
    <s v="NY - Chautauqua"/>
    <n v="14081"/>
    <s v="Lake Shore Health Care Center (Closed)"/>
    <s v="Short Term Acute Care Hospital"/>
    <s v="Irving"/>
    <m/>
    <m/>
    <m/>
    <m/>
    <m/>
    <m/>
    <m/>
    <n v="1.1299999999999999"/>
    <n v="542008"/>
    <m/>
  </r>
  <r>
    <x v="1921"/>
    <n v="330108"/>
    <s v="NY"/>
    <s v="NY - Chemung"/>
    <n v="14901"/>
    <s v="St Josephs Hospital"/>
    <s v="Short Term Acute Care Hospital"/>
    <s v="Elmira"/>
    <n v="17.2"/>
    <n v="20.7"/>
    <n v="8"/>
    <n v="20"/>
    <m/>
    <n v="0.77"/>
    <n v="20"/>
    <n v="1.05"/>
    <n v="2769"/>
    <n v="308"/>
  </r>
  <r>
    <x v="1921"/>
    <n v="330090"/>
    <s v="NY"/>
    <s v="NY - Chemung"/>
    <n v="14905"/>
    <s v="Arnot Ogden Medical Center"/>
    <s v="Short Term Acute Care Hospital"/>
    <s v="Elmira"/>
    <n v="120.7"/>
    <n v="4.2"/>
    <n v="306"/>
    <n v="225"/>
    <n v="20"/>
    <n v="0.77"/>
    <n v="225"/>
    <n v="1.53"/>
    <n v="2770"/>
    <n v="10921"/>
  </r>
  <r>
    <x v="1922"/>
    <n v="330033"/>
    <s v="NY"/>
    <s v="NY - Chenango"/>
    <n v="13815"/>
    <s v="UHS Chenango Memorial Hospital"/>
    <s v="Short Term Acute Care Hospital"/>
    <s v="Norwich"/>
    <n v="10"/>
    <n v="3.6"/>
    <n v="75"/>
    <n v="58"/>
    <n v="7"/>
    <m/>
    <n v="58"/>
    <n v="1.35"/>
    <n v="2771"/>
    <n v="1184"/>
  </r>
  <r>
    <x v="1923"/>
    <n v="330250"/>
    <s v="NY"/>
    <s v="NY - Clinton"/>
    <n v="12901"/>
    <s v="Champlain Valley Physicians Hospital"/>
    <s v="Short Term Acute Care Hospital"/>
    <s v="Plattsburgh"/>
    <n v="131.69999999999999"/>
    <n v="5.0999999999999996"/>
    <n v="370"/>
    <n v="300"/>
    <n v="21"/>
    <n v="1"/>
    <n v="300"/>
    <n v="1.5"/>
    <n v="2772"/>
    <n v="9754"/>
  </r>
  <r>
    <x v="1924"/>
    <n v="330094"/>
    <s v="NY"/>
    <s v="NY - Columbia"/>
    <n v="12534"/>
    <s v="Columbia Memorial Hospital"/>
    <s v="Short Term Acute Care Hospital"/>
    <s v="Hudson"/>
    <n v="62.6"/>
    <n v="5.4"/>
    <n v="286"/>
    <n v="95"/>
    <n v="9"/>
    <n v="1"/>
    <n v="95"/>
    <n v="1.45"/>
    <n v="2773"/>
    <n v="4342"/>
  </r>
  <r>
    <x v="1925"/>
    <n v="330175"/>
    <s v="NY"/>
    <s v="NY - Cortland"/>
    <n v="13045"/>
    <s v="Guthrie Cortland Medical Center (FKA Cortland Regional Medical Center)"/>
    <s v="Short Term Acute Care Hospital"/>
    <s v="Cortland"/>
    <n v="31.4"/>
    <n v="3.8"/>
    <n v="163"/>
    <n v="103"/>
    <n v="12"/>
    <n v="1"/>
    <n v="103"/>
    <n v="1.39"/>
    <n v="2774"/>
    <n v="3130"/>
  </r>
  <r>
    <x v="757"/>
    <s v="330408 (Closed)"/>
    <s v="NY"/>
    <s v="NY - Delaware"/>
    <n v="13838"/>
    <s v="Tri Town Regional Hospital (Closed - Emergency Services Only)"/>
    <s v="Short Term Acute Care Hospital"/>
    <s v="Sidney"/>
    <m/>
    <m/>
    <m/>
    <m/>
    <m/>
    <m/>
    <m/>
    <m/>
    <n v="4955"/>
    <m/>
  </r>
  <r>
    <x v="1926"/>
    <n v="330067"/>
    <s v="NY"/>
    <s v="NY - Dutchess"/>
    <n v="12601"/>
    <s v="MidHudson Regional Hospital (FKA St Francis Hospital)"/>
    <s v="Short Term Acute Care Hospital"/>
    <s v="Poughkeepsie"/>
    <n v="94.8"/>
    <n v="6"/>
    <n v="51"/>
    <n v="185"/>
    <m/>
    <n v="0.25"/>
    <n v="185"/>
    <m/>
    <n v="2777"/>
    <n v="5835"/>
  </r>
  <r>
    <x v="1926"/>
    <n v="330049"/>
    <s v="NY"/>
    <s v="NY - Dutchess"/>
    <n v="12572"/>
    <s v="Northern Dutchess Hospital"/>
    <s v="Short Term Acute Care Hospital"/>
    <s v="Rhinebeck"/>
    <n v="47.8"/>
    <n v="3.8"/>
    <n v="164"/>
    <n v="74"/>
    <n v="7"/>
    <n v="0.25"/>
    <n v="74"/>
    <n v="1.47"/>
    <n v="2778"/>
    <n v="5095"/>
  </r>
  <r>
    <x v="1926"/>
    <n v="330023"/>
    <s v="NY"/>
    <s v="NY - Dutchess"/>
    <n v="12601"/>
    <s v="Vassar Brothers Medical Center"/>
    <s v="Short Term Acute Care Hospital"/>
    <s v="Poughkeepsie"/>
    <n v="268.8"/>
    <n v="4.9000000000000004"/>
    <n v="766"/>
    <n v="365"/>
    <n v="20"/>
    <n v="0.25"/>
    <n v="365"/>
    <n v="1.87"/>
    <n v="2779"/>
    <n v="21294"/>
  </r>
  <r>
    <x v="1927"/>
    <n v="330354"/>
    <s v="NY"/>
    <s v="NY - Erie"/>
    <n v="14263"/>
    <s v="Roswell Park Comprehensive Cancer Center (FKA Roswell Park Cancer Institute)"/>
    <s v="Short Term Acute Care Hospital"/>
    <s v="Buffalo"/>
    <n v="112"/>
    <n v="7.7"/>
    <n v="389"/>
    <n v="133"/>
    <n v="16"/>
    <n v="0.2"/>
    <n v="133"/>
    <n v="2.11"/>
    <n v="2768"/>
    <n v="5307"/>
  </r>
  <r>
    <x v="1927"/>
    <s v="330029 (Closed)"/>
    <s v="NY"/>
    <s v="NY - Erie"/>
    <n v="14203"/>
    <s v="Sheehan Memorial Hospital (Closed 2012)"/>
    <s v="Short Term Acute Care Hospital"/>
    <s v="Buffalo"/>
    <n v="30.3"/>
    <n v="7.9"/>
    <m/>
    <m/>
    <m/>
    <n v="0.2"/>
    <m/>
    <m/>
    <n v="2780"/>
    <n v="1391"/>
  </r>
  <r>
    <x v="1927"/>
    <n v="330005"/>
    <s v="NY"/>
    <s v="NY - Erie"/>
    <n v="14203"/>
    <s v="Buffalo General Medical Center (FKA Buffalo General Hospital)"/>
    <s v="Short Term Acute Care Hospital"/>
    <s v="Buffalo"/>
    <n v="732.2"/>
    <n v="5.2"/>
    <n v="1204"/>
    <n v="954"/>
    <n v="70"/>
    <n v="0.2"/>
    <n v="377"/>
    <n v="1.95"/>
    <n v="2781"/>
    <n v="50926"/>
  </r>
  <r>
    <x v="1927"/>
    <n v="330078"/>
    <s v="NY"/>
    <s v="NY - Erie"/>
    <n v="14214"/>
    <s v="Sisters of Charity Hospital"/>
    <s v="Short Term Acute Care Hospital"/>
    <s v="Buffalo"/>
    <n v="200.2"/>
    <n v="5.2"/>
    <n v="665"/>
    <n v="386"/>
    <n v="30"/>
    <n v="0.2"/>
    <n v="386"/>
    <n v="1.64"/>
    <n v="2782"/>
    <n v="15135"/>
  </r>
  <r>
    <x v="1927"/>
    <n v="330111"/>
    <s v="NY"/>
    <s v="NY - Erie"/>
    <n v="14141"/>
    <s v="Bertrand Chaffee Hospital"/>
    <s v="Short Term Acute Care Hospital"/>
    <s v="Springville"/>
    <n v="8.5"/>
    <n v="3.6"/>
    <n v="83"/>
    <n v="23"/>
    <m/>
    <n v="0.2"/>
    <n v="23"/>
    <n v="1.03"/>
    <n v="2783"/>
    <n v="853"/>
  </r>
  <r>
    <x v="1927"/>
    <n v="330102"/>
    <s v="NY"/>
    <s v="NY - Erie"/>
    <n v="14217"/>
    <s v="Kenmore Mercy Hospital"/>
    <s v="Short Term Acute Care Hospital"/>
    <s v="Kenmore"/>
    <n v="85.9"/>
    <n v="3.9"/>
    <n v="158"/>
    <n v="164"/>
    <n v="16"/>
    <n v="0.2"/>
    <n v="164"/>
    <n v="1.66"/>
    <n v="2784"/>
    <n v="7966"/>
  </r>
  <r>
    <x v="1927"/>
    <n v="330279"/>
    <s v="NY"/>
    <s v="NY - Erie"/>
    <n v="14220"/>
    <s v="Mercy Hospital of Buffalo"/>
    <s v="Short Term Acute Care Hospital"/>
    <s v="Buffalo"/>
    <n v="239.1"/>
    <n v="4.9000000000000004"/>
    <n v="425"/>
    <n v="364"/>
    <n v="28"/>
    <n v="0.2"/>
    <n v="364"/>
    <n v="1.99"/>
    <n v="2786"/>
    <n v="18591"/>
  </r>
  <r>
    <x v="1927"/>
    <n v="330219"/>
    <s v="NY"/>
    <s v="NY - Erie"/>
    <n v="14215"/>
    <s v="Erie County Medical Center (AKA ECMC)"/>
    <s v="Short Term Acute Care Hospital"/>
    <s v="Buffalo"/>
    <n v="280.7"/>
    <n v="6.1"/>
    <n v="421"/>
    <n v="340"/>
    <n v="30"/>
    <n v="0.2"/>
    <n v="340"/>
    <n v="1.8"/>
    <n v="2787"/>
    <n v="16670"/>
  </r>
  <r>
    <x v="1927"/>
    <s v="330078*"/>
    <s v="NY"/>
    <s v="NY - Erie"/>
    <n v="14225"/>
    <s v="St Joseph Campus of Sisters of Charity Hospital"/>
    <s v="Short Term Acute Care Hospital"/>
    <s v="Cheektowaga"/>
    <m/>
    <m/>
    <n v="4"/>
    <m/>
    <m/>
    <m/>
    <n v="123"/>
    <m/>
    <n v="4821"/>
    <m/>
  </r>
  <r>
    <x v="1927"/>
    <s v="330005* (Closed)"/>
    <s v="NY"/>
    <s v="NY - Erie"/>
    <n v="14209"/>
    <s v="Millard Fillmore Gates Circle Hospital (Closed)"/>
    <s v="Short Term Acute Care Hospital"/>
    <s v="Buffalo"/>
    <m/>
    <m/>
    <m/>
    <m/>
    <m/>
    <m/>
    <m/>
    <m/>
    <n v="541888"/>
    <m/>
  </r>
  <r>
    <x v="1927"/>
    <s v="330005*"/>
    <s v="NY"/>
    <s v="NY - Erie"/>
    <n v="14221"/>
    <s v="Millard Fillmore Suburban Hospital"/>
    <s v="Short Term Acute Care Hospital"/>
    <s v="Williamsville"/>
    <m/>
    <m/>
    <n v="31"/>
    <m/>
    <m/>
    <m/>
    <n v="265"/>
    <m/>
    <n v="541889"/>
    <m/>
  </r>
  <r>
    <x v="758"/>
    <m/>
    <s v="NY"/>
    <s v="NY - Essex"/>
    <n v="12946"/>
    <s v="Lake Placid Health Center (Closed - No Longer Offers Inpatient Beds)"/>
    <s v="Short Term Acute Care Hospital"/>
    <s v="Lake Placid"/>
    <m/>
    <m/>
    <m/>
    <m/>
    <m/>
    <m/>
    <m/>
    <m/>
    <n v="764447"/>
    <m/>
  </r>
  <r>
    <x v="1928"/>
    <n v="330079"/>
    <s v="NY"/>
    <s v="NY - Franklin"/>
    <n v="12983"/>
    <s v="Adirondack Medical Center - Saranac Lake"/>
    <s v="Short Term Acute Care Hospital"/>
    <s v="Saranac Lake"/>
    <n v="20.7"/>
    <n v="3.9"/>
    <n v="133"/>
    <n v="83"/>
    <n v="8"/>
    <n v="0.51"/>
    <n v="83"/>
    <n v="1.62"/>
    <n v="2790"/>
    <n v="2001"/>
  </r>
  <r>
    <x v="1928"/>
    <n v="330084"/>
    <s v="NY"/>
    <s v="NY - Franklin"/>
    <n v="12953"/>
    <s v="Alice Hyde Medical Center"/>
    <s v="Short Term Acute Care Hospital"/>
    <s v="Malone"/>
    <n v="14.5"/>
    <n v="3.5"/>
    <n v="89"/>
    <n v="43"/>
    <n v="4"/>
    <n v="0.51"/>
    <n v="43"/>
    <n v="1.3"/>
    <n v="2791"/>
    <n v="1655"/>
  </r>
  <r>
    <x v="1929"/>
    <n v="330276"/>
    <s v="NY"/>
    <s v="NY - Fulton"/>
    <n v="12078"/>
    <s v="Nathan Littauer Hospital"/>
    <s v="Short Term Acute Care Hospital"/>
    <s v="Gloversville"/>
    <n v="21.1"/>
    <n v="3.5"/>
    <n v="115"/>
    <n v="58"/>
    <n v="8"/>
    <n v="1"/>
    <n v="58"/>
    <n v="1.4"/>
    <n v="2792"/>
    <n v="2407"/>
  </r>
  <r>
    <x v="1930"/>
    <n v="330073"/>
    <s v="NY"/>
    <s v="NY - Genesee"/>
    <n v="14020"/>
    <s v="United Memorial Medical Center"/>
    <s v="Short Term Acute Care Hospital"/>
    <s v="Batavia"/>
    <n v="49.7"/>
    <n v="4.4000000000000004"/>
    <n v="213"/>
    <n v="133"/>
    <n v="10"/>
    <n v="1"/>
    <n v="131"/>
    <n v="1.36"/>
    <n v="2793"/>
    <n v="4362"/>
  </r>
  <r>
    <x v="760"/>
    <n v="330157"/>
    <s v="NY"/>
    <s v="NY - Jefferson"/>
    <n v="13601"/>
    <s v="Samaritan Medical Center"/>
    <s v="Short Term Acute Care Hospital"/>
    <s v="Watertown"/>
    <n v="171.4"/>
    <n v="5.3"/>
    <n v="411"/>
    <n v="238"/>
    <n v="10"/>
    <n v="0.62"/>
    <n v="238"/>
    <n v="1.42"/>
    <n v="2796"/>
    <n v="7160"/>
  </r>
  <r>
    <x v="1931"/>
    <n v="330236"/>
    <s v="NY"/>
    <s v="NY - Kings"/>
    <n v="11215"/>
    <s v="NewYork-Presbyterian Brooklyn Methodist Hospital (FKA New York Methodist Hospital)"/>
    <s v="Short Term Acute Care Hospital"/>
    <s v="Brooklyn"/>
    <n v="443"/>
    <n v="5.3"/>
    <n v="657"/>
    <n v="516"/>
    <n v="38"/>
    <n v="0.02"/>
    <n v="516"/>
    <n v="1.73"/>
    <n v="2798"/>
    <n v="32433"/>
  </r>
  <r>
    <x v="1931"/>
    <n v="330233"/>
    <s v="NY"/>
    <s v="NY - Kings"/>
    <n v="11212"/>
    <s v="Brookdale Hospital Medical Center"/>
    <s v="Short Term Acute Care Hospital"/>
    <s v="Brooklyn"/>
    <n v="181.3"/>
    <n v="5.9"/>
    <n v="392"/>
    <n v="288"/>
    <n v="29"/>
    <n v="0.02"/>
    <n v="288"/>
    <n v="1.9"/>
    <n v="2799"/>
    <n v="12154"/>
  </r>
  <r>
    <x v="1931"/>
    <m/>
    <s v="NY"/>
    <s v="NY - Kings"/>
    <n v="11220"/>
    <s v="NYU Langone Hospital - Brooklyn (FKA NYU Lutheran Medical Center)"/>
    <s v="Short Term Acute Care Hospital"/>
    <s v="Brooklyn"/>
    <n v="279.7"/>
    <n v="5.0999999999999996"/>
    <n v="705"/>
    <n v="323"/>
    <n v="8"/>
    <n v="0.02"/>
    <n v="323"/>
    <m/>
    <n v="2800"/>
    <n v="21778"/>
  </r>
  <r>
    <x v="1931"/>
    <n v="330350"/>
    <s v="NY"/>
    <s v="NY - Kings"/>
    <n v="11203"/>
    <s v="University Hospital of Brooklyn at SUNY Downstate Medical Center"/>
    <s v="Short Term Acute Care Hospital"/>
    <s v="Brooklyn"/>
    <n v="182.3"/>
    <n v="6.5"/>
    <n v="367"/>
    <n v="305"/>
    <n v="19"/>
    <n v="0.02"/>
    <n v="305"/>
    <n v="1.7"/>
    <n v="2801"/>
    <n v="10599"/>
  </r>
  <r>
    <x v="1931"/>
    <n v="330221"/>
    <s v="NY"/>
    <s v="NY - Kings"/>
    <n v="11237"/>
    <s v="Wyckoff Heights Medical Center"/>
    <s v="Short Term Acute Care Hospital"/>
    <s v="Brooklyn"/>
    <n v="155.19999999999999"/>
    <n v="4.5"/>
    <n v="434"/>
    <n v="257"/>
    <n v="16"/>
    <n v="0.02"/>
    <n v="257"/>
    <n v="1.6"/>
    <n v="2802"/>
    <n v="12936"/>
  </r>
  <r>
    <x v="1931"/>
    <n v="330194"/>
    <s v="NY"/>
    <s v="NY - Kings"/>
    <n v="11219"/>
    <s v="Maimonides Medical Center"/>
    <s v="Short Term Acute Care Hospital"/>
    <s v="Brooklyn"/>
    <n v="567.5"/>
    <n v="5.6"/>
    <n v="1167"/>
    <n v="641"/>
    <n v="18"/>
    <n v="0.02"/>
    <n v="641"/>
    <n v="2.02"/>
    <n v="2803"/>
    <n v="34994"/>
  </r>
  <r>
    <x v="1931"/>
    <n v="330196"/>
    <s v="NY"/>
    <s v="NY - Kings"/>
    <n v="11235"/>
    <s v="NYC Health and Hospitals - Coney Island (FKA Coney Island Hospital)"/>
    <s v="Short Term Acute Care Hospital"/>
    <s v="Brooklyn"/>
    <n v="233.3"/>
    <n v="6.6"/>
    <n v="347"/>
    <n v="292"/>
    <n v="22"/>
    <n v="0.02"/>
    <n v="292"/>
    <n v="1.53"/>
    <n v="2804"/>
    <n v="13092"/>
  </r>
  <r>
    <x v="1931"/>
    <n v="330201"/>
    <s v="NY"/>
    <s v="NY - Kings"/>
    <n v="11203"/>
    <s v="Kingsbrook Jewish Medical Center"/>
    <s v="Short Term Acute Care Hospital"/>
    <s v="Brooklyn"/>
    <n v="116.2"/>
    <n v="6.4"/>
    <n v="199"/>
    <n v="161"/>
    <n v="10"/>
    <n v="0.02"/>
    <n v="161"/>
    <n v="1.67"/>
    <n v="2805"/>
    <n v="6618"/>
  </r>
  <r>
    <x v="1931"/>
    <n v="330202"/>
    <s v="NY"/>
    <s v="NY - Kings"/>
    <n v="11203"/>
    <s v="NYC Health and Hospitals - Kings County (FKA Kings County Hospital Center)"/>
    <s v="Short Term Acute Care Hospital"/>
    <s v="Brooklyn"/>
    <n v="265.89999999999998"/>
    <n v="6.3"/>
    <n v="418"/>
    <n v="406"/>
    <n v="32"/>
    <n v="0.02"/>
    <n v="406"/>
    <n v="1.48"/>
    <n v="2806"/>
    <n v="16077"/>
  </r>
  <r>
    <x v="1931"/>
    <s v="330152 (Closed)"/>
    <s v="NY"/>
    <s v="NY - Kings"/>
    <n v="11201"/>
    <s v="University Hospital of Brooklyn at Long Island College Hospital (Closed May 2014)"/>
    <s v="Short Term Acute Care Hospital"/>
    <s v="Brooklyn"/>
    <n v="197.5"/>
    <n v="4.5999999999999996"/>
    <m/>
    <m/>
    <m/>
    <n v="0.02"/>
    <m/>
    <m/>
    <n v="2807"/>
    <n v="16350"/>
  </r>
  <r>
    <x v="1931"/>
    <n v="330056"/>
    <s v="NY"/>
    <s v="NY - Kings"/>
    <n v="11201"/>
    <s v="Brooklyn Hospital Center at Downtown Campus"/>
    <s v="Short Term Acute Care Hospital"/>
    <s v="Brooklyn"/>
    <n v="219.6"/>
    <n v="5.8"/>
    <n v="381"/>
    <n v="272"/>
    <n v="12"/>
    <n v="0.02"/>
    <n v="272"/>
    <n v="1.79"/>
    <n v="2808"/>
    <n v="14786"/>
  </r>
  <r>
    <x v="1931"/>
    <n v="330019"/>
    <s v="NY"/>
    <s v="NY - Kings"/>
    <n v="11229"/>
    <s v="New York Community Hospital of Brooklyn"/>
    <s v="Short Term Acute Care Hospital"/>
    <s v="Brooklyn"/>
    <n v="97.4"/>
    <n v="4.7"/>
    <n v="128"/>
    <n v="134"/>
    <n v="7"/>
    <n v="0.02"/>
    <n v="134"/>
    <n v="1.33"/>
    <n v="2809"/>
    <n v="7529"/>
  </r>
  <r>
    <x v="1931"/>
    <n v="330396"/>
    <s v="NY"/>
    <s v="NY - Kings"/>
    <n v="11206"/>
    <s v="NYC Health and Hospitals - Woodhull (FKA Woodhull Medical and Mental Health Center)"/>
    <s v="Short Term Acute Care Hospital"/>
    <s v="Brooklyn"/>
    <n v="131.80000000000001"/>
    <n v="5.4"/>
    <n v="291"/>
    <n v="238"/>
    <n v="24"/>
    <n v="0.02"/>
    <n v="238"/>
    <n v="1.44"/>
    <n v="2810"/>
    <n v="9091"/>
  </r>
  <r>
    <x v="1931"/>
    <n v="330397"/>
    <s v="NY"/>
    <s v="NY - Kings"/>
    <n v="11213"/>
    <s v="Interfaith Medical Center"/>
    <s v="Short Term Acute Care Hospital"/>
    <s v="Brooklyn"/>
    <n v="107.6"/>
    <n v="5.6"/>
    <n v="184"/>
    <n v="153"/>
    <n v="13"/>
    <n v="0.02"/>
    <n v="153"/>
    <n v="1.6"/>
    <n v="2811"/>
    <n v="7073"/>
  </r>
  <r>
    <x v="1931"/>
    <s v="330242 (Closed)"/>
    <s v="NY"/>
    <s v="NY - Kings"/>
    <n v="11228"/>
    <s v="Victory Memorial Hospital (Closed)"/>
    <s v="Short Term Acute Care Hospital"/>
    <s v="Brooklyn"/>
    <n v="19.899999999999999"/>
    <n v="7.1"/>
    <m/>
    <m/>
    <m/>
    <n v="0.02"/>
    <m/>
    <m/>
    <n v="4823"/>
    <n v="2431"/>
  </r>
  <r>
    <x v="1931"/>
    <s v="330169*"/>
    <s v="NY"/>
    <s v="NY - Kings"/>
    <n v="11234"/>
    <s v="Mount Sinai Brooklyn (AKA Mount Sinai Beth Israel Brooklyn Medical Center - Kings Highway Division Brooklyn)"/>
    <s v="Short Term Acute Care Hospital"/>
    <s v="Brooklyn"/>
    <m/>
    <m/>
    <n v="4"/>
    <m/>
    <m/>
    <m/>
    <n v="212"/>
    <m/>
    <n v="553223"/>
    <m/>
  </r>
  <r>
    <x v="1931"/>
    <m/>
    <s v="NY"/>
    <s v="NY - Kings"/>
    <n v="11231"/>
    <s v="Brooklyn Cruise Terminal Field Hospital (Temporarily Open due to COVID-19)"/>
    <s v="Short Term Acute Care Hospital"/>
    <s v="Brooklyn"/>
    <m/>
    <m/>
    <m/>
    <m/>
    <m/>
    <m/>
    <m/>
    <m/>
    <n v="1012064"/>
    <m/>
  </r>
  <r>
    <x v="1932"/>
    <n v="330238"/>
    <s v="NY"/>
    <s v="NY - Livingston"/>
    <n v="14437"/>
    <s v="UR Medicine Noyes Health (AKA Nicholas H Noyes Memorial Hospital)"/>
    <s v="Short Term Acute Care Hospital"/>
    <s v="Dansville"/>
    <n v="20.6"/>
    <n v="3.5"/>
    <n v="160"/>
    <n v="67"/>
    <m/>
    <n v="0.28999999999999998"/>
    <n v="67"/>
    <n v="1.29"/>
    <n v="2813"/>
    <n v="2351"/>
  </r>
  <r>
    <x v="762"/>
    <n v="330115"/>
    <s v="NY"/>
    <s v="NY - Madison"/>
    <n v="13421"/>
    <s v="Oneida Healthcare"/>
    <s v="Short Term Acute Care Hospital"/>
    <s v="Oneida"/>
    <n v="24.4"/>
    <n v="4"/>
    <n v="198"/>
    <n v="101"/>
    <n v="6"/>
    <n v="0.31"/>
    <n v="101"/>
    <n v="1.39"/>
    <n v="2815"/>
    <n v="2520"/>
  </r>
  <r>
    <x v="1933"/>
    <n v="330125"/>
    <s v="NY"/>
    <s v="NY - Monroe"/>
    <n v="14621"/>
    <s v="Rochester General Hospital"/>
    <s v="Short Term Acute Care Hospital"/>
    <s v="Rochester"/>
    <n v="398"/>
    <n v="5"/>
    <n v="844"/>
    <n v="470"/>
    <n v="16"/>
    <n v="0.28999999999999998"/>
    <n v="470"/>
    <n v="1.95"/>
    <n v="2816"/>
    <n v="30137"/>
  </r>
  <r>
    <x v="1933"/>
    <n v="330164"/>
    <s v="NY"/>
    <s v="NY - Monroe"/>
    <n v="14620"/>
    <s v="Highland Hospital"/>
    <s v="Short Term Acute Care Hospital"/>
    <s v="Rochester"/>
    <n v="218.7"/>
    <n v="5.3"/>
    <n v="355"/>
    <n v="235"/>
    <n v="14"/>
    <n v="0.28999999999999998"/>
    <n v="235"/>
    <n v="1.58"/>
    <n v="2817"/>
    <n v="16725"/>
  </r>
  <r>
    <x v="1933"/>
    <n v="330285"/>
    <s v="NY"/>
    <s v="NY - Monroe"/>
    <n v="14642"/>
    <s v="Strong Memorial Hospital"/>
    <s v="Short Term Acute Care Hospital"/>
    <s v="Rochester"/>
    <n v="715.6"/>
    <n v="7"/>
    <n v="2361"/>
    <n v="739"/>
    <n v="110"/>
    <n v="0.28999999999999998"/>
    <n v="739"/>
    <n v="1.97"/>
    <n v="2818"/>
    <n v="38002"/>
  </r>
  <r>
    <x v="1933"/>
    <n v="330226"/>
    <s v="NY"/>
    <s v="NY - Monroe"/>
    <n v="14626"/>
    <s v="Unity Hospital"/>
    <s v="Short Term Acute Care Hospital"/>
    <s v="Rochester"/>
    <n v="262.39999999999998"/>
    <n v="5.6"/>
    <n v="704"/>
    <n v="283"/>
    <n v="14"/>
    <n v="0.28999999999999998"/>
    <n v="283"/>
    <n v="1.63"/>
    <n v="2819"/>
    <n v="17663"/>
  </r>
  <r>
    <x v="1933"/>
    <s v="330037(Closed)"/>
    <s v="NY"/>
    <s v="NY - Monroe"/>
    <n v="14642"/>
    <s v="Strong Memorial Hospital West (FKA Lakeside Memorial Hospital - Closed for Inpatient Care April 2013)"/>
    <s v="Short Term Acute Care Hospital"/>
    <s v="Rochester"/>
    <n v="11.9"/>
    <n v="5.0999999999999996"/>
    <m/>
    <m/>
    <m/>
    <n v="0.28999999999999998"/>
    <m/>
    <m/>
    <n v="2820"/>
    <n v="857"/>
  </r>
  <r>
    <x v="1933"/>
    <n v="330403"/>
    <s v="NY"/>
    <s v="NY - Monroe"/>
    <n v="14620"/>
    <s v="Monroe Community Hospital"/>
    <s v="Short Term Acute Care Hospital"/>
    <s v="Rochester"/>
    <m/>
    <m/>
    <n v="10"/>
    <n v="5"/>
    <m/>
    <n v="0.28999999999999998"/>
    <n v="5"/>
    <m/>
    <n v="2821"/>
    <m/>
  </r>
  <r>
    <x v="1934"/>
    <s v="330047* (Closed)"/>
    <s v="NY"/>
    <s v="NY - Montgomery"/>
    <n v="12010"/>
    <s v="St Marys Hospital - Amsterdam Memorial Campus (Closed - Outpatient Services Only)"/>
    <s v="Short Term Acute Care Hospital"/>
    <s v="Amsterdam"/>
    <m/>
    <m/>
    <m/>
    <m/>
    <m/>
    <m/>
    <m/>
    <m/>
    <n v="2822"/>
    <m/>
  </r>
  <r>
    <x v="1934"/>
    <n v="330047"/>
    <s v="NY"/>
    <s v="NY - Montgomery"/>
    <n v="12010"/>
    <s v="St Marys Hospital - Hospital Campus"/>
    <s v="Short Term Acute Care Hospital"/>
    <s v="Amsterdam"/>
    <n v="62.1"/>
    <n v="5.2"/>
    <n v="211"/>
    <n v="100"/>
    <n v="8"/>
    <n v="1"/>
    <n v="100"/>
    <n v="1.38"/>
    <n v="2823"/>
    <n v="4513"/>
  </r>
  <r>
    <x v="1935"/>
    <n v="330106"/>
    <s v="NY"/>
    <s v="NY - Nassau"/>
    <n v="11030"/>
    <s v="North Shore University Hospital"/>
    <s v="Short Term Acute Care Hospital"/>
    <s v="Manhasset"/>
    <n v="739.9"/>
    <n v="5.9"/>
    <n v="3057"/>
    <n v="764"/>
    <n v="47"/>
    <n v="0.02"/>
    <n v="764"/>
    <n v="1.95"/>
    <n v="2824"/>
    <n v="48079"/>
  </r>
  <r>
    <x v="1935"/>
    <n v="330167"/>
    <s v="NY"/>
    <s v="NY - Nassau"/>
    <n v="11501"/>
    <s v="NYU Winthrop Hospital (FKA Winthrop University Hospital)"/>
    <s v="Short Term Acute Care Hospital"/>
    <s v="Mineola"/>
    <n v="452"/>
    <n v="4.9000000000000004"/>
    <n v="840"/>
    <n v="511"/>
    <n v="36"/>
    <n v="0.02"/>
    <n v="511"/>
    <n v="2.0099999999999998"/>
    <n v="2825"/>
    <n v="35122"/>
  </r>
  <r>
    <x v="1935"/>
    <s v="330225 (Closed)"/>
    <s v="NY"/>
    <s v="NY - Nassau"/>
    <n v="11561"/>
    <s v="Long Beach Medical Center (Closed)"/>
    <s v="Short Term Acute Care Hospital"/>
    <s v="Long Beach"/>
    <m/>
    <m/>
    <m/>
    <m/>
    <m/>
    <n v="0.02"/>
    <m/>
    <m/>
    <n v="2826"/>
    <m/>
  </r>
  <r>
    <x v="1935"/>
    <n v="330198"/>
    <s v="NY"/>
    <s v="NY - Nassau"/>
    <n v="11572"/>
    <s v="Mount Sinai South Nassau (FKA South Nassau Communities Hospital)"/>
    <s v="Short Term Acute Care Hospital"/>
    <s v="Oceanside"/>
    <n v="278.39999999999998"/>
    <n v="5.6"/>
    <n v="620"/>
    <n v="351"/>
    <n v="10"/>
    <n v="0.02"/>
    <n v="351"/>
    <n v="1.67"/>
    <n v="2827"/>
    <n v="18713"/>
  </r>
  <r>
    <x v="1935"/>
    <n v="330195"/>
    <s v="NY"/>
    <s v="NY - Nassau"/>
    <n v="11040"/>
    <s v="Long Island Jewish Medical Center"/>
    <s v="Short Term Acute Care Hospital"/>
    <s v="New Hyde Park"/>
    <n v="944.9"/>
    <n v="5.0999999999999996"/>
    <n v="1598"/>
    <n v="1193"/>
    <n v="53"/>
    <n v="0.02"/>
    <n v="524"/>
    <n v="1.57"/>
    <n v="2828"/>
    <n v="71299"/>
  </r>
  <r>
    <x v="1935"/>
    <n v="330181"/>
    <s v="NY"/>
    <s v="NY - Nassau"/>
    <n v="11542"/>
    <s v="Glen Cove Hospital"/>
    <s v="Short Term Acute Care Hospital"/>
    <s v="Glen Cove"/>
    <n v="39.200000000000003"/>
    <n v="4.2"/>
    <n v="194"/>
    <n v="54"/>
    <n v="10"/>
    <n v="0.02"/>
    <n v="54"/>
    <n v="1.35"/>
    <n v="2829"/>
    <n v="3192"/>
  </r>
  <r>
    <x v="1935"/>
    <n v="330182"/>
    <s v="NY"/>
    <s v="NY - Nassau"/>
    <n v="11576"/>
    <s v="St Francis Hospital - The Heart Center"/>
    <s v="Short Term Acute Care Hospital"/>
    <s v="Roslyn"/>
    <n v="266.3"/>
    <n v="5.2"/>
    <n v="600"/>
    <n v="364"/>
    <n v="37"/>
    <n v="0.02"/>
    <n v="364"/>
    <n v="2.17"/>
    <n v="2830"/>
    <n v="18518"/>
  </r>
  <r>
    <x v="1935"/>
    <n v="330331"/>
    <s v="NY"/>
    <s v="NY - Nassau"/>
    <n v="11803"/>
    <s v="Plainview Hospital"/>
    <s v="Short Term Acute Care Hospital"/>
    <s v="Plainview"/>
    <n v="112.1"/>
    <n v="4.8"/>
    <n v="223"/>
    <n v="156"/>
    <n v="19"/>
    <n v="0.02"/>
    <n v="156"/>
    <n v="1.42"/>
    <n v="2831"/>
    <n v="8179"/>
  </r>
  <r>
    <x v="1935"/>
    <n v="330332"/>
    <s v="NY"/>
    <s v="NY - Nassau"/>
    <n v="11714"/>
    <s v="St Joseph Hospital"/>
    <s v="Short Term Acute Care Hospital"/>
    <s v="Bethpage"/>
    <n v="81.400000000000006"/>
    <n v="4.8"/>
    <n v="214"/>
    <n v="203"/>
    <n v="8"/>
    <n v="0.02"/>
    <n v="203"/>
    <n v="1.37"/>
    <n v="2832"/>
    <n v="6152"/>
  </r>
  <r>
    <x v="1935"/>
    <n v="330259"/>
    <s v="NY"/>
    <s v="NY - Nassau"/>
    <n v="11570"/>
    <s v="Mercy Medical Center"/>
    <s v="Short Term Acute Care Hospital"/>
    <s v="Rockville Centre"/>
    <n v="124.3"/>
    <n v="5.2"/>
    <n v="348"/>
    <n v="299"/>
    <n v="18"/>
    <n v="0.02"/>
    <n v="299"/>
    <n v="1.33"/>
    <n v="2833"/>
    <n v="9100"/>
  </r>
  <r>
    <x v="1935"/>
    <n v="330027"/>
    <s v="NY"/>
    <s v="NY - Nassau"/>
    <n v="11554"/>
    <s v="NuHealth - Nassau University Medical Center"/>
    <s v="Short Term Acute Care Hospital"/>
    <s v="East Meadow"/>
    <n v="216.5"/>
    <n v="4.8"/>
    <n v="387"/>
    <n v="372"/>
    <n v="33"/>
    <n v="0.02"/>
    <n v="372"/>
    <n v="1.34"/>
    <n v="2834"/>
    <n v="17113"/>
  </r>
  <r>
    <x v="1935"/>
    <s v="330195*"/>
    <s v="NY"/>
    <s v="NY - Nassau"/>
    <n v="11580"/>
    <s v="Long Island Jewish Valley Stream (FKA Franklin Hospital)"/>
    <s v="Short Term Acute Care Hospital"/>
    <s v="Valley Stream"/>
    <m/>
    <m/>
    <n v="10"/>
    <m/>
    <m/>
    <m/>
    <n v="284"/>
    <m/>
    <n v="2835"/>
    <m/>
  </r>
  <r>
    <x v="1935"/>
    <s v="330106*"/>
    <s v="NY"/>
    <s v="NY - Nassau"/>
    <n v="11791"/>
    <s v="Syosset Hospital"/>
    <s v="Short Term Acute Care Hospital"/>
    <s v="Syosset"/>
    <m/>
    <m/>
    <m/>
    <m/>
    <m/>
    <m/>
    <n v="103"/>
    <m/>
    <n v="274404"/>
    <m/>
  </r>
  <r>
    <x v="1935"/>
    <s v="330106*"/>
    <s v="NY"/>
    <s v="NY - Nassau"/>
    <n v="11030"/>
    <s v="Sandra Atlas Bass Heart Hospital at North Shore University Hospital"/>
    <s v="Short Term Acute Care Hospital"/>
    <s v="Manhasset"/>
    <m/>
    <m/>
    <m/>
    <m/>
    <m/>
    <m/>
    <m/>
    <m/>
    <n v="905593"/>
    <m/>
  </r>
  <r>
    <x v="1936"/>
    <s v="330390 (Closed)"/>
    <s v="NY"/>
    <s v="NY - New York"/>
    <n v="10035"/>
    <s v="North General Hospital (Closed 2011)"/>
    <s v="Short Term Acute Care Hospital"/>
    <s v="New York"/>
    <n v="65.2"/>
    <n v="4.2"/>
    <m/>
    <m/>
    <m/>
    <n v="0.02"/>
    <m/>
    <m/>
    <n v="2836"/>
    <n v="5741"/>
  </r>
  <r>
    <x v="1936"/>
    <n v="330024"/>
    <s v="NY"/>
    <s v="NY - New York"/>
    <n v="10029"/>
    <s v="Mount Sinai Medical Center (AKA the Mount Sinai Hospital)"/>
    <s v="Short Term Acute Care Hospital"/>
    <s v="New York"/>
    <n v="923.1"/>
    <n v="6.5"/>
    <n v="2636"/>
    <n v="1067"/>
    <n v="75"/>
    <n v="0.02"/>
    <n v="1067"/>
    <n v="2.4"/>
    <n v="2837"/>
    <n v="55420"/>
  </r>
  <r>
    <x v="1936"/>
    <n v="330240"/>
    <s v="NY"/>
    <s v="NY - New York"/>
    <n v="10037"/>
    <s v="NYC Health and Hospitals - Harlem (FKA Harlem Hospital Center)"/>
    <s v="Short Term Acute Care Hospital"/>
    <s v="New York"/>
    <n v="181.1"/>
    <n v="6.3"/>
    <n v="282"/>
    <n v="231"/>
    <n v="17"/>
    <n v="0.02"/>
    <n v="231"/>
    <n v="1.46"/>
    <n v="2838"/>
    <n v="9651"/>
  </r>
  <r>
    <x v="1936"/>
    <s v="330290 (Closed)"/>
    <s v="NY"/>
    <s v="NY - New York"/>
    <n v="10011"/>
    <s v="SVCMC - St Vincents Centers NY &amp; West Branches (Closed April 2010)"/>
    <s v="Short Term Acute Care Hospital"/>
    <s v="New York"/>
    <n v="266.3"/>
    <n v="9.4"/>
    <m/>
    <m/>
    <m/>
    <n v="0.02"/>
    <m/>
    <m/>
    <n v="2839"/>
    <n v="4377"/>
  </r>
  <r>
    <x v="1936"/>
    <n v="330270"/>
    <s v="NY"/>
    <s v="NY - New York"/>
    <n v="10021"/>
    <s v="Hospital for Special Surgery"/>
    <s v="Short Term Acute Care Hospital"/>
    <s v="New York"/>
    <n v="129.80000000000001"/>
    <n v="3"/>
    <n v="584"/>
    <n v="215"/>
    <m/>
    <n v="0.02"/>
    <n v="215"/>
    <n v="2.5099999999999998"/>
    <n v="2840"/>
    <n v="15772"/>
  </r>
  <r>
    <x v="1936"/>
    <n v="330199"/>
    <s v="NY"/>
    <s v="NY - New York"/>
    <n v="10029"/>
    <s v="NYC Health and Hospitals - Metropolitan (FKA Metropolitan Hospital Center)"/>
    <s v="Short Term Acute Care Hospital"/>
    <s v="New York"/>
    <n v="82.5"/>
    <n v="5.3"/>
    <n v="254"/>
    <n v="196"/>
    <n v="24"/>
    <n v="0.02"/>
    <n v="196"/>
    <n v="1.37"/>
    <n v="2842"/>
    <n v="5600"/>
  </r>
  <r>
    <x v="1936"/>
    <n v="330214"/>
    <s v="NY"/>
    <s v="NY - New York"/>
    <n v="10016"/>
    <s v="Tisch Hospital"/>
    <s v="Short Term Acute Care Hospital"/>
    <s v="New York"/>
    <n v="1160.4000000000001"/>
    <n v="4.8"/>
    <n v="3355"/>
    <n v="1468"/>
    <n v="212"/>
    <n v="0.02"/>
    <n v="725"/>
    <n v="2.09"/>
    <n v="2843"/>
    <n v="65273"/>
  </r>
  <r>
    <x v="1936"/>
    <n v="330204"/>
    <s v="NY"/>
    <s v="NY - New York"/>
    <n v="10016"/>
    <s v="NYC Health and Hospitals - Bellevue (FKA Bellevue Hospital Center)"/>
    <s v="Short Term Acute Care Hospital"/>
    <s v="New York"/>
    <n v="366.3"/>
    <n v="6.5"/>
    <n v="555"/>
    <n v="527"/>
    <n v="45"/>
    <n v="0.02"/>
    <n v="527"/>
    <n v="1.53"/>
    <n v="2844"/>
    <n v="18999"/>
  </r>
  <r>
    <x v="1936"/>
    <n v="330169"/>
    <s v="NY"/>
    <s v="NY - New York"/>
    <n v="10003"/>
    <s v="Mount Sinai Beth Israel (FKA Mount Sinai Beth Israel Medical Center Brooklyn Hospital Center)"/>
    <s v="Short Term Acute Care Hospital"/>
    <s v="New York"/>
    <n v="379.4"/>
    <n v="5.9"/>
    <n v="1069"/>
    <n v="485"/>
    <n v="28"/>
    <n v="0.02"/>
    <n v="485"/>
    <n v="1.62"/>
    <n v="2845"/>
    <n v="23603"/>
  </r>
  <r>
    <x v="1936"/>
    <n v="330154"/>
    <s v="NY"/>
    <s v="NY - New York"/>
    <n v="10065"/>
    <s v="Memorial Sloan Kettering Cancer Center"/>
    <s v="Short Term Acute Care Hospital"/>
    <s v="New York"/>
    <n v="478.3"/>
    <n v="7.1"/>
    <n v="1738"/>
    <n v="498"/>
    <n v="25"/>
    <n v="0.02"/>
    <n v="498"/>
    <n v="2.04"/>
    <n v="2846"/>
    <n v="24139"/>
  </r>
  <r>
    <x v="1936"/>
    <n v="330119"/>
    <s v="NY"/>
    <s v="NY - New York"/>
    <n v="10075"/>
    <s v="Lenox Hill Hospital"/>
    <s v="Short Term Acute Care Hospital"/>
    <s v="New York"/>
    <n v="301.10000000000002"/>
    <n v="4.2"/>
    <n v="977"/>
    <n v="422"/>
    <n v="24"/>
    <n v="0.02"/>
    <n v="422"/>
    <n v="1.96"/>
    <n v="2847"/>
    <n v="27874"/>
  </r>
  <r>
    <x v="1936"/>
    <n v="330100"/>
    <s v="NY"/>
    <s v="NY - New York"/>
    <n v="10003"/>
    <s v="New York Eye and Ear Infirmary of Mount Sinai"/>
    <s v="Short Term Acute Care Hospital"/>
    <s v="New York"/>
    <n v="2.2999999999999998"/>
    <n v="2.6"/>
    <n v="377"/>
    <n v="16"/>
    <m/>
    <n v="0.02"/>
    <n v="16"/>
    <n v="1.96"/>
    <n v="2848"/>
    <n v="322"/>
  </r>
  <r>
    <x v="1936"/>
    <n v="330046"/>
    <s v="NY"/>
    <s v="NY - New York"/>
    <n v="10025"/>
    <s v="Mount Sinai Morningside (FKA Mount Sinai St Lukes)"/>
    <s v="Short Term Acute Care Hospital"/>
    <s v="New York"/>
    <n v="453.1"/>
    <n v="5.5"/>
    <n v="746"/>
    <n v="633"/>
    <n v="57"/>
    <n v="0.02"/>
    <n v="485"/>
    <n v="1.87"/>
    <n v="2850"/>
    <n v="32314"/>
  </r>
  <r>
    <x v="1936"/>
    <n v="330064"/>
    <s v="NY"/>
    <s v="NY - New York"/>
    <n v="10038"/>
    <s v="NewYork-Presbyterian Lower Manhattan Hospital (AKA New York Downtown Hospital)"/>
    <s v="Short Term Acute Care Hospital"/>
    <s v="New York"/>
    <n v="110.6"/>
    <n v="5.3"/>
    <n v="143"/>
    <n v="132"/>
    <n v="20"/>
    <n v="0.02"/>
    <n v="132"/>
    <m/>
    <n v="2851"/>
    <n v="8679"/>
  </r>
  <r>
    <x v="1936"/>
    <s v="330133 (Closed)"/>
    <s v="NY"/>
    <s v="NY - New York"/>
    <n v="10003"/>
    <s v="Cabrini Medical Center (Closed 2008)"/>
    <s v="Short Term Acute Care Hospital"/>
    <s v="New York"/>
    <n v="19.100000000000001"/>
    <n v="8.1999999999999993"/>
    <m/>
    <m/>
    <m/>
    <n v="0.02"/>
    <m/>
    <m/>
    <n v="4822"/>
    <n v="846"/>
  </r>
  <r>
    <x v="1936"/>
    <s v="330119* (Closed)"/>
    <s v="NY"/>
    <s v="NY - New York"/>
    <n v="10065"/>
    <s v="Manhattan Eye Ear and Throat Hospital (Closed Inpatient Services)"/>
    <s v="Short Term Acute Care Hospital"/>
    <s v="New York"/>
    <m/>
    <m/>
    <m/>
    <m/>
    <m/>
    <m/>
    <m/>
    <m/>
    <n v="4824"/>
    <m/>
  </r>
  <r>
    <x v="1936"/>
    <n v="330387"/>
    <s v="NY"/>
    <s v="NY - New York"/>
    <n v="10065"/>
    <s v="Rockefeller University Hospital"/>
    <s v="Short Term Acute Care Hospital"/>
    <s v="New York"/>
    <m/>
    <m/>
    <m/>
    <m/>
    <m/>
    <m/>
    <m/>
    <m/>
    <n v="5512"/>
    <m/>
  </r>
  <r>
    <x v="1936"/>
    <m/>
    <s v="NY"/>
    <s v="NY - New York"/>
    <n v="10044"/>
    <s v="Goldwater Memorial Hospital (Closed November 2013)"/>
    <s v="Short Term Acute Care Hospital"/>
    <s v="Roosevelt Island"/>
    <m/>
    <m/>
    <m/>
    <m/>
    <m/>
    <m/>
    <m/>
    <m/>
    <n v="6003"/>
    <m/>
  </r>
  <r>
    <x v="1936"/>
    <n v="330410"/>
    <s v="NY"/>
    <s v="NY - New York"/>
    <n v="10029"/>
    <s v="The Specialty Hospital at Terence Cardinal Cooke Health Care Center (AKA ArchCare)"/>
    <s v="Short Term Acute Care Hospital"/>
    <s v="New York"/>
    <n v="55.3"/>
    <n v="6853.7"/>
    <m/>
    <n v="56"/>
    <m/>
    <m/>
    <n v="56"/>
    <m/>
    <n v="6291"/>
    <n v="3"/>
  </r>
  <r>
    <x v="1936"/>
    <s v="330101*"/>
    <s v="NY"/>
    <s v="NY - New York"/>
    <n v="10032"/>
    <s v="NewYork-Presbyterian/Columbia University Irving Medical Center"/>
    <s v="Short Term Acute Care Hospital"/>
    <s v="New York"/>
    <m/>
    <m/>
    <m/>
    <m/>
    <m/>
    <m/>
    <n v="738"/>
    <m/>
    <n v="274163"/>
    <m/>
  </r>
  <r>
    <x v="1936"/>
    <n v="330101"/>
    <s v="NY"/>
    <s v="NY - New York"/>
    <n v="10065"/>
    <s v="NewYork-Presbyterian/Weill Cornell Medical Center"/>
    <s v="Short Term Acute Care Hospital"/>
    <s v="New York"/>
    <n v="1854.9"/>
    <n v="6.3"/>
    <n v="4550"/>
    <n v="2272"/>
    <n v="198"/>
    <n v="0.02"/>
    <n v="862"/>
    <n v="2.14"/>
    <n v="541974"/>
    <n v="111301"/>
  </r>
  <r>
    <x v="1936"/>
    <s v="330046*"/>
    <s v="NY"/>
    <s v="NY - New York"/>
    <n v="10019"/>
    <s v="Mount Sinai West (FKA Roosevelt Hospital Mount Sinai Roosevelt)"/>
    <s v="Short Term Acute Care Hospital"/>
    <s v="New York"/>
    <m/>
    <m/>
    <n v="9"/>
    <m/>
    <m/>
    <m/>
    <n v="505"/>
    <m/>
    <n v="550783"/>
    <m/>
  </r>
  <r>
    <x v="1936"/>
    <s v="330101*"/>
    <s v="NY"/>
    <s v="NY - New York"/>
    <n v="10034"/>
    <s v="NewYork-Presbyterian Allen Hospital"/>
    <s v="Short Term Acute Care Hospital"/>
    <s v="New York"/>
    <m/>
    <m/>
    <m/>
    <m/>
    <m/>
    <m/>
    <n v="196"/>
    <m/>
    <n v="553327"/>
    <m/>
  </r>
  <r>
    <x v="1936"/>
    <s v="330214*"/>
    <s v="NY"/>
    <s v="NY - New York"/>
    <n v="10003"/>
    <s v="NYU Langone Orthopedic Hospital (FKA NYU Hospital for Joint Diseases)"/>
    <s v="Short Term Acute Care Hospital"/>
    <s v="New York"/>
    <m/>
    <m/>
    <n v="3"/>
    <m/>
    <m/>
    <m/>
    <n v="190"/>
    <m/>
    <n v="578019"/>
    <m/>
  </r>
  <r>
    <x v="1936"/>
    <m/>
    <s v="NY"/>
    <s v="NY - New York"/>
    <n v="10016"/>
    <s v="Helen L and Martin S Kimmel Pavilion"/>
    <s v="Short Term Acute Care Hospital"/>
    <s v="New York"/>
    <m/>
    <m/>
    <m/>
    <m/>
    <m/>
    <m/>
    <n v="306"/>
    <m/>
    <n v="981238"/>
    <m/>
  </r>
  <r>
    <x v="1936"/>
    <m/>
    <s v="NY"/>
    <s v="NY - New York"/>
    <n v="10009"/>
    <s v="Central Park Field Hospital (Temporarily Open due to COVID-19)"/>
    <s v="Short Term Acute Care Hospital"/>
    <s v="New York"/>
    <m/>
    <m/>
    <m/>
    <m/>
    <m/>
    <m/>
    <m/>
    <m/>
    <n v="1011985"/>
    <m/>
  </r>
  <r>
    <x v="1936"/>
    <m/>
    <s v="NY"/>
    <s v="NY - New York"/>
    <n v="10018"/>
    <s v="Javits Center Field Hospital (Temporarily Open due to COVID-19)"/>
    <s v="Short Term Acute Care Hospital"/>
    <s v="New York"/>
    <m/>
    <m/>
    <m/>
    <m/>
    <m/>
    <m/>
    <m/>
    <m/>
    <n v="1012227"/>
    <m/>
  </r>
  <r>
    <x v="1936"/>
    <m/>
    <s v="NY"/>
    <s v="NY - New York"/>
    <n v="10065"/>
    <s v="NewYork-Presbyterian Alexandra Cohen Hospital for Women &amp; Newborns (Opening Summer 2020)"/>
    <s v="Short Term Acute Care Hospital"/>
    <s v="New York"/>
    <m/>
    <m/>
    <m/>
    <m/>
    <m/>
    <m/>
    <m/>
    <m/>
    <n v="1013564"/>
    <m/>
  </r>
  <r>
    <x v="1937"/>
    <n v="330065"/>
    <s v="NY"/>
    <s v="NY - Niagara"/>
    <n v="14302"/>
    <s v="Niagara Falls Memorial Medical Center"/>
    <s v="Short Term Acute Care Hospital"/>
    <s v="Niagara Falls"/>
    <n v="56.9"/>
    <n v="4.8"/>
    <n v="212"/>
    <n v="133"/>
    <n v="12"/>
    <n v="0.2"/>
    <n v="133"/>
    <n v="1.34"/>
    <n v="2852"/>
    <n v="4578"/>
  </r>
  <r>
    <x v="1937"/>
    <n v="330163"/>
    <s v="NY"/>
    <s v="NY - Niagara"/>
    <n v="14094"/>
    <s v="Eastern Niagara Hospital - Lockport"/>
    <s v="Short Term Acute Care Hospital"/>
    <s v="Lockport"/>
    <n v="73.5"/>
    <n v="6.8"/>
    <n v="176"/>
    <n v="135"/>
    <n v="8"/>
    <n v="0.2"/>
    <n v="135"/>
    <n v="1.23"/>
    <n v="2853"/>
    <n v="4071"/>
  </r>
  <r>
    <x v="1937"/>
    <n v="330188"/>
    <s v="NY"/>
    <s v="NY - Niagara"/>
    <n v="14092"/>
    <s v="Mount St Marys Hospital"/>
    <s v="Short Term Acute Care Hospital"/>
    <s v="Lewiston"/>
    <n v="85.7"/>
    <n v="6.6"/>
    <n v="148"/>
    <n v="175"/>
    <n v="12"/>
    <n v="0.2"/>
    <n v="175"/>
    <n v="1.48"/>
    <n v="2854"/>
    <n v="4820"/>
  </r>
  <r>
    <x v="1937"/>
    <s v="330163* (Closed)"/>
    <s v="NY"/>
    <s v="NY - Niagara"/>
    <n v="14108"/>
    <s v="Eastern Niagara Hospital - Newfane (Closed)"/>
    <s v="Short Term Acute Care Hospital"/>
    <s v="Newfane"/>
    <m/>
    <m/>
    <m/>
    <m/>
    <m/>
    <m/>
    <m/>
    <m/>
    <n v="4815"/>
    <m/>
  </r>
  <r>
    <x v="1937"/>
    <s v="330005* (Closed)"/>
    <s v="NY"/>
    <s v="NY - Niagara"/>
    <n v="14120"/>
    <s v="DeGraff Memorial Hospital (Closed - No Longer Offers Inpatient Services)"/>
    <s v="Short Term Acute Care Hospital"/>
    <s v="North Tonawanda"/>
    <m/>
    <m/>
    <m/>
    <m/>
    <m/>
    <m/>
    <m/>
    <m/>
    <n v="550083"/>
    <m/>
  </r>
  <r>
    <x v="1938"/>
    <n v="330215"/>
    <s v="NY"/>
    <s v="NY - Oneida"/>
    <n v="13440"/>
    <s v="Rome Memorial Hospital"/>
    <s v="Short Term Acute Care Hospital"/>
    <s v="Rome"/>
    <n v="29.8"/>
    <n v="4.0999999999999996"/>
    <n v="161"/>
    <n v="79"/>
    <n v="10"/>
    <n v="0.36"/>
    <n v="79"/>
    <n v="1.3"/>
    <n v="2855"/>
    <n v="2879"/>
  </r>
  <r>
    <x v="1938"/>
    <n v="330245"/>
    <s v="NY"/>
    <s v="NY - Oneida"/>
    <n v="13501"/>
    <s v="St Elizabeth Campus (AKA St Elizabeth Medical Center)"/>
    <s v="Short Term Acute Care Hospital"/>
    <s v="Utica"/>
    <n v="130.30000000000001"/>
    <n v="5.0999999999999996"/>
    <n v="247"/>
    <n v="177"/>
    <n v="16"/>
    <n v="0.36"/>
    <n v="177"/>
    <n v="1.69"/>
    <n v="2856"/>
    <n v="9298"/>
  </r>
  <r>
    <x v="1938"/>
    <n v="330044"/>
    <s v="NY"/>
    <s v="NY - Oneida"/>
    <n v="13502"/>
    <s v="Faxton St Lukes Healthcare - St Lukes Campus"/>
    <s v="Short Term Acute Care Hospital"/>
    <s v="Utica"/>
    <n v="151.6"/>
    <n v="4.9000000000000004"/>
    <n v="323"/>
    <n v="231"/>
    <m/>
    <n v="0.36"/>
    <n v="231"/>
    <n v="1.46"/>
    <n v="2857"/>
    <n v="12306"/>
  </r>
  <r>
    <x v="1938"/>
    <s v="330044*"/>
    <s v="NY"/>
    <s v="NY - Oneida"/>
    <n v="13502"/>
    <s v="Faxton St Lukes Healthcare - Faxton Campus"/>
    <s v="Short Term Acute Care Hospital"/>
    <s v="Utica"/>
    <m/>
    <m/>
    <n v="3"/>
    <m/>
    <m/>
    <m/>
    <n v="166"/>
    <m/>
    <n v="829093"/>
    <m/>
  </r>
  <r>
    <x v="1938"/>
    <m/>
    <s v="NY"/>
    <s v="NY - Oneida"/>
    <n v="13441"/>
    <s v="Donald J Mitchell VA Outpatient Clinic"/>
    <s v="Short Term Acute Care Hospital"/>
    <s v="Rome"/>
    <m/>
    <m/>
    <m/>
    <m/>
    <m/>
    <m/>
    <m/>
    <m/>
    <n v="1012624"/>
    <m/>
  </r>
  <r>
    <x v="1939"/>
    <s v="330241*"/>
    <s v="NY"/>
    <s v="NY - Onondaga"/>
    <n v="13215"/>
    <s v="Upstate University Hospital - Community Campus"/>
    <s v="Short Term Acute Care Hospital"/>
    <s v="Syracuse"/>
    <m/>
    <m/>
    <n v="3"/>
    <m/>
    <m/>
    <m/>
    <n v="306"/>
    <m/>
    <n v="2858"/>
    <m/>
  </r>
  <r>
    <x v="1939"/>
    <n v="330140"/>
    <s v="NY"/>
    <s v="NY - Onondaga"/>
    <n v="13203"/>
    <s v="St Josephs Health Hospital (FKA St Josephs Hospital Health Center)"/>
    <s v="Short Term Acute Care Hospital"/>
    <s v="Syracuse"/>
    <n v="311"/>
    <n v="4.5999999999999996"/>
    <n v="498"/>
    <n v="435"/>
    <n v="24"/>
    <n v="0.31"/>
    <n v="435"/>
    <n v="1.97"/>
    <n v="2859"/>
    <n v="25614"/>
  </r>
  <r>
    <x v="1939"/>
    <n v="330241"/>
    <s v="NY"/>
    <s v="NY - Onondaga"/>
    <n v="13210"/>
    <s v="Upstate University Hospital - Downtown Campus"/>
    <s v="Short Term Acute Care Hospital"/>
    <s v="Syracuse"/>
    <n v="524"/>
    <n v="5.2"/>
    <n v="993"/>
    <n v="641"/>
    <n v="65"/>
    <n v="0.31"/>
    <n v="641"/>
    <n v="1.77"/>
    <n v="2860"/>
    <n v="31023"/>
  </r>
  <r>
    <x v="1939"/>
    <n v="330203"/>
    <s v="NY"/>
    <s v="NY - Onondaga"/>
    <n v="13210"/>
    <s v="Crouse Hospital"/>
    <s v="Short Term Acute Care Hospital"/>
    <s v="Syracuse"/>
    <n v="294.2"/>
    <n v="6"/>
    <n v="410"/>
    <n v="502"/>
    <n v="29"/>
    <n v="0.31"/>
    <n v="502"/>
    <n v="1.64"/>
    <n v="2862"/>
    <n v="19181"/>
  </r>
  <r>
    <x v="1940"/>
    <n v="330265"/>
    <s v="NY"/>
    <s v="NY - Ontario"/>
    <n v="14432"/>
    <s v="Clifton Springs Hospital &amp; Clinic"/>
    <s v="Short Term Acute Care Hospital"/>
    <s v="Clifton Springs"/>
    <n v="39.200000000000003"/>
    <n v="7.4"/>
    <n v="61"/>
    <n v="77"/>
    <n v="6"/>
    <n v="0.28999999999999998"/>
    <n v="77"/>
    <n v="1.23"/>
    <n v="2863"/>
    <n v="1938"/>
  </r>
  <r>
    <x v="1940"/>
    <n v="330074"/>
    <s v="NY"/>
    <s v="NY - Ontario"/>
    <n v="14424"/>
    <s v="UR Medicine Thompson Health (AKA FF Thompson Hospital)"/>
    <s v="Short Term Acute Care Hospital"/>
    <s v="Canandaigua"/>
    <n v="53.8"/>
    <n v="4.5999999999999996"/>
    <n v="256"/>
    <n v="113"/>
    <n v="7"/>
    <n v="0.28999999999999998"/>
    <n v="113"/>
    <n v="1.48"/>
    <n v="2865"/>
    <n v="4613"/>
  </r>
  <r>
    <x v="1940"/>
    <n v="330058"/>
    <s v="NY"/>
    <s v="NY - Ontario"/>
    <n v="14456"/>
    <s v="Geneva General Hospital"/>
    <s v="Short Term Acute Care Hospital"/>
    <s v="Geneva"/>
    <n v="42"/>
    <n v="4.2"/>
    <n v="156"/>
    <n v="117"/>
    <n v="14"/>
    <n v="0.28999999999999998"/>
    <n v="117"/>
    <n v="1.44"/>
    <n v="2866"/>
    <n v="3607"/>
  </r>
  <r>
    <x v="1941"/>
    <n v="330135"/>
    <s v="NY"/>
    <s v="NY - Orange"/>
    <n v="12771"/>
    <s v="Bon Secours Community Hospital"/>
    <s v="Short Term Acute Care Hospital"/>
    <s v="Port Jervis"/>
    <n v="38.4"/>
    <n v="4.9000000000000004"/>
    <n v="93"/>
    <n v="98"/>
    <n v="10"/>
    <n v="0.25"/>
    <n v="98"/>
    <n v="1.28"/>
    <n v="2867"/>
    <n v="2868"/>
  </r>
  <r>
    <x v="1941"/>
    <n v="330126"/>
    <s v="NY"/>
    <s v="NY - Orange"/>
    <n v="10940"/>
    <s v="Garnet Health Medical Center (FKA Orange Regional Medical Center)"/>
    <s v="Short Term Acute Care Hospital"/>
    <s v="Middletown"/>
    <n v="258.8"/>
    <n v="4.7"/>
    <n v="620"/>
    <n v="329"/>
    <n v="40"/>
    <n v="0.25"/>
    <n v="329"/>
    <n v="1.51"/>
    <n v="2868"/>
    <n v="21181"/>
  </r>
  <r>
    <x v="1941"/>
    <n v="330264"/>
    <s v="NY"/>
    <s v="NY - Orange"/>
    <n v="12550"/>
    <s v="St Lukes Cornwall Hospital - Newburgh Campus"/>
    <s v="Short Term Acute Care Hospital"/>
    <s v="Newburgh"/>
    <n v="126.3"/>
    <n v="4.7"/>
    <n v="327"/>
    <n v="193"/>
    <n v="18"/>
    <n v="0.25"/>
    <n v="193"/>
    <n v="1.53"/>
    <n v="2869"/>
    <n v="10231"/>
  </r>
  <r>
    <x v="1941"/>
    <n v="330205"/>
    <s v="NY"/>
    <s v="NY - Orange"/>
    <n v="10990"/>
    <s v="St Anthony Community Hospital"/>
    <s v="Short Term Acute Care Hospital"/>
    <s v="Warwick"/>
    <n v="18.899999999999999"/>
    <n v="3.9"/>
    <n v="93"/>
    <n v="60"/>
    <n v="8"/>
    <n v="0.25"/>
    <n v="60"/>
    <n v="1.48"/>
    <n v="2870"/>
    <n v="1975"/>
  </r>
  <r>
    <x v="1942"/>
    <n v="330218"/>
    <s v="NY"/>
    <s v="NY - Oswego"/>
    <n v="13126"/>
    <s v="Oswego Hospital (AKA Oswego Health)"/>
    <s v="Short Term Acute Care Hospital"/>
    <s v="Oswego"/>
    <n v="35.200000000000003"/>
    <n v="4.2"/>
    <n v="493"/>
    <n v="132"/>
    <n v="8"/>
    <n v="0.31"/>
    <n v="132"/>
    <n v="1.4"/>
    <n v="2872"/>
    <n v="3358"/>
  </r>
  <r>
    <x v="1942"/>
    <s v="330075 (Closed)"/>
    <s v="NY"/>
    <s v="NY - Oswego"/>
    <n v="13069"/>
    <s v="Albert Lindley Lee Memorial Hospital (Closed)"/>
    <s v="Short Term Acute Care Hospital"/>
    <s v="Fulton"/>
    <n v="15.4"/>
    <n v="5.4"/>
    <m/>
    <m/>
    <m/>
    <n v="0.31"/>
    <m/>
    <m/>
    <n v="4820"/>
    <n v="1041"/>
  </r>
  <r>
    <x v="1943"/>
    <n v="330085"/>
    <s v="NY"/>
    <s v="NY - Otsego"/>
    <n v="13820"/>
    <s v="Aurelia Osborn Fox Memorial Hospital (AKA AO Fox Hospital)"/>
    <s v="Short Term Acute Care Hospital"/>
    <s v="Oneonta"/>
    <n v="22.5"/>
    <n v="3.8"/>
    <n v="119"/>
    <n v="60"/>
    <m/>
    <n v="0.77"/>
    <n v="60"/>
    <n v="1.1599999999999999"/>
    <n v="2873"/>
    <n v="2168"/>
  </r>
  <r>
    <x v="1943"/>
    <n v="330136"/>
    <s v="NY"/>
    <s v="NY - Otsego"/>
    <n v="13326"/>
    <s v="Bassett Medical Center"/>
    <s v="Short Term Acute Care Hospital"/>
    <s v="Cooperstown"/>
    <n v="114.9"/>
    <n v="5"/>
    <n v="492"/>
    <n v="160"/>
    <n v="14"/>
    <n v="0.77"/>
    <n v="160"/>
    <n v="1.77"/>
    <n v="2874"/>
    <n v="8910"/>
  </r>
  <r>
    <x v="1944"/>
    <n v="330273"/>
    <s v="NY"/>
    <s v="NY - Putnam"/>
    <n v="10512"/>
    <s v="Putnam Hospital"/>
    <s v="Short Term Acute Care Hospital"/>
    <s v="Carmel"/>
    <n v="45.5"/>
    <n v="3.6"/>
    <n v="196"/>
    <n v="120"/>
    <n v="10"/>
    <n v="0.02"/>
    <n v="120"/>
    <n v="1.56"/>
    <n v="2875"/>
    <n v="4901"/>
  </r>
  <r>
    <x v="1945"/>
    <s v="330195*"/>
    <s v="NY"/>
    <s v="NY - Queens"/>
    <n v="11375"/>
    <s v="Long Island Jewish Forest Hills (FKA Forest Hills Hospital)"/>
    <s v="Short Term Acute Care Hospital"/>
    <s v="Forest Hills"/>
    <m/>
    <m/>
    <n v="21"/>
    <m/>
    <m/>
    <m/>
    <n v="312"/>
    <m/>
    <n v="2876"/>
    <m/>
  </r>
  <r>
    <x v="1945"/>
    <n v="330193"/>
    <s v="NY"/>
    <s v="NY - Queens"/>
    <n v="11355"/>
    <s v="Flushing Hospital Medical Center"/>
    <s v="Short Term Acute Care Hospital"/>
    <s v="Flushing"/>
    <n v="169.2"/>
    <n v="5"/>
    <n v="223"/>
    <n v="275"/>
    <m/>
    <n v="0.02"/>
    <n v="275"/>
    <n v="1.48"/>
    <n v="2877"/>
    <n v="13402"/>
  </r>
  <r>
    <x v="1945"/>
    <n v="330231"/>
    <s v="NY"/>
    <s v="NY - Queens"/>
    <n v="11432"/>
    <s v="NYC Health and Hospitals - Queens (FKA Queens Hospital Center)"/>
    <s v="Short Term Acute Care Hospital"/>
    <s v="Jamaica"/>
    <n v="157.19999999999999"/>
    <n v="5"/>
    <n v="253"/>
    <n v="200"/>
    <n v="16"/>
    <n v="0.02"/>
    <n v="200"/>
    <n v="1.45"/>
    <n v="2878"/>
    <n v="11885"/>
  </r>
  <r>
    <x v="1945"/>
    <n v="330128"/>
    <s v="NY"/>
    <s v="NY - Queens"/>
    <n v="11373"/>
    <s v="NYC Health and Hospitals - Elmhurst (FKA Elmhurst Hospital Center)"/>
    <s v="Short Term Acute Care Hospital"/>
    <s v="Elmhurst"/>
    <n v="288.89999999999998"/>
    <n v="6.1"/>
    <n v="392"/>
    <n v="358"/>
    <n v="20"/>
    <n v="0.02"/>
    <n v="358"/>
    <n v="1.51"/>
    <n v="2879"/>
    <n v="17680"/>
  </r>
  <r>
    <x v="1945"/>
    <n v="330055"/>
    <s v="NY"/>
    <s v="NY - Queens"/>
    <n v="11355"/>
    <s v="NewYork-Presbyterian Queens"/>
    <s v="Short Term Acute Care Hospital"/>
    <s v="Flushing"/>
    <n v="422.3"/>
    <n v="5.2"/>
    <n v="1123"/>
    <n v="476"/>
    <n v="29"/>
    <n v="0.02"/>
    <n v="476"/>
    <n v="1.69"/>
    <n v="2880"/>
    <n v="31315"/>
  </r>
  <r>
    <x v="1945"/>
    <n v="330014"/>
    <s v="NY"/>
    <s v="NY - Queens"/>
    <n v="11418"/>
    <s v="Jamaica Hospital Medical Center"/>
    <s v="Short Term Acute Care Hospital"/>
    <s v="Jamaica"/>
    <n v="197.9"/>
    <n v="5"/>
    <n v="433"/>
    <n v="285"/>
    <n v="19"/>
    <n v="0.02"/>
    <n v="285"/>
    <n v="1.58"/>
    <n v="2881"/>
    <n v="15321"/>
  </r>
  <r>
    <x v="1945"/>
    <s v="330002 (Closed)"/>
    <s v="NY"/>
    <s v="NY - Queens"/>
    <n v="11691"/>
    <s v="Peninsula Hospital Center (Closed April 2012)"/>
    <s v="Short Term Acute Care Hospital"/>
    <s v="Far Rockaway"/>
    <n v="33.5"/>
    <n v="4.8"/>
    <m/>
    <m/>
    <m/>
    <n v="0.02"/>
    <m/>
    <m/>
    <n v="2882"/>
    <n v="2555"/>
  </r>
  <r>
    <x v="1945"/>
    <n v="330395"/>
    <s v="NY"/>
    <s v="NY - Queens"/>
    <n v="11691"/>
    <s v="St Johns Episcopal Hospital at South Shore"/>
    <s v="Short Term Acute Care Hospital"/>
    <s v="Far Rockaway"/>
    <n v="121.1"/>
    <n v="6.8"/>
    <n v="289"/>
    <n v="166"/>
    <n v="8"/>
    <n v="0.02"/>
    <n v="166"/>
    <n v="1.68"/>
    <n v="2883"/>
    <n v="6813"/>
  </r>
  <r>
    <x v="1945"/>
    <s v="330041 (Closed)"/>
    <s v="NY"/>
    <s v="NY - Queens"/>
    <n v="11375"/>
    <s v="Parkway Hospital (Closed 2008)"/>
    <s v="Short Term Acute Care Hospital"/>
    <s v="Forest Hills"/>
    <n v="62.9"/>
    <n v="5.8"/>
    <m/>
    <m/>
    <m/>
    <n v="0.02"/>
    <m/>
    <m/>
    <n v="4817"/>
    <n v="3975"/>
  </r>
  <r>
    <x v="1945"/>
    <s v="330195*"/>
    <s v="NY"/>
    <s v="NY - Queens"/>
    <n v="11004"/>
    <s v="Zucker Hillside Hospital"/>
    <s v="Short Term Acute Care Hospital"/>
    <s v="Glen Oaks"/>
    <m/>
    <m/>
    <n v="40"/>
    <m/>
    <m/>
    <m/>
    <n v="228"/>
    <m/>
    <n v="274405"/>
    <m/>
  </r>
  <r>
    <x v="1945"/>
    <s v="330024*"/>
    <s v="NY"/>
    <s v="NY - Queens"/>
    <n v="11102"/>
    <s v="Mount Sinai Queens"/>
    <s v="Short Term Acute Care Hospital"/>
    <s v="Astoria"/>
    <m/>
    <m/>
    <n v="29"/>
    <m/>
    <m/>
    <m/>
    <n v="235"/>
    <m/>
    <n v="577654"/>
    <m/>
  </r>
  <r>
    <x v="1945"/>
    <m/>
    <s v="NY"/>
    <s v="NY - Queens"/>
    <n v="11368"/>
    <s v="Billie Jean King National Tennis Center Field Hospital (Temporarily Open due to COVID-19)"/>
    <s v="Short Term Acute Care Hospital"/>
    <s v="Flushing"/>
    <m/>
    <m/>
    <m/>
    <m/>
    <m/>
    <m/>
    <m/>
    <m/>
    <n v="1012028"/>
    <m/>
  </r>
  <r>
    <x v="1945"/>
    <m/>
    <s v="NY"/>
    <s v="NY - Queens"/>
    <n v="11420"/>
    <s v="Aqueduct Racetrack Field Hospital (Temporarily Open due to COVID-19)"/>
    <s v="Short Term Acute Care Hospital"/>
    <s v="South Ozone Park"/>
    <m/>
    <m/>
    <m/>
    <m/>
    <m/>
    <m/>
    <m/>
    <m/>
    <n v="1012522"/>
    <m/>
  </r>
  <r>
    <x v="1946"/>
    <m/>
    <s v="NY"/>
    <s v="NY - Rensselaer"/>
    <n v="12180"/>
    <s v="Samaritan Hospital - St Marys Campus"/>
    <s v="Short Term Acute Care Hospital"/>
    <s v="Troy"/>
    <n v="17"/>
    <n v="13.7"/>
    <n v="47"/>
    <n v="20"/>
    <m/>
    <n v="0.2"/>
    <n v="20"/>
    <n v="1.18"/>
    <n v="2884"/>
    <n v="454"/>
  </r>
  <r>
    <x v="1946"/>
    <n v="330180"/>
    <s v="NY"/>
    <s v="NY - Rensselaer"/>
    <n v="12180"/>
    <s v="Samaritan Hospital - Main Campus"/>
    <s v="Short Term Acute Care Hospital"/>
    <s v="Troy"/>
    <n v="139.80000000000001"/>
    <n v="5.2"/>
    <n v="485"/>
    <n v="237"/>
    <n v="24"/>
    <n v="0.2"/>
    <n v="237"/>
    <n v="1.52"/>
    <n v="2885"/>
    <n v="8882"/>
  </r>
  <r>
    <x v="1946"/>
    <n v="330409"/>
    <s v="NY"/>
    <s v="NY - Rensselaer"/>
    <n v="12180"/>
    <s v="Burdett Birth Center"/>
    <s v="Short Term Acute Care Hospital"/>
    <s v="Troy"/>
    <m/>
    <m/>
    <n v="2"/>
    <m/>
    <m/>
    <m/>
    <m/>
    <n v="0.69"/>
    <n v="576740"/>
    <m/>
  </r>
  <r>
    <x v="1947"/>
    <n v="330160"/>
    <s v="NY"/>
    <s v="NY - Richmond"/>
    <n v="10305"/>
    <s v="Staten Island University Hospital - North Campus"/>
    <s v="Short Term Acute Care Hospital"/>
    <s v="Staten Island"/>
    <n v="507.2"/>
    <n v="5.2"/>
    <n v="1104"/>
    <n v="543"/>
    <n v="44"/>
    <n v="0.02"/>
    <n v="543"/>
    <n v="1.59"/>
    <n v="2886"/>
    <n v="36635"/>
  </r>
  <r>
    <x v="1947"/>
    <n v="330028"/>
    <s v="NY"/>
    <s v="NY - Richmond"/>
    <n v="10310"/>
    <s v="Richmond University Medical Center"/>
    <s v="Short Term Acute Care Hospital"/>
    <s v="Staten Island"/>
    <n v="159.80000000000001"/>
    <n v="5.3"/>
    <n v="336"/>
    <n v="260"/>
    <n v="18"/>
    <n v="0.02"/>
    <n v="260"/>
    <n v="1.81"/>
    <n v="2887"/>
    <n v="11943"/>
  </r>
  <r>
    <x v="1947"/>
    <s v="330160*"/>
    <s v="NY"/>
    <s v="NY - Richmond"/>
    <n v="10309"/>
    <s v="Staten Island University Hospital - South Campus"/>
    <s v="Short Term Acute Care Hospital"/>
    <s v="Staten Island"/>
    <m/>
    <m/>
    <n v="13"/>
    <m/>
    <m/>
    <m/>
    <n v="194"/>
    <m/>
    <n v="577662"/>
    <m/>
  </r>
  <r>
    <x v="1947"/>
    <m/>
    <s v="NY"/>
    <s v="NY - Richmond"/>
    <n v="10310"/>
    <s v="Richmond University Medical Center - Bayley Seton Campus (Closed)"/>
    <s v="Short Term Acute Care Hospital"/>
    <s v="Staten Island"/>
    <m/>
    <m/>
    <m/>
    <m/>
    <m/>
    <m/>
    <m/>
    <m/>
    <n v="868350"/>
    <m/>
  </r>
  <r>
    <x v="1947"/>
    <m/>
    <s v="NY"/>
    <s v="NY - Richmond"/>
    <n v="10314"/>
    <s v="College of Staten Island Field Hospital (Temporarily Open due to COVID-19)"/>
    <s v="Short Term Acute Care Hospital"/>
    <s v="Staten Island"/>
    <m/>
    <m/>
    <m/>
    <m/>
    <m/>
    <m/>
    <m/>
    <m/>
    <n v="1012067"/>
    <m/>
  </r>
  <r>
    <x v="1948"/>
    <n v="330158"/>
    <s v="NY"/>
    <s v="NY - Rockland"/>
    <n v="10901"/>
    <s v="Good Samaritan Hospital"/>
    <s v="Short Term Acute Care Hospital"/>
    <s v="Suffern"/>
    <n v="173.8"/>
    <n v="4.7"/>
    <n v="418"/>
    <n v="286"/>
    <m/>
    <n v="0.02"/>
    <n v="286"/>
    <n v="1.73"/>
    <n v="2888"/>
    <n v="14833"/>
  </r>
  <r>
    <x v="1948"/>
    <n v="330104"/>
    <s v="NY"/>
    <s v="NY - Rockland"/>
    <n v="10960"/>
    <s v="Montefiore Nyack Hospital (FKA Nyack Hospital)"/>
    <s v="Short Term Acute Care Hospital"/>
    <s v="Nyack"/>
    <n v="148.80000000000001"/>
    <n v="5.5"/>
    <n v="467"/>
    <n v="209"/>
    <m/>
    <n v="0.02"/>
    <n v="209"/>
    <n v="1.55"/>
    <n v="2889"/>
    <n v="10413"/>
  </r>
  <r>
    <x v="1948"/>
    <n v="330405"/>
    <s v="NY"/>
    <s v="NY - Rockland"/>
    <n v="10993"/>
    <s v="Helen Hayes Hospital"/>
    <s v="Short Term Acute Care Hospital"/>
    <s v="West Haverstraw"/>
    <m/>
    <m/>
    <n v="78"/>
    <m/>
    <m/>
    <n v="0.02"/>
    <m/>
    <n v="1.1399999999999999"/>
    <n v="2890"/>
    <m/>
  </r>
  <r>
    <x v="764"/>
    <n v="330197"/>
    <s v="NY"/>
    <s v="NY - Saint Lawrence"/>
    <n v="13676"/>
    <s v="Canton-Potsdam Hospital"/>
    <s v="Short Term Acute Care Hospital"/>
    <s v="Potsdam"/>
    <n v="63.2"/>
    <n v="5.2"/>
    <n v="216"/>
    <n v="94"/>
    <n v="6"/>
    <n v="0.37"/>
    <n v="94"/>
    <n v="1.36"/>
    <n v="2892"/>
    <n v="4614"/>
  </r>
  <r>
    <x v="764"/>
    <n v="330223"/>
    <s v="NY"/>
    <s v="NY - Saint Lawrence"/>
    <n v="13662"/>
    <s v="Massena Memorial Hospital"/>
    <s v="Short Term Acute Care Hospital"/>
    <s v="Massena"/>
    <n v="16.600000000000001"/>
    <n v="4.0999999999999996"/>
    <n v="68"/>
    <n v="50"/>
    <n v="4"/>
    <n v="0.37"/>
    <n v="50"/>
    <n v="1.3"/>
    <n v="2893"/>
    <n v="1573"/>
  </r>
  <r>
    <x v="764"/>
    <n v="330211"/>
    <s v="NY"/>
    <s v="NY - Saint Lawrence"/>
    <n v="13669"/>
    <s v="Claxton-Hepburn Medical Center"/>
    <s v="Short Term Acute Care Hospital"/>
    <s v="Ogdensburg"/>
    <n v="30.4"/>
    <n v="5.7"/>
    <n v="104"/>
    <n v="87"/>
    <n v="10"/>
    <n v="0.37"/>
    <n v="87"/>
    <n v="1.29"/>
    <n v="2894"/>
    <n v="2046"/>
  </r>
  <r>
    <x v="1949"/>
    <n v="330222"/>
    <s v="NY"/>
    <s v="NY - Saratoga"/>
    <n v="12866"/>
    <s v="Saratoga Hospital"/>
    <s v="Short Term Acute Care Hospital"/>
    <s v="Saratoga Springs"/>
    <n v="138.1"/>
    <n v="5.0999999999999996"/>
    <n v="457"/>
    <n v="171"/>
    <m/>
    <n v="0.2"/>
    <n v="171"/>
    <n v="1.54"/>
    <n v="2895"/>
    <n v="10276"/>
  </r>
  <r>
    <x v="1950"/>
    <n v="330153"/>
    <s v="NY"/>
    <s v="NY - Schenectady"/>
    <n v="12308"/>
    <s v="Ellis Hospital"/>
    <s v="Short Term Acute Care Hospital"/>
    <s v="Schenectady"/>
    <n v="237.7"/>
    <n v="5.5"/>
    <n v="509"/>
    <n v="334"/>
    <n v="36"/>
    <n v="0.2"/>
    <n v="334"/>
    <n v="1.73"/>
    <n v="2896"/>
    <n v="16882"/>
  </r>
  <r>
    <x v="1950"/>
    <n v="330406"/>
    <s v="NY"/>
    <s v="NY - Schenectady"/>
    <n v="12308"/>
    <s v="Sunnyview Rehabilitation Hospital (FKA Sunnyview Hospital and Rehabilitation Center)"/>
    <s v="Short Term Acute Care Hospital"/>
    <s v="Schenectady"/>
    <n v="10.5"/>
    <n v="8.5"/>
    <n v="52"/>
    <n v="17"/>
    <m/>
    <n v="0.2"/>
    <n v="17"/>
    <n v="1.1499999999999999"/>
    <n v="2897"/>
    <n v="450"/>
  </r>
  <r>
    <x v="1950"/>
    <s v="330066 (Closed)"/>
    <s v="NY"/>
    <s v="NY - Schenectady"/>
    <n v="12304"/>
    <s v="St Clares Hospital (Closed - Absorbed by Ellis Hospital)"/>
    <s v="Short Term Acute Care Hospital"/>
    <s v="Schenectady"/>
    <n v="71.7"/>
    <n v="5.9"/>
    <m/>
    <m/>
    <m/>
    <n v="0.2"/>
    <m/>
    <m/>
    <n v="4818"/>
    <n v="4712"/>
  </r>
  <r>
    <x v="1950"/>
    <s v="330153*"/>
    <s v="NY"/>
    <s v="NY - Schenectady"/>
    <n v="12309"/>
    <s v="Bellevue Womans Center"/>
    <s v="Short Term Acute Care Hospital"/>
    <s v="Schenectady"/>
    <m/>
    <m/>
    <n v="2"/>
    <m/>
    <m/>
    <m/>
    <m/>
    <m/>
    <n v="795603"/>
    <m/>
  </r>
  <r>
    <x v="1951"/>
    <n v="330144"/>
    <s v="NY"/>
    <s v="NY - Steuben"/>
    <n v="14810"/>
    <s v="Ira Davenport Memorial Hospital"/>
    <s v="Short Term Acute Care Hospital"/>
    <s v="Bath"/>
    <n v="1.7"/>
    <n v="2.5"/>
    <n v="19"/>
    <n v="15"/>
    <m/>
    <n v="0.56000000000000005"/>
    <n v="15"/>
    <n v="1.08"/>
    <n v="2901"/>
    <n v="250"/>
  </r>
  <r>
    <x v="1951"/>
    <n v="330151"/>
    <s v="NY"/>
    <s v="NY - Steuben"/>
    <n v="14843"/>
    <s v="St James Hospital (FKA St James Mercy Hospital)"/>
    <s v="Short Term Acute Care Hospital"/>
    <s v="Hornell"/>
    <n v="7.8"/>
    <n v="3.4"/>
    <n v="91"/>
    <n v="15"/>
    <m/>
    <n v="0.56000000000000005"/>
    <n v="15"/>
    <n v="1.23"/>
    <n v="2902"/>
    <n v="848"/>
  </r>
  <r>
    <x v="1951"/>
    <n v="330277"/>
    <s v="NY"/>
    <s v="NY - Steuben"/>
    <n v="14830"/>
    <s v="Guthrie Corning Hospital"/>
    <s v="Short Term Acute Care Hospital"/>
    <s v="Corning"/>
    <n v="39.1"/>
    <n v="3.4"/>
    <n v="229"/>
    <n v="65"/>
    <n v="8"/>
    <n v="0.56000000000000005"/>
    <n v="65"/>
    <n v="1.36"/>
    <n v="2903"/>
    <n v="4474"/>
  </r>
  <r>
    <x v="1952"/>
    <n v="330286"/>
    <s v="NY"/>
    <s v="NY - Suffolk"/>
    <n v="11795"/>
    <s v="Good Samaritan Hospital Medical Center"/>
    <s v="Short Term Acute Care Hospital"/>
    <s v="West Islip"/>
    <n v="333.5"/>
    <n v="5.2"/>
    <n v="778"/>
    <n v="437"/>
    <n v="44"/>
    <n v="0.02"/>
    <n v="437"/>
    <n v="1.73"/>
    <n v="2904"/>
    <n v="24474"/>
  </r>
  <r>
    <x v="1952"/>
    <n v="330340"/>
    <s v="NY"/>
    <s v="NY - Suffolk"/>
    <n v="11968"/>
    <s v="Stony Brook Southampton Hospital (FKA Southampton Hospital)"/>
    <s v="Short Term Acute Care Hospital"/>
    <s v="Southampton"/>
    <n v="43.9"/>
    <n v="4.0999999999999996"/>
    <n v="206"/>
    <n v="94"/>
    <n v="8"/>
    <n v="0.02"/>
    <n v="94"/>
    <m/>
    <n v="2905"/>
    <n v="4327"/>
  </r>
  <r>
    <x v="1952"/>
    <n v="330246"/>
    <s v="NY"/>
    <s v="NY - Suffolk"/>
    <n v="11777"/>
    <s v="St Charles Hospital"/>
    <s v="Short Term Acute Care Hospital"/>
    <s v="Port Jefferson"/>
    <n v="129.1"/>
    <n v="5.4"/>
    <n v="269"/>
    <n v="167"/>
    <n v="16"/>
    <n v="0.02"/>
    <n v="167"/>
    <n v="1.43"/>
    <n v="2906"/>
    <n v="9315"/>
  </r>
  <r>
    <x v="1952"/>
    <n v="330185"/>
    <s v="NY"/>
    <s v="NY - Suffolk"/>
    <n v="11777"/>
    <s v="John T Mather Memorial Hospital of Port Jefferson (AKA Mather Hospital)"/>
    <s v="Short Term Acute Care Hospital"/>
    <s v="Port Jefferson"/>
    <n v="181.7"/>
    <n v="5.6"/>
    <n v="555"/>
    <n v="195"/>
    <n v="12"/>
    <n v="0.02"/>
    <n v="195"/>
    <n v="1.41"/>
    <n v="2908"/>
    <n v="10472"/>
  </r>
  <r>
    <x v="1952"/>
    <n v="330141"/>
    <s v="NY"/>
    <s v="NY - Suffolk"/>
    <n v="11772"/>
    <s v="Long Island Community Hospital (FKA Brookhaven Memorial Hospital Medical Center)"/>
    <s v="Short Term Acute Care Hospital"/>
    <s v="Patchogue"/>
    <n v="191.7"/>
    <n v="6"/>
    <n v="334"/>
    <n v="215"/>
    <n v="10"/>
    <n v="0.02"/>
    <n v="215"/>
    <n v="1.61"/>
    <n v="2909"/>
    <n v="11756"/>
  </r>
  <r>
    <x v="1952"/>
    <n v="330107"/>
    <s v="NY"/>
    <s v="NY - Suffolk"/>
    <n v="11901"/>
    <s v="Peconic Bay Medical Center"/>
    <s v="Short Term Acute Care Hospital"/>
    <s v="Riverhead"/>
    <n v="98.1"/>
    <n v="4.3"/>
    <n v="234"/>
    <n v="124"/>
    <n v="10"/>
    <n v="0.02"/>
    <n v="124"/>
    <n v="1.46"/>
    <n v="2910"/>
    <n v="8541"/>
  </r>
  <r>
    <x v="1952"/>
    <n v="330088"/>
    <s v="NY"/>
    <s v="NY - Suffolk"/>
    <n v="11944"/>
    <s v="Stony Brook Eastern Long Island Hospital"/>
    <s v="Short Term Acute Care Hospital"/>
    <s v="Greenport"/>
    <n v="33.4"/>
    <n v="5.9"/>
    <n v="50"/>
    <n v="67"/>
    <n v="6"/>
    <n v="0.02"/>
    <n v="67"/>
    <n v="1.1399999999999999"/>
    <n v="2911"/>
    <n v="2058"/>
  </r>
  <r>
    <x v="1952"/>
    <n v="330045"/>
    <s v="NY"/>
    <s v="NY - Suffolk"/>
    <n v="11743"/>
    <s v="Huntington Hospital"/>
    <s v="Short Term Acute Care Hospital"/>
    <s v="Huntington"/>
    <n v="170.6"/>
    <n v="4.4000000000000004"/>
    <n v="356"/>
    <n v="259"/>
    <n v="26"/>
    <n v="0.02"/>
    <n v="259"/>
    <n v="1.58"/>
    <n v="2912"/>
    <n v="15261"/>
  </r>
  <r>
    <x v="1952"/>
    <n v="330043"/>
    <s v="NY"/>
    <s v="NY - Suffolk"/>
    <n v="11706"/>
    <s v="Southside Hospital"/>
    <s v="Short Term Acute Care Hospital"/>
    <s v="Bay Shore"/>
    <n v="242.1"/>
    <n v="4.5999999999999996"/>
    <n v="509"/>
    <n v="278"/>
    <n v="36"/>
    <n v="0.02"/>
    <n v="278"/>
    <n v="1.78"/>
    <n v="2913"/>
    <n v="21093"/>
  </r>
  <r>
    <x v="1952"/>
    <n v="330401"/>
    <s v="NY"/>
    <s v="NY - Suffolk"/>
    <n v="11787"/>
    <s v="St Catherine of Siena Medical Center"/>
    <s v="Short Term Acute Care Hospital"/>
    <s v="Smithtown"/>
    <n v="134.30000000000001"/>
    <n v="4.8"/>
    <n v="269"/>
    <n v="254"/>
    <n v="12"/>
    <n v="0.02"/>
    <n v="254"/>
    <n v="1.39"/>
    <n v="2914"/>
    <n v="10527"/>
  </r>
  <r>
    <x v="1952"/>
    <n v="330393"/>
    <s v="NY"/>
    <s v="NY - Suffolk"/>
    <n v="11794"/>
    <s v="Stony Brook University Hospital"/>
    <s v="Short Term Acute Care Hospital"/>
    <s v="Stony Brook"/>
    <n v="541.5"/>
    <n v="5.8"/>
    <n v="1363"/>
    <n v="657"/>
    <n v="70"/>
    <n v="0.02"/>
    <n v="657"/>
    <n v="1.86"/>
    <n v="2915"/>
    <n v="35811"/>
  </r>
  <r>
    <x v="1952"/>
    <s v="330314 (Closed)"/>
    <s v="NY"/>
    <s v="NY - Suffolk"/>
    <n v="11701"/>
    <s v="Brunswick Hospital Center (Closed)"/>
    <s v="Short Term Acute Care Hospital"/>
    <s v="Amityville"/>
    <m/>
    <m/>
    <m/>
    <m/>
    <m/>
    <n v="0.02"/>
    <m/>
    <m/>
    <n v="4992"/>
    <m/>
  </r>
  <r>
    <x v="767"/>
    <n v="330386"/>
    <s v="NY"/>
    <s v="NY - Sullivan"/>
    <n v="12701"/>
    <s v="Garnet Health Medical Center - Catskill (FKA Catskill Regional Medical Center - Harris Campus)"/>
    <s v="Short Term Acute Care Hospital"/>
    <s v="Monticello"/>
    <n v="41"/>
    <n v="4.7"/>
    <n v="183"/>
    <n v="84"/>
    <m/>
    <m/>
    <n v="84"/>
    <n v="1.36"/>
    <n v="2916"/>
    <n v="3485"/>
  </r>
  <r>
    <x v="1953"/>
    <n v="330307"/>
    <s v="NY"/>
    <s v="NY - Tompkins"/>
    <n v="14850"/>
    <s v="Cayuga Medical Center"/>
    <s v="Short Term Acute Care Hospital"/>
    <s v="Ithaca"/>
    <n v="71.400000000000006"/>
    <n v="4.5999999999999996"/>
    <n v="389"/>
    <n v="163"/>
    <n v="16"/>
    <n v="1"/>
    <n v="163"/>
    <n v="1.48"/>
    <n v="2917"/>
    <n v="6257"/>
  </r>
  <r>
    <x v="768"/>
    <n v="330224"/>
    <s v="NY"/>
    <s v="NY - Ulster"/>
    <n v="12401"/>
    <s v="HealthAlliance Hospital Marys Ave Campus (FKA Benedictine Hospital)"/>
    <s v="Short Term Acute Care Hospital"/>
    <s v="Kingston"/>
    <n v="21.3"/>
    <n v="4.5999999999999996"/>
    <n v="65"/>
    <n v="45"/>
    <n v="5"/>
    <n v="0.46"/>
    <n v="45"/>
    <n v="1.35"/>
    <n v="2918"/>
    <n v="1676"/>
  </r>
  <r>
    <x v="768"/>
    <n v="330004"/>
    <s v="NY"/>
    <s v="NY - Ulster"/>
    <n v="12401"/>
    <s v="HealthAlliance Hospital Broadway Campus (FKA Kingston Hospital)"/>
    <s v="Short Term Acute Care Hospital"/>
    <s v="Kingston"/>
    <n v="71.099999999999994"/>
    <n v="4.7"/>
    <n v="143"/>
    <n v="149"/>
    <n v="20"/>
    <n v="0.46"/>
    <n v="149"/>
    <n v="1.3"/>
    <n v="2919"/>
    <n v="5625"/>
  </r>
  <r>
    <x v="1954"/>
    <n v="330191"/>
    <s v="NY"/>
    <s v="NY - Warren"/>
    <n v="12801"/>
    <s v="Glens Falls Hospital"/>
    <s v="Short Term Acute Care Hospital"/>
    <s v="Glens Falls"/>
    <n v="132.69999999999999"/>
    <n v="4.5999999999999996"/>
    <n v="565"/>
    <n v="361"/>
    <n v="24"/>
    <n v="1"/>
    <n v="361"/>
    <n v="1.48"/>
    <n v="2920"/>
    <n v="11172"/>
  </r>
  <r>
    <x v="1955"/>
    <n v="330030"/>
    <s v="NY"/>
    <s v="NY - Wayne"/>
    <n v="14513"/>
    <s v="Newark-Wayne Community Hospital"/>
    <s v="Short Term Acute Care Hospital"/>
    <s v="Newark"/>
    <n v="50.4"/>
    <n v="3.8"/>
    <n v="72"/>
    <n v="101"/>
    <n v="8"/>
    <n v="0.28999999999999998"/>
    <n v="101"/>
    <n v="1.39"/>
    <n v="2921"/>
    <n v="5139"/>
  </r>
  <r>
    <x v="1956"/>
    <n v="330006"/>
    <s v="NY"/>
    <s v="NY - Westchester"/>
    <n v="10701"/>
    <s v="Saint Josephs Medical Center"/>
    <s v="Short Term Acute Care Hospital"/>
    <s v="Yonkers"/>
    <n v="80.400000000000006"/>
    <n v="7"/>
    <n v="170"/>
    <n v="122"/>
    <m/>
    <n v="0.02"/>
    <n v="122"/>
    <n v="1.38"/>
    <n v="2922"/>
    <n v="4216"/>
  </r>
  <r>
    <x v="1956"/>
    <n v="330184"/>
    <s v="NY"/>
    <s v="NY - Westchester"/>
    <n v="10801"/>
    <s v="Montefiore New Rochelle Hospital (FKA Sound Shore Medical Center of Westchester)"/>
    <s v="Short Term Acute Care Hospital"/>
    <s v="New Rochelle"/>
    <n v="80.5"/>
    <n v="4.9000000000000004"/>
    <n v="177"/>
    <n v="151"/>
    <n v="12"/>
    <n v="0.02"/>
    <n v="151"/>
    <n v="1.5"/>
    <n v="2923"/>
    <n v="6448"/>
  </r>
  <r>
    <x v="1956"/>
    <n v="330208"/>
    <s v="NY"/>
    <s v="NY - Westchester"/>
    <n v="10701"/>
    <s v="St Johns Riverside Hospital - Andrus Pavilion"/>
    <s v="Short Term Acute Care Hospital"/>
    <s v="Yonkers"/>
    <n v="248.7"/>
    <n v="5.5"/>
    <n v="420"/>
    <n v="321"/>
    <n v="16"/>
    <n v="0.02"/>
    <n v="321"/>
    <n v="1.49"/>
    <n v="2924"/>
    <n v="17069"/>
  </r>
  <r>
    <x v="1956"/>
    <n v="330304"/>
    <s v="NY"/>
    <s v="NY - Westchester"/>
    <n v="10601"/>
    <s v="White Plains Hospital"/>
    <s v="Short Term Acute Care Hospital"/>
    <s v="White Plains"/>
    <n v="218.1"/>
    <n v="4.5999999999999996"/>
    <n v="1311"/>
    <n v="292"/>
    <n v="8"/>
    <n v="0.02"/>
    <n v="292"/>
    <n v="1.52"/>
    <n v="2925"/>
    <n v="18845"/>
  </r>
  <r>
    <x v="1956"/>
    <n v="330234"/>
    <s v="NY"/>
    <s v="NY - Westchester"/>
    <n v="10595"/>
    <s v="Westchester Medical Center"/>
    <s v="Short Term Acute Care Hospital"/>
    <s v="Valhalla"/>
    <n v="531.6"/>
    <n v="8.4"/>
    <n v="653"/>
    <n v="708"/>
    <n v="66"/>
    <n v="0.02"/>
    <n v="383"/>
    <n v="2.19"/>
    <n v="2926"/>
    <n v="23283"/>
  </r>
  <r>
    <x v="1956"/>
    <n v="330267"/>
    <s v="NY"/>
    <s v="NY - Westchester"/>
    <n v="10567"/>
    <s v="NewYork-Presbyterian Hudson Hospital (FKA Hudson Valley Hospital Center)"/>
    <s v="Short Term Acute Care Hospital"/>
    <s v="Cortlandt Manor"/>
    <n v="88.5"/>
    <n v="4.4000000000000004"/>
    <n v="289"/>
    <n v="128"/>
    <n v="10"/>
    <n v="0.02"/>
    <n v="128"/>
    <n v="1.47"/>
    <n v="2927"/>
    <n v="7827"/>
  </r>
  <r>
    <x v="1956"/>
    <n v="330261"/>
    <s v="NY"/>
    <s v="NY - Westchester"/>
    <n v="10591"/>
    <s v="Phelps Hospital"/>
    <s v="Short Term Acute Care Hospital"/>
    <s v="Sleepy Hollow"/>
    <n v="104.9"/>
    <n v="6"/>
    <n v="401"/>
    <n v="180"/>
    <n v="12"/>
    <n v="0.02"/>
    <n v="180"/>
    <n v="1.52"/>
    <n v="2928"/>
    <n v="6388"/>
  </r>
  <r>
    <x v="1956"/>
    <n v="330061"/>
    <s v="NY"/>
    <s v="NY - Westchester"/>
    <n v="10708"/>
    <s v="NewYork-Presbyterian Lawrence Hospital (FKA Lawrence Hospital Center)"/>
    <s v="Short Term Acute Care Hospital"/>
    <s v="Bronxville"/>
    <n v="151.5"/>
    <n v="5.0999999999999996"/>
    <n v="59"/>
    <n v="208"/>
    <n v="18"/>
    <n v="0.02"/>
    <n v="208"/>
    <n v="1.5"/>
    <n v="2929"/>
    <n v="11268"/>
  </r>
  <r>
    <x v="1956"/>
    <n v="330086"/>
    <s v="NY"/>
    <s v="NY - Westchester"/>
    <n v="10550"/>
    <s v="Montefiore Mount Vernon Hospital"/>
    <s v="Short Term Acute Care Hospital"/>
    <s v="Mount Vernon"/>
    <n v="38.5"/>
    <n v="4.5999999999999996"/>
    <n v="86"/>
    <n v="63"/>
    <m/>
    <n v="0.02"/>
    <n v="63"/>
    <n v="1.4"/>
    <n v="2930"/>
    <n v="3038"/>
  </r>
  <r>
    <x v="1956"/>
    <n v="330162"/>
    <s v="NY"/>
    <s v="NY - Westchester"/>
    <n v="10549"/>
    <s v="Northern Westchester Hospital"/>
    <s v="Short Term Acute Care Hospital"/>
    <s v="Mount Kisco"/>
    <n v="87.7"/>
    <n v="4.2"/>
    <n v="495"/>
    <n v="168"/>
    <n v="16"/>
    <n v="0.02"/>
    <n v="168"/>
    <n v="1.59"/>
    <n v="2932"/>
    <n v="8581"/>
  </r>
  <r>
    <x v="1956"/>
    <s v="330208*"/>
    <s v="NY"/>
    <s v="NY - Westchester"/>
    <n v="10522"/>
    <s v="St Johns Riverside Hospital - Dobbs Ferry Pavilion"/>
    <s v="Short Term Acute Care Hospital"/>
    <s v="Dobbs Ferry"/>
    <m/>
    <m/>
    <n v="4"/>
    <m/>
    <m/>
    <m/>
    <m/>
    <m/>
    <n v="4816"/>
    <m/>
  </r>
  <r>
    <x v="1956"/>
    <s v="330208*"/>
    <s v="NY"/>
    <s v="NY - Westchester"/>
    <n v="10703"/>
    <s v="St Johns Riverside Hospital - ParkCare Pavilion"/>
    <s v="Short Term Acute Care Hospital"/>
    <s v="Yonkers"/>
    <m/>
    <m/>
    <m/>
    <m/>
    <m/>
    <m/>
    <n v="141"/>
    <m/>
    <n v="551560"/>
    <m/>
  </r>
  <r>
    <x v="1956"/>
    <s v="330006*"/>
    <s v="NY"/>
    <s v="NY - Westchester"/>
    <n v="10528"/>
    <s v="St Vincents Hospital Westchester"/>
    <s v="Short Term Acute Care Hospital"/>
    <s v="Harrison"/>
    <m/>
    <m/>
    <m/>
    <m/>
    <m/>
    <m/>
    <n v="136"/>
    <m/>
    <n v="578020"/>
    <m/>
  </r>
  <r>
    <x v="1957"/>
    <n v="330008"/>
    <s v="NY"/>
    <s v="NY - Wyoming"/>
    <n v="14569"/>
    <s v="Wyoming County Community Hospital"/>
    <s v="Short Term Acute Care Hospital"/>
    <s v="Warsaw"/>
    <n v="15.4"/>
    <n v="4"/>
    <n v="110"/>
    <n v="50"/>
    <n v="5"/>
    <m/>
    <n v="50"/>
    <n v="1.2"/>
    <n v="2934"/>
    <n v="1455"/>
  </r>
  <r>
    <x v="1958"/>
    <n v="340070"/>
    <s v="NC"/>
    <s v="NC - Alamance"/>
    <n v="27215"/>
    <s v="Cone Health Alamance Regional Medical Center (AKA Alamance Regional Medical Center)"/>
    <s v="Short Term Acute Care Hospital"/>
    <s v="Burlington"/>
    <n v="101"/>
    <n v="3.6"/>
    <n v="532"/>
    <n v="176"/>
    <n v="20"/>
    <n v="1"/>
    <n v="176"/>
    <n v="1.54"/>
    <n v="2936"/>
    <n v="10818"/>
  </r>
  <r>
    <x v="1959"/>
    <n v="340084"/>
    <s v="NC"/>
    <s v="NC - Anson"/>
    <n v="28170"/>
    <s v="Atrium Health Anson (FKA Carolinas HealthCare System Anson)"/>
    <s v="Short Term Acute Care Hospital"/>
    <s v="Wadesboro"/>
    <n v="2.1"/>
    <n v="2.2000000000000002"/>
    <n v="19"/>
    <n v="15"/>
    <m/>
    <n v="0.16"/>
    <n v="15"/>
    <n v="1.1100000000000001"/>
    <n v="2938"/>
    <n v="341"/>
  </r>
  <r>
    <x v="773"/>
    <n v="340186"/>
    <s v="NC"/>
    <s v="NC - Beaufort"/>
    <n v="27889"/>
    <s v="Vidant Beaufort Hospital (FKA Beaufort County Medical Center)"/>
    <s v="Short Term Acute Care Hospital"/>
    <s v="Washington"/>
    <n v="36.299999999999997"/>
    <n v="4.7"/>
    <n v="130"/>
    <n v="72"/>
    <n v="8"/>
    <n v="0.84"/>
    <n v="72"/>
    <n v="1.43"/>
    <n v="2942"/>
    <n v="2944"/>
  </r>
  <r>
    <x v="776"/>
    <n v="340158"/>
    <s v="NC"/>
    <s v="NC - Brunswick"/>
    <n v="28422"/>
    <s v="Novant Health Brunswick Medical Center (FKA Brunswick Community Hospital)"/>
    <s v="Short Term Acute Care Hospital"/>
    <s v="Bolivia"/>
    <n v="39.5"/>
    <n v="3.7"/>
    <n v="168"/>
    <n v="61"/>
    <n v="19"/>
    <n v="0.25"/>
    <n v="61"/>
    <n v="1.4"/>
    <n v="2946"/>
    <n v="4202"/>
  </r>
  <r>
    <x v="1960"/>
    <n v="340002"/>
    <s v="NC"/>
    <s v="NC - Buncombe"/>
    <n v="28801"/>
    <s v="Mission Hospital - Asheville"/>
    <s v="Short Term Acute Care Hospital"/>
    <s v="Asheville"/>
    <n v="570.6"/>
    <n v="6.8"/>
    <n v="1404"/>
    <n v="679"/>
    <n v="146"/>
    <n v="0.51"/>
    <n v="679"/>
    <n v="2.04"/>
    <n v="2948"/>
    <n v="31570"/>
  </r>
  <r>
    <x v="1960"/>
    <s v="340002*"/>
    <s v="NC"/>
    <s v="NC - Buncombe"/>
    <n v="28801"/>
    <s v="Mission Hospital - Saint Joseph Campus (AKA Mission Hospital for Advanced Medicine)"/>
    <s v="Short Term Acute Care Hospital"/>
    <s v="Asheville"/>
    <m/>
    <m/>
    <m/>
    <m/>
    <m/>
    <m/>
    <n v="763"/>
    <m/>
    <n v="794502"/>
    <m/>
  </r>
  <r>
    <x v="1961"/>
    <n v="340075"/>
    <s v="NC"/>
    <s v="NC - Burke"/>
    <n v="28655"/>
    <s v="Carolinas HealthCare System Blue Ridge - Morganton (FKA Grace Hospital)"/>
    <s v="Short Term Acute Care Hospital"/>
    <s v="Morganton"/>
    <n v="75.5"/>
    <n v="4.0999999999999996"/>
    <n v="249"/>
    <n v="156"/>
    <n v="16"/>
    <n v="0.23"/>
    <n v="156"/>
    <n v="1.47"/>
    <n v="2949"/>
    <n v="6994"/>
  </r>
  <r>
    <x v="1961"/>
    <s v="340055 (closed)"/>
    <s v="NC"/>
    <s v="NC - Burke"/>
    <n v="28690"/>
    <s v="Carolinas HealthCare System Blue Ridge (Closed - No Longer Has Inpatient Services)"/>
    <s v="Short Term Acute Care Hospital"/>
    <s v="Valdese"/>
    <n v="22.1"/>
    <n v="3.9"/>
    <m/>
    <m/>
    <m/>
    <n v="0.23"/>
    <m/>
    <m/>
    <n v="2950"/>
    <n v="2077"/>
  </r>
  <r>
    <x v="1962"/>
    <n v="340001"/>
    <s v="NC"/>
    <s v="NC - Cabarrus"/>
    <n v="28025"/>
    <s v="Atrium Health Cabarrus (FKA Carolinas HealthCare System NorthEast)"/>
    <s v="Short Term Acute Care Hospital"/>
    <s v="Concord"/>
    <n v="288.60000000000002"/>
    <n v="4.3"/>
    <n v="536"/>
    <n v="447"/>
    <n v="15"/>
    <n v="0.16"/>
    <n v="447"/>
    <n v="1.73"/>
    <n v="2951"/>
    <n v="25750"/>
  </r>
  <r>
    <x v="1963"/>
    <n v="340041"/>
    <s v="NC"/>
    <s v="NC - Caldwell"/>
    <n v="28645"/>
    <s v="Caldwell UNC Health Care (AKA Caldwell Memorial Hospital)"/>
    <s v="Short Term Acute Care Hospital"/>
    <s v="Lenoir"/>
    <n v="53.6"/>
    <n v="4.7"/>
    <n v="160"/>
    <n v="110"/>
    <n v="12"/>
    <n v="0.23"/>
    <n v="110"/>
    <n v="1.69"/>
    <n v="2952"/>
    <n v="4338"/>
  </r>
  <r>
    <x v="1964"/>
    <n v="340142"/>
    <s v="NC"/>
    <s v="NC - Carteret"/>
    <n v="28557"/>
    <s v="Carteret General Hospital (AKA Carteret Health Care Medical Center)"/>
    <s v="Short Term Acute Care Hospital"/>
    <s v="Morehead City"/>
    <n v="65.400000000000006"/>
    <n v="4.3"/>
    <n v="276"/>
    <n v="99"/>
    <n v="8"/>
    <n v="1"/>
    <n v="99"/>
    <n v="1.5"/>
    <n v="2953"/>
    <n v="5959"/>
  </r>
  <r>
    <x v="1965"/>
    <n v="340143"/>
    <s v="NC"/>
    <s v="NC - Catawba"/>
    <n v="28602"/>
    <s v="Catawba Valley Medical Center"/>
    <s v="Short Term Acute Care Hospital"/>
    <s v="Hickory"/>
    <n v="81.3"/>
    <n v="3.2"/>
    <n v="361"/>
    <n v="200"/>
    <n v="28"/>
    <n v="0.23"/>
    <n v="200"/>
    <n v="1.65"/>
    <n v="2954"/>
    <n v="11849"/>
  </r>
  <r>
    <x v="1965"/>
    <n v="340116"/>
    <s v="NC"/>
    <s v="NC - Catawba"/>
    <n v="28601"/>
    <s v="Frye Regional Medical Center"/>
    <s v="Short Term Acute Care Hospital"/>
    <s v="Hickory"/>
    <n v="84.7"/>
    <n v="4.3"/>
    <n v="239"/>
    <n v="226"/>
    <n v="24"/>
    <n v="0.23"/>
    <n v="226"/>
    <n v="1.66"/>
    <n v="2955"/>
    <n v="7258"/>
  </r>
  <r>
    <x v="1966"/>
    <n v="340021"/>
    <s v="NC"/>
    <s v="NC - Cleveland"/>
    <n v="28150"/>
    <s v="Atrium Health Cleveland (FKA Carolinas HealthCare System Cleveland)"/>
    <s v="Short Term Acute Care Hospital"/>
    <s v="Shelby"/>
    <n v="91.3"/>
    <n v="4.0999999999999996"/>
    <n v="223"/>
    <n v="241"/>
    <n v="51"/>
    <n v="0.74"/>
    <n v="241"/>
    <n v="1.49"/>
    <n v="2959"/>
    <n v="8653"/>
  </r>
  <r>
    <x v="1966"/>
    <n v="340037"/>
    <s v="NC"/>
    <s v="NC - Cleveland"/>
    <n v="28086"/>
    <s v="Atrium Health Kings Mountain (FKA Carolinas HealthCare System Kings Mountain)"/>
    <s v="Short Term Acute Care Hospital"/>
    <s v="Kings Mountain"/>
    <n v="19.8"/>
    <n v="4.2"/>
    <n v="13"/>
    <n v="51"/>
    <n v="6"/>
    <n v="0.74"/>
    <n v="51"/>
    <n v="1.17"/>
    <n v="2960"/>
    <n v="1720"/>
  </r>
  <r>
    <x v="1967"/>
    <n v="340068"/>
    <s v="NC"/>
    <s v="NC - Columbus"/>
    <n v="28472"/>
    <s v="Columbus Regional Healthcare System (FKA Columbus Regional Hospital)"/>
    <s v="Short Term Acute Care Hospital"/>
    <s v="Whiteville"/>
    <n v="49.6"/>
    <n v="4.2"/>
    <n v="102"/>
    <n v="154"/>
    <m/>
    <m/>
    <n v="154"/>
    <n v="1.47"/>
    <n v="2961"/>
    <n v="4492"/>
  </r>
  <r>
    <x v="1968"/>
    <n v="340131"/>
    <s v="NC"/>
    <s v="NC - Craven"/>
    <n v="28561"/>
    <s v="CarolinaEast Health System (AKA CarolinaEast Medical Center)"/>
    <s v="Short Term Acute Care Hospital"/>
    <s v="New Bern"/>
    <n v="178.3"/>
    <n v="4.9000000000000004"/>
    <n v="418"/>
    <n v="287"/>
    <n v="72"/>
    <n v="1"/>
    <n v="287"/>
    <n v="1.72"/>
    <n v="2962"/>
    <n v="13714"/>
  </r>
  <r>
    <x v="1969"/>
    <n v="340028"/>
    <s v="NC"/>
    <s v="NC - Cumberland"/>
    <n v="28304"/>
    <s v="Cape Fear Valley Medical Center"/>
    <s v="Short Term Acute Care Hospital"/>
    <s v="Fayetteville"/>
    <n v="481.5"/>
    <n v="5.0999999999999996"/>
    <n v="749"/>
    <n v="575"/>
    <n v="48"/>
    <n v="0.73"/>
    <n v="490"/>
    <n v="1.58"/>
    <n v="2964"/>
    <n v="35994"/>
  </r>
  <r>
    <x v="1970"/>
    <n v="340096"/>
    <s v="NC"/>
    <s v="NC - Davidson"/>
    <n v="27292"/>
    <s v="Wake Forest Baptist Health - Lexington Medical Center"/>
    <s v="Short Term Acute Care Hospital"/>
    <s v="Lexington"/>
    <n v="31.5"/>
    <n v="3.2"/>
    <n v="144"/>
    <n v="80"/>
    <n v="16"/>
    <n v="0.4"/>
    <n v="80"/>
    <n v="1.54"/>
    <n v="2966"/>
    <n v="3849"/>
  </r>
  <r>
    <x v="1970"/>
    <n v="340085"/>
    <s v="NC"/>
    <s v="NC - Davidson"/>
    <n v="27360"/>
    <s v="Novant Health Thomasville Medical Center"/>
    <s v="Short Term Acute Care Hospital"/>
    <s v="Thomasville"/>
    <n v="34.299999999999997"/>
    <n v="3.7"/>
    <n v="107"/>
    <n v="74"/>
    <n v="13"/>
    <n v="0.4"/>
    <n v="74"/>
    <n v="1.29"/>
    <n v="2967"/>
    <n v="3767"/>
  </r>
  <r>
    <x v="1971"/>
    <s v="340187 (Closed)"/>
    <s v="NC"/>
    <s v="NC - Davie"/>
    <n v="27028"/>
    <s v="Davie Medical Center - Mocksville (FKA Wake Forest Baptist Health - Davie County Hospital - Closed Inpatient Services)"/>
    <s v="Short Term Acute Care Hospital"/>
    <s v="Mocksville"/>
    <n v="10.3"/>
    <n v="2.2000000000000002"/>
    <m/>
    <m/>
    <m/>
    <n v="0.4"/>
    <m/>
    <n v="1.73"/>
    <n v="2968"/>
    <n v="1694"/>
  </r>
  <r>
    <x v="1971"/>
    <m/>
    <s v="NC"/>
    <s v="NC - Davie"/>
    <n v="27006"/>
    <s v="Wake Forest Baptist Health - Davie Medical Center"/>
    <s v="Short Term Acute Care Hospital"/>
    <s v="Bermuda Run"/>
    <m/>
    <m/>
    <n v="38"/>
    <m/>
    <m/>
    <m/>
    <n v="50"/>
    <m/>
    <n v="849825"/>
    <m/>
  </r>
  <r>
    <x v="1972"/>
    <n v="340120"/>
    <s v="NC"/>
    <s v="NC - Duplin"/>
    <n v="28349"/>
    <s v="Vidant Duplin Hospital (FKA Duplin General Hospital)"/>
    <s v="Short Term Acute Care Hospital"/>
    <s v="Kenansville"/>
    <n v="27.2"/>
    <n v="4.2"/>
    <n v="79"/>
    <n v="49"/>
    <n v="9"/>
    <m/>
    <n v="49"/>
    <n v="1.38"/>
    <n v="2969"/>
    <n v="2562"/>
  </r>
  <r>
    <x v="1973"/>
    <n v="340155"/>
    <s v="NC"/>
    <s v="NC - Durham"/>
    <n v="27704"/>
    <s v="Duke Regional Hospital (FKA Durham Regional Hospital)"/>
    <s v="Short Term Acute Care Hospital"/>
    <s v="Durham"/>
    <n v="176.9"/>
    <n v="4.5999999999999996"/>
    <n v="422"/>
    <n v="301"/>
    <n v="22"/>
    <n v="0.41"/>
    <n v="301"/>
    <n v="1.68"/>
    <n v="2971"/>
    <n v="15952"/>
  </r>
  <r>
    <x v="1973"/>
    <n v="340049"/>
    <s v="NC"/>
    <s v="NC - Durham"/>
    <n v="27704"/>
    <s v="North Carolina Specialty Hospital"/>
    <s v="Short Term Acute Care Hospital"/>
    <s v="Durham"/>
    <n v="8.5"/>
    <n v="1.9"/>
    <n v="100"/>
    <n v="18"/>
    <m/>
    <n v="0.41"/>
    <n v="18"/>
    <n v="2.23"/>
    <n v="2972"/>
    <n v="1621"/>
  </r>
  <r>
    <x v="1973"/>
    <n v="340030"/>
    <s v="NC"/>
    <s v="NC - Durham"/>
    <n v="27710"/>
    <s v="Duke University Hospital"/>
    <s v="Short Term Acute Care Hospital"/>
    <s v="Durham"/>
    <n v="831.8"/>
    <n v="7.2"/>
    <n v="2236"/>
    <n v="959"/>
    <n v="48"/>
    <n v="0.41"/>
    <n v="959"/>
    <n v="2.35"/>
    <n v="2973"/>
    <n v="43055"/>
  </r>
  <r>
    <x v="1973"/>
    <m/>
    <s v="NC"/>
    <s v="NC - Durham"/>
    <n v="27703"/>
    <s v="Veritas Collaborative - Child &amp; Adolescent Hospital Durham"/>
    <s v="Short Term Acute Care Hospital"/>
    <s v="Durham"/>
    <m/>
    <m/>
    <m/>
    <m/>
    <m/>
    <m/>
    <m/>
    <m/>
    <n v="1002289"/>
    <m/>
  </r>
  <r>
    <x v="1973"/>
    <m/>
    <s v="NC"/>
    <s v="NC - Durham"/>
    <n v="27705"/>
    <s v="Veritas Collaborative - Adult Hospital Durham"/>
    <s v="Short Term Acute Care Hospital"/>
    <s v="Durham"/>
    <m/>
    <m/>
    <n v="24"/>
    <m/>
    <m/>
    <m/>
    <n v="50"/>
    <m/>
    <n v="553287"/>
    <m/>
  </r>
  <r>
    <x v="1974"/>
    <n v="340107"/>
    <s v="NC"/>
    <s v="NC - Edgecombe"/>
    <n v="27886"/>
    <s v="Vidant Edgecombe Hospital (FKA Heritage Hospital)"/>
    <s v="Short Term Acute Care Hospital"/>
    <s v="Tarboro"/>
    <n v="36"/>
    <n v="4.4000000000000004"/>
    <n v="100"/>
    <n v="101"/>
    <n v="15"/>
    <n v="0.63"/>
    <n v="101"/>
    <n v="1.61"/>
    <n v="2974"/>
    <n v="3259"/>
  </r>
  <r>
    <x v="1975"/>
    <n v="340148"/>
    <s v="NC"/>
    <s v="NC - Forsyth"/>
    <n v="27103"/>
    <s v="Novant Health Medical Park Hospital"/>
    <s v="Short Term Acute Care Hospital"/>
    <s v="Winston Salem"/>
    <n v="7.4"/>
    <n v="3"/>
    <n v="31"/>
    <n v="22"/>
    <n v="2"/>
    <n v="0.4"/>
    <n v="22"/>
    <n v="1.66"/>
    <n v="2975"/>
    <n v="895"/>
  </r>
  <r>
    <x v="1975"/>
    <n v="340047"/>
    <s v="NC"/>
    <s v="NC - Forsyth"/>
    <n v="27157"/>
    <s v="Wake Forest Baptist Medical Center"/>
    <s v="Short Term Acute Care Hospital"/>
    <s v="Winston Salem"/>
    <n v="639"/>
    <n v="6.4"/>
    <n v="1720"/>
    <n v="797"/>
    <n v="110"/>
    <n v="0.4"/>
    <n v="797"/>
    <n v="2.16"/>
    <n v="2976"/>
    <n v="36712"/>
  </r>
  <r>
    <x v="1975"/>
    <n v="340014"/>
    <s v="NC"/>
    <s v="NC - Forsyth"/>
    <n v="27103"/>
    <s v="Novant Health Forsyth Medical Center (FKA Forsyth Memorial Hospital)"/>
    <s v="Short Term Acute Care Hospital"/>
    <s v="Winston Salem"/>
    <n v="627.1"/>
    <n v="5.7"/>
    <n v="1409"/>
    <n v="889"/>
    <n v="68"/>
    <n v="0.4"/>
    <n v="889"/>
    <n v="1.83"/>
    <n v="2977"/>
    <n v="42420"/>
  </r>
  <r>
    <x v="1975"/>
    <s v="340014*"/>
    <s v="NC"/>
    <s v="NC - Forsyth"/>
    <n v="27284"/>
    <s v="Novant Health Kernersville Medical Center"/>
    <s v="Short Term Acute Care Hospital"/>
    <s v="Kernersville"/>
    <m/>
    <m/>
    <m/>
    <m/>
    <m/>
    <m/>
    <n v="50"/>
    <m/>
    <n v="541870"/>
    <m/>
  </r>
  <r>
    <x v="1975"/>
    <s v="340014*"/>
    <s v="NC"/>
    <s v="NC - Forsyth"/>
    <n v="27012"/>
    <s v="Novant Health Clemmons Medical Center"/>
    <s v="Short Term Acute Care Hospital"/>
    <s v="Clemmons"/>
    <m/>
    <m/>
    <n v="4"/>
    <m/>
    <m/>
    <m/>
    <n v="36"/>
    <m/>
    <n v="939787"/>
    <m/>
  </r>
  <r>
    <x v="1976"/>
    <s v="340036 (Closed)"/>
    <s v="NC"/>
    <s v="NC - Franklin"/>
    <n v="27549"/>
    <s v="Franklin Medical Center (Closed)"/>
    <s v="Short Term Acute Care Hospital"/>
    <s v="Louisburg"/>
    <n v="1.6"/>
    <n v="3.2"/>
    <m/>
    <m/>
    <m/>
    <n v="0.27"/>
    <m/>
    <m/>
    <n v="2978"/>
    <n v="177"/>
  </r>
  <r>
    <x v="1977"/>
    <n v="340032"/>
    <s v="NC"/>
    <s v="NC - Gaston"/>
    <n v="28054"/>
    <s v="CaroMont Regional Medical Center (AKA CaroMont Health)"/>
    <s v="Short Term Acute Care Hospital"/>
    <s v="Gastonia"/>
    <n v="281.39999999999998"/>
    <n v="4.7"/>
    <n v="582"/>
    <n v="383"/>
    <n v="57"/>
    <n v="0.16"/>
    <n v="383"/>
    <n v="1.73"/>
    <n v="2979"/>
    <n v="23028"/>
  </r>
  <r>
    <x v="1978"/>
    <n v="340127"/>
    <s v="NC"/>
    <s v="NC - Granville"/>
    <n v="27565"/>
    <s v="Granville Medical Center (AKA Granville Health System)"/>
    <s v="Short Term Acute Care Hospital"/>
    <s v="Oxford"/>
    <n v="16.2"/>
    <n v="3.4"/>
    <n v="87"/>
    <n v="42"/>
    <n v="6"/>
    <n v="0.41"/>
    <n v="42"/>
    <n v="1.35"/>
    <n v="574695"/>
    <n v="1857"/>
  </r>
  <r>
    <x v="1978"/>
    <m/>
    <s v="NC"/>
    <s v="NC - Granville"/>
    <n v="27509"/>
    <s v="FMC Butner"/>
    <s v="Short Term Acute Care Hospital"/>
    <s v="Butner"/>
    <m/>
    <m/>
    <m/>
    <m/>
    <m/>
    <m/>
    <n v="900"/>
    <m/>
    <n v="840566"/>
    <m/>
  </r>
  <r>
    <x v="1979"/>
    <n v="340091"/>
    <s v="NC"/>
    <s v="NC - Guilford"/>
    <n v="27401"/>
    <s v="Cone Health Moses Cone Hospital (AKA Moses H Cone Memorial Hospital)"/>
    <s v="Short Term Acute Care Hospital"/>
    <s v="Greensboro"/>
    <n v="518.70000000000005"/>
    <n v="4.5"/>
    <n v="1155"/>
    <n v="724"/>
    <n v="70"/>
    <n v="0.59"/>
    <n v="536"/>
    <n v="1.83"/>
    <n v="2982"/>
    <n v="44883"/>
  </r>
  <r>
    <x v="1979"/>
    <n v="340004"/>
    <s v="NC"/>
    <s v="NC - Guilford"/>
    <n v="27262"/>
    <s v="Wake Forest Baptist Health - High Point Medical Center"/>
    <s v="Short Term Acute Care Hospital"/>
    <s v="High Point"/>
    <n v="176.7"/>
    <n v="4.4000000000000004"/>
    <n v="403"/>
    <n v="288"/>
    <n v="24"/>
    <n v="0.59"/>
    <n v="288"/>
    <n v="1.59"/>
    <n v="2983"/>
    <n v="15376"/>
  </r>
  <r>
    <x v="1979"/>
    <s v="340091*"/>
    <s v="NC"/>
    <s v="NC - Guilford"/>
    <n v="27408"/>
    <s v="Green Valley Campus (AKA Cone Health Womens Hospital)"/>
    <s v="Short Term Acute Care Hospital"/>
    <s v="Greensboro"/>
    <m/>
    <m/>
    <m/>
    <m/>
    <m/>
    <m/>
    <n v="134"/>
    <m/>
    <n v="274270"/>
    <m/>
  </r>
  <r>
    <x v="1979"/>
    <s v="340091*"/>
    <s v="NC"/>
    <s v="NC - Guilford"/>
    <n v="27403"/>
    <s v="Cone Health Wesley Long Hospital (FKA Wesley Long Hospital)"/>
    <s v="Short Term Acute Care Hospital"/>
    <s v="Greensboro"/>
    <m/>
    <m/>
    <m/>
    <m/>
    <m/>
    <m/>
    <n v="185"/>
    <m/>
    <n v="274271"/>
    <m/>
  </r>
  <r>
    <x v="781"/>
    <n v="340151"/>
    <s v="NC"/>
    <s v="NC - Halifax"/>
    <n v="27870"/>
    <s v="Vidant North Hospital (FKA Halifax Regional Medical Center)"/>
    <s v="Short Term Acute Care Hospital"/>
    <s v="Roanoke Rapids"/>
    <n v="50.9"/>
    <n v="4.5"/>
    <n v="137"/>
    <n v="106"/>
    <n v="16"/>
    <n v="0.98"/>
    <n v="106"/>
    <n v="1.45"/>
    <n v="2984"/>
    <n v="4302"/>
  </r>
  <r>
    <x v="1980"/>
    <n v="340071"/>
    <s v="NC"/>
    <s v="NC - Harnett"/>
    <n v="28334"/>
    <s v="Betsy Johnson Hospital (FKA Harnett Health Betsy Johnson Regional Hospital)"/>
    <s v="Short Term Acute Care Hospital"/>
    <s v="Dunn"/>
    <n v="43"/>
    <n v="3.4"/>
    <n v="123"/>
    <n v="126"/>
    <n v="14"/>
    <n v="0.73"/>
    <n v="126"/>
    <n v="1.29"/>
    <n v="2985"/>
    <n v="5514"/>
  </r>
  <r>
    <x v="1980"/>
    <m/>
    <s v="NC"/>
    <s v="NC - Harnett"/>
    <n v="27546"/>
    <s v="Central Harnett Hospital"/>
    <s v="Short Term Acute Care Hospital"/>
    <s v="Lillington"/>
    <m/>
    <m/>
    <m/>
    <m/>
    <m/>
    <m/>
    <n v="101"/>
    <m/>
    <n v="577638"/>
    <m/>
  </r>
  <r>
    <x v="1981"/>
    <n v="340184"/>
    <s v="NC"/>
    <s v="NC - Haywood"/>
    <n v="28721"/>
    <s v="Haywood Regional Medical Center (FKA Medwest Haywood)"/>
    <s v="Short Term Acute Care Hospital"/>
    <s v="Clyde"/>
    <n v="46"/>
    <n v="3.8"/>
    <n v="185"/>
    <n v="122"/>
    <n v="12"/>
    <n v="0.51"/>
    <n v="122"/>
    <n v="1.54"/>
    <n v="2986"/>
    <n v="4556"/>
  </r>
  <r>
    <x v="1982"/>
    <n v="340017"/>
    <s v="NC"/>
    <s v="NC - Henderson"/>
    <n v="28791"/>
    <s v="Pardee UNC Healthcare"/>
    <s v="Short Term Acute Care Hospital"/>
    <s v="Hendersonville"/>
    <n v="87.3"/>
    <n v="3.9"/>
    <n v="304"/>
    <n v="160"/>
    <n v="13"/>
    <n v="0.51"/>
    <n v="160"/>
    <n v="1.66"/>
    <n v="2987"/>
    <n v="8421"/>
  </r>
  <r>
    <x v="1982"/>
    <n v="340023"/>
    <s v="NC"/>
    <s v="NC - Henderson"/>
    <n v="28792"/>
    <s v="AdventHealth Hendersonville (FKA Park Ridge Health)"/>
    <s v="Short Term Acute Care Hospital"/>
    <s v="Hendersonville"/>
    <n v="35"/>
    <n v="4.2"/>
    <n v="201"/>
    <n v="73"/>
    <n v="14"/>
    <n v="0.51"/>
    <n v="73"/>
    <n v="1.6"/>
    <n v="2988"/>
    <n v="3375"/>
  </r>
  <r>
    <x v="1983"/>
    <n v="340099"/>
    <s v="NC"/>
    <s v="NC - Hertford"/>
    <n v="27910"/>
    <s v="Vidant Roanoke-Chowan Hospital"/>
    <s v="Short Term Acute Care Hospital"/>
    <s v="Ahoskie"/>
    <n v="35.1"/>
    <n v="4.0999999999999996"/>
    <n v="79"/>
    <n v="70"/>
    <n v="10"/>
    <m/>
    <n v="70"/>
    <n v="1.38"/>
    <n v="2989"/>
    <n v="3274"/>
  </r>
  <r>
    <x v="1984"/>
    <n v="340188"/>
    <s v="NC"/>
    <s v="NC - Hoke"/>
    <n v="28376"/>
    <s v="Cape Fear Valley - Hoke Hospital"/>
    <s v="Short Term Acute Care Hospital"/>
    <s v="Raeford"/>
    <n v="11.2"/>
    <n v="2.7"/>
    <n v="32"/>
    <n v="41"/>
    <n v="4"/>
    <n v="0.73"/>
    <n v="41"/>
    <n v="1.44"/>
    <n v="764460"/>
    <n v="1491"/>
  </r>
  <r>
    <x v="1984"/>
    <m/>
    <s v="NC"/>
    <s v="NC - Hoke"/>
    <n v="28376"/>
    <s v="FirstHealth Moore Regional Hospital - Hoke"/>
    <s v="Short Term Acute Care Hospital"/>
    <s v="Raeford"/>
    <m/>
    <m/>
    <m/>
    <m/>
    <m/>
    <m/>
    <m/>
    <m/>
    <n v="764472"/>
    <m/>
  </r>
  <r>
    <x v="1985"/>
    <n v="340144"/>
    <s v="NC"/>
    <s v="NC - Iredell"/>
    <n v="28625"/>
    <s v="Davis Regional Medical Center"/>
    <s v="Short Term Acute Care Hospital"/>
    <s v="Statesville"/>
    <n v="33.4"/>
    <n v="4.0999999999999996"/>
    <n v="64"/>
    <n v="132"/>
    <n v="8"/>
    <n v="0.16"/>
    <n v="132"/>
    <n v="1.34"/>
    <n v="2990"/>
    <n v="3244"/>
  </r>
  <r>
    <x v="1985"/>
    <n v="340129"/>
    <s v="NC"/>
    <s v="NC - Iredell"/>
    <n v="28117"/>
    <s v="Lake Norman Regional Medical Center"/>
    <s v="Short Term Acute Care Hospital"/>
    <s v="Mooresville"/>
    <n v="37.5"/>
    <n v="2.9"/>
    <n v="179"/>
    <n v="123"/>
    <n v="12"/>
    <n v="0.16"/>
    <n v="123"/>
    <n v="1.76"/>
    <n v="2991"/>
    <n v="5391"/>
  </r>
  <r>
    <x v="1985"/>
    <n v="340039"/>
    <s v="NC"/>
    <s v="NC - Iredell"/>
    <n v="28677"/>
    <s v="Iredell Memorial Hospital (AKA Iredell Health System)"/>
    <s v="Short Term Acute Care Hospital"/>
    <s v="Statesville"/>
    <n v="92.5"/>
    <n v="4.5999999999999996"/>
    <n v="264"/>
    <n v="155"/>
    <n v="16"/>
    <n v="0.16"/>
    <n v="155"/>
    <n v="1.52"/>
    <n v="2992"/>
    <n v="7574"/>
  </r>
  <r>
    <x v="1986"/>
    <n v="340016"/>
    <s v="NC"/>
    <s v="NC - Jackson"/>
    <n v="28779"/>
    <s v="Harris Regional Hospital (FKA CJ Harris Community Hospital)"/>
    <s v="Short Term Acute Care Hospital"/>
    <s v="Sylva"/>
    <n v="33.4"/>
    <n v="4"/>
    <n v="151"/>
    <n v="82"/>
    <n v="9"/>
    <n v="0.78"/>
    <n v="82"/>
    <n v="1.64"/>
    <n v="2993"/>
    <n v="3310"/>
  </r>
  <r>
    <x v="1987"/>
    <n v="340090"/>
    <s v="NC"/>
    <s v="NC - Johnston"/>
    <n v="27577"/>
    <s v="Johnston Health (FKA Johnston Memorial Hospital - Smithfield)"/>
    <s v="Short Term Acute Care Hospital"/>
    <s v="Smithfield"/>
    <n v="93.5"/>
    <n v="3.3"/>
    <n v="249"/>
    <n v="179"/>
    <n v="24"/>
    <n v="0.27"/>
    <n v="179"/>
    <n v="1.49"/>
    <n v="2994"/>
    <n v="11459"/>
  </r>
  <r>
    <x v="1987"/>
    <s v="340090*"/>
    <s v="NC"/>
    <s v="NC - Johnston"/>
    <n v="27520"/>
    <s v="Johnston Health Clayton (FKA Johnston Medical Center - Clayton)"/>
    <s v="Short Term Acute Care Hospital"/>
    <s v="Clayton"/>
    <m/>
    <m/>
    <m/>
    <m/>
    <m/>
    <m/>
    <n v="50"/>
    <m/>
    <n v="581812"/>
    <m/>
  </r>
  <r>
    <x v="1988"/>
    <n v="340020"/>
    <s v="NC"/>
    <s v="NC - Lee"/>
    <n v="27330"/>
    <s v="Central Carolina Hospital"/>
    <s v="Short Term Acute Care Hospital"/>
    <s v="Sanford"/>
    <n v="38.9"/>
    <n v="3.2"/>
    <n v="150"/>
    <n v="127"/>
    <n v="8"/>
    <n v="1"/>
    <n v="127"/>
    <n v="1.35"/>
    <n v="2995"/>
    <n v="4879"/>
  </r>
  <r>
    <x v="1989"/>
    <n v="340027"/>
    <s v="NC"/>
    <s v="NC - Lenoir"/>
    <n v="28501"/>
    <s v="UNC Lenoir Health Care (FKA Lenoir Memorial Hospital)"/>
    <s v="Short Term Acute Care Hospital"/>
    <s v="Kinston"/>
    <n v="487.1"/>
    <n v="4.5999999999999996"/>
    <n v="144"/>
    <n v="1086"/>
    <m/>
    <n v="1"/>
    <n v="1086"/>
    <n v="1.37"/>
    <n v="2996"/>
    <n v="5520"/>
  </r>
  <r>
    <x v="1990"/>
    <n v="340145"/>
    <s v="NC"/>
    <s v="NC - Lincoln"/>
    <n v="28092"/>
    <s v="Atrium Health Lincoln (FKA Carolinas HealthCare System Lincoln)"/>
    <s v="Short Term Acute Care Hospital"/>
    <s v="Lincolnton"/>
    <n v="51.7"/>
    <n v="4.3"/>
    <n v="132"/>
    <n v="101"/>
    <n v="10"/>
    <n v="0.16"/>
    <n v="101"/>
    <n v="1.37"/>
    <n v="2997"/>
    <n v="4571"/>
  </r>
  <r>
    <x v="1991"/>
    <n v="340087"/>
    <s v="NC"/>
    <s v="NC - Mcdowell"/>
    <n v="28752"/>
    <s v="Mission Hospital McDowell (FKA McDowell Hospital)"/>
    <s v="Short Term Acute Care Hospital"/>
    <s v="Marion"/>
    <n v="21.4"/>
    <n v="4.0999999999999996"/>
    <n v="93"/>
    <n v="49"/>
    <n v="9"/>
    <n v="1"/>
    <n v="49"/>
    <n v="1.31"/>
    <n v="2998"/>
    <n v="2026"/>
  </r>
  <r>
    <x v="1992"/>
    <n v="340133"/>
    <s v="NC"/>
    <s v="NC - Martin"/>
    <n v="27892"/>
    <s v="Martin General Hospital"/>
    <s v="Short Term Acute Care Hospital"/>
    <s v="Williamston"/>
    <n v="10.9"/>
    <n v="3.8"/>
    <n v="44"/>
    <n v="43"/>
    <n v="6"/>
    <m/>
    <n v="43"/>
    <n v="1.22"/>
    <n v="3001"/>
    <n v="1140"/>
  </r>
  <r>
    <x v="1993"/>
    <s v="340053*"/>
    <s v="NC"/>
    <s v="NC - Mecklenburg"/>
    <n v="28207"/>
    <s v="Novant Health Charlotte Orthopedic Hospital (FKA Presbyterian Orthopaedic Hospital)"/>
    <s v="Short Term Acute Care Hospital"/>
    <s v="Charlotte"/>
    <m/>
    <m/>
    <n v="3"/>
    <m/>
    <m/>
    <m/>
    <n v="80"/>
    <m/>
    <n v="3002"/>
    <m/>
  </r>
  <r>
    <x v="1993"/>
    <n v="340113"/>
    <s v="NC"/>
    <s v="NC - Mecklenburg"/>
    <n v="28203"/>
    <s v="Atrium Health Carolinas Medical Center"/>
    <s v="Short Term Acute Care Hospital"/>
    <s v="Charlotte"/>
    <n v="859.7"/>
    <n v="5.2"/>
    <n v="2649"/>
    <n v="1112"/>
    <n v="49"/>
    <n v="0.16"/>
    <n v="1112"/>
    <n v="2.2000000000000002"/>
    <n v="3003"/>
    <n v="62650"/>
  </r>
  <r>
    <x v="1993"/>
    <s v="340098*"/>
    <s v="NC"/>
    <s v="NC - Mecklenburg"/>
    <n v="28207"/>
    <s v="Atrium Health Mercy (FKA Carolinas Medical Center - Mercy)"/>
    <s v="Short Term Acute Care Hospital"/>
    <s v="Charlotte"/>
    <m/>
    <m/>
    <n v="21"/>
    <m/>
    <m/>
    <m/>
    <n v="170"/>
    <m/>
    <n v="3004"/>
    <m/>
  </r>
  <r>
    <x v="1993"/>
    <n v="340166"/>
    <s v="NC"/>
    <s v="NC - Mecklenburg"/>
    <n v="28262"/>
    <s v="Atrium Health University City (FKA Carolinas Healthcare System University)"/>
    <s v="Short Term Acute Care Hospital"/>
    <s v="Charlotte"/>
    <n v="72.599999999999994"/>
    <n v="4.2"/>
    <n v="138"/>
    <n v="100"/>
    <n v="8"/>
    <n v="0.16"/>
    <n v="100"/>
    <n v="1.52"/>
    <n v="3005"/>
    <n v="6968"/>
  </r>
  <r>
    <x v="1993"/>
    <n v="340171"/>
    <s v="NC"/>
    <s v="NC - Mecklenburg"/>
    <n v="28105"/>
    <s v="Novant Health Matthews Medical Center (FKA Presbyterian Hospital Matthews)"/>
    <s v="Short Term Acute Care Hospital"/>
    <s v="Matthews"/>
    <n v="101.9"/>
    <n v="4.0999999999999996"/>
    <n v="287"/>
    <n v="123"/>
    <n v="10"/>
    <n v="0.16"/>
    <n v="123"/>
    <n v="1.46"/>
    <n v="3006"/>
    <n v="10279"/>
  </r>
  <r>
    <x v="1993"/>
    <n v="340183"/>
    <s v="NC"/>
    <s v="NC - Mecklenburg"/>
    <n v="28078"/>
    <s v="Novant Health Huntersville Medical Center (FKA Presbyterian Hospital Huntersville)"/>
    <s v="Short Term Acute Care Hospital"/>
    <s v="Huntersville"/>
    <n v="66.7"/>
    <n v="3.1"/>
    <n v="431"/>
    <n v="93"/>
    <n v="6"/>
    <n v="0.16"/>
    <n v="93"/>
    <n v="1.43"/>
    <n v="3007"/>
    <n v="9010"/>
  </r>
  <r>
    <x v="1993"/>
    <n v="340053"/>
    <s v="NC"/>
    <s v="NC - Mecklenburg"/>
    <n v="28204"/>
    <s v="Novant Health Presbyterian Medical Center (FKA Presbyterian Hospital)"/>
    <s v="Short Term Acute Care Hospital"/>
    <s v="Charlotte"/>
    <n v="356.5"/>
    <n v="5.2"/>
    <n v="1091"/>
    <n v="535"/>
    <n v="34"/>
    <n v="0.16"/>
    <n v="535"/>
    <n v="2.1"/>
    <n v="3008"/>
    <n v="27191"/>
  </r>
  <r>
    <x v="1993"/>
    <n v="340098"/>
    <s v="NC"/>
    <s v="NC - Mecklenburg"/>
    <n v="28210"/>
    <s v="Atrium Health Pineville (FKA Carolinas HealthCare System Pineville)"/>
    <s v="Short Term Acute Care Hospital"/>
    <s v="Charlotte"/>
    <n v="207.1"/>
    <n v="4.2"/>
    <n v="290"/>
    <n v="221"/>
    <n v="30"/>
    <n v="0.16"/>
    <n v="154"/>
    <n v="1.63"/>
    <n v="274167"/>
    <n v="16914"/>
  </r>
  <r>
    <x v="1993"/>
    <n v="340190"/>
    <s v="NC"/>
    <s v="NC - Mecklenburg"/>
    <n v="28215"/>
    <s v="Novant Health Mint Hill Medical Center"/>
    <s v="Short Term Acute Care Hospital"/>
    <s v="Charlotte"/>
    <n v="11.8"/>
    <n v="3.3"/>
    <n v="51"/>
    <n v="28"/>
    <n v="4"/>
    <n v="0.16"/>
    <n v="28"/>
    <n v="1.27"/>
    <n v="581939"/>
    <n v="1428"/>
  </r>
  <r>
    <x v="1994"/>
    <n v="340115"/>
    <s v="NC"/>
    <s v="NC - Moore"/>
    <n v="28374"/>
    <s v="FirstHealth Moore Regional Hospital"/>
    <s v="Short Term Acute Care Hospital"/>
    <s v="Pinehurst"/>
    <n v="277"/>
    <n v="4.3"/>
    <n v="739"/>
    <n v="412"/>
    <m/>
    <n v="1"/>
    <n v="412"/>
    <n v="1.81"/>
    <n v="3011"/>
    <n v="24349"/>
  </r>
  <r>
    <x v="1995"/>
    <n v="340147"/>
    <s v="NC"/>
    <s v="NC - Nash"/>
    <n v="27804"/>
    <s v="Nash UNC Health Care - Nash General Hospital"/>
    <s v="Short Term Acute Care Hospital"/>
    <s v="Rocky Mount"/>
    <n v="141"/>
    <n v="4.5"/>
    <n v="297"/>
    <n v="322"/>
    <n v="21"/>
    <n v="0.63"/>
    <n v="322"/>
    <n v="1.52"/>
    <n v="3012"/>
    <n v="11870"/>
  </r>
  <r>
    <x v="1996"/>
    <n v="340141"/>
    <s v="NC"/>
    <s v="NC - New Hanover"/>
    <n v="28401"/>
    <s v="New Hanover Regional Medical Center"/>
    <s v="Short Term Acute Care Hospital"/>
    <s v="Wilmington"/>
    <n v="505.7"/>
    <n v="5.4"/>
    <n v="1034"/>
    <n v="677"/>
    <n v="36"/>
    <n v="0.93"/>
    <n v="677"/>
    <n v="1.85"/>
    <n v="3013"/>
    <n v="35953"/>
  </r>
  <r>
    <x v="1996"/>
    <n v="340168"/>
    <s v="NC"/>
    <s v="NC - New Hanover"/>
    <n v="28401"/>
    <s v="Wilmington Treatment Center"/>
    <s v="Short Term Acute Care Hospital"/>
    <s v="Wilmington"/>
    <n v="48.8"/>
    <n v="14.7"/>
    <n v="1"/>
    <n v="92"/>
    <m/>
    <n v="0.93"/>
    <n v="92"/>
    <n v="0.78"/>
    <n v="4830"/>
    <n v="1207"/>
  </r>
  <r>
    <x v="1996"/>
    <s v="340141*"/>
    <s v="NC"/>
    <s v="NC - New Hanover"/>
    <n v="28403"/>
    <s v="NHRMC Orthopedic Hospital (FKA Cape Fear Hospital)"/>
    <s v="Short Term Acute Care Hospital"/>
    <s v="Wilmington"/>
    <m/>
    <m/>
    <m/>
    <m/>
    <m/>
    <m/>
    <n v="68"/>
    <m/>
    <n v="541963"/>
    <m/>
  </r>
  <r>
    <x v="1997"/>
    <n v="340042"/>
    <s v="NC"/>
    <s v="NC - Onslow"/>
    <n v="28546"/>
    <s v="Onslow Memorial Hospital"/>
    <s v="Short Term Acute Care Hospital"/>
    <s v="Jacksonville"/>
    <n v="74.2"/>
    <n v="4"/>
    <n v="263"/>
    <n v="162"/>
    <n v="14"/>
    <n v="1"/>
    <n v="162"/>
    <n v="1.43"/>
    <n v="3014"/>
    <n v="7706"/>
  </r>
  <r>
    <x v="1998"/>
    <n v="340061"/>
    <s v="NC"/>
    <s v="NC - Orange"/>
    <n v="27514"/>
    <s v="UNC Medical Center (FKA University of North Carolina Hospitals - Memorial Hospital)"/>
    <s v="Short Term Acute Care Hospital"/>
    <s v="Chapel Hill"/>
    <n v="676.6"/>
    <n v="6.8"/>
    <n v="1696"/>
    <n v="803"/>
    <m/>
    <n v="0.41"/>
    <n v="803"/>
    <n v="2.19"/>
    <n v="3015"/>
    <n v="37342"/>
  </r>
  <r>
    <x v="1998"/>
    <s v="340061*"/>
    <s v="NC"/>
    <s v="NC - Orange"/>
    <n v="27514"/>
    <s v="NC Womens Hospital at UNC Medical Center"/>
    <s v="Short Term Acute Care Hospital"/>
    <s v="Chapel Hill"/>
    <m/>
    <m/>
    <m/>
    <m/>
    <m/>
    <m/>
    <m/>
    <m/>
    <n v="553428"/>
    <m/>
  </r>
  <r>
    <x v="1998"/>
    <s v="340061*"/>
    <s v="NC"/>
    <s v="NC - Orange"/>
    <n v="27514"/>
    <s v="NC Cancer Hospital - UNC Lineberger Comprehensive Cancer Center"/>
    <s v="Short Term Acute Care Hospital"/>
    <s v="Chapel Hill"/>
    <m/>
    <m/>
    <m/>
    <m/>
    <m/>
    <m/>
    <n v="50"/>
    <m/>
    <n v="553429"/>
    <m/>
  </r>
  <r>
    <x v="1998"/>
    <s v="340061*"/>
    <s v="NC"/>
    <s v="NC - Orange"/>
    <n v="27514"/>
    <s v="NC Neurosciences Hospital at UNC Medical Center"/>
    <s v="Short Term Acute Care Hospital"/>
    <s v="Chapel Hill"/>
    <m/>
    <m/>
    <m/>
    <m/>
    <m/>
    <m/>
    <m/>
    <m/>
    <n v="553430"/>
    <m/>
  </r>
  <r>
    <x v="1998"/>
    <m/>
    <s v="NC"/>
    <s v="NC - Orange"/>
    <n v="27278"/>
    <s v="UNC Hospitals Hillsborough Campus"/>
    <s v="Short Term Acute Care Hospital"/>
    <s v="Hillsborough"/>
    <m/>
    <m/>
    <n v="3"/>
    <m/>
    <m/>
    <m/>
    <n v="83"/>
    <m/>
    <n v="581966"/>
    <m/>
  </r>
  <r>
    <x v="1999"/>
    <n v="340109"/>
    <s v="NC"/>
    <s v="NC - Pasquotank"/>
    <n v="27909"/>
    <s v="Sentara Albemarle Medical Center"/>
    <s v="Short Term Acute Care Hospital"/>
    <s v="Elizabeth City"/>
    <n v="53.6"/>
    <n v="4.2"/>
    <n v="176"/>
    <n v="91"/>
    <n v="10"/>
    <n v="1"/>
    <n v="91"/>
    <n v="1.42"/>
    <n v="3016"/>
    <n v="4818"/>
  </r>
  <r>
    <x v="2000"/>
    <n v="340159"/>
    <s v="NC"/>
    <s v="NC - Person"/>
    <n v="27573"/>
    <s v="Person Memorial Hospital"/>
    <s v="Short Term Acute Care Hospital"/>
    <s v="Roxboro"/>
    <n v="9.3000000000000007"/>
    <n v="3.4"/>
    <n v="79"/>
    <n v="38"/>
    <n v="6"/>
    <n v="0.41"/>
    <n v="38"/>
    <n v="1.27"/>
    <n v="3018"/>
    <n v="986"/>
  </r>
  <r>
    <x v="2001"/>
    <n v="340040"/>
    <s v="NC"/>
    <s v="NC - Pitt"/>
    <n v="27834"/>
    <s v="Vidant Medical Center (FKA Pitt County Memorial Hospital)"/>
    <s v="Short Term Acute Care Hospital"/>
    <s v="Greenville"/>
    <n v="673.5"/>
    <n v="6.2"/>
    <n v="1073"/>
    <n v="847"/>
    <n v="71"/>
    <n v="1"/>
    <n v="847"/>
    <n v="2"/>
    <n v="3019"/>
    <n v="40664"/>
  </r>
  <r>
    <x v="2001"/>
    <n v="340175"/>
    <s v="NC"/>
    <s v="NC - Pitt"/>
    <n v="27834"/>
    <s v="Walter B Jones Alcohol and Drug Abuse Treatment Center"/>
    <s v="Short Term Acute Care Hospital"/>
    <s v="Greenville"/>
    <n v="34.700000000000003"/>
    <n v="11.6"/>
    <n v="3"/>
    <n v="66"/>
    <m/>
    <n v="1"/>
    <n v="66"/>
    <m/>
    <n v="6094"/>
    <n v="1089"/>
  </r>
  <r>
    <x v="2002"/>
    <n v="340123"/>
    <s v="NC"/>
    <s v="NC - Randolph"/>
    <n v="27203"/>
    <s v="Randolph Hospital (AKA Randolph Health)"/>
    <s v="Short Term Acute Care Hospital"/>
    <s v="Asheboro"/>
    <n v="36.299999999999997"/>
    <n v="2.7"/>
    <n v="151"/>
    <n v="145"/>
    <n v="12"/>
    <n v="0.59"/>
    <n v="145"/>
    <n v="1.43"/>
    <n v="3021"/>
    <n v="5384"/>
  </r>
  <r>
    <x v="2003"/>
    <n v="340106"/>
    <s v="NC"/>
    <s v="NC - Richmond"/>
    <n v="28345"/>
    <s v="Sandhills Regional Medical Center (Temporarily Open due to COVID-19)"/>
    <s v="Short Term Acute Care Hospital"/>
    <s v="Hamlet"/>
    <n v="7.2"/>
    <n v="1.6"/>
    <m/>
    <m/>
    <m/>
    <n v="1"/>
    <m/>
    <m/>
    <n v="3022"/>
    <n v="1604"/>
  </r>
  <r>
    <x v="2003"/>
    <s v="340115*"/>
    <s v="NC"/>
    <s v="NC - Richmond"/>
    <n v="28379"/>
    <s v="FirstHealth Moore Regional Hospital - Richmond"/>
    <s v="Short Term Acute Care Hospital"/>
    <s v="Rockingham"/>
    <m/>
    <m/>
    <m/>
    <m/>
    <m/>
    <m/>
    <n v="99"/>
    <m/>
    <n v="3023"/>
    <m/>
  </r>
  <r>
    <x v="2004"/>
    <n v="340050"/>
    <s v="NC"/>
    <s v="NC - Robeson"/>
    <n v="28359"/>
    <s v="Southeastern Health (FKA Southeastern Regional Medical Center)"/>
    <s v="Short Term Acute Care Hospital"/>
    <s v="Lumberton"/>
    <n v="147.9"/>
    <n v="4.5"/>
    <n v="354"/>
    <n v="246"/>
    <n v="30"/>
    <n v="1"/>
    <n v="246"/>
    <n v="1.48"/>
    <n v="3024"/>
    <n v="12747"/>
  </r>
  <r>
    <x v="2005"/>
    <n v="340060"/>
    <s v="NC"/>
    <s v="NC - Rockingham"/>
    <n v="27288"/>
    <s v="UNC Rockingham Health Care (FKA Morehead Memorial Hospital)"/>
    <s v="Short Term Acute Care Hospital"/>
    <s v="Eden"/>
    <n v="27.4"/>
    <n v="3.4"/>
    <n v="75"/>
    <n v="108"/>
    <n v="9"/>
    <n v="0.59"/>
    <n v="108"/>
    <n v="1.28"/>
    <n v="3025"/>
    <n v="3207"/>
  </r>
  <r>
    <x v="2005"/>
    <s v="340091*"/>
    <s v="NC"/>
    <s v="NC - Rockingham"/>
    <n v="27320"/>
    <s v="Cone Health Annie Penn Hospital (FKA Annie Penn Hospital)"/>
    <s v="Short Term Acute Care Hospital"/>
    <s v="Reidsville"/>
    <m/>
    <m/>
    <m/>
    <m/>
    <m/>
    <m/>
    <n v="110"/>
    <m/>
    <n v="274269"/>
    <m/>
  </r>
  <r>
    <x v="2006"/>
    <n v="340015"/>
    <s v="NC"/>
    <s v="NC - Rowan"/>
    <n v="28144"/>
    <s v="Novant Health Rowan Medical Center"/>
    <s v="Short Term Acute Care Hospital"/>
    <s v="Salisbury"/>
    <n v="117.8"/>
    <n v="4.5"/>
    <n v="268"/>
    <n v="169"/>
    <n v="20"/>
    <n v="0.16"/>
    <n v="169"/>
    <n v="1.45"/>
    <n v="3026"/>
    <n v="9946"/>
  </r>
  <r>
    <x v="2007"/>
    <n v="340013"/>
    <s v="NC"/>
    <s v="NC - Rutherford"/>
    <n v="28139"/>
    <s v="Rutherford Regional Medical Center (AKA Rutherford Regional Health System)"/>
    <s v="Short Term Acute Care Hospital"/>
    <s v="Rutherfordton"/>
    <n v="27.7"/>
    <n v="3.5"/>
    <n v="105"/>
    <n v="111"/>
    <n v="18"/>
    <n v="1"/>
    <n v="111"/>
    <n v="1.5"/>
    <n v="3028"/>
    <n v="3170"/>
  </r>
  <r>
    <x v="2008"/>
    <n v="340024"/>
    <s v="NC"/>
    <s v="NC - Sampson"/>
    <n v="28328"/>
    <s v="Sampson Regional Medical Center"/>
    <s v="Short Term Acute Care Hospital"/>
    <s v="Clinton"/>
    <n v="23.8"/>
    <n v="3.3"/>
    <n v="103"/>
    <n v="59"/>
    <n v="8"/>
    <m/>
    <n v="59"/>
    <n v="1.32"/>
    <n v="3029"/>
    <n v="2808"/>
  </r>
  <r>
    <x v="2009"/>
    <n v="340008"/>
    <s v="NC"/>
    <s v="NC - Scotland"/>
    <n v="28352"/>
    <s v="Scotland Memorial Hospital"/>
    <s v="Short Term Acute Care Hospital"/>
    <s v="Laurinburg"/>
    <n v="53.5"/>
    <n v="3.8"/>
    <n v="172"/>
    <n v="97"/>
    <n v="8"/>
    <n v="1"/>
    <n v="97"/>
    <n v="1.51"/>
    <n v="3030"/>
    <n v="5673"/>
  </r>
  <r>
    <x v="2010"/>
    <n v="340119"/>
    <s v="NC"/>
    <s v="NC - Stanly"/>
    <n v="28002"/>
    <s v="Atrium Health Stanly (FKA Carolinas HealthCare System Stanly)"/>
    <s v="Short Term Acute Care Hospital"/>
    <s v="Albemarle"/>
    <n v="31.1"/>
    <n v="3.7"/>
    <n v="106"/>
    <n v="97"/>
    <n v="10"/>
    <n v="1"/>
    <n v="97"/>
    <n v="1.35"/>
    <n v="3031"/>
    <n v="3313"/>
  </r>
  <r>
    <x v="2011"/>
    <n v="340097"/>
    <s v="NC"/>
    <s v="NC - Surry"/>
    <n v="28621"/>
    <s v="Hugh Chatham Memorial Hospital"/>
    <s v="Short Term Acute Care Hospital"/>
    <s v="Elkin"/>
    <n v="33.5"/>
    <n v="3.5"/>
    <n v="150"/>
    <n v="81"/>
    <m/>
    <n v="0.5"/>
    <n v="81"/>
    <n v="1.33"/>
    <n v="3033"/>
    <n v="3729"/>
  </r>
  <r>
    <x v="2011"/>
    <n v="340003"/>
    <s v="NC"/>
    <s v="NC - Surry"/>
    <n v="27030"/>
    <s v="Northern Regional Hospital (FKA Northern Hospital of Surry County)"/>
    <s v="Short Term Acute Care Hospital"/>
    <s v="Mount Airy"/>
    <n v="37.5"/>
    <n v="4.0999999999999996"/>
    <n v="102"/>
    <n v="100"/>
    <n v="10"/>
    <n v="0.5"/>
    <n v="100"/>
    <n v="1.27"/>
    <n v="3034"/>
    <n v="3476"/>
  </r>
  <r>
    <x v="788"/>
    <n v="340156"/>
    <s v="NC"/>
    <s v="NC - Swain"/>
    <n v="28719"/>
    <s v="Cherokee Indian Hospital"/>
    <s v="Short Term Acute Care Hospital"/>
    <s v="Cherokee"/>
    <n v="4.9000000000000004"/>
    <n v="2.2000000000000002"/>
    <n v="58"/>
    <n v="20"/>
    <m/>
    <m/>
    <n v="20"/>
    <n v="0.94"/>
    <n v="3035"/>
    <n v="821"/>
  </r>
  <r>
    <x v="2012"/>
    <n v="340130"/>
    <s v="NC"/>
    <s v="NC - Union"/>
    <n v="28112"/>
    <s v="Atrium Health Union (FKA Carolinas HealthCare System Union)"/>
    <s v="Short Term Acute Care Hospital"/>
    <s v="Monroe"/>
    <n v="92.3"/>
    <n v="3.9"/>
    <n v="168"/>
    <n v="182"/>
    <n v="14"/>
    <n v="0.16"/>
    <n v="182"/>
    <n v="1.49"/>
    <n v="3037"/>
    <n v="8954"/>
  </r>
  <r>
    <x v="2012"/>
    <m/>
    <s v="NC"/>
    <s v="NC - Union"/>
    <n v="28104"/>
    <s v="Atrium Health Union West (Opening 2022)"/>
    <s v="Short Term Acute Care Hospital"/>
    <s v="Stallings"/>
    <m/>
    <m/>
    <m/>
    <m/>
    <m/>
    <m/>
    <m/>
    <m/>
    <n v="1004454"/>
    <m/>
  </r>
  <r>
    <x v="2013"/>
    <n v="340132"/>
    <s v="NC"/>
    <s v="NC - Vance"/>
    <n v="27536"/>
    <s v="Maria Parham Medical Center (AKA Maria Parham Health)"/>
    <s v="Short Term Acute Care Hospital"/>
    <s v="Henderson"/>
    <n v="47"/>
    <n v="4.0999999999999996"/>
    <n v="147"/>
    <n v="91"/>
    <n v="20"/>
    <n v="1"/>
    <n v="91"/>
    <n v="1.4"/>
    <n v="3038"/>
    <n v="4446"/>
  </r>
  <r>
    <x v="2014"/>
    <n v="340114"/>
    <s v="NC"/>
    <s v="NC - Wake"/>
    <n v="27607"/>
    <s v="UNC Rex Hospital (FKA Rex Hospital)"/>
    <s v="Short Term Acute Care Hospital"/>
    <s v="Raleigh"/>
    <n v="309.2"/>
    <n v="4.3"/>
    <n v="1198"/>
    <n v="439"/>
    <n v="51"/>
    <n v="0.27"/>
    <n v="439"/>
    <n v="1.96"/>
    <n v="3039"/>
    <n v="28737"/>
  </r>
  <r>
    <x v="2014"/>
    <n v="340173"/>
    <s v="NC"/>
    <s v="NC - Wake"/>
    <n v="27518"/>
    <s v="WakeMed Cary Hospital"/>
    <s v="Short Term Acute Care Hospital"/>
    <s v="Cary"/>
    <n v="137.30000000000001"/>
    <n v="4.3"/>
    <n v="317"/>
    <n v="196"/>
    <n v="12"/>
    <n v="0.27"/>
    <n v="196"/>
    <n v="1.49"/>
    <n v="3040"/>
    <n v="12844"/>
  </r>
  <r>
    <x v="2014"/>
    <n v="340073"/>
    <s v="NC"/>
    <s v="NC - Wake"/>
    <n v="27609"/>
    <s v="Duke Raleigh Hospital"/>
    <s v="Short Term Acute Care Hospital"/>
    <s v="Raleigh"/>
    <n v="133.4"/>
    <n v="5.0999999999999996"/>
    <n v="555"/>
    <n v="175"/>
    <n v="42"/>
    <n v="0.27"/>
    <n v="175"/>
    <n v="1.99"/>
    <n v="3041"/>
    <n v="9605"/>
  </r>
  <r>
    <x v="2014"/>
    <n v="340069"/>
    <s v="NC"/>
    <s v="NC - Wake"/>
    <n v="27610"/>
    <s v="WakeMed Raleigh Campus"/>
    <s v="Short Term Acute Care Hospital"/>
    <s v="Raleigh"/>
    <n v="454.5"/>
    <n v="5.3"/>
    <n v="997"/>
    <n v="596"/>
    <n v="12"/>
    <n v="0.27"/>
    <n v="596"/>
    <n v="1.87"/>
    <n v="3042"/>
    <n v="33669"/>
  </r>
  <r>
    <x v="2014"/>
    <m/>
    <s v="NC"/>
    <s v="NC - Wake"/>
    <n v="27606"/>
    <s v="Central Prison Healthcare Complex"/>
    <s v="Short Term Acute Care Hospital"/>
    <s v="Raleigh"/>
    <m/>
    <m/>
    <m/>
    <m/>
    <m/>
    <m/>
    <n v="216"/>
    <m/>
    <n v="581796"/>
    <m/>
  </r>
  <r>
    <x v="2014"/>
    <m/>
    <s v="NC"/>
    <s v="NC - Wake"/>
    <n v="27614"/>
    <s v="WakeMed North Family Health &amp; Womens Hospital (AKA WakeMed North Hospital)"/>
    <s v="Short Term Acute Care Hospital"/>
    <s v="Raleigh"/>
    <m/>
    <m/>
    <m/>
    <m/>
    <m/>
    <m/>
    <n v="61"/>
    <m/>
    <n v="581962"/>
    <m/>
  </r>
  <r>
    <x v="2014"/>
    <m/>
    <s v="NC"/>
    <s v="NC - Wake"/>
    <n v="27540"/>
    <s v="REX Holly Springs Hospital (Opening 2021)"/>
    <s v="Short Term Acute Care Hospital"/>
    <s v="Holly Springs"/>
    <m/>
    <m/>
    <m/>
    <m/>
    <m/>
    <m/>
    <m/>
    <m/>
    <n v="842960"/>
    <m/>
  </r>
  <r>
    <x v="2014"/>
    <s v="340114*"/>
    <s v="NC"/>
    <s v="NC - Wake"/>
    <n v="27607"/>
    <s v="North Carolina Heart &amp; Vascular Hospital - Raleigh"/>
    <s v="Short Term Acute Care Hospital"/>
    <s v="Raleigh"/>
    <m/>
    <m/>
    <n v="24"/>
    <m/>
    <m/>
    <m/>
    <n v="286"/>
    <m/>
    <n v="833238"/>
    <m/>
  </r>
  <r>
    <x v="791"/>
    <n v="340051"/>
    <s v="NC"/>
    <s v="NC - Watauga"/>
    <n v="28607"/>
    <s v="Watauga Medical Center"/>
    <s v="Short Term Acute Care Hospital"/>
    <s v="Boone"/>
    <n v="38.700000000000003"/>
    <n v="3.5"/>
    <n v="178"/>
    <n v="95"/>
    <n v="10"/>
    <n v="0.92"/>
    <n v="95"/>
    <n v="1.59"/>
    <n v="3045"/>
    <n v="4318"/>
  </r>
  <r>
    <x v="2015"/>
    <n v="340010"/>
    <s v="NC"/>
    <s v="NC - Wayne"/>
    <n v="27534"/>
    <s v="Wayne UNC Health Care (FKA Wayne Memorial Hospital)"/>
    <s v="Short Term Acute Care Hospital"/>
    <s v="Goldsboro"/>
    <n v="128.80000000000001"/>
    <n v="4.8"/>
    <n v="297"/>
    <n v="261"/>
    <n v="16"/>
    <n v="1"/>
    <n v="261"/>
    <n v="1.61"/>
    <n v="3046"/>
    <n v="10306"/>
  </r>
  <r>
    <x v="2016"/>
    <n v="340064"/>
    <s v="NC"/>
    <s v="NC - Wilkes"/>
    <n v="28659"/>
    <s v="Wake Forest Baptist Health - Wilkes Medical Center"/>
    <s v="Short Term Acute Care Hospital"/>
    <s v="North Wilkesboro"/>
    <n v="30.7"/>
    <n v="3.3"/>
    <n v="99"/>
    <n v="93"/>
    <n v="8"/>
    <n v="1"/>
    <n v="93"/>
    <n v="1.33"/>
    <n v="3047"/>
    <n v="3609"/>
  </r>
  <r>
    <x v="2017"/>
    <n v="340126"/>
    <s v="NC"/>
    <s v="NC - Wilson"/>
    <n v="27893"/>
    <s v="Wilson Medical Center"/>
    <s v="Short Term Acute Care Hospital"/>
    <s v="Wilson"/>
    <n v="69.400000000000006"/>
    <n v="4"/>
    <n v="207"/>
    <n v="270"/>
    <n v="14"/>
    <n v="1"/>
    <n v="270"/>
    <n v="1.47"/>
    <n v="3048"/>
    <n v="6650"/>
  </r>
  <r>
    <x v="2018"/>
    <n v="350015"/>
    <s v="ND"/>
    <s v="ND - Burleigh"/>
    <n v="58501"/>
    <s v="Sanford Medical Center Bismarck (FKA Medcenter One)"/>
    <s v="Short Term Acute Care Hospital"/>
    <s v="Bismarck"/>
    <n v="122.6"/>
    <n v="4.5999999999999996"/>
    <n v="383"/>
    <n v="205"/>
    <n v="13"/>
    <n v="0.55000000000000004"/>
    <n v="205"/>
    <n v="1.85"/>
    <n v="3052"/>
    <n v="10227"/>
  </r>
  <r>
    <x v="2018"/>
    <n v="350002"/>
    <s v="ND"/>
    <s v="ND - Burleigh"/>
    <n v="58501"/>
    <s v="CHI St Alexius Health Bismarck Medical Center"/>
    <s v="Short Term Acute Care Hospital"/>
    <s v="Bismarck"/>
    <n v="92.6"/>
    <n v="4.5999999999999996"/>
    <n v="313"/>
    <n v="181"/>
    <n v="39"/>
    <n v="0.55000000000000004"/>
    <n v="181"/>
    <n v="1.98"/>
    <n v="3053"/>
    <n v="7677"/>
  </r>
  <r>
    <x v="2019"/>
    <n v="350070"/>
    <s v="ND"/>
    <s v="ND - Cass"/>
    <n v="58103"/>
    <s v="Essentia Health - Fargo (FKA Innovis Health)"/>
    <s v="Short Term Acute Care Hospital"/>
    <s v="Fargo"/>
    <n v="87.9"/>
    <n v="4.2"/>
    <n v="390"/>
    <n v="133"/>
    <n v="44"/>
    <n v="0.62"/>
    <n v="133"/>
    <n v="1.82"/>
    <n v="3054"/>
    <n v="8364"/>
  </r>
  <r>
    <x v="2019"/>
    <n v="350011"/>
    <s v="ND"/>
    <s v="ND - Cass"/>
    <n v="58122"/>
    <s v="Sanford Broadway Medical Center"/>
    <s v="Short Term Acute Care Hospital"/>
    <s v="Fargo"/>
    <n v="341.9"/>
    <n v="5"/>
    <n v="892"/>
    <n v="468"/>
    <n v="67"/>
    <n v="0.62"/>
    <n v="468"/>
    <n v="2.06"/>
    <n v="3055"/>
    <n v="24539"/>
  </r>
  <r>
    <x v="2019"/>
    <s v="350011*"/>
    <s v="ND"/>
    <s v="ND - Cass"/>
    <n v="58103"/>
    <s v="Sanford South University Medical Center"/>
    <s v="Short Term Acute Care Hospital"/>
    <s v="Fargo"/>
    <m/>
    <m/>
    <m/>
    <m/>
    <m/>
    <m/>
    <n v="55"/>
    <m/>
    <n v="575716"/>
    <m/>
  </r>
  <r>
    <x v="2019"/>
    <s v="350011* (Closed)"/>
    <s v="ND"/>
    <s v="ND - Cass"/>
    <n v="58122"/>
    <s v="Sanford Heart Hospital - Sanford Heart and Vascular Clinic (Closed - Cardio Services Provided by Broadway Medical Center)"/>
    <s v="Short Term Acute Care Hospital"/>
    <s v="Fargo"/>
    <m/>
    <m/>
    <m/>
    <m/>
    <m/>
    <m/>
    <m/>
    <m/>
    <n v="576762"/>
    <m/>
  </r>
  <r>
    <x v="2019"/>
    <m/>
    <s v="ND"/>
    <s v="ND - Cass"/>
    <n v="58104"/>
    <s v="Sanford Medical Center Fargo"/>
    <s v="Short Term Acute Care Hospital"/>
    <s v="Fargo"/>
    <m/>
    <m/>
    <n v="140"/>
    <m/>
    <m/>
    <m/>
    <m/>
    <m/>
    <n v="907737"/>
    <m/>
  </r>
  <r>
    <x v="802"/>
    <n v="350019"/>
    <s v="ND"/>
    <s v="ND - Grand Forks"/>
    <n v="58201"/>
    <s v="Altru Hospital"/>
    <s v="Short Term Acute Care Hospital"/>
    <s v="Grand Forks"/>
    <n v="134.4"/>
    <n v="4.3"/>
    <n v="505"/>
    <n v="271"/>
    <n v="16"/>
    <n v="0.73"/>
    <n v="257"/>
    <n v="1.84"/>
    <n v="3059"/>
    <n v="12901"/>
  </r>
  <r>
    <x v="802"/>
    <m/>
    <s v="ND"/>
    <s v="ND - Grand Forks"/>
    <n v="58201"/>
    <s v="Doctors Hospital (Closed)"/>
    <s v="Short Term Acute Care Hospital"/>
    <s v="Grand Forks"/>
    <m/>
    <m/>
    <m/>
    <m/>
    <m/>
    <m/>
    <m/>
    <m/>
    <n v="542192"/>
    <m/>
  </r>
  <r>
    <x v="815"/>
    <n v="350063"/>
    <s v="ND"/>
    <s v="ND - Rolette"/>
    <n v="58316"/>
    <s v="Turtle Mountain Service Unit (AKA Quentin N Burdick Memorial Health Care Facility)"/>
    <s v="Short Term Acute Care Hospital"/>
    <s v="Belcourt"/>
    <n v="6.5"/>
    <n v="4.5"/>
    <n v="42"/>
    <n v="27"/>
    <m/>
    <m/>
    <n v="27"/>
    <n v="0.95"/>
    <n v="3067"/>
    <n v="530"/>
  </r>
  <r>
    <x v="2020"/>
    <n v="350064"/>
    <s v="ND"/>
    <s v="ND - Sioux"/>
    <n v="58538"/>
    <s v="Standing Rock Service Unit (AKA Fort Yates Hospital)"/>
    <s v="Short Term Acute Care Hospital"/>
    <s v="Fort Yates"/>
    <n v="0.5"/>
    <n v="3.7"/>
    <n v="14"/>
    <n v="12"/>
    <m/>
    <m/>
    <n v="12"/>
    <m/>
    <n v="3068"/>
    <n v="50"/>
  </r>
  <r>
    <x v="821"/>
    <n v="350006"/>
    <s v="ND"/>
    <s v="ND - Ward"/>
    <n v="58702"/>
    <s v="Trinity Hospital - St Josephs"/>
    <s v="Short Term Acute Care Hospital"/>
    <s v="Minot"/>
    <n v="84.6"/>
    <n v="4.7"/>
    <n v="355"/>
    <n v="152"/>
    <n v="19"/>
    <n v="0.98"/>
    <n v="165"/>
    <n v="1.8"/>
    <n v="3074"/>
    <n v="7128"/>
  </r>
  <r>
    <x v="821"/>
    <s v="350006*"/>
    <s v="ND"/>
    <s v="ND - Ward"/>
    <n v="58702"/>
    <s v="Trinity Hospital"/>
    <s v="Short Term Acute Care Hospital"/>
    <s v="Minot"/>
    <m/>
    <m/>
    <n v="1"/>
    <m/>
    <m/>
    <m/>
    <n v="251"/>
    <m/>
    <n v="833136"/>
    <m/>
  </r>
  <r>
    <x v="821"/>
    <m/>
    <s v="ND"/>
    <s v="ND - Ward"/>
    <n v="58701"/>
    <s v="Trinity Health Replacement Campus (Opening 2021)"/>
    <s v="Short Term Acute Care Hospital"/>
    <s v="Minot"/>
    <m/>
    <m/>
    <m/>
    <m/>
    <m/>
    <m/>
    <m/>
    <m/>
    <n v="976049"/>
    <m/>
  </r>
  <r>
    <x v="825"/>
    <n v="360009"/>
    <s v="OH"/>
    <s v="OH - Allen"/>
    <n v="45804"/>
    <s v="Lima Memorial Health System"/>
    <s v="Short Term Acute Care Hospital"/>
    <s v="Lima"/>
    <n v="56.3"/>
    <n v="3.9"/>
    <n v="193"/>
    <n v="95"/>
    <n v="16"/>
    <n v="0.47"/>
    <n v="95"/>
    <n v="1.74"/>
    <n v="3081"/>
    <n v="5640"/>
  </r>
  <r>
    <x v="825"/>
    <n v="360066"/>
    <s v="OH"/>
    <s v="OH - Allen"/>
    <n v="45801"/>
    <s v="Mercy Health - St Ritas Medical Center"/>
    <s v="Short Term Acute Care Hospital"/>
    <s v="Lima"/>
    <n v="181.5"/>
    <n v="4.0999999999999996"/>
    <n v="398"/>
    <n v="311"/>
    <n v="18"/>
    <n v="0.47"/>
    <n v="311"/>
    <n v="1.78"/>
    <n v="3082"/>
    <n v="17155"/>
  </r>
  <r>
    <x v="825"/>
    <n v="360263"/>
    <s v="OH"/>
    <s v="OH - Allen"/>
    <n v="45804"/>
    <s v="Orthopaedic Institute of Ohio"/>
    <s v="Short Term Acute Care Hospital"/>
    <s v="Lima"/>
    <n v="5"/>
    <n v="1.9"/>
    <n v="41"/>
    <n v="12"/>
    <m/>
    <n v="0.47"/>
    <n v="12"/>
    <n v="2.2599999999999998"/>
    <n v="3080"/>
    <n v="960"/>
  </r>
  <r>
    <x v="2021"/>
    <n v="360002"/>
    <s v="OH"/>
    <s v="OH - Ashland"/>
    <n v="44805"/>
    <s v="University Hospitals Samaritan Medical Center (FKA Samaritan Regional Health System)"/>
    <s v="Short Term Acute Care Hospital"/>
    <s v="Ashland"/>
    <n v="20.6"/>
    <n v="3.3"/>
    <n v="140"/>
    <n v="39"/>
    <n v="6"/>
    <n v="1"/>
    <n v="39"/>
    <n v="1.31"/>
    <n v="3083"/>
    <n v="2448"/>
  </r>
  <r>
    <x v="826"/>
    <n v="360125"/>
    <s v="OH"/>
    <s v="OH - Ashtabula"/>
    <n v="44004"/>
    <s v="Ashtabula County Medical Center"/>
    <s v="Short Term Acute Care Hospital"/>
    <s v="Ashtabula"/>
    <n v="46.3"/>
    <n v="4.3"/>
    <n v="168"/>
    <n v="104"/>
    <n v="9"/>
    <n v="0.36"/>
    <n v="104"/>
    <n v="1.26"/>
    <n v="3084"/>
    <n v="4113"/>
  </r>
  <r>
    <x v="826"/>
    <n v="360245"/>
    <s v="OH"/>
    <s v="OH - Ashtabula"/>
    <n v="44084"/>
    <s v="Glenbeigh Hospital of Rock Creek"/>
    <s v="Short Term Acute Care Hospital"/>
    <s v="Rock Creek"/>
    <n v="85.7"/>
    <n v="10.6"/>
    <n v="10"/>
    <n v="114"/>
    <m/>
    <n v="0.36"/>
    <n v="114"/>
    <n v="1.3"/>
    <n v="3085"/>
    <n v="2957"/>
  </r>
  <r>
    <x v="827"/>
    <n v="360014"/>
    <s v="OH"/>
    <s v="OH - Athens"/>
    <n v="45701"/>
    <s v="OhioHealth OBleness Hospital"/>
    <s v="Short Term Acute Care Hospital"/>
    <s v="Athens"/>
    <n v="7.6"/>
    <n v="2"/>
    <n v="191"/>
    <n v="64"/>
    <m/>
    <n v="0.8"/>
    <n v="64"/>
    <n v="1.47"/>
    <n v="3089"/>
    <n v="2098"/>
  </r>
  <r>
    <x v="2022"/>
    <n v="360032"/>
    <s v="OH"/>
    <s v="OH - Auglaize"/>
    <n v="45885"/>
    <s v="Joint Township District Memorial Hospital (AKA Grand Lake Health System)"/>
    <s v="Short Term Acute Care Hospital"/>
    <s v="Saint Marys"/>
    <n v="13.9"/>
    <n v="3.3"/>
    <n v="80"/>
    <n v="36"/>
    <n v="6"/>
    <n v="1"/>
    <n v="36"/>
    <n v="1.4"/>
    <n v="3090"/>
    <n v="1732"/>
  </r>
  <r>
    <x v="828"/>
    <s v="360153 (Closed)"/>
    <s v="OH"/>
    <s v="OH - Belmont"/>
    <n v="43906"/>
    <s v="Belmont Community Hospital (Closed)"/>
    <s v="Short Term Acute Care Hospital"/>
    <s v="Bellaire"/>
    <n v="0.7"/>
    <n v="13.6"/>
    <m/>
    <m/>
    <m/>
    <n v="0.47"/>
    <m/>
    <n v="1.1100000000000001"/>
    <n v="3091"/>
    <n v="19"/>
  </r>
  <r>
    <x v="828"/>
    <s v="360080 (Closed)"/>
    <s v="OH"/>
    <s v="OH - Belmont"/>
    <n v="43935"/>
    <s v="East Ohio Regional Hospital (Closed)"/>
    <s v="Short Term Acute Care Hospital"/>
    <s v="Martins Ferry"/>
    <n v="18.2"/>
    <n v="4"/>
    <m/>
    <m/>
    <m/>
    <n v="0.47"/>
    <m/>
    <n v="1.37"/>
    <n v="3092"/>
    <n v="1679"/>
  </r>
  <r>
    <x v="2023"/>
    <s v="360116 (Closed)"/>
    <s v="OH"/>
    <s v="OH - Brown"/>
    <n v="45121"/>
    <s v="Southwest Regional Medical Center (Closed September 2014)"/>
    <s v="Short Term Acute Care Hospital"/>
    <s v="Georgetown"/>
    <n v="5.7"/>
    <n v="2.8"/>
    <m/>
    <m/>
    <m/>
    <n v="0.12"/>
    <m/>
    <m/>
    <n v="3094"/>
    <n v="748"/>
  </r>
  <r>
    <x v="2024"/>
    <n v="360132"/>
    <s v="OH"/>
    <s v="OH - Butler"/>
    <n v="45013"/>
    <s v="Fort Hamilton Hospital"/>
    <s v="Short Term Acute Care Hospital"/>
    <s v="Hamilton"/>
    <n v="70.3"/>
    <n v="4.3"/>
    <n v="168"/>
    <n v="138"/>
    <n v="16"/>
    <n v="0.12"/>
    <n v="138"/>
    <n v="1.49"/>
    <n v="3095"/>
    <n v="6355"/>
  </r>
  <r>
    <x v="2024"/>
    <n v="360056"/>
    <s v="OH"/>
    <s v="OH - Butler"/>
    <n v="45014"/>
    <s v="Mercy Health - Fairfield Hospital"/>
    <s v="Short Term Acute Care Hospital"/>
    <s v="Fairfield"/>
    <n v="133.4"/>
    <n v="4.0999999999999996"/>
    <n v="311"/>
    <n v="199"/>
    <n v="18"/>
    <n v="0.12"/>
    <n v="199"/>
    <n v="1.71"/>
    <n v="3096"/>
    <n v="12981"/>
  </r>
  <r>
    <x v="2024"/>
    <n v="360046"/>
    <s v="OH"/>
    <s v="OH - Butler"/>
    <n v="45056"/>
    <s v="McCullough-Hyde Memorial Hospital"/>
    <s v="Short Term Acute Care Hospital"/>
    <s v="Oxford"/>
    <n v="17.100000000000001"/>
    <n v="3.3"/>
    <n v="75"/>
    <n v="45"/>
    <n v="4"/>
    <n v="0.12"/>
    <n v="45"/>
    <n v="1.4"/>
    <n v="3097"/>
    <n v="2094"/>
  </r>
  <r>
    <x v="2024"/>
    <n v="360354"/>
    <s v="OH"/>
    <s v="OH - Butler"/>
    <n v="45069"/>
    <s v="UC Health West Chester Hospital"/>
    <s v="Short Term Acute Care Hospital"/>
    <s v="West Chester"/>
    <n v="94.8"/>
    <n v="4"/>
    <n v="251"/>
    <n v="153"/>
    <n v="18"/>
    <n v="0.12"/>
    <n v="153"/>
    <n v="1.56"/>
    <n v="3098"/>
    <n v="9128"/>
  </r>
  <r>
    <x v="2024"/>
    <s v="360354*"/>
    <s v="OH"/>
    <s v="OH - Butler"/>
    <n v="45069"/>
    <s v="The West Chester Hospital Surgical Center"/>
    <s v="Short Term Acute Care Hospital"/>
    <s v="West Chester"/>
    <m/>
    <m/>
    <n v="2"/>
    <m/>
    <m/>
    <m/>
    <n v="8"/>
    <m/>
    <n v="3099"/>
    <m/>
  </r>
  <r>
    <x v="2024"/>
    <s v="360179*"/>
    <s v="OH"/>
    <s v="OH - Butler"/>
    <n v="45011"/>
    <s v="Bethesda Butler Hospital"/>
    <s v="Short Term Acute Care Hospital"/>
    <s v="Hamilton"/>
    <m/>
    <m/>
    <n v="3"/>
    <m/>
    <m/>
    <m/>
    <m/>
    <m/>
    <n v="3100"/>
    <m/>
  </r>
  <r>
    <x v="2024"/>
    <s v="360163*"/>
    <s v="OH"/>
    <s v="OH - Butler"/>
    <n v="45069"/>
    <s v="The Christ Hospital Medical Center - Liberty Township"/>
    <s v="Short Term Acute Care Hospital"/>
    <s v="Liberty Township"/>
    <m/>
    <m/>
    <m/>
    <m/>
    <m/>
    <m/>
    <n v="82"/>
    <m/>
    <n v="835827"/>
    <m/>
  </r>
  <r>
    <x v="2025"/>
    <n v="360355"/>
    <s v="OH"/>
    <s v="OH - Clark"/>
    <n v="45502"/>
    <s v="Ohio Valley Surgical Hospital (Ohio Valley Medical Center)"/>
    <s v="Short Term Acute Care Hospital"/>
    <s v="Springfield"/>
    <n v="3.8"/>
    <n v="2.2999999999999998"/>
    <n v="98"/>
    <n v="24"/>
    <m/>
    <n v="0.75"/>
    <n v="24"/>
    <n v="2.31"/>
    <n v="3102"/>
    <n v="608"/>
  </r>
  <r>
    <x v="2025"/>
    <s v="360086* (Closed)"/>
    <s v="OH"/>
    <s v="OH - Clark"/>
    <n v="45505"/>
    <s v="Springfield Regional Medical Center (Closed)"/>
    <s v="Short Term Acute Care Hospital"/>
    <s v="Springfield"/>
    <m/>
    <m/>
    <m/>
    <m/>
    <m/>
    <m/>
    <m/>
    <m/>
    <n v="3103"/>
    <m/>
  </r>
  <r>
    <x v="2025"/>
    <n v="360086"/>
    <s v="OH"/>
    <s v="OH - Clark"/>
    <n v="45504"/>
    <s v="Mercy Health - Springfield Regional Medical Center (FKA Springfield Regional Medical Center)"/>
    <s v="Short Term Acute Care Hospital"/>
    <s v="Springfield"/>
    <n v="139.6"/>
    <n v="3.8"/>
    <n v="299"/>
    <n v="230"/>
    <n v="38"/>
    <n v="0.75"/>
    <n v="230"/>
    <n v="1.67"/>
    <n v="4827"/>
    <n v="14070"/>
  </r>
  <r>
    <x v="2026"/>
    <n v="360236"/>
    <s v="OH"/>
    <s v="OH - Clermont"/>
    <n v="45103"/>
    <s v="Mercy Health - Clermont Hospital"/>
    <s v="Short Term Acute Care Hospital"/>
    <s v="Batavia"/>
    <n v="77"/>
    <n v="3.9"/>
    <n v="172"/>
    <n v="147"/>
    <n v="16"/>
    <n v="0.12"/>
    <n v="147"/>
    <n v="1.52"/>
    <n v="3104"/>
    <n v="7250"/>
  </r>
  <r>
    <x v="2027"/>
    <n v="360175"/>
    <s v="OH"/>
    <s v="OH - Clinton"/>
    <n v="45177"/>
    <s v="Clinton Memorial Hospital (AKA CMH Regional Health System)"/>
    <s v="Short Term Acute Care Hospital"/>
    <s v="Wilmington"/>
    <n v="26.3"/>
    <n v="3.4"/>
    <n v="108"/>
    <n v="75"/>
    <n v="6"/>
    <n v="1"/>
    <n v="75"/>
    <n v="1.38"/>
    <n v="3105"/>
    <n v="3071"/>
  </r>
  <r>
    <x v="2027"/>
    <m/>
    <s v="OH"/>
    <s v="OH - Clinton"/>
    <n v="45177"/>
    <s v="Assurance Health Wilmington"/>
    <s v="Short Term Acute Care Hospital"/>
    <s v="Wilmington"/>
    <m/>
    <m/>
    <m/>
    <m/>
    <m/>
    <m/>
    <n v="14"/>
    <m/>
    <n v="966542"/>
    <m/>
  </r>
  <r>
    <x v="2028"/>
    <n v="360185"/>
    <s v="OH"/>
    <s v="OH - Columbiana"/>
    <n v="44460"/>
    <s v="Salem Regional Medical Center (FKA Salem Community Hospital)"/>
    <s v="Short Term Acute Care Hospital"/>
    <s v="Salem"/>
    <n v="39.9"/>
    <n v="4.2"/>
    <n v="132"/>
    <n v="87"/>
    <n v="10"/>
    <n v="0.54"/>
    <n v="87"/>
    <n v="1.41"/>
    <n v="3106"/>
    <n v="3461"/>
  </r>
  <r>
    <x v="2028"/>
    <n v="360096"/>
    <s v="OH"/>
    <s v="OH - Columbiana"/>
    <n v="43920"/>
    <s v="East Liverpool City Hospital"/>
    <s v="Short Term Acute Care Hospital"/>
    <s v="East Liverpool"/>
    <n v="48.1"/>
    <n v="3"/>
    <n v="106"/>
    <n v="132"/>
    <n v="10"/>
    <n v="0.54"/>
    <n v="132"/>
    <n v="1.43"/>
    <n v="3107"/>
    <n v="5780"/>
  </r>
  <r>
    <x v="2029"/>
    <n v="360109"/>
    <s v="OH"/>
    <s v="OH - Coshocton"/>
    <n v="43812"/>
    <s v="Coshocton Regional Medical Center (FKA Coshocton County Memorial Hospital)"/>
    <s v="Short Term Acute Care Hospital"/>
    <s v="Coshocton"/>
    <n v="17.7"/>
    <n v="3.5"/>
    <n v="55"/>
    <n v="56"/>
    <n v="7"/>
    <n v="1"/>
    <n v="56"/>
    <n v="1.5"/>
    <n v="3108"/>
    <n v="1828"/>
  </r>
  <r>
    <x v="2030"/>
    <n v="360230"/>
    <s v="OH"/>
    <s v="OH - Cuyahoga"/>
    <n v="44124"/>
    <s v="Hillcrest Hospital"/>
    <s v="Short Term Acute Care Hospital"/>
    <s v="Mayfield Heights"/>
    <n v="295.5"/>
    <n v="4.4000000000000004"/>
    <n v="475"/>
    <n v="385"/>
    <n v="23"/>
    <n v="0.22"/>
    <n v="385"/>
    <n v="1.65"/>
    <n v="3111"/>
    <n v="26556"/>
  </r>
  <r>
    <x v="2030"/>
    <s v="360212 (Closed)"/>
    <s v="OH"/>
    <s v="OH - Cuyahoga"/>
    <n v="44107"/>
    <s v="Cleveland Clinic Lakewood (FKA Lakewood Hospital - Inpatient Services Closed February 2016)"/>
    <s v="Short Term Acute Care Hospital"/>
    <s v="Lakewood"/>
    <n v="34.9"/>
    <n v="1"/>
    <m/>
    <m/>
    <m/>
    <n v="0.22"/>
    <m/>
    <m/>
    <n v="3112"/>
    <n v="12851"/>
  </r>
  <r>
    <x v="2030"/>
    <s v="360137*"/>
    <s v="OH"/>
    <s v="OH - Cuyahoga"/>
    <n v="44146"/>
    <s v="University Hospitals Bedford Medical Center"/>
    <s v="Short Term Acute Care Hospital"/>
    <s v="Bedford"/>
    <m/>
    <m/>
    <n v="8"/>
    <m/>
    <m/>
    <m/>
    <n v="110"/>
    <m/>
    <n v="3113"/>
    <m/>
  </r>
  <r>
    <x v="2030"/>
    <n v="360123"/>
    <s v="OH"/>
    <s v="OH - Cuyahoga"/>
    <n v="44145"/>
    <s v="University Hospitals St John Medical Center"/>
    <s v="Short Term Acute Care Hospital"/>
    <s v="Westlake"/>
    <n v="82.2"/>
    <n v="3.4"/>
    <n v="237"/>
    <n v="170"/>
    <n v="36"/>
    <n v="0.22"/>
    <n v="170"/>
    <n v="1.57"/>
    <n v="3114"/>
    <n v="9356"/>
  </r>
  <r>
    <x v="2030"/>
    <s v="360101 (Closed)"/>
    <s v="OH"/>
    <s v="OH - Cuyahoga"/>
    <n v="44112"/>
    <s v="Huron Hospital (Closed 2011)"/>
    <s v="Short Term Acute Care Hospital"/>
    <s v="Cleveland"/>
    <n v="43.2"/>
    <n v="3.8"/>
    <m/>
    <m/>
    <m/>
    <n v="0.22"/>
    <m/>
    <m/>
    <n v="3115"/>
    <n v="5178"/>
  </r>
  <r>
    <x v="2030"/>
    <n v="360087"/>
    <s v="OH"/>
    <s v="OH - Cuyahoga"/>
    <n v="44113"/>
    <s v="Lutheran Hospital"/>
    <s v="Short Term Acute Care Hospital"/>
    <s v="Cleveland"/>
    <n v="42.2"/>
    <n v="3.4"/>
    <n v="149"/>
    <n v="119"/>
    <n v="10"/>
    <n v="0.22"/>
    <n v="119"/>
    <n v="1.54"/>
    <n v="3116"/>
    <n v="4531"/>
  </r>
  <r>
    <x v="2030"/>
    <n v="360082"/>
    <s v="OH"/>
    <s v="OH - Cuyahoga"/>
    <n v="44119"/>
    <s v="Euclid Hospital"/>
    <s v="Short Term Acute Care Hospital"/>
    <s v="Euclid"/>
    <n v="48.2"/>
    <n v="3.4"/>
    <n v="102"/>
    <n v="110"/>
    <n v="12"/>
    <n v="0.22"/>
    <n v="110"/>
    <n v="1.47"/>
    <n v="3117"/>
    <n v="5236"/>
  </r>
  <r>
    <x v="2030"/>
    <n v="360075"/>
    <s v="OH"/>
    <s v="OH - Cuyahoga"/>
    <n v="44143"/>
    <s v="University Hospitals Richmond Medical Center (FKA Richmond Heights Hospital)"/>
    <s v="Short Term Acute Care Hospital"/>
    <s v="Richmond Heights"/>
    <n v="46.6"/>
    <n v="3.8"/>
    <n v="131"/>
    <n v="101"/>
    <n v="17"/>
    <n v="0.22"/>
    <n v="101"/>
    <n v="1.45"/>
    <n v="3118"/>
    <n v="4533"/>
  </r>
  <r>
    <x v="2030"/>
    <n v="360077"/>
    <s v="OH"/>
    <s v="OH - Cuyahoga"/>
    <n v="44111"/>
    <s v="Fairview Hospital"/>
    <s v="Short Term Acute Care Hospital"/>
    <s v="Cleveland"/>
    <n v="283.8"/>
    <n v="4.7"/>
    <n v="414"/>
    <n v="435"/>
    <n v="38"/>
    <n v="0.22"/>
    <n v="435"/>
    <n v="1.68"/>
    <n v="3119"/>
    <n v="24474"/>
  </r>
  <r>
    <x v="2030"/>
    <n v="360180"/>
    <s v="OH"/>
    <s v="OH - Cuyahoga"/>
    <n v="44195"/>
    <s v="Cleveland Clinic Main Campus"/>
    <s v="Short Term Acute Care Hospital"/>
    <s v="Cleveland"/>
    <n v="1020.6"/>
    <n v="7.2"/>
    <n v="4340"/>
    <n v="1285"/>
    <n v="64"/>
    <n v="0.22"/>
    <n v="1285"/>
    <n v="2.73"/>
    <n v="3120"/>
    <n v="51373"/>
  </r>
  <r>
    <x v="2030"/>
    <n v="360143"/>
    <s v="OH"/>
    <s v="OH - Cuyahoga"/>
    <n v="44125"/>
    <s v="Marymount Hospital"/>
    <s v="Short Term Acute Care Hospital"/>
    <s v="Garfield Heights"/>
    <n v="83.8"/>
    <n v="4.5999999999999996"/>
    <n v="136"/>
    <n v="221"/>
    <n v="28"/>
    <n v="0.22"/>
    <n v="221"/>
    <n v="1.45"/>
    <n v="3121"/>
    <n v="6634"/>
  </r>
  <r>
    <x v="2030"/>
    <n v="360144"/>
    <s v="OH"/>
    <s v="OH - Cuyahoga"/>
    <n v="44122"/>
    <s v="South Pointe Hospital"/>
    <s v="Short Term Acute Care Hospital"/>
    <s v="Warrensville Heights"/>
    <n v="83.1"/>
    <n v="4.5999999999999996"/>
    <n v="129"/>
    <n v="131"/>
    <n v="25"/>
    <n v="0.22"/>
    <n v="131"/>
    <n v="1.43"/>
    <n v="3122"/>
    <n v="6583"/>
  </r>
  <r>
    <x v="2030"/>
    <n v="360155"/>
    <s v="OH"/>
    <s v="OH - Cuyahoga"/>
    <n v="44130"/>
    <s v="Southwest General Health Center"/>
    <s v="Short Term Acute Care Hospital"/>
    <s v="Middleburg Heights"/>
    <n v="133.30000000000001"/>
    <n v="3.5"/>
    <n v="476"/>
    <n v="197"/>
    <n v="40"/>
    <n v="0.22"/>
    <n v="197"/>
    <n v="1.59"/>
    <n v="3123"/>
    <n v="14506"/>
  </r>
  <r>
    <x v="2030"/>
    <n v="360137"/>
    <s v="OH"/>
    <s v="OH - Cuyahoga"/>
    <n v="44106"/>
    <s v="University Hospitals Cleveland Medical Center (FKA University Hospitals Case Medical Center)"/>
    <s v="Short Term Acute Care Hospital"/>
    <s v="Cleveland"/>
    <n v="471.6"/>
    <n v="6"/>
    <n v="1483"/>
    <n v="624"/>
    <n v="30"/>
    <n v="0.22"/>
    <n v="624"/>
    <n v="2.39"/>
    <n v="3124"/>
    <n v="30066"/>
  </r>
  <r>
    <x v="2030"/>
    <n v="360041"/>
    <s v="OH"/>
    <s v="OH - Cuyahoga"/>
    <n v="44129"/>
    <s v="University Hospitals Parma Medical Center (FKA Parma Community General Hospital)"/>
    <s v="Short Term Acute Care Hospital"/>
    <s v="Parma"/>
    <n v="95"/>
    <n v="3.9"/>
    <n v="245"/>
    <n v="230"/>
    <n v="16"/>
    <n v="0.22"/>
    <n v="230"/>
    <n v="1.53"/>
    <n v="3125"/>
    <n v="9006"/>
  </r>
  <r>
    <x v="2030"/>
    <n v="360059"/>
    <s v="OH"/>
    <s v="OH - Cuyahoga"/>
    <n v="44109"/>
    <s v="MetroHealth Medical Center"/>
    <s v="Short Term Acute Care Hospital"/>
    <s v="Cleveland"/>
    <n v="297.7"/>
    <n v="5.6"/>
    <n v="1020"/>
    <n v="528"/>
    <n v="28"/>
    <n v="0.22"/>
    <n v="528"/>
    <n v="1.81"/>
    <n v="3126"/>
    <n v="20738"/>
  </r>
  <r>
    <x v="2030"/>
    <n v="360037"/>
    <s v="OH"/>
    <s v="OH - Cuyahoga"/>
    <n v="44115"/>
    <s v="St Vincent Charity Medical Center"/>
    <s v="Short Term Acute Care Hospital"/>
    <s v="Cleveland"/>
    <n v="57.1"/>
    <n v="3.7"/>
    <n v="195"/>
    <n v="126"/>
    <n v="10"/>
    <n v="0.22"/>
    <n v="126"/>
    <n v="1.79"/>
    <n v="3128"/>
    <n v="5937"/>
  </r>
  <r>
    <x v="2030"/>
    <n v="360359"/>
    <s v="OH"/>
    <s v="OH - Cuyahoga"/>
    <n v="44122"/>
    <s v="University Hospitals Ahuja Medical Center"/>
    <s v="Short Term Acute Care Hospital"/>
    <s v="Beachwood"/>
    <n v="93.3"/>
    <n v="3.9"/>
    <n v="200"/>
    <n v="137"/>
    <n v="20"/>
    <n v="0.22"/>
    <n v="137"/>
    <n v="1.7"/>
    <n v="274165"/>
    <n v="8709"/>
  </r>
  <r>
    <x v="2030"/>
    <s v="360137*"/>
    <s v="OH"/>
    <s v="OH - Cuyahoga"/>
    <n v="44106"/>
    <s v="University Hospitals MacDonald Womens Hospital"/>
    <s v="Short Term Acute Care Hospital"/>
    <s v="Cleveland"/>
    <m/>
    <m/>
    <n v="16"/>
    <m/>
    <m/>
    <m/>
    <n v="93"/>
    <m/>
    <n v="553304"/>
    <m/>
  </r>
  <r>
    <x v="2030"/>
    <s v="360137*"/>
    <s v="OH"/>
    <s v="OH - Cuyahoga"/>
    <n v="44106"/>
    <s v="University Hospitals Seidman Cancer Center"/>
    <s v="Short Term Acute Care Hospital"/>
    <s v="Cleveland"/>
    <m/>
    <m/>
    <m/>
    <m/>
    <m/>
    <m/>
    <n v="120"/>
    <m/>
    <n v="553305"/>
    <m/>
  </r>
  <r>
    <x v="2030"/>
    <m/>
    <s v="OH"/>
    <s v="OH - Cuyahoga"/>
    <n v="44130"/>
    <s v="MetroHealth Parma Medical Center"/>
    <s v="Short Term Acute Care Hospital"/>
    <s v="Parma"/>
    <m/>
    <m/>
    <m/>
    <m/>
    <m/>
    <m/>
    <m/>
    <m/>
    <n v="937202"/>
    <m/>
  </r>
  <r>
    <x v="2030"/>
    <m/>
    <s v="OH"/>
    <s v="OH - Cuyahoga"/>
    <n v="44118"/>
    <s v="MetroHealth Cleveland Heights Medical Center"/>
    <s v="Short Term Acute Care Hospital"/>
    <s v="Cleveland Heights"/>
    <m/>
    <m/>
    <m/>
    <m/>
    <m/>
    <m/>
    <n v="12"/>
    <m/>
    <n v="937204"/>
    <m/>
  </r>
  <r>
    <x v="2030"/>
    <m/>
    <s v="OH"/>
    <s v="OH - Cuyahoga"/>
    <n v="44122"/>
    <s v="Beachwood Medical Center"/>
    <s v="Short Term Acute Care Hospital"/>
    <s v="Beachwood"/>
    <m/>
    <m/>
    <m/>
    <m/>
    <m/>
    <m/>
    <n v="24"/>
    <m/>
    <n v="977477"/>
    <m/>
  </r>
  <r>
    <x v="2031"/>
    <n v="360044"/>
    <s v="OH"/>
    <s v="OH - Darke"/>
    <n v="45331"/>
    <s v="Wayne HealthCare (AKA Wayne Hospital)"/>
    <s v="Short Term Acute Care Hospital"/>
    <s v="Greenville"/>
    <n v="10.9"/>
    <n v="2.5"/>
    <n v="110"/>
    <n v="40"/>
    <n v="6"/>
    <n v="1"/>
    <n v="40"/>
    <n v="1.31"/>
    <n v="3129"/>
    <n v="1834"/>
  </r>
  <r>
    <x v="831"/>
    <n v="360270"/>
    <s v="OH"/>
    <s v="OH - Defiance"/>
    <n v="43512"/>
    <s v="Mercy Health - Defiance Hospital"/>
    <s v="Short Term Acute Care Hospital"/>
    <s v="Defiance"/>
    <n v="8.1"/>
    <n v="2.7"/>
    <n v="64"/>
    <n v="23"/>
    <m/>
    <n v="0.38"/>
    <n v="23"/>
    <n v="1.3"/>
    <n v="3130"/>
    <n v="1109"/>
  </r>
  <r>
    <x v="2032"/>
    <n v="360210"/>
    <s v="OH"/>
    <s v="OH - Delaware"/>
    <n v="43015"/>
    <s v="OhioHealth Grady Memorial Hospital"/>
    <s v="Short Term Acute Care Hospital"/>
    <s v="Delaware"/>
    <n v="15"/>
    <n v="3.3"/>
    <n v="117"/>
    <n v="64"/>
    <n v="6"/>
    <n v="0.13"/>
    <n v="64"/>
    <n v="1.48"/>
    <n v="3132"/>
    <n v="1876"/>
  </r>
  <r>
    <x v="2033"/>
    <n v="360025"/>
    <s v="OH"/>
    <s v="OH - Erie"/>
    <n v="44870"/>
    <s v="Firelands Regional Medical Center"/>
    <s v="Short Term Acute Care Hospital"/>
    <s v="Sandusky"/>
    <n v="99.6"/>
    <n v="4.4000000000000004"/>
    <n v="279"/>
    <n v="183"/>
    <n v="18"/>
    <n v="1"/>
    <n v="183"/>
    <n v="1.47"/>
    <n v="3133"/>
    <n v="8583"/>
  </r>
  <r>
    <x v="2033"/>
    <s v="360025*"/>
    <s v="OH"/>
    <s v="OH - Erie"/>
    <n v="44870"/>
    <s v="Firelands Regional Medical Center South Campus"/>
    <s v="Short Term Acute Care Hospital"/>
    <s v="Sandusky"/>
    <m/>
    <m/>
    <m/>
    <m/>
    <m/>
    <m/>
    <n v="227"/>
    <m/>
    <n v="968466"/>
    <m/>
  </r>
  <r>
    <x v="2034"/>
    <n v="360072"/>
    <s v="OH"/>
    <s v="OH - Fairfield"/>
    <n v="43130"/>
    <s v="Fairfield Medical Center"/>
    <s v="Short Term Acute Care Hospital"/>
    <s v="Lancaster"/>
    <n v="115.7"/>
    <n v="3.6"/>
    <n v="313"/>
    <n v="213"/>
    <n v="20"/>
    <n v="0.13"/>
    <n v="213"/>
    <n v="1.65"/>
    <n v="3134"/>
    <n v="12174"/>
  </r>
  <r>
    <x v="2035"/>
    <n v="360266"/>
    <s v="OH"/>
    <s v="OH - Franklin"/>
    <n v="43054"/>
    <s v="Mount Carmel New Albany"/>
    <s v="Short Term Acute Care Hospital"/>
    <s v="New Albany"/>
    <n v="16"/>
    <n v="1.6"/>
    <n v="104"/>
    <n v="60"/>
    <m/>
    <n v="0.13"/>
    <n v="60"/>
    <n v="2.58"/>
    <n v="3136"/>
    <n v="3679"/>
  </r>
  <r>
    <x v="2035"/>
    <n v="360242"/>
    <s v="OH"/>
    <s v="OH - Franklin"/>
    <n v="43210"/>
    <s v="The James Cancer Hospital and Solove Research Institute"/>
    <s v="Short Term Acute Care Hospital"/>
    <s v="Columbus"/>
    <n v="290.39999999999998"/>
    <n v="7"/>
    <n v="816"/>
    <n v="344"/>
    <n v="44"/>
    <n v="0.13"/>
    <n v="344"/>
    <n v="2.0699999999999998"/>
    <n v="3138"/>
    <n v="15193"/>
  </r>
  <r>
    <x v="2035"/>
    <n v="360348"/>
    <s v="OH"/>
    <s v="OH - Franklin"/>
    <n v="43016"/>
    <s v="OhioHealth Dublin Methodist Hospital"/>
    <s v="Short Term Acute Care Hospital"/>
    <s v="Dublin"/>
    <n v="43.5"/>
    <n v="3.3"/>
    <n v="176"/>
    <n v="102"/>
    <m/>
    <n v="0.13"/>
    <n v="102"/>
    <n v="2.04"/>
    <n v="3139"/>
    <n v="6471"/>
  </r>
  <r>
    <x v="2035"/>
    <n v="360085"/>
    <s v="OH"/>
    <s v="OH - Franklin"/>
    <n v="43210"/>
    <s v="Ohio State University Wexner Medical Center"/>
    <s v="Short Term Acute Care Hospital"/>
    <s v="Columbus"/>
    <n v="762.1"/>
    <n v="5.8"/>
    <n v="1537"/>
    <n v="982"/>
    <n v="97"/>
    <n v="0.13"/>
    <n v="982"/>
    <n v="2.0299999999999998"/>
    <n v="3140"/>
    <n v="49765"/>
  </r>
  <r>
    <x v="2035"/>
    <n v="360152"/>
    <s v="OH"/>
    <s v="OH - Franklin"/>
    <n v="43228"/>
    <s v="OhioHealth Doctors Hospital"/>
    <s v="Short Term Acute Care Hospital"/>
    <s v="Columbus"/>
    <n v="95.1"/>
    <n v="4.4000000000000004"/>
    <n v="266"/>
    <n v="172"/>
    <n v="18"/>
    <n v="0.13"/>
    <n v="172"/>
    <n v="1.69"/>
    <n v="3141"/>
    <n v="8388"/>
  </r>
  <r>
    <x v="2035"/>
    <n v="360017"/>
    <s v="OH"/>
    <s v="OH - Franklin"/>
    <n v="43215"/>
    <s v="OhioHealth Grant Medical Center"/>
    <s v="Short Term Acute Care Hospital"/>
    <s v="Columbus"/>
    <n v="267.10000000000002"/>
    <n v="5.3"/>
    <n v="771"/>
    <n v="434"/>
    <n v="35"/>
    <n v="0.13"/>
    <n v="434"/>
    <n v="2.16"/>
    <n v="3142"/>
    <n v="19091"/>
  </r>
  <r>
    <x v="2035"/>
    <s v="360035 (Closed)"/>
    <s v="OH"/>
    <s v="OH - Franklin"/>
    <n v="43222"/>
    <s v="Mount Carmel Health West (Closed - No Longer Offers Inpatient Services)"/>
    <s v="Short Term Acute Care Hospital"/>
    <s v="Columbus"/>
    <n v="374.7"/>
    <n v="4.3"/>
    <m/>
    <m/>
    <m/>
    <n v="0.13"/>
    <m/>
    <n v="1.88"/>
    <n v="3143"/>
    <n v="31966"/>
  </r>
  <r>
    <x v="2035"/>
    <n v="360006"/>
    <s v="OH"/>
    <s v="OH - Franklin"/>
    <n v="43214"/>
    <s v="OhioHealth Riverside Methodist Hospital"/>
    <s v="Short Term Acute Care Hospital"/>
    <s v="Columbus"/>
    <n v="525.5"/>
    <n v="4.9000000000000004"/>
    <n v="1854"/>
    <n v="695"/>
    <n v="88"/>
    <n v="0.13"/>
    <n v="695"/>
    <n v="2.2200000000000002"/>
    <n v="3144"/>
    <n v="41759"/>
  </r>
  <r>
    <x v="2035"/>
    <n v="360012"/>
    <s v="OH"/>
    <s v="OH - Franklin"/>
    <n v="43081"/>
    <s v="Mount Carmel St Anns"/>
    <s v="Short Term Acute Care Hospital"/>
    <s v="Westerville"/>
    <n v="173.5"/>
    <n v="4.0999999999999996"/>
    <n v="588"/>
    <n v="284"/>
    <n v="12"/>
    <n v="0.13"/>
    <n v="284"/>
    <n v="1.87"/>
    <n v="3145"/>
    <n v="17344"/>
  </r>
  <r>
    <x v="2035"/>
    <s v="360258 (Closed)"/>
    <s v="OH"/>
    <s v="OH - Franklin"/>
    <n v="43125"/>
    <s v="Forest Health Medical Center (Closed)"/>
    <s v="Short Term Acute Care Hospital"/>
    <s v="Groveport"/>
    <m/>
    <m/>
    <m/>
    <m/>
    <m/>
    <m/>
    <m/>
    <m/>
    <n v="5016"/>
    <m/>
  </r>
  <r>
    <x v="2035"/>
    <s v="360085*"/>
    <s v="OH"/>
    <s v="OH - Franklin"/>
    <n v="43203"/>
    <s v="Ohio State University Wexner Medical Center East Hospital"/>
    <s v="Short Term Acute Care Hospital"/>
    <s v="Columbus"/>
    <m/>
    <m/>
    <n v="5"/>
    <m/>
    <m/>
    <m/>
    <n v="190"/>
    <m/>
    <n v="270662"/>
    <m/>
  </r>
  <r>
    <x v="2035"/>
    <s v="360085*"/>
    <s v="OH"/>
    <s v="OH - Franklin"/>
    <n v="43210"/>
    <s v="Richard M Ross Heart Hospital"/>
    <s v="Short Term Acute Care Hospital"/>
    <s v="Columbus"/>
    <m/>
    <m/>
    <m/>
    <m/>
    <m/>
    <m/>
    <n v="150"/>
    <m/>
    <n v="270663"/>
    <m/>
  </r>
  <r>
    <x v="2035"/>
    <m/>
    <s v="OH"/>
    <s v="OH - Franklin"/>
    <n v="43213"/>
    <s v="Mount Carmel East"/>
    <s v="Short Term Acute Care Hospital"/>
    <s v="Columbus"/>
    <m/>
    <m/>
    <n v="301"/>
    <m/>
    <m/>
    <m/>
    <n v="363"/>
    <m/>
    <n v="274409"/>
    <m/>
  </r>
  <r>
    <x v="2035"/>
    <n v="360358"/>
    <s v="OH"/>
    <s v="OH - Franklin"/>
    <n v="43110"/>
    <s v="Diley Ridge Medical Center"/>
    <s v="Short Term Acute Care Hospital"/>
    <s v="Canal Winchester"/>
    <n v="1.6"/>
    <n v="2.2999999999999998"/>
    <n v="85"/>
    <n v="10"/>
    <m/>
    <n v="0.13"/>
    <n v="10"/>
    <n v="1.23"/>
    <n v="553367"/>
    <n v="247"/>
  </r>
  <r>
    <x v="2035"/>
    <m/>
    <s v="OH"/>
    <s v="OH - Franklin"/>
    <n v="43219"/>
    <s v="Columbus Springs East Hospital"/>
    <s v="Short Term Acute Care Hospital"/>
    <s v="Columbus"/>
    <m/>
    <m/>
    <m/>
    <m/>
    <m/>
    <m/>
    <n v="72"/>
    <m/>
    <n v="847869"/>
    <m/>
  </r>
  <r>
    <x v="2035"/>
    <m/>
    <s v="OH"/>
    <s v="OH - Franklin"/>
    <n v="43123"/>
    <s v="OhioHealth Grove City Methodist Hospital"/>
    <s v="Short Term Acute Care Hospital"/>
    <s v="Grove City"/>
    <m/>
    <m/>
    <m/>
    <m/>
    <m/>
    <m/>
    <n v="26"/>
    <m/>
    <n v="942120"/>
    <m/>
  </r>
  <r>
    <x v="2035"/>
    <m/>
    <s v="OH"/>
    <s v="OH - Franklin"/>
    <n v="43123"/>
    <s v="Mount Carmel Grove City"/>
    <s v="Short Term Acute Care Hospital"/>
    <s v="Grove City"/>
    <m/>
    <m/>
    <m/>
    <m/>
    <m/>
    <m/>
    <m/>
    <m/>
    <n v="966371"/>
    <m/>
  </r>
  <r>
    <x v="2035"/>
    <m/>
    <s v="OH"/>
    <s v="OH - Franklin"/>
    <n v="43210"/>
    <s v="Ohio State University Brain and Spine Hospital"/>
    <s v="Short Term Acute Care Hospital"/>
    <s v="Columbus"/>
    <m/>
    <m/>
    <n v="38"/>
    <m/>
    <m/>
    <m/>
    <n v="87"/>
    <m/>
    <n v="992641"/>
    <m/>
  </r>
  <r>
    <x v="2036"/>
    <n v="360054"/>
    <s v="OH"/>
    <s v="OH - Gallia"/>
    <n v="45631"/>
    <s v="Holzer Medical Center - Gallipolis"/>
    <s v="Short Term Acute Care Hospital"/>
    <s v="Gallipolis"/>
    <n v="39.5"/>
    <n v="4"/>
    <n v="272"/>
    <n v="157"/>
    <n v="14"/>
    <n v="0.62"/>
    <n v="157"/>
    <n v="1.46"/>
    <n v="3147"/>
    <n v="3940"/>
  </r>
  <r>
    <x v="2037"/>
    <n v="360192"/>
    <s v="OH"/>
    <s v="OH - Geauga"/>
    <n v="44024"/>
    <s v="University Hospitals Geauga Medical Center"/>
    <s v="Short Term Acute Care Hospital"/>
    <s v="Chardon"/>
    <n v="68.2"/>
    <n v="3.7"/>
    <n v="227"/>
    <n v="124"/>
    <n v="12"/>
    <n v="0.22"/>
    <n v="124"/>
    <n v="1.59"/>
    <n v="3148"/>
    <n v="7102"/>
  </r>
  <r>
    <x v="2038"/>
    <n v="360026"/>
    <s v="OH"/>
    <s v="OH - Greene"/>
    <n v="45385"/>
    <s v="Greene Memorial Hospital"/>
    <s v="Short Term Acute Care Hospital"/>
    <s v="Xenia"/>
    <n v="25.2"/>
    <n v="4"/>
    <n v="109"/>
    <n v="49"/>
    <n v="8"/>
    <n v="0.17"/>
    <n v="49"/>
    <n v="1.48"/>
    <n v="3149"/>
    <n v="2289"/>
  </r>
  <r>
    <x v="2038"/>
    <n v="360360"/>
    <s v="OH"/>
    <s v="OH - Greene"/>
    <n v="45431"/>
    <s v="Soin Medical Center"/>
    <s v="Short Term Acute Care Hospital"/>
    <s v="Beavercreek"/>
    <n v="71.099999999999994"/>
    <n v="3.8"/>
    <n v="147"/>
    <n v="129"/>
    <n v="12"/>
    <n v="0.17"/>
    <n v="129"/>
    <n v="1.52"/>
    <n v="550098"/>
    <n v="7317"/>
  </r>
  <r>
    <x v="2039"/>
    <n v="360203"/>
    <s v="OH"/>
    <s v="OH - Guernsey"/>
    <n v="43725"/>
    <s v="Southeastern Ohio Regional Medical Center"/>
    <s v="Short Term Acute Care Hospital"/>
    <s v="Cambridge"/>
    <n v="29.2"/>
    <n v="3.6"/>
    <n v="120"/>
    <n v="90"/>
    <n v="11"/>
    <n v="1"/>
    <n v="90"/>
    <n v="1.48"/>
    <n v="3150"/>
    <n v="3195"/>
  </r>
  <r>
    <x v="2040"/>
    <n v="360179"/>
    <s v="OH"/>
    <s v="OH - Hamilton"/>
    <n v="45242"/>
    <s v="Bethesda North Hospital"/>
    <s v="Short Term Acute Care Hospital"/>
    <s v="Cincinnati"/>
    <n v="264.7"/>
    <n v="4.5"/>
    <n v="906"/>
    <n v="365"/>
    <n v="38"/>
    <n v="0.12"/>
    <n v="365"/>
    <n v="1.85"/>
    <n v="3151"/>
    <n v="23457"/>
  </r>
  <r>
    <x v="2040"/>
    <n v="360163"/>
    <s v="OH"/>
    <s v="OH - Hamilton"/>
    <n v="45219"/>
    <s v="The Christ Hospital"/>
    <s v="Short Term Acute Care Hospital"/>
    <s v="Cincinnati"/>
    <n v="262.5"/>
    <n v="4.5999999999999996"/>
    <n v="761"/>
    <n v="471"/>
    <n v="21"/>
    <n v="0.12"/>
    <n v="471"/>
    <n v="2.16"/>
    <n v="3152"/>
    <n v="22185"/>
  </r>
  <r>
    <x v="2040"/>
    <n v="360134"/>
    <s v="OH"/>
    <s v="OH - Hamilton"/>
    <n v="45220"/>
    <s v="Good Samaritan Hospital"/>
    <s v="Short Term Acute Care Hospital"/>
    <s v="Cincinnati"/>
    <n v="248"/>
    <n v="5.3"/>
    <n v="384"/>
    <n v="365"/>
    <n v="29"/>
    <n v="0.12"/>
    <n v="365"/>
    <n v="2.0299999999999998"/>
    <n v="3153"/>
    <n v="19306"/>
  </r>
  <r>
    <x v="2040"/>
    <s v="360113 (Closed)"/>
    <s v="OH"/>
    <s v="OH - Hamilton"/>
    <n v="45238"/>
    <s v="Mercy Franciscan Hospital Western Hills (Closed - Outpatient Services Only)"/>
    <s v="Short Term Acute Care Hospital"/>
    <s v="Cincinnati"/>
    <n v="50.4"/>
    <n v="3.9"/>
    <m/>
    <m/>
    <m/>
    <n v="0.12"/>
    <m/>
    <m/>
    <n v="3154"/>
    <n v="4699"/>
  </r>
  <r>
    <x v="2040"/>
    <n v="360016"/>
    <s v="OH"/>
    <s v="OH - Hamilton"/>
    <n v="45236"/>
    <s v="The Jewish Hospital - Mercy Health"/>
    <s v="Short Term Acute Care Hospital"/>
    <s v="Cincinnati"/>
    <n v="136.19999999999999"/>
    <n v="4.0999999999999996"/>
    <n v="278"/>
    <n v="172"/>
    <n v="54"/>
    <n v="0.12"/>
    <n v="172"/>
    <n v="1.79"/>
    <n v="3155"/>
    <n v="12170"/>
  </r>
  <r>
    <x v="2040"/>
    <s v="360038 (Closed)"/>
    <s v="OH"/>
    <s v="OH - Hamilton"/>
    <n v="45219"/>
    <s v="Deaconess Health Campus (FKA Deaconess Hospital - Closed No Longer Offers Inpatient Services)"/>
    <s v="Short Term Acute Care Hospital"/>
    <s v="Cincinnati"/>
    <n v="3.7"/>
    <n v="6.4"/>
    <m/>
    <m/>
    <m/>
    <n v="0.12"/>
    <m/>
    <m/>
    <n v="3156"/>
    <n v="210"/>
  </r>
  <r>
    <x v="2040"/>
    <n v="360003"/>
    <s v="OH"/>
    <s v="OH - Hamilton"/>
    <n v="45219"/>
    <s v="University of Cincinnati Medical Center (FKA University Hospital)"/>
    <s v="Short Term Acute Care Hospital"/>
    <s v="Cincinnati"/>
    <n v="417.7"/>
    <n v="6.3"/>
    <n v="1180"/>
    <n v="515"/>
    <m/>
    <n v="0.12"/>
    <n v="515"/>
    <n v="2.15"/>
    <n v="3158"/>
    <n v="24131"/>
  </r>
  <r>
    <x v="2040"/>
    <n v="360001"/>
    <s v="OH"/>
    <s v="OH - Hamilton"/>
    <n v="45255"/>
    <s v="Mercy Health - Anderson Hospital"/>
    <s v="Short Term Acute Care Hospital"/>
    <s v="Cincinnati"/>
    <n v="133.5"/>
    <n v="4.0999999999999996"/>
    <n v="233"/>
    <n v="257"/>
    <n v="37"/>
    <n v="0.12"/>
    <n v="257"/>
    <n v="1.74"/>
    <n v="3159"/>
    <n v="12950"/>
  </r>
  <r>
    <x v="2040"/>
    <n v="360362"/>
    <s v="OH"/>
    <s v="OH - Hamilton"/>
    <n v="45241"/>
    <s v="TriHealth Evendale Hospital (FKA Evendale Medical Center)"/>
    <s v="Short Term Acute Care Hospital"/>
    <s v="Cincinnati"/>
    <n v="2"/>
    <n v="1.1000000000000001"/>
    <n v="42"/>
    <n v="29"/>
    <m/>
    <n v="0.12"/>
    <n v="29"/>
    <n v="2.37"/>
    <n v="3160"/>
    <n v="650"/>
  </r>
  <r>
    <x v="2040"/>
    <m/>
    <s v="OH"/>
    <s v="OH - Hamilton"/>
    <n v="45239"/>
    <s v="Mercy Franciscan Hospital West - Mt Airy (Closed)"/>
    <s v="Short Term Acute Care Hospital"/>
    <s v="Cincinnati"/>
    <m/>
    <m/>
    <m/>
    <m/>
    <m/>
    <m/>
    <m/>
    <m/>
    <n v="3161"/>
    <m/>
  </r>
  <r>
    <x v="2040"/>
    <n v="360234"/>
    <s v="OH"/>
    <s v="OH - Hamilton"/>
    <n v="45211"/>
    <s v="Mercy Health - West Hospital"/>
    <s v="Short Term Acute Care Hospital"/>
    <s v="Cincinnati"/>
    <n v="141.4"/>
    <n v="4.0999999999999996"/>
    <n v="355"/>
    <n v="197"/>
    <n v="18"/>
    <n v="0.12"/>
    <n v="197"/>
    <n v="1.61"/>
    <n v="550798"/>
    <n v="12948"/>
  </r>
  <r>
    <x v="2041"/>
    <n v="360095"/>
    <s v="OH"/>
    <s v="OH - Hancock"/>
    <n v="45840"/>
    <s v="Blanchard Valley Hospital"/>
    <s v="Short Term Acute Care Hospital"/>
    <s v="Findlay"/>
    <n v="64.7"/>
    <n v="3.9"/>
    <n v="319"/>
    <n v="141"/>
    <m/>
    <n v="1"/>
    <n v="141"/>
    <n v="1.57"/>
    <n v="3163"/>
    <n v="6824"/>
  </r>
  <r>
    <x v="2042"/>
    <n v="360148"/>
    <s v="OH"/>
    <s v="OH - Holmes"/>
    <n v="44654"/>
    <s v="Pomerene Hospital (AKA Joel Pomerene Memorial Hospital)"/>
    <s v="Short Term Acute Care Hospital"/>
    <s v="Millersburg"/>
    <n v="10.6"/>
    <n v="3"/>
    <n v="54"/>
    <n v="41"/>
    <n v="4"/>
    <m/>
    <n v="41"/>
    <n v="1.22"/>
    <n v="3170"/>
    <n v="1521"/>
  </r>
  <r>
    <x v="839"/>
    <n v="360065"/>
    <s v="OH"/>
    <s v="OH - Huron"/>
    <n v="44857"/>
    <s v="Fisher Titus Medical Center (FKA Fisher Titus Memorial Hospital)"/>
    <s v="Short Term Acute Care Hospital"/>
    <s v="Norwalk"/>
    <n v="25.1"/>
    <n v="3"/>
    <n v="152"/>
    <n v="78"/>
    <n v="10"/>
    <n v="0.48"/>
    <n v="78"/>
    <n v="1.37"/>
    <n v="3171"/>
    <n v="3456"/>
  </r>
  <r>
    <x v="839"/>
    <n v="360107"/>
    <s v="OH"/>
    <s v="OH - Huron"/>
    <n v="44811"/>
    <s v="Bellevue Hospital"/>
    <s v="Short Term Acute Care Hospital"/>
    <s v="Bellevue"/>
    <n v="11"/>
    <n v="3.5"/>
    <n v="54"/>
    <n v="50"/>
    <n v="10"/>
    <n v="0.48"/>
    <n v="50"/>
    <n v="1.34"/>
    <n v="3223"/>
    <n v="1427"/>
  </r>
  <r>
    <x v="2043"/>
    <s v="360211*"/>
    <s v="OH"/>
    <s v="OH - Jefferson"/>
    <n v="43952"/>
    <s v="Trinity Medical Center East"/>
    <s v="Short Term Acute Care Hospital"/>
    <s v="Steubenville"/>
    <m/>
    <m/>
    <m/>
    <m/>
    <m/>
    <m/>
    <m/>
    <m/>
    <n v="541996"/>
    <m/>
  </r>
  <r>
    <x v="2043"/>
    <n v="360211"/>
    <s v="OH"/>
    <s v="OH - Jefferson"/>
    <n v="43952"/>
    <s v="Trinity Medical Center West"/>
    <s v="Short Term Acute Care Hospital"/>
    <s v="Steubenville"/>
    <n v="82.5"/>
    <n v="4.2"/>
    <n v="251"/>
    <n v="171"/>
    <n v="12"/>
    <n v="0.52"/>
    <n v="171"/>
    <n v="1.66"/>
    <n v="541997"/>
    <n v="7479"/>
  </r>
  <r>
    <x v="2044"/>
    <n v="360040"/>
    <s v="OH"/>
    <s v="OH - Knox"/>
    <n v="43050"/>
    <s v="Knox Community Hospital"/>
    <s v="Short Term Acute Care Hospital"/>
    <s v="Mount Vernon"/>
    <n v="32.5"/>
    <n v="3.5"/>
    <n v="163"/>
    <n v="65"/>
    <n v="12"/>
    <n v="1"/>
    <n v="65"/>
    <n v="1.54"/>
    <n v="3175"/>
    <n v="3553"/>
  </r>
  <r>
    <x v="2045"/>
    <n v="360098"/>
    <s v="OH"/>
    <s v="OH - Lake"/>
    <n v="44077"/>
    <s v="TriPoint Medical Center"/>
    <s v="Short Term Acute Care Hospital"/>
    <s v="Concord"/>
    <n v="155.19999999999999"/>
    <n v="4"/>
    <n v="474"/>
    <n v="312"/>
    <n v="27"/>
    <n v="0.22"/>
    <n v="312"/>
    <n v="1.57"/>
    <n v="3176"/>
    <n v="14972"/>
  </r>
  <r>
    <x v="2045"/>
    <s v="360098*"/>
    <s v="OH"/>
    <s v="OH - Lake"/>
    <n v="44094"/>
    <s v="West Medical Center"/>
    <s v="Short Term Acute Care Hospital"/>
    <s v="Willoughby"/>
    <m/>
    <m/>
    <n v="19"/>
    <m/>
    <m/>
    <m/>
    <n v="238"/>
    <m/>
    <n v="560418"/>
    <m/>
  </r>
  <r>
    <x v="2046"/>
    <n v="360261"/>
    <s v="OH"/>
    <s v="OH - Lawrence"/>
    <n v="45669"/>
    <s v="Three Gables Surgery Center"/>
    <s v="Short Term Acute Care Hospital"/>
    <s v="Proctorville"/>
    <n v="0.2"/>
    <n v="1"/>
    <n v="8"/>
    <n v="8"/>
    <m/>
    <n v="0.28999999999999998"/>
    <n v="8"/>
    <n v="2.4300000000000002"/>
    <n v="3177"/>
    <n v="74"/>
  </r>
  <r>
    <x v="2047"/>
    <n v="360218"/>
    <s v="OH"/>
    <s v="OH - Licking"/>
    <n v="43055"/>
    <s v="Licking Memorial Hospital"/>
    <s v="Short Term Acute Care Hospital"/>
    <s v="Newark"/>
    <n v="71.7"/>
    <n v="3.3"/>
    <n v="323"/>
    <n v="219"/>
    <n v="13"/>
    <n v="0.13"/>
    <n v="227"/>
    <n v="1.4"/>
    <n v="3178"/>
    <n v="8700"/>
  </r>
  <r>
    <x v="2047"/>
    <s v="360347 (Closed)"/>
    <s v="OH"/>
    <s v="OH - Licking"/>
    <n v="43055"/>
    <s v="Medical Center of Newark (Inpatient Closed 2012)"/>
    <s v="Short Term Acute Care Hospital"/>
    <s v="Newark"/>
    <n v="3.4"/>
    <n v="3.3"/>
    <m/>
    <m/>
    <m/>
    <n v="0.13"/>
    <m/>
    <m/>
    <n v="3179"/>
    <n v="374"/>
  </r>
  <r>
    <x v="2048"/>
    <n v="360197"/>
    <s v="OH"/>
    <s v="OH - Logan"/>
    <n v="43311"/>
    <s v="Mary Rutan Hospital"/>
    <s v="Short Term Acute Care Hospital"/>
    <s v="Bellefontaine"/>
    <n v="9.9"/>
    <n v="3.1"/>
    <n v="116"/>
    <n v="39"/>
    <m/>
    <n v="1"/>
    <n v="39"/>
    <n v="1.3"/>
    <n v="3180"/>
    <n v="1389"/>
  </r>
  <r>
    <x v="841"/>
    <n v="360172"/>
    <s v="OH"/>
    <s v="OH - Lorain"/>
    <n v="44053"/>
    <s v="Mercy Health - Lorain Hospital (AKA Mercy Regional Medical Center)"/>
    <s v="Short Term Acute Care Hospital"/>
    <s v="Lorain"/>
    <n v="88.2"/>
    <n v="3.4"/>
    <n v="303"/>
    <n v="171"/>
    <n v="16"/>
    <n v="0.22"/>
    <n v="171"/>
    <n v="1.57"/>
    <n v="3181"/>
    <n v="9870"/>
  </r>
  <r>
    <x v="841"/>
    <n v="360145"/>
    <s v="OH"/>
    <s v="OH - Lorain"/>
    <n v="44035"/>
    <s v="University Hospitals Elyria Medical Center (FKA EMH Elyria Regional Medical Center)"/>
    <s v="Short Term Acute Care Hospital"/>
    <s v="Elyria"/>
    <n v="107.6"/>
    <n v="4.2"/>
    <n v="276"/>
    <n v="206"/>
    <n v="26"/>
    <n v="0.22"/>
    <n v="206"/>
    <n v="1.61"/>
    <n v="3182"/>
    <n v="9793"/>
  </r>
  <r>
    <x v="841"/>
    <s v="360130 (Closed)"/>
    <s v="OH"/>
    <s v="OH - Lorain"/>
    <n v="44001"/>
    <s v="Amherst Hospital (Closed - No Longer Offers Inpatient Services)"/>
    <s v="Short Term Acute Care Hospital"/>
    <s v="Amherst"/>
    <n v="7"/>
    <n v="3.8"/>
    <m/>
    <m/>
    <m/>
    <n v="0.22"/>
    <m/>
    <m/>
    <n v="3183"/>
    <n v="674"/>
  </r>
  <r>
    <x v="841"/>
    <n v="360364"/>
    <s v="OH"/>
    <s v="OH - Lorain"/>
    <n v="44011"/>
    <s v="Avon Hospital"/>
    <s v="Short Term Acute Care Hospital"/>
    <s v="Avon"/>
    <n v="64.400000000000006"/>
    <n v="3.6"/>
    <n v="104"/>
    <n v="126"/>
    <n v="12"/>
    <n v="0.22"/>
    <n v="126"/>
    <n v="1.38"/>
    <n v="795592"/>
    <n v="6483"/>
  </r>
  <r>
    <x v="2049"/>
    <n v="360262"/>
    <s v="OH"/>
    <s v="OH - Lucas"/>
    <n v="43623"/>
    <s v="Mercy Health - St Anne Hospital"/>
    <s v="Short Term Acute Care Hospital"/>
    <s v="Toledo"/>
    <n v="57.9"/>
    <n v="3.5"/>
    <n v="180"/>
    <n v="123"/>
    <n v="29"/>
    <n v="0.18"/>
    <n v="123"/>
    <n v="1.56"/>
    <n v="3185"/>
    <n v="5959"/>
  </r>
  <r>
    <x v="2049"/>
    <n v="360259"/>
    <s v="OH"/>
    <s v="OH - Lucas"/>
    <n v="43616"/>
    <s v="ProMedica Bay Park Hospital"/>
    <s v="Short Term Acute Care Hospital"/>
    <s v="Oregon"/>
    <n v="29.3"/>
    <n v="3.7"/>
    <n v="81"/>
    <n v="77"/>
    <n v="8"/>
    <n v="0.18"/>
    <n v="77"/>
    <n v="1.47"/>
    <n v="3186"/>
    <n v="3187"/>
  </r>
  <r>
    <x v="2049"/>
    <n v="360090"/>
    <s v="OH"/>
    <s v="OH - Lucas"/>
    <n v="43537"/>
    <s v="St Lukes Hospital"/>
    <s v="Short Term Acute Care Hospital"/>
    <s v="Maumee"/>
    <n v="106.1"/>
    <n v="4.0999999999999996"/>
    <n v="265"/>
    <n v="166"/>
    <n v="25"/>
    <n v="0.18"/>
    <n v="166"/>
    <n v="1.74"/>
    <n v="3187"/>
    <n v="9785"/>
  </r>
  <r>
    <x v="2049"/>
    <n v="360112"/>
    <s v="OH"/>
    <s v="OH - Lucas"/>
    <n v="43608"/>
    <s v="Mercy Health - St Vincent Medical Center"/>
    <s v="Short Term Acute Care Hospital"/>
    <s v="Toledo"/>
    <n v="200.6"/>
    <n v="4"/>
    <n v="389"/>
    <n v="313"/>
    <n v="38"/>
    <n v="0.18"/>
    <n v="313"/>
    <n v="1.9"/>
    <n v="3188"/>
    <n v="18555"/>
  </r>
  <r>
    <x v="2049"/>
    <n v="360074"/>
    <s v="OH"/>
    <s v="OH - Lucas"/>
    <n v="43560"/>
    <s v="ProMedica Flower Hospital"/>
    <s v="Short Term Acute Care Hospital"/>
    <s v="Sylvania"/>
    <n v="60"/>
    <n v="4.5"/>
    <n v="60"/>
    <n v="127"/>
    <m/>
    <n v="0.18"/>
    <n v="127"/>
    <n v="1.48"/>
    <n v="3189"/>
    <n v="5743"/>
  </r>
  <r>
    <x v="2049"/>
    <n v="360081"/>
    <s v="OH"/>
    <s v="OH - Lucas"/>
    <n v="43616"/>
    <s v="Mercy Health - St Charles Hospital"/>
    <s v="Short Term Acute Care Hospital"/>
    <s v="Oregon"/>
    <n v="59.6"/>
    <n v="3.4"/>
    <n v="154"/>
    <n v="125"/>
    <n v="10"/>
    <n v="0.18"/>
    <n v="125"/>
    <n v="1.42"/>
    <n v="3190"/>
    <n v="6662"/>
  </r>
  <r>
    <x v="2049"/>
    <n v="360048"/>
    <s v="OH"/>
    <s v="OH - Lucas"/>
    <n v="43614"/>
    <s v="University of Toledo Medical Center"/>
    <s v="Short Term Acute Care Hospital"/>
    <s v="Toledo"/>
    <n v="135.6"/>
    <n v="4.7"/>
    <n v="354"/>
    <n v="212"/>
    <m/>
    <n v="0.18"/>
    <n v="212"/>
    <n v="1.79"/>
    <n v="3191"/>
    <n v="10533"/>
  </r>
  <r>
    <x v="2049"/>
    <n v="360068"/>
    <s v="OH"/>
    <s v="OH - Lucas"/>
    <n v="43606"/>
    <s v="ProMedica Toledo Hospital"/>
    <s v="Short Term Acute Care Hospital"/>
    <s v="Toledo"/>
    <n v="483.7"/>
    <n v="5.3"/>
    <n v="1215"/>
    <n v="738"/>
    <n v="36"/>
    <n v="0.18"/>
    <n v="738"/>
    <n v="2.17"/>
    <n v="3192"/>
    <n v="29429"/>
  </r>
  <r>
    <x v="2049"/>
    <s v="360068*"/>
    <s v="OH"/>
    <s v="OH - Lucas"/>
    <n v="43615"/>
    <s v="ProMedica Wildwood Orthopaedic and Spine Hospital"/>
    <s v="Short Term Acute Care Hospital"/>
    <s v="Toledo"/>
    <m/>
    <m/>
    <m/>
    <m/>
    <m/>
    <m/>
    <n v="42"/>
    <m/>
    <n v="541905"/>
    <m/>
  </r>
  <r>
    <x v="2049"/>
    <m/>
    <s v="OH"/>
    <s v="OH - Lucas"/>
    <n v="43623"/>
    <s v="Encompass Health - Toledo (Opening 2020)"/>
    <s v="Short Term Acute Care Hospital"/>
    <s v="Toledo"/>
    <m/>
    <m/>
    <m/>
    <m/>
    <m/>
    <m/>
    <m/>
    <m/>
    <n v="1012381"/>
    <m/>
  </r>
  <r>
    <x v="2050"/>
    <n v="360189"/>
    <s v="OH"/>
    <s v="OH - Madison"/>
    <n v="43140"/>
    <s v="Madison County Hospital"/>
    <s v="Short Term Acute Care Hospital"/>
    <s v="London"/>
    <n v="11.1"/>
    <n v="2.8"/>
    <n v="66"/>
    <n v="45"/>
    <n v="13"/>
    <n v="0.13"/>
    <n v="45"/>
    <n v="1.3"/>
    <n v="3193"/>
    <n v="1589"/>
  </r>
  <r>
    <x v="2051"/>
    <s v="360141 (Closed)"/>
    <s v="OH"/>
    <s v="OH - Mahoning"/>
    <n v="44501"/>
    <s v="Northside Regional Medical Center (Closed)"/>
    <s v="Short Term Acute Care Hospital"/>
    <s v="Youngstown"/>
    <n v="30.8"/>
    <n v="4.2"/>
    <m/>
    <m/>
    <m/>
    <n v="0.15"/>
    <m/>
    <n v="1.64"/>
    <n v="3194"/>
    <n v="2955"/>
  </r>
  <r>
    <x v="2051"/>
    <n v="360064"/>
    <s v="OH"/>
    <s v="OH - Mahoning"/>
    <n v="44501"/>
    <s v="Mercy Health - St Elizabeth Youngstown Hospital"/>
    <s v="Short Term Acute Care Hospital"/>
    <s v="Youngstown"/>
    <n v="210.1"/>
    <n v="4.5999999999999996"/>
    <n v="649"/>
    <n v="300"/>
    <n v="20"/>
    <n v="0.15"/>
    <n v="300"/>
    <n v="1.8"/>
    <n v="3195"/>
    <n v="16804"/>
  </r>
  <r>
    <x v="2051"/>
    <n v="360352"/>
    <s v="OH"/>
    <s v="OH - Mahoning"/>
    <n v="44512"/>
    <s v="Surgical Hospital at Southwoods (AKA Southwoods Health)"/>
    <s v="Short Term Acute Care Hospital"/>
    <s v="Youngstown"/>
    <n v="6.3"/>
    <n v="2.1"/>
    <n v="150"/>
    <n v="24"/>
    <m/>
    <n v="0.15"/>
    <n v="24"/>
    <n v="2.59"/>
    <n v="3196"/>
    <n v="1083"/>
  </r>
  <r>
    <x v="2051"/>
    <n v="360276"/>
    <s v="OH"/>
    <s v="OH - Mahoning"/>
    <n v="44512"/>
    <s v="Mercy Health - St Elizabeth Boardman Hospital"/>
    <s v="Short Term Acute Care Hospital"/>
    <s v="Youngstown"/>
    <n v="132.30000000000001"/>
    <n v="4"/>
    <n v="170"/>
    <n v="206"/>
    <n v="18"/>
    <n v="0.15"/>
    <n v="206"/>
    <n v="1.48"/>
    <n v="3197"/>
    <n v="13694"/>
  </r>
  <r>
    <x v="2051"/>
    <m/>
    <s v="OH"/>
    <s v="OH - Mahoning"/>
    <n v="44512"/>
    <s v="Select Specialty Hospital - Boardman"/>
    <s v="Short Term Acute Care Hospital"/>
    <s v="Youngstown"/>
    <n v="17.399999999999999"/>
    <n v="27.3"/>
    <m/>
    <n v="24"/>
    <m/>
    <n v="0.15"/>
    <n v="24"/>
    <m/>
    <n v="835792"/>
    <n v="231"/>
  </r>
  <r>
    <x v="2052"/>
    <n v="360011"/>
    <s v="OH"/>
    <s v="OH - Marion"/>
    <n v="43302"/>
    <s v="OhioHealth Marion General Hospital"/>
    <s v="Short Term Acute Care Hospital"/>
    <s v="Marion"/>
    <n v="61.8"/>
    <n v="3.8"/>
    <n v="230"/>
    <n v="174"/>
    <n v="15"/>
    <n v="1"/>
    <n v="174"/>
    <n v="1.52"/>
    <n v="3198"/>
    <n v="6479"/>
  </r>
  <r>
    <x v="842"/>
    <n v="360091"/>
    <s v="OH"/>
    <s v="OH - Medina"/>
    <n v="44256"/>
    <s v="Medina Hospital"/>
    <s v="Short Term Acute Care Hospital"/>
    <s v="Medina"/>
    <n v="71.599999999999994"/>
    <n v="4.2"/>
    <n v="138"/>
    <n v="130"/>
    <n v="12"/>
    <n v="0.22"/>
    <n v="130"/>
    <n v="1.47"/>
    <n v="3199"/>
    <n v="6290"/>
  </r>
  <r>
    <x v="842"/>
    <s v="360195(closed)"/>
    <s v="OH"/>
    <s v="OH - Medina"/>
    <n v="44281"/>
    <s v="Summa Wadsworth - Rittman Hospital (Closed for Inpatient services)"/>
    <s v="Short Term Acute Care Hospital"/>
    <s v="Wadsworth"/>
    <n v="16.899999999999999"/>
    <n v="3.7"/>
    <m/>
    <m/>
    <m/>
    <n v="0.22"/>
    <m/>
    <m/>
    <n v="3200"/>
    <n v="1682"/>
  </r>
  <r>
    <x v="2053"/>
    <n v="360058"/>
    <s v="OH"/>
    <s v="OH - Mercer"/>
    <n v="45828"/>
    <s v="Mercer County Community Hospital - Coldwater"/>
    <s v="Short Term Acute Care Hospital"/>
    <s v="Coldwater"/>
    <n v="15.3"/>
    <n v="2.8"/>
    <n v="97"/>
    <n v="42"/>
    <n v="5"/>
    <n v="1"/>
    <n v="42"/>
    <n v="1.2"/>
    <n v="3202"/>
    <n v="2266"/>
  </r>
  <r>
    <x v="2054"/>
    <n v="360174"/>
    <s v="OH"/>
    <s v="OH - Miami"/>
    <n v="45373"/>
    <s v="Upper Valley Medical Center"/>
    <s v="Short Term Acute Care Hospital"/>
    <s v="Troy"/>
    <n v="48.7"/>
    <n v="3.7"/>
    <n v="199"/>
    <n v="119"/>
    <n v="10"/>
    <n v="0.17"/>
    <n v="119"/>
    <n v="1.36"/>
    <n v="3203"/>
    <n v="5267"/>
  </r>
  <r>
    <x v="2054"/>
    <n v="360368"/>
    <s v="OH"/>
    <s v="OH - Miami"/>
    <n v="45373"/>
    <s v="Troy Hospital"/>
    <s v="Short Term Acute Care Hospital"/>
    <s v="Troy"/>
    <m/>
    <m/>
    <n v="11"/>
    <m/>
    <m/>
    <m/>
    <m/>
    <m/>
    <n v="941230"/>
    <m/>
  </r>
  <r>
    <x v="2055"/>
    <n v="360133"/>
    <s v="OH"/>
    <s v="OH - Montgomery"/>
    <n v="45405"/>
    <s v="Grandview Medical Center"/>
    <s v="Short Term Acute Care Hospital"/>
    <s v="Dayton"/>
    <n v="160.6"/>
    <n v="4.5"/>
    <n v="636"/>
    <n v="287"/>
    <n v="35"/>
    <n v="0.17"/>
    <n v="124"/>
    <n v="1.67"/>
    <n v="3204"/>
    <n v="13319"/>
  </r>
  <r>
    <x v="2055"/>
    <n v="360079"/>
    <s v="OH"/>
    <s v="OH - Montgomery"/>
    <n v="45429"/>
    <s v="Kettering Medical Center"/>
    <s v="Short Term Acute Care Hospital"/>
    <s v="Kettering"/>
    <n v="257.3"/>
    <n v="4.4000000000000004"/>
    <n v="540"/>
    <n v="377"/>
    <n v="12"/>
    <n v="0.17"/>
    <n v="377"/>
    <n v="1.93"/>
    <n v="3205"/>
    <n v="22443"/>
  </r>
  <r>
    <x v="2055"/>
    <n v="360051"/>
    <s v="OH"/>
    <s v="OH - Montgomery"/>
    <n v="45409"/>
    <s v="Miami Valley Hospital"/>
    <s v="Short Term Acute Care Hospital"/>
    <s v="Dayton"/>
    <n v="441.2"/>
    <n v="4.9000000000000004"/>
    <n v="1297"/>
    <n v="753"/>
    <n v="103"/>
    <n v="0.17"/>
    <n v="753"/>
    <n v="1.88"/>
    <n v="3207"/>
    <n v="34557"/>
  </r>
  <r>
    <x v="2055"/>
    <s v="360052 (Closed)"/>
    <s v="OH"/>
    <s v="OH - Montgomery"/>
    <n v="45406"/>
    <s v="Good Samaritan Hospital Dayton (Closed)"/>
    <s v="Short Term Acute Care Hospital"/>
    <s v="Dayton"/>
    <n v="110.3"/>
    <n v="4.2"/>
    <m/>
    <m/>
    <m/>
    <n v="0.17"/>
    <m/>
    <n v="1.79"/>
    <n v="3208"/>
    <n v="9577"/>
  </r>
  <r>
    <x v="2055"/>
    <s v="360366 (Closed)"/>
    <s v="OH"/>
    <s v="OH - Montgomery"/>
    <n v="45417"/>
    <s v="The Medical Center at Elizabeth Place (Closed)"/>
    <s v="Short Term Acute Care Hospital"/>
    <s v="Dayton"/>
    <n v="1.2"/>
    <n v="1.5"/>
    <m/>
    <m/>
    <m/>
    <n v="0.17"/>
    <m/>
    <n v="2.69"/>
    <n v="3209"/>
    <n v="277"/>
  </r>
  <r>
    <x v="2055"/>
    <n v="360239"/>
    <s v="OH"/>
    <s v="OH - Montgomery"/>
    <n v="45342"/>
    <s v="Sycamore Medical Center"/>
    <s v="Short Term Acute Care Hospital"/>
    <s v="Miamisburg"/>
    <n v="91.3"/>
    <n v="3.9"/>
    <n v="179"/>
    <n v="168"/>
    <n v="12"/>
    <n v="0.17"/>
    <n v="168"/>
    <n v="1.58"/>
    <n v="3210"/>
    <n v="9194"/>
  </r>
  <r>
    <x v="2055"/>
    <s v="360052* (Closed)"/>
    <s v="OH"/>
    <s v="OH - Montgomery"/>
    <n v="45417"/>
    <s v="Dayton Heart Hospital (Closed)"/>
    <s v="Short Term Acute Care Hospital"/>
    <s v="Dayton"/>
    <m/>
    <m/>
    <m/>
    <m/>
    <m/>
    <m/>
    <m/>
    <m/>
    <n v="6229"/>
    <m/>
  </r>
  <r>
    <x v="2055"/>
    <s v="360133*"/>
    <s v="OH"/>
    <s v="OH - Montgomery"/>
    <n v="45459"/>
    <s v="Southview Medical Center"/>
    <s v="Short Term Acute Care Hospital"/>
    <s v="Centerville"/>
    <m/>
    <m/>
    <m/>
    <m/>
    <m/>
    <m/>
    <n v="116"/>
    <m/>
    <n v="274320"/>
    <m/>
  </r>
  <r>
    <x v="2055"/>
    <s v="360051*"/>
    <s v="OH"/>
    <s v="OH - Montgomery"/>
    <n v="45459"/>
    <s v="Miami Valley Hospital South"/>
    <s v="Short Term Acute Care Hospital"/>
    <s v="Centerville"/>
    <m/>
    <m/>
    <m/>
    <m/>
    <m/>
    <m/>
    <n v="60"/>
    <m/>
    <n v="542205"/>
    <m/>
  </r>
  <r>
    <x v="2055"/>
    <m/>
    <s v="OH"/>
    <s v="OH - Montgomery"/>
    <n v="45417"/>
    <s v="Riverview Health Institute"/>
    <s v="Short Term Acute Care Hospital"/>
    <s v="Dayton"/>
    <m/>
    <m/>
    <n v="10"/>
    <m/>
    <m/>
    <m/>
    <n v="12"/>
    <m/>
    <n v="794519"/>
    <m/>
  </r>
  <r>
    <x v="2055"/>
    <m/>
    <s v="OH"/>
    <s v="OH - Montgomery"/>
    <n v="45415"/>
    <s v="Miami Valley Hospital North"/>
    <s v="Short Term Acute Care Hospital"/>
    <s v="Englewood"/>
    <m/>
    <m/>
    <m/>
    <m/>
    <m/>
    <m/>
    <n v="46"/>
    <m/>
    <n v="969367"/>
    <m/>
  </r>
  <r>
    <x v="2056"/>
    <n v="360039"/>
    <s v="OH"/>
    <s v="OH - Muskingum"/>
    <n v="43701"/>
    <s v="Genesis Hospital (AKA Genesis Healthcare System)"/>
    <s v="Short Term Acute Care Hospital"/>
    <s v="Zanesville"/>
    <n v="140.80000000000001"/>
    <n v="4"/>
    <n v="503"/>
    <n v="282"/>
    <n v="24"/>
    <n v="1"/>
    <n v="282"/>
    <n v="1.64"/>
    <n v="3212"/>
    <n v="13909"/>
  </r>
  <r>
    <x v="2056"/>
    <s v="360039* (Closed)"/>
    <s v="OH"/>
    <s v="OH - Muskingum"/>
    <n v="43701"/>
    <s v="Genesis Good Samaritan Hospital (Closed)"/>
    <s v="Short Term Acute Care Hospital"/>
    <s v="Zanesville"/>
    <m/>
    <m/>
    <m/>
    <m/>
    <m/>
    <m/>
    <m/>
    <m/>
    <n v="542198"/>
    <m/>
  </r>
  <r>
    <x v="2057"/>
    <n v="360170"/>
    <s v="OH"/>
    <s v="OH - Pickaway"/>
    <n v="43113"/>
    <s v="Berger Hospital (FKA Berger Health System)"/>
    <s v="Short Term Acute Care Hospital"/>
    <s v="Circleville"/>
    <n v="20.399999999999999"/>
    <n v="3.1"/>
    <n v="91"/>
    <n v="83"/>
    <n v="8"/>
    <n v="0.13"/>
    <n v="83"/>
    <n v="1.51"/>
    <n v="3215"/>
    <n v="1808"/>
  </r>
  <r>
    <x v="2058"/>
    <n v="360078"/>
    <s v="OH"/>
    <s v="OH - Portage"/>
    <n v="44266"/>
    <s v="University Hospitals Portage Medical Center (FKA Robinson Memorial Hospital)"/>
    <s v="Short Term Acute Care Hospital"/>
    <s v="Ravenna"/>
    <n v="74.8"/>
    <n v="4.0999999999999996"/>
    <n v="225"/>
    <n v="191"/>
    <n v="16"/>
    <n v="0.22"/>
    <n v="191"/>
    <n v="1.54"/>
    <n v="3217"/>
    <n v="6915"/>
  </r>
  <r>
    <x v="847"/>
    <n v="360118"/>
    <s v="OH"/>
    <s v="OH - Richland"/>
    <n v="44903"/>
    <s v="OhioHealth Mansfield Hospital (FKA Medcentral Hospital Mansfield)"/>
    <s v="Short Term Acute Care Hospital"/>
    <s v="Mansfield"/>
    <n v="135.30000000000001"/>
    <n v="4.9000000000000004"/>
    <n v="329"/>
    <n v="228"/>
    <n v="30"/>
    <n v="0.68"/>
    <n v="228"/>
    <n v="1.67"/>
    <n v="3218"/>
    <n v="10588"/>
  </r>
  <r>
    <x v="847"/>
    <n v="360365"/>
    <s v="OH"/>
    <s v="OH - Richland"/>
    <n v="44906"/>
    <s v="Ontario Hospital"/>
    <s v="Short Term Acute Care Hospital"/>
    <s v="Ontario"/>
    <n v="11"/>
    <n v="2.8"/>
    <n v="72"/>
    <n v="26"/>
    <n v="7"/>
    <n v="0.68"/>
    <n v="26"/>
    <n v="1.59"/>
    <n v="845290"/>
    <n v="1432"/>
  </r>
  <r>
    <x v="2059"/>
    <n v="360159"/>
    <s v="OH"/>
    <s v="OH - Ross"/>
    <n v="45601"/>
    <s v="Adena Regional Medical Center"/>
    <s v="Short Term Acute Care Hospital"/>
    <s v="Chillicothe"/>
    <n v="105.9"/>
    <n v="4"/>
    <n v="444"/>
    <n v="189"/>
    <n v="12"/>
    <n v="1"/>
    <n v="189"/>
    <n v="1.65"/>
    <n v="3221"/>
    <n v="10231"/>
  </r>
  <r>
    <x v="2060"/>
    <n v="360156"/>
    <s v="OH"/>
    <s v="OH - Sandusky"/>
    <n v="43420"/>
    <s v="ProMedica Memorial Hospital (FKA Memorial Hospital)"/>
    <s v="Short Term Acute Care Hospital"/>
    <s v="Fremont"/>
    <n v="8.4"/>
    <n v="3"/>
    <n v="128"/>
    <n v="102"/>
    <n v="8"/>
    <n v="1"/>
    <n v="102"/>
    <n v="1.35"/>
    <n v="3222"/>
    <n v="1095"/>
  </r>
  <r>
    <x v="2060"/>
    <s v="360356 (Closed)"/>
    <s v="OH"/>
    <s v="OH - Sandusky"/>
    <n v="43420"/>
    <s v="Physicians Choice Hospital - Fremont LLC (Closed Mar 2012)"/>
    <s v="Short Term Acute Care Hospital"/>
    <s v="Fremont"/>
    <n v="6.3"/>
    <n v="2.4"/>
    <m/>
    <m/>
    <m/>
    <m/>
    <m/>
    <m/>
    <n v="3224"/>
    <n v="120"/>
  </r>
  <r>
    <x v="2061"/>
    <n v="360008"/>
    <s v="OH"/>
    <s v="OH - Scioto"/>
    <n v="45662"/>
    <s v="Southern Ohio Medical Center"/>
    <s v="Short Term Acute Care Hospital"/>
    <s v="Portsmouth"/>
    <n v="118.7"/>
    <n v="4.0999999999999996"/>
    <n v="346"/>
    <n v="192"/>
    <n v="16"/>
    <n v="0.9"/>
    <n v="192"/>
    <n v="1.61"/>
    <n v="3225"/>
    <n v="10857"/>
  </r>
  <r>
    <x v="2061"/>
    <n v="360361"/>
    <s v="OH"/>
    <s v="OH - Scioto"/>
    <n v="45662"/>
    <s v="Kings Daughters Medical Center Ohio"/>
    <s v="Short Term Acute Care Hospital"/>
    <s v="Portsmouth"/>
    <n v="0.9"/>
    <n v="1.8"/>
    <n v="24"/>
    <n v="10"/>
    <m/>
    <n v="0.9"/>
    <n v="10"/>
    <n v="2.35"/>
    <n v="576747"/>
    <n v="176"/>
  </r>
  <r>
    <x v="848"/>
    <n v="360089"/>
    <s v="OH"/>
    <s v="OH - Seneca"/>
    <n v="44883"/>
    <s v="Mercy Health - Tiffin Hospital"/>
    <s v="Short Term Acute Care Hospital"/>
    <s v="Tiffin"/>
    <n v="15.5"/>
    <n v="2.8"/>
    <n v="78"/>
    <n v="45"/>
    <n v="5"/>
    <n v="0.57999999999999996"/>
    <n v="45"/>
    <n v="1.28"/>
    <n v="3226"/>
    <n v="2348"/>
  </r>
  <r>
    <x v="2062"/>
    <n v="360013"/>
    <s v="OH"/>
    <s v="OH - Shelby"/>
    <n v="45365"/>
    <s v="Wilson Memorial Hospital"/>
    <s v="Short Term Acute Care Hospital"/>
    <s v="Sidney"/>
    <n v="17.2"/>
    <n v="3.2"/>
    <n v="102"/>
    <n v="61"/>
    <n v="7"/>
    <n v="1"/>
    <n v="61"/>
    <n v="1.2"/>
    <n v="3227"/>
    <n v="2404"/>
  </r>
  <r>
    <x v="2063"/>
    <n v="360070"/>
    <s v="OH"/>
    <s v="OH - Stark"/>
    <n v="44708"/>
    <s v="Mercy Medical Center"/>
    <s v="Short Term Acute Care Hospital"/>
    <s v="Canton"/>
    <n v="181.8"/>
    <n v="4.4000000000000004"/>
    <n v="576"/>
    <n v="317"/>
    <n v="36"/>
    <n v="0.38"/>
    <n v="317"/>
    <n v="1.78"/>
    <n v="3228"/>
    <n v="15665"/>
  </r>
  <r>
    <x v="2063"/>
    <n v="360084"/>
    <s v="OH"/>
    <s v="OH - Stark"/>
    <n v="44710"/>
    <s v="Aultman Hospital"/>
    <s v="Short Term Acute Care Hospital"/>
    <s v="Canton"/>
    <n v="256.3"/>
    <n v="4.7"/>
    <n v="562"/>
    <n v="422"/>
    <n v="20"/>
    <n v="0.38"/>
    <n v="422"/>
    <n v="1.81"/>
    <n v="3229"/>
    <n v="21083"/>
  </r>
  <r>
    <x v="2063"/>
    <s v="360151 (Closed)"/>
    <s v="OH"/>
    <s v="OH - Stark"/>
    <n v="44646"/>
    <s v="Affinity Medical Center (Closed)"/>
    <s v="Short Term Acute Care Hospital"/>
    <s v="Massillon"/>
    <n v="49.3"/>
    <n v="4.4000000000000004"/>
    <m/>
    <m/>
    <m/>
    <n v="0.38"/>
    <m/>
    <n v="1.57"/>
    <n v="3230"/>
    <n v="4072"/>
  </r>
  <r>
    <x v="2063"/>
    <n v="360131"/>
    <s v="OH"/>
    <s v="OH - Stark"/>
    <n v="44601"/>
    <s v="Aultman Alliance Community Hospital"/>
    <s v="Short Term Acute Care Hospital"/>
    <s v="Alliance"/>
    <n v="16.100000000000001"/>
    <n v="3.1"/>
    <n v="121"/>
    <n v="55"/>
    <n v="12"/>
    <n v="0.38"/>
    <n v="55"/>
    <n v="1.45"/>
    <n v="3231"/>
    <n v="1836"/>
  </r>
  <r>
    <x v="2064"/>
    <n v="360150"/>
    <s v="OH"/>
    <s v="OH - Summit"/>
    <n v="44223"/>
    <s v="Western Reserve Hospital (FKA Summa Western Reserve Hospital)"/>
    <s v="Short Term Acute Care Hospital"/>
    <s v="Cuyahoga Falls"/>
    <n v="35.799999999999997"/>
    <n v="3.6"/>
    <n v="184"/>
    <n v="83"/>
    <n v="12"/>
    <n v="0.22"/>
    <n v="83"/>
    <n v="1.52"/>
    <n v="3232"/>
    <n v="3636"/>
  </r>
  <r>
    <x v="2064"/>
    <n v="360020"/>
    <s v="OH"/>
    <s v="OH - Summit"/>
    <n v="44304"/>
    <s v="Summa Health System - Akron Campus"/>
    <s v="Short Term Acute Care Hospital"/>
    <s v="Akron"/>
    <n v="315.39999999999998"/>
    <n v="4.8"/>
    <n v="1027"/>
    <n v="584"/>
    <n v="64"/>
    <n v="0.22"/>
    <n v="584"/>
    <n v="1.64"/>
    <n v="3233"/>
    <n v="26395"/>
  </r>
  <r>
    <x v="2064"/>
    <n v="360019"/>
    <s v="OH"/>
    <s v="OH - Summit"/>
    <n v="44203"/>
    <s v="Summa Health System - Barberton Campus"/>
    <s v="Short Term Acute Care Hospital"/>
    <s v="Barberton"/>
    <n v="99.4"/>
    <n v="4.5999999999999996"/>
    <n v="49"/>
    <n v="158"/>
    <n v="12"/>
    <n v="0.22"/>
    <n v="158"/>
    <m/>
    <n v="3234"/>
    <n v="8052"/>
  </r>
  <r>
    <x v="2064"/>
    <n v="360027"/>
    <s v="OH"/>
    <s v="OH - Summit"/>
    <n v="44307"/>
    <s v="Akron General"/>
    <s v="Short Term Acute Care Hospital"/>
    <s v="Akron"/>
    <n v="270.7"/>
    <n v="4.3"/>
    <n v="734"/>
    <n v="383"/>
    <n v="34"/>
    <n v="0.22"/>
    <n v="383"/>
    <n v="1.67"/>
    <n v="3235"/>
    <n v="24183"/>
  </r>
  <r>
    <x v="2064"/>
    <n v="360351"/>
    <s v="OH"/>
    <s v="OH - Summit"/>
    <n v="44310"/>
    <s v="Crystal Clinic Orthopaedic Center"/>
    <s v="Short Term Acute Care Hospital"/>
    <s v="Akron"/>
    <n v="25.4"/>
    <n v="2.2999999999999998"/>
    <n v="109"/>
    <n v="59"/>
    <m/>
    <n v="0.22"/>
    <n v="59"/>
    <n v="2.52"/>
    <n v="3236"/>
    <n v="4086"/>
  </r>
  <r>
    <x v="2064"/>
    <n v="360241"/>
    <s v="OH"/>
    <s v="OH - Summit"/>
    <n v="44321"/>
    <s v="Cleveland Clinic Rehabilitation Hospital - Edwin Shaw"/>
    <s v="Short Term Acute Care Hospital"/>
    <s v="Copley"/>
    <m/>
    <m/>
    <m/>
    <m/>
    <m/>
    <m/>
    <n v="160"/>
    <m/>
    <n v="3237"/>
    <m/>
  </r>
  <r>
    <x v="2064"/>
    <s v="360020*"/>
    <s v="OH"/>
    <s v="OH - Summit"/>
    <n v="44310"/>
    <s v="Summa Health System - St Thomas Campus"/>
    <s v="Short Term Acute Care Hospital"/>
    <s v="Akron"/>
    <m/>
    <m/>
    <n v="6"/>
    <m/>
    <m/>
    <m/>
    <n v="164"/>
    <m/>
    <n v="541898"/>
    <m/>
  </r>
  <r>
    <x v="2065"/>
    <n v="360161"/>
    <s v="OH"/>
    <s v="OH - Trumbull"/>
    <n v="44484"/>
    <s v="Mercy Health - St Joseph Warren Hospital"/>
    <s v="Short Term Acute Care Hospital"/>
    <s v="Warren"/>
    <n v="88.1"/>
    <n v="3.6"/>
    <n v="218"/>
    <n v="127"/>
    <n v="12"/>
    <n v="0.15"/>
    <n v="127"/>
    <n v="1.54"/>
    <n v="3239"/>
    <n v="9617"/>
  </r>
  <r>
    <x v="2065"/>
    <n v="360055"/>
    <s v="OH"/>
    <s v="OH - Trumbull"/>
    <n v="44482"/>
    <s v="Trumbull Regional Medical Center (FKA Trumbull Memorial Hospital)"/>
    <s v="Short Term Acute Care Hospital"/>
    <s v="Warren"/>
    <n v="101.1"/>
    <n v="4.7"/>
    <n v="173"/>
    <n v="203"/>
    <n v="30"/>
    <n v="0.15"/>
    <n v="203"/>
    <n v="1.54"/>
    <n v="542061"/>
    <n v="7946"/>
  </r>
  <r>
    <x v="849"/>
    <n v="360010"/>
    <s v="OH"/>
    <s v="OH - Tuscarawas"/>
    <n v="44622"/>
    <s v="Union Hospital"/>
    <s v="Short Term Acute Care Hospital"/>
    <s v="Dover"/>
    <n v="38.6"/>
    <n v="3.8"/>
    <n v="178"/>
    <n v="128"/>
    <n v="10"/>
    <n v="0.73"/>
    <n v="128"/>
    <n v="1.39"/>
    <n v="3240"/>
    <n v="4033"/>
  </r>
  <r>
    <x v="2066"/>
    <n v="360092"/>
    <s v="OH"/>
    <s v="OH - Union"/>
    <n v="43040"/>
    <s v="Memorial Hospital of Union County"/>
    <s v="Short Term Acute Care Hospital"/>
    <s v="Marysville"/>
    <n v="14.2"/>
    <n v="3.2"/>
    <n v="179"/>
    <n v="60"/>
    <n v="7"/>
    <n v="0.13"/>
    <n v="60"/>
    <n v="1.33"/>
    <n v="3242"/>
    <n v="1967"/>
  </r>
  <r>
    <x v="2067"/>
    <n v="360071"/>
    <s v="OH"/>
    <s v="OH - Van Wert"/>
    <n v="45891"/>
    <s v="Van Wert Health (FKA Van Wert County Hospital)"/>
    <s v="Short Term Acute Care Hospital"/>
    <s v="Van Wert"/>
    <n v="7"/>
    <n v="2.8"/>
    <n v="65"/>
    <n v="61"/>
    <n v="5"/>
    <n v="1"/>
    <n v="61"/>
    <n v="1.53"/>
    <n v="3243"/>
    <n v="1023"/>
  </r>
  <r>
    <x v="2068"/>
    <n v="360076"/>
    <s v="OH"/>
    <s v="OH - Warren"/>
    <n v="45005"/>
    <s v="Atrium Medical Center"/>
    <s v="Short Term Acute Care Hospital"/>
    <s v="Middletown"/>
    <n v="81.7"/>
    <n v="4.0999999999999996"/>
    <n v="279"/>
    <n v="217"/>
    <n v="16"/>
    <n v="0.12"/>
    <n v="217"/>
    <n v="1.72"/>
    <n v="3244"/>
    <n v="7653"/>
  </r>
  <r>
    <x v="850"/>
    <n v="360147"/>
    <s v="OH"/>
    <s v="OH - Washington"/>
    <n v="45750"/>
    <s v="Marietta Memorial Hospital Campus"/>
    <s v="Short Term Acute Care Hospital"/>
    <s v="Marietta"/>
    <n v="110.1"/>
    <n v="3.7"/>
    <n v="383"/>
    <n v="188"/>
    <n v="11"/>
    <n v="0.83"/>
    <n v="188"/>
    <n v="1.49"/>
    <n v="3245"/>
    <n v="11186"/>
  </r>
  <r>
    <x v="851"/>
    <n v="360036"/>
    <s v="OH"/>
    <s v="OH - Wayne"/>
    <n v="44691"/>
    <s v="Wooster Community Hospital"/>
    <s v="Short Term Acute Care Hospital"/>
    <s v="Wooster"/>
    <n v="44.8"/>
    <n v="3.2"/>
    <n v="209"/>
    <n v="104"/>
    <n v="14"/>
    <n v="0.69"/>
    <n v="104"/>
    <n v="1.43"/>
    <n v="3247"/>
    <n v="5977"/>
  </r>
  <r>
    <x v="852"/>
    <n v="360121"/>
    <s v="OH"/>
    <s v="OH - Williams"/>
    <n v="43506"/>
    <s v="CHWC Bryan Hospital (FKA Community Hospitals and Wellness Centers Bryan Campus)"/>
    <s v="Short Term Acute Care Hospital"/>
    <s v="Bryan"/>
    <n v="14.6"/>
    <n v="3"/>
    <n v="51"/>
    <n v="75"/>
    <n v="7"/>
    <m/>
    <n v="75"/>
    <n v="1.43"/>
    <n v="3248"/>
    <n v="1997"/>
  </r>
  <r>
    <x v="2069"/>
    <n v="360029"/>
    <s v="OH"/>
    <s v="OH - Wood"/>
    <n v="43402"/>
    <s v="Wood County Hospital"/>
    <s v="Short Term Acute Care Hospital"/>
    <s v="Bowling Green"/>
    <n v="20.399999999999999"/>
    <n v="3.1"/>
    <n v="154"/>
    <n v="103"/>
    <n v="10"/>
    <n v="0.18"/>
    <n v="103"/>
    <n v="1.32"/>
    <n v="3249"/>
    <n v="2608"/>
  </r>
  <r>
    <x v="2069"/>
    <m/>
    <s v="OH"/>
    <s v="OH - Wood"/>
    <n v="43551"/>
    <s v="Mercy Health - Perrysburg Hospital"/>
    <s v="Short Term Acute Care Hospital"/>
    <s v="Perrysburg"/>
    <m/>
    <m/>
    <m/>
    <m/>
    <m/>
    <m/>
    <n v="46"/>
    <m/>
    <n v="948976"/>
    <m/>
  </r>
  <r>
    <x v="2070"/>
    <n v="370178"/>
    <s v="OK"/>
    <s v="OK - Adair"/>
    <n v="74960"/>
    <s v="Stilwell Memorial Hospital"/>
    <s v="Short Term Acute Care Hospital"/>
    <s v="Stilwell"/>
    <n v="14.8"/>
    <n v="5.2"/>
    <n v="43"/>
    <n v="30"/>
    <m/>
    <m/>
    <n v="30"/>
    <n v="1.03"/>
    <n v="3251"/>
    <n v="1047"/>
  </r>
  <r>
    <x v="2071"/>
    <s v="370103 (Closed)"/>
    <s v="OK"/>
    <s v="OK - Beckham"/>
    <n v="73662"/>
    <s v="Sayre Memorial Hospital (Closed)"/>
    <s v="Short Term Acute Care Hospital"/>
    <s v="Sayre"/>
    <m/>
    <m/>
    <m/>
    <m/>
    <m/>
    <m/>
    <m/>
    <m/>
    <n v="3254"/>
    <m/>
  </r>
  <r>
    <x v="2071"/>
    <n v="370019"/>
    <s v="OK"/>
    <s v="OK - Beckham"/>
    <n v="73644"/>
    <s v="Great Plains Regional Medical Center"/>
    <s v="Short Term Acute Care Hospital"/>
    <s v="Elk City"/>
    <n v="17"/>
    <n v="4.5"/>
    <n v="91"/>
    <n v="34"/>
    <n v="6"/>
    <n v="1"/>
    <n v="34"/>
    <n v="1.48"/>
    <n v="3255"/>
    <n v="1505"/>
  </r>
  <r>
    <x v="2071"/>
    <s v="370239 (Closed)"/>
    <s v="OK"/>
    <s v="OK - Beckham"/>
    <n v="73662"/>
    <s v="Sayre Community Hospital (Closed)"/>
    <s v="Short Term Acute Care Hospital"/>
    <s v="Sayre"/>
    <m/>
    <m/>
    <m/>
    <m/>
    <m/>
    <m/>
    <m/>
    <n v="0.83"/>
    <n v="956114"/>
    <m/>
  </r>
  <r>
    <x v="2072"/>
    <n v="370014"/>
    <s v="OK"/>
    <s v="OK - Bryan"/>
    <n v="74701"/>
    <s v="AllianceHealth Durant (FKA Medical Center of Southeastern Oklahoma)"/>
    <s v="Short Term Acute Care Hospital"/>
    <s v="Durant"/>
    <n v="46.7"/>
    <n v="3.4"/>
    <n v="80"/>
    <n v="140"/>
    <n v="8"/>
    <n v="1"/>
    <n v="140"/>
    <n v="1.38"/>
    <n v="3258"/>
    <n v="5606"/>
  </r>
  <r>
    <x v="2073"/>
    <s v="370011 (Closed)"/>
    <s v="OK"/>
    <s v="OK - Canadian"/>
    <n v="73036"/>
    <s v="Mercy Hospital El Reno (Closed)"/>
    <s v="Short Term Acute Care Hospital"/>
    <s v="El Reno"/>
    <n v="0.8"/>
    <n v="2.2999999999999998"/>
    <m/>
    <m/>
    <m/>
    <n v="0.12"/>
    <m/>
    <n v="1.27"/>
    <n v="3261"/>
    <n v="128"/>
  </r>
  <r>
    <x v="2073"/>
    <n v="370211"/>
    <s v="OK"/>
    <s v="OK - Canadian"/>
    <n v="73099"/>
    <s v="INTEGRIS Canadian Valley Hospital"/>
    <s v="Short Term Acute Care Hospital"/>
    <s v="Yukon"/>
    <n v="37"/>
    <n v="3.9"/>
    <n v="76"/>
    <n v="74"/>
    <n v="8"/>
    <n v="0.12"/>
    <n v="74"/>
    <n v="1.53"/>
    <n v="3262"/>
    <n v="3516"/>
  </r>
  <r>
    <x v="858"/>
    <n v="370047"/>
    <s v="OK"/>
    <s v="OK - Carter"/>
    <n v="73401"/>
    <s v="Mercy Hospital Ardmore (FKA Mercy Memorial Health Center)"/>
    <s v="Short Term Acute Care Hospital"/>
    <s v="Ardmore"/>
    <n v="55.9"/>
    <n v="3.8"/>
    <n v="167"/>
    <n v="140"/>
    <n v="13"/>
    <n v="0.77"/>
    <n v="140"/>
    <n v="1.69"/>
    <n v="3263"/>
    <n v="5725"/>
  </r>
  <r>
    <x v="2074"/>
    <n v="370089"/>
    <s v="OK"/>
    <s v="OK - Cherokee"/>
    <n v="74465"/>
    <s v="Northeastern Health System Tahlequah (FKA Tahlequah City Hospital)"/>
    <s v="Short Term Acute Care Hospital"/>
    <s v="Tahlequah"/>
    <n v="39.4"/>
    <n v="3.9"/>
    <n v="150"/>
    <n v="70"/>
    <n v="14"/>
    <n v="1"/>
    <n v="70"/>
    <n v="1.7"/>
    <n v="3265"/>
    <n v="3850"/>
  </r>
  <r>
    <x v="2074"/>
    <n v="370171"/>
    <s v="OK"/>
    <s v="OK - Cherokee"/>
    <n v="74464"/>
    <s v="Cherokee Nation WW Hastings Hospital"/>
    <s v="Short Term Acute Care Hospital"/>
    <s v="Tahlequah"/>
    <n v="18"/>
    <n v="2.8"/>
    <n v="278"/>
    <n v="52"/>
    <m/>
    <m/>
    <n v="52"/>
    <n v="1.1399999999999999"/>
    <n v="3266"/>
    <n v="2360"/>
  </r>
  <r>
    <x v="2075"/>
    <n v="370100"/>
    <s v="OK"/>
    <s v="OK - Choctaw"/>
    <n v="74743"/>
    <s v="Choctaw Memorial Hospital"/>
    <s v="Short Term Acute Care Hospital"/>
    <s v="Hugo"/>
    <n v="10.6"/>
    <n v="4.2"/>
    <n v="17"/>
    <n v="34"/>
    <m/>
    <m/>
    <n v="34"/>
    <n v="0.98"/>
    <n v="3267"/>
    <n v="919"/>
  </r>
  <r>
    <x v="2076"/>
    <n v="370008"/>
    <s v="OK"/>
    <s v="OK - Cleveland"/>
    <n v="73071"/>
    <s v="Norman Regional Hospital"/>
    <s v="Short Term Acute Care Hospital"/>
    <s v="Norman"/>
    <n v="174.6"/>
    <n v="4.2"/>
    <n v="389"/>
    <n v="331"/>
    <n v="52"/>
    <n v="0.12"/>
    <n v="324"/>
    <n v="1.69"/>
    <n v="3270"/>
    <n v="16287"/>
  </r>
  <r>
    <x v="2076"/>
    <s v="370008*"/>
    <s v="OK"/>
    <s v="OK - Cleveland"/>
    <n v="73160"/>
    <s v="Norman Regional Moore (FKA Moore Medical Center)"/>
    <s v="Short Term Acute Care Hospital"/>
    <s v="Moore"/>
    <m/>
    <m/>
    <m/>
    <m/>
    <m/>
    <m/>
    <n v="337"/>
    <m/>
    <n v="541981"/>
    <m/>
  </r>
  <r>
    <x v="2076"/>
    <s v="370008*"/>
    <s v="OK"/>
    <s v="OK - Cleveland"/>
    <n v="73072"/>
    <s v="Norman Regional HealthPlex"/>
    <s v="Short Term Acute Care Hospital"/>
    <s v="Norman"/>
    <m/>
    <m/>
    <n v="70"/>
    <m/>
    <m/>
    <m/>
    <n v="168"/>
    <m/>
    <n v="939037"/>
    <m/>
  </r>
  <r>
    <x v="2076"/>
    <m/>
    <s v="OK"/>
    <s v="OK - Cleveland"/>
    <n v="73160"/>
    <s v="INTEGRIS Community Hospital - Moore"/>
    <s v="Short Term Acute Care Hospital"/>
    <s v="Moore"/>
    <m/>
    <m/>
    <n v="1"/>
    <m/>
    <m/>
    <m/>
    <n v="8"/>
    <m/>
    <n v="977929"/>
    <m/>
  </r>
  <r>
    <x v="2076"/>
    <s v="370008*"/>
    <s v="OK"/>
    <s v="OK - Cleveland"/>
    <n v="73072"/>
    <s v="HealthPlex Heart Hospital"/>
    <s v="Short Term Acute Care Hospital"/>
    <s v="Norman"/>
    <m/>
    <m/>
    <m/>
    <m/>
    <m/>
    <m/>
    <n v="32"/>
    <m/>
    <n v="575838"/>
    <m/>
  </r>
  <r>
    <x v="2077"/>
    <n v="370170"/>
    <s v="OK"/>
    <s v="OK - Comanche"/>
    <n v="73507"/>
    <s v="Lawton Indian Hospital"/>
    <s v="Short Term Acute Care Hospital"/>
    <s v="Lawton"/>
    <n v="7"/>
    <n v="8"/>
    <n v="111"/>
    <n v="38"/>
    <m/>
    <m/>
    <n v="38"/>
    <n v="1.03"/>
    <n v="3272"/>
    <n v="319"/>
  </r>
  <r>
    <x v="2077"/>
    <n v="370097"/>
    <s v="OK"/>
    <s v="OK - Comanche"/>
    <n v="73505"/>
    <s v="Southwestern Medical Center"/>
    <s v="Short Term Acute Care Hospital"/>
    <s v="Lawton"/>
    <n v="37.4"/>
    <n v="3.9"/>
    <n v="95"/>
    <n v="126"/>
    <n v="8"/>
    <n v="0.62"/>
    <n v="126"/>
    <n v="1.49"/>
    <n v="3273"/>
    <n v="3852"/>
  </r>
  <r>
    <x v="2077"/>
    <n v="370056"/>
    <s v="OK"/>
    <s v="OK - Comanche"/>
    <n v="73505"/>
    <s v="Comanche County Memorial Hospital"/>
    <s v="Short Term Acute Care Hospital"/>
    <s v="Lawton"/>
    <n v="115.2"/>
    <n v="4.8"/>
    <n v="249"/>
    <n v="187"/>
    <n v="20"/>
    <n v="0.62"/>
    <n v="187"/>
    <n v="1.72"/>
    <n v="3274"/>
    <n v="9592"/>
  </r>
  <r>
    <x v="2078"/>
    <n v="370237"/>
    <s v="OK"/>
    <s v="OK - Craig"/>
    <n v="74301"/>
    <s v="Saint Francis Hospital Vinita (FKA Craig General Hospital)"/>
    <s v="Short Term Acute Care Hospital"/>
    <s v="Vinita"/>
    <n v="8.1"/>
    <n v="4"/>
    <n v="31"/>
    <n v="35"/>
    <m/>
    <m/>
    <n v="35"/>
    <n v="1.0900000000000001"/>
    <n v="3275"/>
    <n v="734"/>
  </r>
  <r>
    <x v="861"/>
    <n v="370041"/>
    <s v="OK"/>
    <s v="OK - Creek"/>
    <n v="74010"/>
    <s v="Bristow Medical Center"/>
    <s v="Short Term Acute Care Hospital"/>
    <s v="Bristow"/>
    <n v="7.2"/>
    <n v="1.6"/>
    <n v="42"/>
    <n v="55"/>
    <m/>
    <n v="0.19"/>
    <n v="55"/>
    <n v="2.0099999999999998"/>
    <n v="3276"/>
    <n v="1679"/>
  </r>
  <r>
    <x v="862"/>
    <n v="370029"/>
    <s v="OK"/>
    <s v="OK - Custer"/>
    <n v="73601"/>
    <s v="AllianceHealth Clinton (FKA Integris Clinton Regional Hospital)"/>
    <s v="Short Term Acute Care Hospital"/>
    <s v="Clinton"/>
    <n v="6.2"/>
    <n v="3"/>
    <n v="23"/>
    <n v="45"/>
    <n v="4"/>
    <n v="0.5"/>
    <n v="45"/>
    <n v="1.21"/>
    <n v="3280"/>
    <n v="888"/>
  </r>
  <r>
    <x v="2079"/>
    <n v="370113"/>
    <s v="OK"/>
    <s v="OK - Delaware"/>
    <n v="74344"/>
    <s v="INTEGRIS Grove Hospital"/>
    <s v="Short Term Acute Care Hospital"/>
    <s v="Grove"/>
    <n v="15.2"/>
    <n v="3.5"/>
    <n v="59"/>
    <n v="58"/>
    <n v="6"/>
    <m/>
    <n v="58"/>
    <n v="1.42"/>
    <n v="3281"/>
    <n v="1765"/>
  </r>
  <r>
    <x v="2080"/>
    <n v="370026"/>
    <s v="OK"/>
    <s v="OK - Garfield"/>
    <n v="73701"/>
    <s v="St Marys Regional Medical Center"/>
    <s v="Short Term Acute Care Hospital"/>
    <s v="Enid"/>
    <n v="51"/>
    <n v="3.7"/>
    <n v="116"/>
    <n v="142"/>
    <n v="11"/>
    <n v="0.51"/>
    <n v="142"/>
    <n v="1.51"/>
    <n v="3285"/>
    <n v="5181"/>
  </r>
  <r>
    <x v="2080"/>
    <n v="370016"/>
    <s v="OK"/>
    <s v="OK - Garfield"/>
    <n v="73701"/>
    <s v="INTEGRIS Bass Baptist Health Center"/>
    <s v="Short Term Acute Care Hospital"/>
    <s v="Enid"/>
    <n v="59.8"/>
    <n v="7.1"/>
    <n v="85"/>
    <n v="183"/>
    <n v="19"/>
    <n v="0.51"/>
    <n v="183"/>
    <n v="1.5"/>
    <n v="5406"/>
    <n v="3347"/>
  </r>
  <r>
    <x v="2081"/>
    <s v="370156 (Closed)"/>
    <s v="OK"/>
    <s v="OK - Garvin"/>
    <n v="73075"/>
    <s v="Pauls Valley General Hospital (Closed)"/>
    <s v="Short Term Acute Care Hospital"/>
    <s v="Pauls Valley"/>
    <n v="3.5"/>
    <n v="3.4"/>
    <m/>
    <m/>
    <m/>
    <m/>
    <m/>
    <n v="1.18"/>
    <n v="3286"/>
    <n v="378"/>
  </r>
  <r>
    <x v="2081"/>
    <n v="370214"/>
    <s v="OK"/>
    <s v="OK - Garvin"/>
    <n v="73052"/>
    <s v="Lindsay Municipal Hospital"/>
    <s v="Short Term Acute Care Hospital"/>
    <s v="Lindsay"/>
    <n v="18.100000000000001"/>
    <n v="6.6"/>
    <n v="33"/>
    <n v="26"/>
    <m/>
    <m/>
    <n v="26"/>
    <n v="1.08"/>
    <n v="3287"/>
    <n v="999"/>
  </r>
  <r>
    <x v="2082"/>
    <n v="370054"/>
    <s v="OK"/>
    <s v="OK - Grady"/>
    <n v="73018"/>
    <s v="Grady Memorial Hospital"/>
    <s v="Short Term Acute Care Hospital"/>
    <s v="Chickasha"/>
    <n v="9.5"/>
    <n v="3.8"/>
    <n v="57"/>
    <n v="49"/>
    <n v="9"/>
    <n v="0.12"/>
    <n v="49"/>
    <n v="1.36"/>
    <n v="3288"/>
    <n v="910"/>
  </r>
  <r>
    <x v="2083"/>
    <n v="370022"/>
    <s v="OK"/>
    <s v="OK - Jackson"/>
    <n v="73521"/>
    <s v="Jackson County Memorial Hospital"/>
    <s v="Short Term Acute Care Hospital"/>
    <s v="Altus"/>
    <n v="23.8"/>
    <n v="4.3"/>
    <n v="66"/>
    <n v="49"/>
    <n v="6"/>
    <n v="1"/>
    <n v="49"/>
    <n v="1.56"/>
    <n v="3294"/>
    <n v="2162"/>
  </r>
  <r>
    <x v="2084"/>
    <n v="370030"/>
    <s v="OK"/>
    <s v="OK - Kay"/>
    <n v="74631"/>
    <s v="Stillwater Medical - Blackwell (FKA Blackwell Regional Hospital)"/>
    <s v="Short Term Acute Care Hospital"/>
    <s v="Blackwell"/>
    <n v="4.2"/>
    <n v="3.2"/>
    <n v="10"/>
    <n v="34"/>
    <m/>
    <n v="0.76"/>
    <n v="34"/>
    <n v="1.19"/>
    <n v="3297"/>
    <n v="483"/>
  </r>
  <r>
    <x v="2084"/>
    <n v="370006"/>
    <s v="OK"/>
    <s v="OK - Kay"/>
    <n v="74601"/>
    <s v="AllianceHealth Ponca City"/>
    <s v="Short Term Acute Care Hospital"/>
    <s v="Ponca City"/>
    <n v="21.1"/>
    <n v="3.7"/>
    <n v="63"/>
    <n v="48"/>
    <n v="10"/>
    <n v="0.76"/>
    <n v="48"/>
    <n v="1.5"/>
    <n v="3298"/>
    <n v="2306"/>
  </r>
  <r>
    <x v="2085"/>
    <n v="370153"/>
    <s v="OK"/>
    <s v="OK - Kiowa"/>
    <n v="73651"/>
    <s v="Elkview General Hospital"/>
    <s v="Short Term Acute Care Hospital"/>
    <s v="Hobart"/>
    <n v="6.3"/>
    <n v="4.0999999999999996"/>
    <n v="13"/>
    <n v="38"/>
    <m/>
    <m/>
    <n v="38"/>
    <n v="1.33"/>
    <n v="3300"/>
    <n v="567"/>
  </r>
  <r>
    <x v="2086"/>
    <n v="370172"/>
    <s v="OK"/>
    <s v="OK - Latimer"/>
    <n v="74571"/>
    <s v="Choctaw Nation Health Care Center"/>
    <s v="Short Term Acute Care Hospital"/>
    <s v="Talihina"/>
    <n v="8.8000000000000007"/>
    <n v="2.6"/>
    <n v="170"/>
    <n v="43"/>
    <m/>
    <m/>
    <n v="43"/>
    <n v="0.89"/>
    <n v="3301"/>
    <n v="1223"/>
  </r>
  <r>
    <x v="2086"/>
    <s v="370072 (Closed)"/>
    <s v="OK"/>
    <s v="OK - Latimer"/>
    <n v="74578"/>
    <s v="Latimer County General Hospital (Closed)"/>
    <s v="Short Term Acute Care Hospital"/>
    <s v="Wilburton"/>
    <n v="0.4"/>
    <n v="2.6"/>
    <m/>
    <m/>
    <m/>
    <m/>
    <m/>
    <n v="0.95"/>
    <n v="3302"/>
    <n v="56"/>
  </r>
  <r>
    <x v="2087"/>
    <n v="370158"/>
    <s v="OK"/>
    <s v="OK - Mcclain"/>
    <n v="73080"/>
    <s v="Purcell Municipal Hospital"/>
    <s v="Short Term Acute Care Hospital"/>
    <s v="Purcell"/>
    <n v="4.5"/>
    <n v="3.3"/>
    <n v="30"/>
    <n v="39"/>
    <m/>
    <n v="0.12"/>
    <n v="39"/>
    <n v="1.04"/>
    <n v="3308"/>
    <n v="501"/>
  </r>
  <r>
    <x v="2088"/>
    <s v="370169 (Closed)"/>
    <s v="OK"/>
    <s v="OK - Mcintosh"/>
    <n v="74432"/>
    <s v="Epic Medical Center (Closed)"/>
    <s v="Short Term Acute Care Hospital"/>
    <s v="Eufaula"/>
    <n v="0.4"/>
    <n v="3"/>
    <m/>
    <m/>
    <m/>
    <m/>
    <m/>
    <m/>
    <n v="3310"/>
    <n v="53"/>
  </r>
  <r>
    <x v="2089"/>
    <n v="370015"/>
    <s v="OK"/>
    <s v="OK - Mayes"/>
    <n v="74361"/>
    <s v="Hillcrest Hospital Pryor (FKA AllianceHealth - Pryor)"/>
    <s v="Short Term Acute Care Hospital"/>
    <s v="Pryor"/>
    <n v="3.3"/>
    <n v="2"/>
    <n v="43"/>
    <n v="24"/>
    <m/>
    <m/>
    <n v="24"/>
    <n v="1.27"/>
    <n v="3313"/>
    <n v="603"/>
  </r>
  <r>
    <x v="2090"/>
    <s v="370025*"/>
    <s v="OK"/>
    <s v="OK - Muskogee"/>
    <n v="74401"/>
    <s v="Saint Francis Hospital Muskogee East (FKA EASTAR Health East Campus)"/>
    <s v="Short Term Acute Care Hospital"/>
    <s v="Muskogee"/>
    <m/>
    <m/>
    <m/>
    <m/>
    <m/>
    <m/>
    <n v="45"/>
    <m/>
    <n v="3315"/>
    <m/>
  </r>
  <r>
    <x v="2090"/>
    <n v="370025"/>
    <s v="OK"/>
    <s v="OK - Muskogee"/>
    <n v="74401"/>
    <s v="Saint Francis Hospital Muskogee (FKA EASTAR Health System)"/>
    <s v="Short Term Acute Care Hospital"/>
    <s v="Muskogee"/>
    <n v="103.7"/>
    <n v="4.9000000000000004"/>
    <n v="266"/>
    <n v="264"/>
    <n v="24"/>
    <n v="1"/>
    <n v="264"/>
    <n v="1.43"/>
    <n v="3317"/>
    <n v="7856"/>
  </r>
  <r>
    <x v="2091"/>
    <n v="370139"/>
    <s v="OK"/>
    <s v="OK - Noble"/>
    <n v="73077"/>
    <s v="Stillwater Medical - Perry (FKA Perry Memorial Hospital)"/>
    <s v="Short Term Acute Care Hospital"/>
    <s v="Perry"/>
    <n v="4.2"/>
    <n v="6.8"/>
    <n v="13"/>
    <n v="26"/>
    <m/>
    <m/>
    <n v="26"/>
    <n v="0.96"/>
    <n v="3318"/>
    <n v="224"/>
  </r>
  <r>
    <x v="2092"/>
    <n v="370222"/>
    <s v="OK"/>
    <s v="OK - Oklahoma"/>
    <n v="73114"/>
    <s v="McBride Clinic Orthopedic Hospital LLC"/>
    <s v="Short Term Acute Care Hospital"/>
    <s v="Oklahoma City"/>
    <n v="25.8"/>
    <n v="2.7"/>
    <n v="100"/>
    <n v="64"/>
    <m/>
    <n v="0.12"/>
    <n v="64"/>
    <n v="2.39"/>
    <n v="3323"/>
    <n v="3513"/>
  </r>
  <r>
    <x v="2092"/>
    <n v="370225"/>
    <s v="OK"/>
    <s v="OK - Oklahoma"/>
    <n v="73034"/>
    <s v="Summit Medical Center"/>
    <s v="Short Term Acute Care Hospital"/>
    <s v="Edmond"/>
    <n v="3.1"/>
    <n v="2"/>
    <n v="65"/>
    <n v="9"/>
    <m/>
    <n v="0.12"/>
    <n v="9"/>
    <n v="2.44"/>
    <n v="3324"/>
    <n v="556"/>
  </r>
  <r>
    <x v="2092"/>
    <n v="370234"/>
    <s v="OK"/>
    <s v="OK - Oklahoma"/>
    <n v="73135"/>
    <s v="Oklahoma Heart Hospital South"/>
    <s v="Short Term Acute Care Hospital"/>
    <s v="Oklahoma City"/>
    <n v="42.5"/>
    <n v="3.1"/>
    <n v="48"/>
    <n v="44"/>
    <m/>
    <n v="0.12"/>
    <n v="44"/>
    <n v="2.54"/>
    <n v="3325"/>
    <n v="5045"/>
  </r>
  <r>
    <x v="2092"/>
    <s v="370093*"/>
    <s v="OK"/>
    <s v="OK - Oklahoma"/>
    <n v="73034"/>
    <s v="OU Medical Center Edmond (FKA Edmond Medical Center)"/>
    <s v="Short Term Acute Care Hospital"/>
    <s v="Edmond"/>
    <m/>
    <m/>
    <m/>
    <m/>
    <m/>
    <m/>
    <n v="85"/>
    <m/>
    <n v="3326"/>
    <m/>
  </r>
  <r>
    <x v="2092"/>
    <n v="370106"/>
    <s v="OK"/>
    <s v="OK - Oklahoma"/>
    <n v="73109"/>
    <s v="INTEGRIS Southwest Medical Center"/>
    <s v="Short Term Acute Care Hospital"/>
    <s v="Oklahoma City"/>
    <n v="136.30000000000001"/>
    <n v="5.0999999999999996"/>
    <n v="215"/>
    <n v="185"/>
    <n v="20"/>
    <n v="0.12"/>
    <n v="185"/>
    <n v="1.7"/>
    <n v="3328"/>
    <n v="10308"/>
  </r>
  <r>
    <x v="2092"/>
    <n v="370093"/>
    <s v="OK"/>
    <s v="OK - Oklahoma"/>
    <n v="73104"/>
    <s v="OU Medical Center"/>
    <s v="Short Term Acute Care Hospital"/>
    <s v="Oklahoma City"/>
    <n v="559.79999999999995"/>
    <n v="6.1"/>
    <n v="989"/>
    <n v="699"/>
    <n v="114"/>
    <n v="0.12"/>
    <n v="699"/>
    <n v="2.0099999999999998"/>
    <n v="3329"/>
    <n v="34479"/>
  </r>
  <r>
    <x v="2092"/>
    <n v="370094"/>
    <s v="OK"/>
    <s v="OK - Oklahoma"/>
    <n v="73110"/>
    <s v="AllianceHealth Midwest (FKA Midwest Regional Medical Center)"/>
    <s v="Short Term Acute Care Hospital"/>
    <s v="Midwest City"/>
    <n v="82.9"/>
    <n v="4.7"/>
    <n v="121"/>
    <n v="236"/>
    <n v="24"/>
    <n v="0.12"/>
    <n v="236"/>
    <n v="1.59"/>
    <n v="3330"/>
    <n v="6612"/>
  </r>
  <r>
    <x v="2092"/>
    <n v="370215"/>
    <s v="OK"/>
    <s v="OK - Oklahoma"/>
    <n v="73120"/>
    <s v="Oklahoma Heart Hospital North"/>
    <s v="Short Term Acute Care Hospital"/>
    <s v="Oklahoma City"/>
    <n v="70.599999999999994"/>
    <n v="3"/>
    <n v="143"/>
    <n v="99"/>
    <m/>
    <n v="0.12"/>
    <n v="99"/>
    <n v="2.5299999999999998"/>
    <n v="3331"/>
    <n v="8550"/>
  </r>
  <r>
    <x v="2092"/>
    <n v="370192"/>
    <s v="OK"/>
    <s v="OK - Oklahoma"/>
    <n v="73120"/>
    <s v="Northwest Surgical Hospital"/>
    <s v="Short Term Acute Care Hospital"/>
    <s v="Oklahoma City"/>
    <n v="1"/>
    <n v="1.9"/>
    <n v="12"/>
    <n v="9"/>
    <m/>
    <n v="0.12"/>
    <n v="9"/>
    <n v="2.93"/>
    <n v="3332"/>
    <n v="184"/>
  </r>
  <r>
    <x v="2092"/>
    <n v="370199"/>
    <s v="OK"/>
    <s v="OK - Oklahoma"/>
    <n v="73120"/>
    <s v="Lakeside Womens Hospital"/>
    <s v="Short Term Acute Care Hospital"/>
    <s v="Oklahoma City"/>
    <n v="8.5"/>
    <n v="4.2"/>
    <n v="46"/>
    <n v="23"/>
    <m/>
    <n v="0.12"/>
    <n v="23"/>
    <n v="1.1499999999999999"/>
    <n v="3333"/>
    <n v="1432"/>
  </r>
  <r>
    <x v="2092"/>
    <n v="370201"/>
    <s v="OK"/>
    <s v="OK - Oklahoma"/>
    <n v="73129"/>
    <s v="Surgical Hospital of Oklahoma"/>
    <s v="Short Term Acute Care Hospital"/>
    <s v="Oklahoma City"/>
    <n v="1.2"/>
    <n v="2.1"/>
    <n v="24"/>
    <n v="12"/>
    <m/>
    <n v="0.12"/>
    <n v="12"/>
    <n v="2.23"/>
    <n v="3334"/>
    <n v="204"/>
  </r>
  <r>
    <x v="2092"/>
    <n v="370037"/>
    <s v="OK"/>
    <s v="OK - Oklahoma"/>
    <n v="73102"/>
    <s v="SSM Health St Anthony Hospital - Oklahoma City"/>
    <s v="Short Term Acute Care Hospital"/>
    <s v="Oklahoma City"/>
    <n v="281.8"/>
    <n v="4.7"/>
    <n v="445"/>
    <n v="390"/>
    <m/>
    <n v="0.12"/>
    <n v="390"/>
    <n v="1.83"/>
    <n v="3335"/>
    <n v="21797"/>
  </r>
  <r>
    <x v="2092"/>
    <n v="370032"/>
    <s v="OK"/>
    <s v="OK - Oklahoma"/>
    <n v="73112"/>
    <s v="INTEGRIS Deaconess (FKA AllianceHealth Deaconess)"/>
    <s v="Short Term Acute Care Hospital"/>
    <s v="Oklahoma City"/>
    <n v="48.8"/>
    <n v="4.8"/>
    <n v="41"/>
    <n v="213"/>
    <n v="20"/>
    <n v="0.12"/>
    <n v="213"/>
    <n v="1.83"/>
    <n v="3336"/>
    <n v="3973"/>
  </r>
  <r>
    <x v="2092"/>
    <n v="370028"/>
    <s v="OK"/>
    <s v="OK - Oklahoma"/>
    <n v="73112"/>
    <s v="INTEGRIS Baptist Medical Center"/>
    <s v="Short Term Acute Care Hospital"/>
    <s v="Oklahoma City"/>
    <n v="505.8"/>
    <n v="6.7"/>
    <n v="622"/>
    <n v="649"/>
    <n v="44"/>
    <n v="0.12"/>
    <n v="649"/>
    <n v="2.1800000000000002"/>
    <n v="3337"/>
    <n v="28269"/>
  </r>
  <r>
    <x v="2092"/>
    <n v="370013"/>
    <s v="OK"/>
    <s v="OK - Oklahoma"/>
    <n v="73120"/>
    <s v="Mercy Hospital Oklahoma City (FKA Mercy Health Center)"/>
    <s v="Short Term Acute Care Hospital"/>
    <s v="Oklahoma City"/>
    <n v="216.3"/>
    <n v="5.2"/>
    <n v="628"/>
    <n v="308"/>
    <n v="36"/>
    <n v="0.12"/>
    <n v="308"/>
    <n v="1.91"/>
    <n v="3338"/>
    <n v="16355"/>
  </r>
  <r>
    <x v="2092"/>
    <n v="370203"/>
    <s v="OK"/>
    <s v="OK - Oklahoma"/>
    <n v="73159"/>
    <s v="Community Hospital - South Campus"/>
    <s v="Short Term Acute Care Hospital"/>
    <s v="Oklahoma City"/>
    <n v="13.2"/>
    <n v="2.1"/>
    <n v="151"/>
    <n v="45"/>
    <n v="3"/>
    <n v="0.12"/>
    <n v="45"/>
    <n v="2.48"/>
    <n v="3320"/>
    <n v="2310"/>
  </r>
  <r>
    <x v="2092"/>
    <n v="370206"/>
    <s v="OK"/>
    <s v="OK - Oklahoma"/>
    <n v="73134"/>
    <s v="Oklahoma Spine Hospital"/>
    <s v="Short Term Acute Care Hospital"/>
    <s v="Oklahoma City"/>
    <n v="12.4"/>
    <n v="2.5"/>
    <n v="36"/>
    <n v="23"/>
    <m/>
    <n v="0.12"/>
    <n v="23"/>
    <n v="4.59"/>
    <n v="3321"/>
    <n v="1842"/>
  </r>
  <r>
    <x v="2092"/>
    <s v="370037*"/>
    <s v="OK"/>
    <s v="OK - Oklahoma"/>
    <n v="73103"/>
    <s v="SSM Health Bone &amp; Joint Hospital at St Anthony"/>
    <s v="Short Term Acute Care Hospital"/>
    <s v="Oklahoma City"/>
    <m/>
    <m/>
    <m/>
    <m/>
    <m/>
    <m/>
    <n v="102"/>
    <m/>
    <n v="4833"/>
    <m/>
  </r>
  <r>
    <x v="2092"/>
    <n v="370236"/>
    <s v="OK"/>
    <s v="OK - Oklahoma"/>
    <n v="73034"/>
    <s v="INTEGRIS Health Edmond"/>
    <s v="Short Term Acute Care Hospital"/>
    <s v="Edmond"/>
    <n v="24.3"/>
    <n v="3.7"/>
    <n v="66"/>
    <n v="40"/>
    <n v="6"/>
    <n v="0.12"/>
    <n v="40"/>
    <n v="1.56"/>
    <n v="576742"/>
    <n v="2790"/>
  </r>
  <r>
    <x v="2092"/>
    <s v="370203*"/>
    <s v="OK"/>
    <s v="OK - Oklahoma"/>
    <n v="73114"/>
    <s v="Community Hospital - North Campus"/>
    <s v="Short Term Acute Care Hospital"/>
    <s v="Oklahoma City"/>
    <m/>
    <m/>
    <m/>
    <m/>
    <m/>
    <m/>
    <n v="14"/>
    <m/>
    <n v="916791"/>
    <m/>
  </r>
  <r>
    <x v="2092"/>
    <n v="370240"/>
    <s v="OK"/>
    <s v="OK - Oklahoma"/>
    <n v="73162"/>
    <s v="INTEGRIS Community Hospital - Council Crossing"/>
    <s v="Short Term Acute Care Hospital"/>
    <s v="Oklahoma City"/>
    <m/>
    <m/>
    <n v="6"/>
    <m/>
    <m/>
    <m/>
    <m/>
    <m/>
    <n v="977925"/>
    <m/>
  </r>
  <r>
    <x v="2092"/>
    <m/>
    <s v="OK"/>
    <s v="OK - Oklahoma"/>
    <n v="73128"/>
    <s v="INTEGRIS Community Hospital - OKC West"/>
    <s v="Short Term Acute Care Hospital"/>
    <s v="Oklahoma City"/>
    <m/>
    <m/>
    <n v="3"/>
    <m/>
    <m/>
    <m/>
    <m/>
    <m/>
    <n v="977930"/>
    <m/>
  </r>
  <r>
    <x v="2092"/>
    <m/>
    <s v="OK"/>
    <s v="OK - Oklahoma"/>
    <n v="73115"/>
    <s v="INTEGRIS Community Hospital - Del City"/>
    <s v="Short Term Acute Care Hospital"/>
    <s v="Del City"/>
    <m/>
    <m/>
    <n v="6"/>
    <m/>
    <m/>
    <m/>
    <n v="10"/>
    <m/>
    <n v="977932"/>
    <m/>
  </r>
  <r>
    <x v="2092"/>
    <m/>
    <s v="OK"/>
    <s v="OK - Oklahoma"/>
    <n v="73013"/>
    <s v="Oklahoma ER &amp; Hospital"/>
    <s v="Short Term Acute Care Hospital"/>
    <s v="Edmond"/>
    <m/>
    <m/>
    <n v="5"/>
    <m/>
    <m/>
    <m/>
    <m/>
    <m/>
    <n v="981349"/>
    <m/>
  </r>
  <r>
    <x v="2092"/>
    <m/>
    <s v="OK"/>
    <s v="OK - Oklahoma"/>
    <n v="73120"/>
    <s v="AMG Specialty Hospital - Oklahoma City"/>
    <s v="Short Term Acute Care Hospital"/>
    <s v="Oklahoma City"/>
    <m/>
    <m/>
    <m/>
    <m/>
    <m/>
    <m/>
    <n v="18"/>
    <m/>
    <n v="971900"/>
    <m/>
  </r>
  <r>
    <x v="2092"/>
    <n v="370212"/>
    <s v="OK"/>
    <s v="OK - Oklahoma"/>
    <n v="73139"/>
    <s v="Oklahoma Center for Orthopaedic &amp; Multi-Specialty Surgery"/>
    <s v="Short Term Acute Care Hospital"/>
    <s v="Oklahoma City"/>
    <n v="4.5"/>
    <n v="2.1"/>
    <n v="67"/>
    <n v="10"/>
    <m/>
    <n v="0.12"/>
    <n v="10"/>
    <n v="2.13"/>
    <n v="3269"/>
    <n v="779"/>
  </r>
  <r>
    <x v="2092"/>
    <n v="370220"/>
    <s v="OK"/>
    <s v="OK - Oklahoma"/>
    <n v="73109"/>
    <s v="One Core Health (FKA Orthopedic Hospital)"/>
    <s v="Short Term Acute Care Hospital"/>
    <s v="Oklahoma City"/>
    <n v="2"/>
    <n v="2.9"/>
    <n v="63"/>
    <n v="8"/>
    <m/>
    <n v="0.12"/>
    <n v="8"/>
    <n v="2.72"/>
    <n v="3322"/>
    <n v="256"/>
  </r>
  <r>
    <x v="2093"/>
    <n v="370057"/>
    <s v="OK"/>
    <s v="OK - Okmulgee"/>
    <n v="74447"/>
    <s v="Muscogee Creek Nation Medical Center (FKA Okmulgee Memorial Hospital)"/>
    <s v="Short Term Acute Care Hospital"/>
    <s v="Okmulgee"/>
    <n v="5.3"/>
    <n v="3.5"/>
    <n v="53"/>
    <n v="50"/>
    <m/>
    <n v="0.19"/>
    <n v="50"/>
    <n v="1.1100000000000001"/>
    <n v="3339"/>
    <n v="548"/>
  </r>
  <r>
    <x v="2093"/>
    <n v="370183"/>
    <s v="OK"/>
    <s v="OK - Okmulgee"/>
    <n v="74437"/>
    <s v="Hillcrest Hospital Henryetta"/>
    <s v="Short Term Acute Care Hospital"/>
    <s v="Henryetta"/>
    <n v="14.7"/>
    <n v="5.3"/>
    <n v="34"/>
    <n v="39"/>
    <m/>
    <n v="0.19"/>
    <n v="39"/>
    <n v="1.03"/>
    <n v="3340"/>
    <n v="707"/>
  </r>
  <r>
    <x v="2094"/>
    <n v="370004"/>
    <s v="OK"/>
    <s v="OK - Ottawa"/>
    <n v="74354"/>
    <s v="INTEGRIS Miami Hospital (FKA INTEGRIS Baptist Regional Health Center)"/>
    <s v="Short Term Acute Care Hospital"/>
    <s v="Miami"/>
    <n v="13.8"/>
    <n v="3.2"/>
    <n v="59"/>
    <n v="94"/>
    <n v="9"/>
    <n v="1"/>
    <n v="94"/>
    <n v="1.33"/>
    <n v="3344"/>
    <n v="1754"/>
  </r>
  <r>
    <x v="2095"/>
    <n v="370049"/>
    <s v="OK"/>
    <s v="OK - Payne"/>
    <n v="74074"/>
    <s v="Stillwater Medical Center"/>
    <s v="Short Term Acute Care Hospital"/>
    <s v="Stillwater"/>
    <n v="25.1"/>
    <n v="3.1"/>
    <n v="197"/>
    <n v="87"/>
    <n v="7"/>
    <n v="0.85"/>
    <n v="87"/>
    <n v="1.63"/>
    <n v="3346"/>
    <n v="3400"/>
  </r>
  <r>
    <x v="2095"/>
    <n v="370099"/>
    <s v="OK"/>
    <s v="OK - Payne"/>
    <n v="74023"/>
    <s v="Hillcrest Hospital Cushing"/>
    <s v="Short Term Acute Care Hospital"/>
    <s v="Cushing"/>
    <n v="7.5"/>
    <n v="3.2"/>
    <n v="19"/>
    <n v="74"/>
    <n v="4"/>
    <n v="0.85"/>
    <n v="74"/>
    <n v="1"/>
    <n v="3347"/>
    <n v="865"/>
  </r>
  <r>
    <x v="2096"/>
    <n v="370034"/>
    <s v="OK"/>
    <s v="OK - Pittsburg"/>
    <n v="74501"/>
    <s v="McAlester Regional Health Center"/>
    <s v="Short Term Acute Care Hospital"/>
    <s v="McAlester"/>
    <n v="33.200000000000003"/>
    <n v="3.2"/>
    <n v="129"/>
    <n v="117"/>
    <n v="15"/>
    <n v="1"/>
    <n v="117"/>
    <n v="1.43"/>
    <n v="3348"/>
    <n v="4135"/>
  </r>
  <r>
    <x v="2097"/>
    <n v="370020"/>
    <s v="OK"/>
    <s v="OK - Pontotoc"/>
    <n v="74820"/>
    <s v="Mercy Hospital Ada (FKA Valley View Regional Hospital)"/>
    <s v="Short Term Acute Care Hospital"/>
    <s v="Ada"/>
    <n v="32.4"/>
    <n v="4"/>
    <n v="105"/>
    <n v="108"/>
    <n v="12"/>
    <n v="1"/>
    <n v="108"/>
    <n v="1.68"/>
    <n v="3349"/>
    <n v="3143"/>
  </r>
  <r>
    <x v="2097"/>
    <n v="370180"/>
    <s v="OK"/>
    <s v="OK - Pontotoc"/>
    <n v="74820"/>
    <s v="Chickasaw Nation Medical Center"/>
    <s v="Short Term Acute Care Hospital"/>
    <s v="Ada"/>
    <n v="24"/>
    <n v="3.3"/>
    <n v="213"/>
    <n v="72"/>
    <m/>
    <m/>
    <n v="72"/>
    <n v="1.32"/>
    <n v="3350"/>
    <n v="2690"/>
  </r>
  <r>
    <x v="2098"/>
    <n v="370149"/>
    <s v="OK"/>
    <s v="OK - Pottawatomie"/>
    <n v="74804"/>
    <s v="SSM Health St Anthony Hospital - Shawnee (FKA Unity Health Center)"/>
    <s v="Short Term Acute Care Hospital"/>
    <s v="Shawnee"/>
    <n v="32.700000000000003"/>
    <n v="6.2"/>
    <n v="144"/>
    <n v="77"/>
    <n v="14"/>
    <n v="1"/>
    <n v="77"/>
    <n v="1.61"/>
    <n v="3351"/>
    <n v="2595"/>
  </r>
  <r>
    <x v="2099"/>
    <n v="370083"/>
    <s v="OK"/>
    <s v="OK - Pushmataha"/>
    <n v="74523"/>
    <s v="Pushmataha Hospital"/>
    <s v="Short Term Acute Care Hospital"/>
    <s v="Antlers"/>
    <n v="10.7"/>
    <n v="7.7"/>
    <n v="3"/>
    <n v="42"/>
    <m/>
    <m/>
    <n v="42"/>
    <n v="0.92"/>
    <n v="3352"/>
    <n v="503"/>
  </r>
  <r>
    <x v="2100"/>
    <n v="370039"/>
    <s v="OK"/>
    <s v="OK - Rogers"/>
    <n v="74017"/>
    <s v="Hillcrest Hospital Claremore"/>
    <s v="Short Term Acute Care Hospital"/>
    <s v="Claremore"/>
    <n v="20.8"/>
    <n v="3.3"/>
    <n v="120"/>
    <n v="54"/>
    <n v="6"/>
    <n v="0.19"/>
    <n v="54"/>
    <n v="1.28"/>
    <n v="3353"/>
    <n v="2593"/>
  </r>
  <r>
    <x v="2100"/>
    <n v="370173"/>
    <s v="OK"/>
    <s v="OK - Rogers"/>
    <n v="74017"/>
    <s v="Claremore Indian Hospital"/>
    <s v="Short Term Acute Care Hospital"/>
    <s v="Claremore"/>
    <n v="6.9"/>
    <n v="3"/>
    <n v="61"/>
    <n v="46"/>
    <m/>
    <m/>
    <n v="46"/>
    <n v="1.1299999999999999"/>
    <n v="3354"/>
    <n v="822"/>
  </r>
  <r>
    <x v="2101"/>
    <n v="370229"/>
    <s v="OK"/>
    <s v="OK - Seminole"/>
    <n v="74868"/>
    <s v="AllianceHealth Seminole (FKA Integris Seminole Medical Center)"/>
    <s v="Short Term Acute Care Hospital"/>
    <s v="Seminole"/>
    <n v="5.8"/>
    <n v="4.0999999999999996"/>
    <n v="27"/>
    <n v="32"/>
    <m/>
    <m/>
    <n v="32"/>
    <n v="1.1599999999999999"/>
    <n v="3355"/>
    <n v="507"/>
  </r>
  <r>
    <x v="2102"/>
    <n v="370112"/>
    <s v="OK"/>
    <s v="OK - Sequoyah"/>
    <n v="74955"/>
    <s v="Northeastern Health System Sequoyah (FKA Sequoyah Memorial Hospital)"/>
    <s v="Short Term Acute Care Hospital"/>
    <s v="Sallisaw"/>
    <n v="6.5"/>
    <n v="4.7"/>
    <n v="31"/>
    <n v="41"/>
    <m/>
    <n v="0.45"/>
    <n v="41"/>
    <n v="1.0900000000000001"/>
    <n v="3356"/>
    <n v="505"/>
  </r>
  <r>
    <x v="2103"/>
    <n v="370023"/>
    <s v="OK"/>
    <s v="OK - Stephens"/>
    <n v="73533"/>
    <s v="Duncan Regional Hospital"/>
    <s v="Short Term Acute Care Hospital"/>
    <s v="Duncan"/>
    <n v="37.6"/>
    <n v="3.8"/>
    <n v="107"/>
    <n v="86"/>
    <n v="9"/>
    <n v="1"/>
    <n v="86"/>
    <n v="1.39"/>
    <n v="3357"/>
    <n v="3928"/>
  </r>
  <r>
    <x v="2104"/>
    <n v="370138"/>
    <s v="OK"/>
    <s v="OK - Texas"/>
    <n v="73942"/>
    <s v="Memorial Hospital of Texas County"/>
    <s v="Short Term Acute Care Hospital"/>
    <s v="Guymon"/>
    <n v="3.9"/>
    <n v="5.6"/>
    <n v="29"/>
    <m/>
    <m/>
    <n v="1"/>
    <n v="25"/>
    <n v="1"/>
    <n v="3358"/>
    <n v="254"/>
  </r>
  <r>
    <x v="2105"/>
    <s v="370051 (Closed)"/>
    <s v="OK"/>
    <s v="OK - Tillman"/>
    <n v="73542"/>
    <s v="Memorial Hospital &amp; Physician Group (Closed March 2016)"/>
    <s v="Short Term Acute Care Hospital"/>
    <s v="Frederick"/>
    <n v="3.1"/>
    <n v="4.5"/>
    <m/>
    <m/>
    <m/>
    <m/>
    <m/>
    <m/>
    <n v="3359"/>
    <n v="250"/>
  </r>
  <r>
    <x v="2106"/>
    <n v="370078"/>
    <s v="OK"/>
    <s v="OK - Tulsa"/>
    <n v="74127"/>
    <s v="Oklahoma State University Medical Center"/>
    <s v="Short Term Acute Care Hospital"/>
    <s v="Tulsa"/>
    <n v="66"/>
    <n v="4.0999999999999996"/>
    <n v="108"/>
    <n v="171"/>
    <n v="33"/>
    <n v="0.19"/>
    <n v="171"/>
    <n v="1.86"/>
    <n v="3341"/>
    <n v="6001"/>
  </r>
  <r>
    <x v="2106"/>
    <n v="370091"/>
    <s v="OK"/>
    <s v="OK - Tulsa"/>
    <n v="74136"/>
    <s v="Saint Francis Hospital"/>
    <s v="Short Term Acute Care Hospital"/>
    <s v="Tulsa"/>
    <n v="656.1"/>
    <n v="5.0999999999999996"/>
    <n v="758"/>
    <n v="861"/>
    <n v="100"/>
    <n v="0.19"/>
    <n v="861"/>
    <n v="1.91"/>
    <n v="3360"/>
    <n v="47097"/>
  </r>
  <r>
    <x v="2106"/>
    <n v="370114"/>
    <s v="OK"/>
    <s v="OK - Tulsa"/>
    <n v="74104"/>
    <s v="St John Medical Center"/>
    <s v="Short Term Acute Care Hospital"/>
    <s v="Tulsa"/>
    <n v="398.5"/>
    <n v="5.4"/>
    <n v="656"/>
    <n v="495"/>
    <n v="63"/>
    <n v="0.19"/>
    <n v="495"/>
    <n v="2.0099999999999998"/>
    <n v="3361"/>
    <n v="27772"/>
  </r>
  <r>
    <x v="2106"/>
    <n v="370190"/>
    <s v="OK"/>
    <s v="OK - Tulsa"/>
    <n v="74133"/>
    <s v="Cancer Treatment Centers of America - Tulsa"/>
    <s v="Short Term Acute Care Hospital"/>
    <s v="Tulsa"/>
    <n v="10.6"/>
    <n v="5.7"/>
    <n v="46"/>
    <n v="40"/>
    <n v="13"/>
    <m/>
    <n v="40"/>
    <n v="2.34"/>
    <n v="3362"/>
    <n v="683"/>
  </r>
  <r>
    <x v="2106"/>
    <n v="370202"/>
    <s v="OK"/>
    <s v="OK - Tulsa"/>
    <n v="74133"/>
    <s v="Hillcrest Hospital South (FKA Southcrest Hospital)"/>
    <s v="Short Term Acute Care Hospital"/>
    <s v="Tulsa"/>
    <n v="109.9"/>
    <n v="4.8"/>
    <n v="153"/>
    <n v="164"/>
    <n v="15"/>
    <n v="0.19"/>
    <n v="164"/>
    <n v="1.66"/>
    <n v="3363"/>
    <n v="9411"/>
  </r>
  <r>
    <x v="2106"/>
    <n v="370216"/>
    <s v="OK"/>
    <s v="OK - Tulsa"/>
    <n v="74132"/>
    <s v="Tulsa Spine &amp; Specialty Hospital"/>
    <s v="Short Term Acute Care Hospital"/>
    <s v="Tulsa"/>
    <n v="8.9"/>
    <n v="3.1"/>
    <n v="60"/>
    <n v="38"/>
    <m/>
    <n v="0.19"/>
    <n v="38"/>
    <n v="3.87"/>
    <n v="3364"/>
    <n v="1066"/>
  </r>
  <r>
    <x v="2106"/>
    <s v="370091*"/>
    <s v="OK"/>
    <s v="OK - Tulsa"/>
    <n v="74133"/>
    <s v="Saint Francis Hospital South"/>
    <s v="Short Term Acute Care Hospital"/>
    <s v="Tulsa"/>
    <m/>
    <m/>
    <n v="69"/>
    <m/>
    <m/>
    <m/>
    <n v="96"/>
    <m/>
    <n v="3365"/>
    <m/>
  </r>
  <r>
    <x v="2106"/>
    <n v="370001"/>
    <s v="OK"/>
    <s v="OK - Tulsa"/>
    <n v="74104"/>
    <s v="Hillcrest Medical Center"/>
    <s v="Short Term Acute Care Hospital"/>
    <s v="Tulsa"/>
    <n v="332.3"/>
    <n v="5.6"/>
    <n v="419"/>
    <n v="448"/>
    <n v="30"/>
    <n v="0.19"/>
    <n v="448"/>
    <n v="1.95"/>
    <n v="3366"/>
    <n v="22448"/>
  </r>
  <r>
    <x v="2106"/>
    <n v="370227"/>
    <s v="OK"/>
    <s v="OK - Tulsa"/>
    <n v="74055"/>
    <s v="St John Owasso"/>
    <s v="Short Term Acute Care Hospital"/>
    <s v="Owasso"/>
    <n v="9.9"/>
    <n v="2.5"/>
    <n v="70"/>
    <n v="32"/>
    <m/>
    <n v="0.19"/>
    <n v="32"/>
    <n v="1.29"/>
    <n v="3368"/>
    <n v="1808"/>
  </r>
  <r>
    <x v="2106"/>
    <n v="370228"/>
    <s v="OK"/>
    <s v="OK - Tulsa"/>
    <n v="74055"/>
    <s v="Bailey Medical Center"/>
    <s v="Short Term Acute Care Hospital"/>
    <s v="Owasso"/>
    <n v="8.4"/>
    <n v="2.2000000000000002"/>
    <n v="61"/>
    <n v="73"/>
    <n v="6"/>
    <n v="0.19"/>
    <n v="73"/>
    <n v="1.57"/>
    <n v="3369"/>
    <n v="1610"/>
  </r>
  <r>
    <x v="2106"/>
    <n v="370235"/>
    <s v="OK"/>
    <s v="OK - Tulsa"/>
    <n v="74012"/>
    <s v="St John Broken Arrow"/>
    <s v="Short Term Acute Care Hospital"/>
    <s v="Broken Arrow"/>
    <n v="13"/>
    <n v="2.2000000000000002"/>
    <n v="67"/>
    <n v="44"/>
    <m/>
    <n v="0.19"/>
    <n v="44"/>
    <n v="1.95"/>
    <n v="542001"/>
    <n v="2135"/>
  </r>
  <r>
    <x v="2106"/>
    <s v="370001*"/>
    <s v="OK"/>
    <s v="OK - Tulsa"/>
    <n v="74104"/>
    <s v="Oklahoma Heart Institute on the Campus of Hillcrest Medical Center"/>
    <s v="Short Term Acute Care Hospital"/>
    <s v="Tulsa"/>
    <m/>
    <m/>
    <n v="1"/>
    <m/>
    <m/>
    <m/>
    <m/>
    <m/>
    <n v="550161"/>
    <m/>
  </r>
  <r>
    <x v="2106"/>
    <n v="370218"/>
    <s v="OK"/>
    <s v="OK - Tulsa"/>
    <n v="74136"/>
    <s v="The Heart Hospital at Saint Francis"/>
    <s v="Short Term Acute Care Hospital"/>
    <s v="Tulsa"/>
    <n v="52.8"/>
    <n v="3.8"/>
    <n v="64"/>
    <n v="88"/>
    <m/>
    <n v="0.19"/>
    <n v="88"/>
    <n v="1.38"/>
    <n v="553361"/>
    <n v="5592"/>
  </r>
  <r>
    <x v="2106"/>
    <m/>
    <s v="OK"/>
    <s v="OK - Tulsa"/>
    <n v="74037"/>
    <s v="Center for Orthopaedic Reconstruction &amp; Excellence (AKA CORE)"/>
    <s v="Short Term Acute Care Hospital"/>
    <s v="Jenks"/>
    <m/>
    <m/>
    <n v="13"/>
    <m/>
    <m/>
    <m/>
    <n v="25"/>
    <m/>
    <n v="981255"/>
    <m/>
  </r>
  <r>
    <x v="2106"/>
    <m/>
    <s v="OK"/>
    <s v="OK - Tulsa"/>
    <n v="74132"/>
    <s v="Tulsa ER &amp; Hospital"/>
    <s v="Short Term Acute Care Hospital"/>
    <s v="Tulsa"/>
    <m/>
    <m/>
    <m/>
    <m/>
    <m/>
    <m/>
    <m/>
    <m/>
    <n v="1012090"/>
    <m/>
  </r>
  <r>
    <x v="2106"/>
    <n v="370210"/>
    <s v="OK"/>
    <s v="OK - Tulsa"/>
    <n v="74137"/>
    <s v="Oklahoma Surgical Hospital"/>
    <s v="Short Term Acute Care Hospital"/>
    <s v="Tulsa"/>
    <n v="24.6"/>
    <n v="2.2000000000000002"/>
    <n v="98"/>
    <n v="75"/>
    <n v="6"/>
    <n v="0.19"/>
    <n v="75"/>
    <n v="2.2799999999999998"/>
    <n v="3367"/>
    <n v="4003"/>
  </r>
  <r>
    <x v="2106"/>
    <s v="370233 (Closed)"/>
    <s v="OK"/>
    <s v="OK - Tulsa"/>
    <n v="74137"/>
    <s v="Pinnacle Specialty Hospital/Northeast Oklahoma Eye Institute (Closed)"/>
    <s v="Short Term Acute Care Hospital"/>
    <s v="Tulsa"/>
    <m/>
    <m/>
    <m/>
    <m/>
    <m/>
    <n v="0.19"/>
    <m/>
    <n v="2.5099999999999998"/>
    <n v="3370"/>
    <m/>
  </r>
  <r>
    <x v="2107"/>
    <n v="370166"/>
    <s v="OK"/>
    <s v="OK - Wagoner"/>
    <n v="74467"/>
    <s v="Wagoner Community Hospital"/>
    <s v="Short Term Acute Care Hospital"/>
    <s v="Wagoner"/>
    <n v="37.700000000000003"/>
    <n v="5.3"/>
    <n v="32"/>
    <n v="100"/>
    <n v="6"/>
    <n v="0.19"/>
    <n v="100"/>
    <n v="1.1599999999999999"/>
    <n v="3371"/>
    <n v="2597"/>
  </r>
  <r>
    <x v="2108"/>
    <n v="370018"/>
    <s v="OK"/>
    <s v="OK - Washington"/>
    <n v="74006"/>
    <s v="Ascension Jane Phillips Medical Center (FKA Jane Phillips Memorial Medical Center)"/>
    <s v="Short Term Acute Care Hospital"/>
    <s v="Bartlesville"/>
    <n v="34.5"/>
    <n v="3.2"/>
    <n v="151"/>
    <n v="81"/>
    <m/>
    <n v="1"/>
    <n v="81"/>
    <n v="1.67"/>
    <n v="3372"/>
    <n v="4210"/>
  </r>
  <r>
    <x v="2109"/>
    <n v="370002"/>
    <s v="OK"/>
    <s v="OK - Woodward"/>
    <n v="73801"/>
    <s v="AllianceHealth Woodward (FKA Woodward Regional Hospital)"/>
    <s v="Short Term Acute Care Hospital"/>
    <s v="Woodward"/>
    <n v="8.8000000000000007"/>
    <n v="3.4"/>
    <n v="46"/>
    <n v="40"/>
    <n v="6"/>
    <n v="0.83"/>
    <n v="40"/>
    <n v="1.45"/>
    <n v="3375"/>
    <n v="1077"/>
  </r>
  <r>
    <x v="2110"/>
    <n v="380014"/>
    <s v="OR"/>
    <s v="OR - Benton"/>
    <n v="97330"/>
    <s v="Good Samaritan Regional Medical Center"/>
    <s v="Short Term Acute Care Hospital"/>
    <s v="Corvallis"/>
    <n v="90.8"/>
    <n v="4.5"/>
    <n v="427"/>
    <n v="169"/>
    <n v="12"/>
    <n v="1"/>
    <n v="169"/>
    <n v="1.9"/>
    <n v="3377"/>
    <n v="7747"/>
  </r>
  <r>
    <x v="2111"/>
    <n v="380038"/>
    <s v="OR"/>
    <s v="OR - Clackamas"/>
    <n v="97045"/>
    <s v="Providence Willamette Falls Medical Center"/>
    <s v="Short Term Acute Care Hospital"/>
    <s v="Oregon City"/>
    <n v="43.5"/>
    <n v="4.2"/>
    <n v="208"/>
    <n v="111"/>
    <n v="8"/>
    <n v="0.11"/>
    <n v="111"/>
    <n v="1.67"/>
    <n v="3378"/>
    <n v="4173"/>
  </r>
  <r>
    <x v="2111"/>
    <n v="380082"/>
    <s v="OR"/>
    <s v="OR - Clackamas"/>
    <n v="97222"/>
    <s v="Providence Milwaukie Hospital"/>
    <s v="Short Term Acute Care Hospital"/>
    <s v="Milwaukie"/>
    <n v="23"/>
    <n v="3.4"/>
    <n v="222"/>
    <n v="40"/>
    <n v="6"/>
    <n v="0.11"/>
    <n v="40"/>
    <n v="1.48"/>
    <n v="3379"/>
    <n v="2454"/>
  </r>
  <r>
    <x v="2111"/>
    <n v="380091"/>
    <s v="OR"/>
    <s v="OR - Clackamas"/>
    <n v="97015"/>
    <s v="Kaiser Sunnyside Medical Center"/>
    <s v="Short Term Acute Care Hospital"/>
    <s v="Clackamas"/>
    <n v="167.8"/>
    <n v="3.3"/>
    <n v="598"/>
    <n v="302"/>
    <n v="40"/>
    <n v="0.11"/>
    <n v="302"/>
    <n v="2"/>
    <n v="3380"/>
    <n v="19415"/>
  </r>
  <r>
    <x v="890"/>
    <n v="380090"/>
    <s v="OR"/>
    <s v="OR - Coos"/>
    <n v="97420"/>
    <s v="Bay Area Hospital"/>
    <s v="Short Term Acute Care Hospital"/>
    <s v="Coos Bay"/>
    <n v="63.8"/>
    <n v="4.4000000000000004"/>
    <n v="192"/>
    <n v="130"/>
    <n v="12"/>
    <n v="0.65"/>
    <n v="130"/>
    <n v="1.57"/>
    <n v="3383"/>
    <n v="5661"/>
  </r>
  <r>
    <x v="2112"/>
    <n v="380040"/>
    <s v="OR"/>
    <s v="OR - Deschutes"/>
    <n v="97756"/>
    <s v="St Charles Health System - Redmond"/>
    <s v="Short Term Acute Care Hospital"/>
    <s v="Redmond"/>
    <n v="22.5"/>
    <n v="3.3"/>
    <n v="103"/>
    <n v="48"/>
    <n v="6"/>
    <n v="0.79"/>
    <n v="48"/>
    <n v="1.46"/>
    <n v="3387"/>
    <n v="2750"/>
  </r>
  <r>
    <x v="2112"/>
    <n v="380047"/>
    <s v="OR"/>
    <s v="OR - Deschutes"/>
    <n v="97701"/>
    <s v="St Charles Health System - Bend"/>
    <s v="Short Term Acute Care Hospital"/>
    <s v="Bend"/>
    <n v="153.80000000000001"/>
    <n v="4"/>
    <n v="847"/>
    <n v="222"/>
    <n v="30"/>
    <n v="0.79"/>
    <n v="222"/>
    <n v="2"/>
    <n v="3388"/>
    <n v="15055"/>
  </r>
  <r>
    <x v="893"/>
    <n v="380027"/>
    <s v="OR"/>
    <s v="OR - Douglas"/>
    <n v="97471"/>
    <s v="CHI Mercy Health Mercy Medical Center"/>
    <s v="Short Term Acute Care Hospital"/>
    <s v="Roseburg"/>
    <n v="70.7"/>
    <n v="3.7"/>
    <n v="353"/>
    <n v="140"/>
    <n v="32"/>
    <n v="0.81"/>
    <n v="140"/>
    <n v="1.54"/>
    <n v="3389"/>
    <n v="7301"/>
  </r>
  <r>
    <x v="2113"/>
    <n v="380075"/>
    <s v="OR"/>
    <s v="OR - Jackson"/>
    <n v="97504"/>
    <s v="Providence Medford Medical Center"/>
    <s v="Short Term Acute Care Hospital"/>
    <s v="Medford"/>
    <n v="67.2"/>
    <n v="4"/>
    <n v="231"/>
    <n v="126"/>
    <n v="15"/>
    <n v="0.55000000000000004"/>
    <n v="126"/>
    <n v="1.8"/>
    <n v="3394"/>
    <n v="6322"/>
  </r>
  <r>
    <x v="2113"/>
    <n v="380018"/>
    <s v="OR"/>
    <s v="OR - Jackson"/>
    <n v="97504"/>
    <s v="Asante Rogue Regional Medical Center"/>
    <s v="Short Term Acute Care Hospital"/>
    <s v="Medford"/>
    <n v="207.7"/>
    <n v="4.9000000000000004"/>
    <n v="679"/>
    <n v="307"/>
    <n v="15"/>
    <n v="0.55000000000000004"/>
    <n v="307"/>
    <n v="2.08"/>
    <n v="3395"/>
    <n v="16013"/>
  </r>
  <r>
    <x v="2113"/>
    <n v="380005"/>
    <s v="OR"/>
    <s v="OR - Jackson"/>
    <n v="97520"/>
    <s v="Asante Ashland Community Hospital"/>
    <s v="Short Term Acute Care Hospital"/>
    <s v="Ashland"/>
    <n v="10.5"/>
    <n v="3.2"/>
    <n v="117"/>
    <n v="38"/>
    <n v="4"/>
    <n v="0.55000000000000004"/>
    <n v="38"/>
    <n v="1.63"/>
    <n v="3396"/>
    <n v="1315"/>
  </r>
  <r>
    <x v="2114"/>
    <n v="380002"/>
    <s v="OR"/>
    <s v="OR - Josephine"/>
    <n v="97527"/>
    <s v="Asante Three Rivers Medical Center"/>
    <s v="Short Term Acute Care Hospital"/>
    <s v="Grants Pass"/>
    <n v="66.7"/>
    <n v="3.7"/>
    <n v="293"/>
    <n v="122"/>
    <n v="12"/>
    <n v="1"/>
    <n v="122"/>
    <n v="1.5"/>
    <n v="3398"/>
    <n v="7056"/>
  </r>
  <r>
    <x v="2115"/>
    <n v="380050"/>
    <s v="OR"/>
    <s v="OR - Klamath"/>
    <n v="97601"/>
    <s v="Sky Lakes Medical Center"/>
    <s v="Short Term Acute Care Hospital"/>
    <s v="Klamath Falls"/>
    <n v="46.2"/>
    <n v="3.7"/>
    <n v="220"/>
    <n v="105"/>
    <m/>
    <n v="1"/>
    <n v="105"/>
    <n v="1.71"/>
    <n v="3399"/>
    <n v="4913"/>
  </r>
  <r>
    <x v="899"/>
    <n v="380102"/>
    <s v="OR"/>
    <s v="OR - Lane"/>
    <n v="97477"/>
    <s v="PeaceHealth Sacred Heart Medical Center at RiverBend (FKA Sacred Heart Riverbend)"/>
    <s v="Short Term Acute Care Hospital"/>
    <s v="Springfield"/>
    <n v="328.7"/>
    <n v="4.4000000000000004"/>
    <n v="781"/>
    <n v="383"/>
    <n v="46"/>
    <n v="0.43"/>
    <n v="383"/>
    <n v="1.93"/>
    <n v="3401"/>
    <n v="28260"/>
  </r>
  <r>
    <x v="899"/>
    <n v="380033"/>
    <s v="OR"/>
    <s v="OR - Lane"/>
    <n v="97401"/>
    <s v="PeaceHealth Sacred Heart Medical Center University District (FKA Sacred Heart University Dist)"/>
    <s v="Short Term Acute Care Hospital"/>
    <s v="Eugene"/>
    <n v="21"/>
    <n v="4.8"/>
    <n v="88"/>
    <n v="40"/>
    <m/>
    <n v="0.43"/>
    <n v="40"/>
    <n v="1.1200000000000001"/>
    <n v="3404"/>
    <n v="1426"/>
  </r>
  <r>
    <x v="899"/>
    <n v="380020"/>
    <s v="OR"/>
    <s v="OR - Lane"/>
    <n v="97477"/>
    <s v="McKenzie-Willamette Medical Center"/>
    <s v="Short Term Acute Care Hospital"/>
    <s v="Springfield"/>
    <n v="74.900000000000006"/>
    <n v="3.2"/>
    <n v="200"/>
    <n v="113"/>
    <n v="25"/>
    <n v="0.43"/>
    <n v="113"/>
    <n v="1.92"/>
    <n v="3405"/>
    <n v="9199"/>
  </r>
  <r>
    <x v="901"/>
    <n v="380022"/>
    <s v="OR"/>
    <s v="OR - Linn"/>
    <n v="97321"/>
    <s v="Samaritan Albany General Hospital"/>
    <s v="Short Term Acute Care Hospital"/>
    <s v="Albany"/>
    <n v="20.9"/>
    <n v="3.4"/>
    <n v="188"/>
    <n v="67"/>
    <n v="11"/>
    <n v="0.52"/>
    <n v="67"/>
    <n v="1.71"/>
    <n v="3409"/>
    <n v="2606"/>
  </r>
  <r>
    <x v="2116"/>
    <n v="380052"/>
    <s v="OR"/>
    <s v="OR - Malheur"/>
    <n v="97914"/>
    <s v="Saint Alphonsus Medical Center - Ontario"/>
    <s v="Short Term Acute Care Hospital"/>
    <s v="Ontario"/>
    <n v="13.3"/>
    <n v="2.8"/>
    <n v="103"/>
    <n v="44"/>
    <n v="8"/>
    <n v="1"/>
    <n v="44"/>
    <n v="1.52"/>
    <n v="3410"/>
    <n v="1934"/>
  </r>
  <r>
    <x v="2117"/>
    <n v="380056"/>
    <s v="OR"/>
    <s v="OR - Marion"/>
    <n v="97383"/>
    <s v="Santiam Memorial Hospital"/>
    <s v="Short Term Acute Care Hospital"/>
    <s v="Stayton"/>
    <n v="8.1999999999999993"/>
    <n v="3.5"/>
    <n v="93"/>
    <n v="40"/>
    <n v="4"/>
    <n v="0.66"/>
    <n v="40"/>
    <n v="1.18"/>
    <n v="3411"/>
    <n v="918"/>
  </r>
  <r>
    <x v="2117"/>
    <n v="380029"/>
    <s v="OR"/>
    <s v="OR - Marion"/>
    <n v="97381"/>
    <s v="Legacy Silverton Medical Center (AKA Silverton Hospital)"/>
    <s v="Short Term Acute Care Hospital"/>
    <s v="Silverton"/>
    <n v="16.3"/>
    <n v="2.8"/>
    <n v="139"/>
    <n v="29"/>
    <n v="4"/>
    <n v="0.66"/>
    <n v="29"/>
    <n v="1.63"/>
    <n v="3413"/>
    <n v="2954"/>
  </r>
  <r>
    <x v="2117"/>
    <n v="380051"/>
    <s v="OR"/>
    <s v="OR - Marion"/>
    <n v="97301"/>
    <s v="Salem Hospital"/>
    <s v="Short Term Acute Care Hospital"/>
    <s v="Salem"/>
    <n v="297.5"/>
    <n v="4.5999999999999996"/>
    <n v="908"/>
    <n v="421"/>
    <n v="60"/>
    <n v="0.66"/>
    <n v="421"/>
    <n v="1.79"/>
    <n v="3412"/>
    <n v="24827"/>
  </r>
  <r>
    <x v="2118"/>
    <n v="380025"/>
    <s v="OR"/>
    <s v="OR - Multnomah"/>
    <n v="97030"/>
    <s v="Legacy Mount Hood Medical Center"/>
    <s v="Short Term Acute Care Hospital"/>
    <s v="Gresham"/>
    <n v="55.7"/>
    <n v="2.4"/>
    <n v="211"/>
    <n v="93"/>
    <n v="10"/>
    <n v="0.11"/>
    <n v="93"/>
    <n v="1.5"/>
    <n v="3415"/>
    <n v="9366"/>
  </r>
  <r>
    <x v="2118"/>
    <n v="380060"/>
    <s v="OR"/>
    <s v="OR - Multnomah"/>
    <n v="97216"/>
    <s v="Adventist Health Portland"/>
    <s v="Short Term Acute Care Hospital"/>
    <s v="Portland"/>
    <n v="80.7"/>
    <n v="3.4"/>
    <n v="340"/>
    <n v="168"/>
    <n v="12"/>
    <n v="0.11"/>
    <n v="168"/>
    <n v="1.91"/>
    <n v="3417"/>
    <n v="9063"/>
  </r>
  <r>
    <x v="2118"/>
    <n v="380061"/>
    <s v="OR"/>
    <s v="OR - Multnomah"/>
    <n v="97213"/>
    <s v="Providence Portland Medical Center"/>
    <s v="Short Term Acute Care Hospital"/>
    <s v="Portland"/>
    <n v="255.3"/>
    <n v="5.3"/>
    <n v="1370"/>
    <n v="342"/>
    <n v="36"/>
    <n v="0.11"/>
    <n v="342"/>
    <n v="1.91"/>
    <n v="3418"/>
    <n v="18403"/>
  </r>
  <r>
    <x v="2118"/>
    <n v="380017"/>
    <s v="OR"/>
    <s v="OR - Multnomah"/>
    <n v="97210"/>
    <s v="Legacy Good Samaritan Medical Center"/>
    <s v="Short Term Acute Care Hospital"/>
    <s v="Portland"/>
    <n v="104.1"/>
    <n v="4.0999999999999996"/>
    <n v="528"/>
    <n v="164"/>
    <n v="28"/>
    <n v="0.11"/>
    <n v="164"/>
    <n v="1.76"/>
    <n v="3419"/>
    <n v="9684"/>
  </r>
  <r>
    <x v="2118"/>
    <n v="380007"/>
    <s v="OR"/>
    <s v="OR - Multnomah"/>
    <n v="97227"/>
    <s v="Legacy Emanuel Medical Center"/>
    <s v="Short Term Acute Care Hospital"/>
    <s v="Portland"/>
    <n v="269.3"/>
    <n v="5.2"/>
    <n v="616"/>
    <n v="384"/>
    <m/>
    <n v="0.11"/>
    <n v="384"/>
    <n v="2.14"/>
    <n v="3420"/>
    <n v="19502"/>
  </r>
  <r>
    <x v="2118"/>
    <n v="380009"/>
    <s v="OR"/>
    <s v="OR - Multnomah"/>
    <n v="97239"/>
    <s v="OHSU Hospital - Marquam Hill Campus"/>
    <s v="Short Term Acute Care Hospital"/>
    <s v="Portland"/>
    <n v="478.2"/>
    <n v="6.1"/>
    <n v="1867"/>
    <n v="562"/>
    <n v="79"/>
    <n v="0.11"/>
    <n v="562"/>
    <n v="2.54"/>
    <n v="3421"/>
    <n v="29175"/>
  </r>
  <r>
    <x v="905"/>
    <m/>
    <s v="OR"/>
    <s v="OR - Umatilla"/>
    <n v="97838"/>
    <s v="Aspen Springs Psychiatric Hospital (AKA Lifeways)"/>
    <s v="Short Term Acute Care Hospital"/>
    <s v="Hermiston"/>
    <m/>
    <m/>
    <m/>
    <m/>
    <m/>
    <m/>
    <n v="16"/>
    <m/>
    <n v="965165"/>
    <m/>
  </r>
  <r>
    <x v="2119"/>
    <n v="380001"/>
    <s v="OR"/>
    <s v="OR - Wasco"/>
    <n v="97058"/>
    <s v="Mid-Columbia Medical Center"/>
    <s v="Short Term Acute Care Hospital"/>
    <s v="The Dalles"/>
    <n v="16"/>
    <n v="3.7"/>
    <n v="139"/>
    <n v="43"/>
    <n v="17"/>
    <n v="1"/>
    <n v="43"/>
    <n v="1.45"/>
    <n v="3427"/>
    <n v="1713"/>
  </r>
  <r>
    <x v="2120"/>
    <n v="380004"/>
    <s v="OR"/>
    <s v="OR - Washington"/>
    <n v="97225"/>
    <s v="Providence St Vincent Medical Center"/>
    <s v="Short Term Acute Care Hospital"/>
    <s v="Portland"/>
    <n v="317.89999999999998"/>
    <n v="5.0999999999999996"/>
    <n v="978"/>
    <n v="462"/>
    <n v="20"/>
    <n v="0.11"/>
    <n v="462"/>
    <n v="2.3199999999999998"/>
    <n v="3428"/>
    <n v="24083"/>
  </r>
  <r>
    <x v="2120"/>
    <n v="380021"/>
    <s v="OR"/>
    <s v="OR - Washington"/>
    <n v="97123"/>
    <s v="OHSU Health Hillsboro Medical Center (AKA Tuality Community Hospital)"/>
    <s v="Short Term Acute Care Hospital"/>
    <s v="Hillsboro"/>
    <n v="68.599999999999994"/>
    <n v="7.7"/>
    <n v="265"/>
    <n v="101"/>
    <n v="10"/>
    <n v="0.11"/>
    <n v="101"/>
    <n v="1.55"/>
    <n v="3429"/>
    <n v="3288"/>
  </r>
  <r>
    <x v="2120"/>
    <n v="380089"/>
    <s v="OR"/>
    <s v="OR - Washington"/>
    <n v="97062"/>
    <s v="Legacy Meridian Park Medical Center"/>
    <s v="Short Term Acute Care Hospital"/>
    <s v="Tualatin"/>
    <n v="80.3"/>
    <n v="3.3"/>
    <n v="333"/>
    <n v="117"/>
    <n v="16"/>
    <n v="0.11"/>
    <n v="117"/>
    <n v="1.67"/>
    <n v="3430"/>
    <n v="9366"/>
  </r>
  <r>
    <x v="2120"/>
    <s v="380021* (Closed)"/>
    <s v="OR"/>
    <s v="OR - Washington"/>
    <n v="97116"/>
    <s v="Tuality Forest Grove Hospital (Closed - No Longer Offers Inpatient Services)"/>
    <s v="Short Term Acute Care Hospital"/>
    <s v="Forest Grove"/>
    <m/>
    <m/>
    <m/>
    <m/>
    <m/>
    <m/>
    <m/>
    <m/>
    <n v="577660"/>
    <m/>
  </r>
  <r>
    <x v="2120"/>
    <n v="380103"/>
    <s v="OR"/>
    <s v="OR - Washington"/>
    <n v="97124"/>
    <s v="Kaiser Permanente Westside Medical Center"/>
    <s v="Short Term Acute Care Hospital"/>
    <s v="Hillsboro"/>
    <n v="47.6"/>
    <n v="2.4"/>
    <n v="185"/>
    <n v="122"/>
    <n v="20"/>
    <n v="0.11"/>
    <n v="122"/>
    <n v="1.71"/>
    <n v="577679"/>
    <n v="8367"/>
  </r>
  <r>
    <x v="2121"/>
    <n v="380071"/>
    <s v="OR"/>
    <s v="OR - Yamhill"/>
    <n v="97128"/>
    <s v="Willamette Valley Medical Center"/>
    <s v="Short Term Acute Care Hospital"/>
    <s v="McMinnville"/>
    <n v="29.1"/>
    <n v="3.3"/>
    <n v="169"/>
    <n v="50"/>
    <n v="7"/>
    <n v="0.11"/>
    <n v="50"/>
    <n v="1.51"/>
    <n v="3431"/>
    <n v="3440"/>
  </r>
  <r>
    <x v="2121"/>
    <n v="380037"/>
    <s v="OR"/>
    <s v="OR - Yamhill"/>
    <n v="97132"/>
    <s v="Providence Newberg Medical Center"/>
    <s v="Short Term Acute Care Hospital"/>
    <s v="Newberg"/>
    <n v="21.2"/>
    <n v="3.7"/>
    <n v="175"/>
    <n v="40"/>
    <n v="4"/>
    <n v="0.11"/>
    <n v="40"/>
    <n v="1.48"/>
    <n v="3432"/>
    <n v="2369"/>
  </r>
  <r>
    <x v="2122"/>
    <n v="390065"/>
    <s v="PA"/>
    <s v="PA - Adams"/>
    <n v="17325"/>
    <s v="Wellspan Gettysburg Hospital"/>
    <s v="Short Term Acute Care Hospital"/>
    <s v="Gettysburg"/>
    <n v="44.2"/>
    <n v="3.8"/>
    <n v="227"/>
    <n v="76"/>
    <n v="8"/>
    <n v="1"/>
    <n v="76"/>
    <n v="1.33"/>
    <n v="3433"/>
    <n v="4552"/>
  </r>
  <r>
    <x v="2123"/>
    <n v="390090"/>
    <s v="PA"/>
    <s v="PA - Allegheny"/>
    <n v="15224"/>
    <s v="West Penn Hospital"/>
    <s v="Short Term Acute Care Hospital"/>
    <s v="Pittsburgh"/>
    <n v="191.4"/>
    <n v="5.6"/>
    <n v="324"/>
    <n v="260"/>
    <n v="34"/>
    <n v="0.08"/>
    <n v="260"/>
    <n v="2.0499999999999998"/>
    <n v="3434"/>
    <n v="13445"/>
  </r>
  <r>
    <x v="2123"/>
    <n v="390102"/>
    <s v="PA"/>
    <s v="PA - Allegheny"/>
    <n v="15215"/>
    <s v="UPMC St Margaret"/>
    <s v="Short Term Acute Care Hospital"/>
    <s v="Pittsburgh"/>
    <n v="120.2"/>
    <n v="4.4000000000000004"/>
    <n v="380"/>
    <n v="222"/>
    <n v="14"/>
    <n v="0.08"/>
    <n v="222"/>
    <n v="1.48"/>
    <n v="3435"/>
    <n v="9582"/>
  </r>
  <r>
    <x v="2123"/>
    <n v="390107"/>
    <s v="PA"/>
    <s v="PA - Allegheny"/>
    <n v="15237"/>
    <s v="UPMC Passavant - McCandless"/>
    <s v="Short Term Acute Care Hospital"/>
    <s v="Pittsburgh"/>
    <n v="196.9"/>
    <n v="4.8"/>
    <n v="514"/>
    <n v="365"/>
    <n v="32"/>
    <n v="0.08"/>
    <n v="365"/>
    <n v="1.64"/>
    <n v="3436"/>
    <n v="14924"/>
  </r>
  <r>
    <x v="2123"/>
    <n v="390114"/>
    <s v="PA"/>
    <s v="PA - Allegheny"/>
    <n v="15213"/>
    <s v="UPMC Magee-Womens Hospital"/>
    <s v="Short Term Acute Care Hospital"/>
    <s v="Pittsburgh"/>
    <n v="213.4"/>
    <n v="5.2"/>
    <n v="768"/>
    <n v="315"/>
    <n v="18"/>
    <n v="0.08"/>
    <n v="315"/>
    <n v="1.65"/>
    <n v="3437"/>
    <n v="17527"/>
  </r>
  <r>
    <x v="2123"/>
    <n v="390157"/>
    <s v="PA"/>
    <s v="PA - Allegheny"/>
    <n v="15136"/>
    <s v="Heritage Valley Kennedy (FKA Ohio Valley General Hospital)"/>
    <s v="Short Term Acute Care Hospital"/>
    <s v="McKeesRocks"/>
    <n v="25.9"/>
    <n v="3.4"/>
    <n v="103"/>
    <n v="87"/>
    <n v="27"/>
    <n v="0.08"/>
    <n v="87"/>
    <n v="1.4"/>
    <n v="3438"/>
    <n v="2782"/>
  </r>
  <r>
    <x v="2123"/>
    <n v="390164"/>
    <s v="PA"/>
    <s v="PA - Allegheny"/>
    <n v="15213"/>
    <s v="UPMC Presbyterian"/>
    <s v="Short Term Acute Care Hospital"/>
    <s v="Pittsburgh"/>
    <n v="904.8"/>
    <n v="6.7"/>
    <n v="1733"/>
    <n v="1175"/>
    <n v="110"/>
    <n v="0.08"/>
    <n v="1175"/>
    <n v="2.16"/>
    <n v="3439"/>
    <n v="48307"/>
  </r>
  <r>
    <x v="2123"/>
    <n v="390228"/>
    <s v="PA"/>
    <s v="PA - Allegheny"/>
    <n v="15243"/>
    <s v="St Clair Memorial Hospital (FKA St Clair Hospital)"/>
    <s v="Short Term Acute Care Hospital"/>
    <s v="Pittsburgh"/>
    <n v="148.80000000000001"/>
    <n v="4"/>
    <n v="638"/>
    <n v="303"/>
    <n v="12"/>
    <n v="0.08"/>
    <n v="303"/>
    <n v="1.66"/>
    <n v="3440"/>
    <n v="14445"/>
  </r>
  <r>
    <x v="2123"/>
    <n v="390267"/>
    <s v="PA"/>
    <s v="PA - Allegheny"/>
    <n v="15146"/>
    <s v="Forbes Hospital"/>
    <s v="Short Term Acute Care Hospital"/>
    <s v="Monroeville"/>
    <n v="158.30000000000001"/>
    <n v="5"/>
    <n v="346"/>
    <n v="234"/>
    <n v="56"/>
    <n v="0.08"/>
    <n v="234"/>
    <n v="1.69"/>
    <n v="3441"/>
    <n v="12263"/>
  </r>
  <r>
    <x v="2123"/>
    <n v="390265"/>
    <s v="PA"/>
    <s v="PA - Allegheny"/>
    <n v="15025"/>
    <s v="Jefferson Hospital (FKA Jefferson Regional Medical Center)"/>
    <s v="Short Term Acute Care Hospital"/>
    <s v="Jefferson Hills"/>
    <n v="136.6"/>
    <n v="4.4000000000000004"/>
    <n v="418"/>
    <n v="289"/>
    <n v="20"/>
    <n v="0.08"/>
    <n v="289"/>
    <n v="1.58"/>
    <n v="3442"/>
    <n v="12058"/>
  </r>
  <r>
    <x v="2123"/>
    <n v="390002"/>
    <s v="PA"/>
    <s v="PA - Allegheny"/>
    <n v="15132"/>
    <s v="UPMC McKeesport"/>
    <s v="Short Term Acute Care Hospital"/>
    <s v="McKeesport"/>
    <n v="118.9"/>
    <n v="6.1"/>
    <n v="144"/>
    <n v="186"/>
    <m/>
    <n v="0.08"/>
    <n v="186"/>
    <n v="1.29"/>
    <n v="3444"/>
    <n v="6715"/>
  </r>
  <r>
    <x v="2123"/>
    <n v="390028"/>
    <s v="PA"/>
    <s v="PA - Allegheny"/>
    <n v="15219"/>
    <s v="UPMC Mercy"/>
    <s v="Short Term Acute Care Hospital"/>
    <s v="Pittsburgh"/>
    <n v="238.8"/>
    <n v="5.5"/>
    <n v="318"/>
    <n v="369"/>
    <n v="20"/>
    <n v="0.08"/>
    <n v="369"/>
    <n v="1.7"/>
    <n v="3445"/>
    <n v="15510"/>
  </r>
  <r>
    <x v="2123"/>
    <n v="390032"/>
    <s v="PA"/>
    <s v="PA - Allegheny"/>
    <n v="15065"/>
    <s v="Allegheny Valley Hospital"/>
    <s v="Short Term Acute Care Hospital"/>
    <s v="Natrona Heights"/>
    <n v="37.6"/>
    <n v="3.7"/>
    <n v="214"/>
    <n v="143"/>
    <n v="16"/>
    <n v="0.08"/>
    <n v="143"/>
    <n v="1.43"/>
    <n v="3446"/>
    <n v="3752"/>
  </r>
  <r>
    <x v="2123"/>
    <n v="390037"/>
    <s v="PA"/>
    <s v="PA - Allegheny"/>
    <n v="15143"/>
    <s v="Heritage Valley Sewickley"/>
    <s v="Short Term Acute Care Hospital"/>
    <s v="Sewickley"/>
    <n v="60.5"/>
    <n v="4.0999999999999996"/>
    <n v="213"/>
    <n v="116"/>
    <n v="12"/>
    <n v="0.08"/>
    <n v="116"/>
    <n v="1.58"/>
    <n v="3447"/>
    <n v="5765"/>
  </r>
  <r>
    <x v="2123"/>
    <n v="390050"/>
    <s v="PA"/>
    <s v="PA - Allegheny"/>
    <n v="15212"/>
    <s v="Allegheny General Hospital"/>
    <s v="Short Term Acute Care Hospital"/>
    <s v="Pittsburgh"/>
    <n v="386.8"/>
    <n v="5.5"/>
    <n v="872"/>
    <n v="552"/>
    <n v="28"/>
    <n v="0.08"/>
    <n v="552"/>
    <n v="2.52"/>
    <n v="3448"/>
    <n v="23231"/>
  </r>
  <r>
    <x v="2123"/>
    <s v="390128 (Closed)"/>
    <s v="PA"/>
    <s v="PA - Allegheny"/>
    <n v="15104"/>
    <s v="UPMC Braddock (Closed)"/>
    <s v="Short Term Acute Care Hospital"/>
    <s v="Braddock"/>
    <n v="46.8"/>
    <n v="4.8"/>
    <m/>
    <m/>
    <m/>
    <n v="0.08"/>
    <m/>
    <m/>
    <n v="4835"/>
    <n v="3548"/>
  </r>
  <r>
    <x v="2123"/>
    <s v="390131 (Closed)"/>
    <s v="PA"/>
    <s v="PA - Allegheny"/>
    <n v="15203"/>
    <s v="UPMC South Side (Closed As A Hospital As of 2008)"/>
    <s v="Short Term Acute Care Hospital"/>
    <s v="Pittsburgh"/>
    <n v="44.3"/>
    <n v="4.7"/>
    <m/>
    <m/>
    <m/>
    <n v="0.08"/>
    <m/>
    <m/>
    <n v="4836"/>
    <n v="2256"/>
  </r>
  <r>
    <x v="2123"/>
    <s v="390164*"/>
    <s v="PA"/>
    <s v="PA - Allegheny"/>
    <n v="15213"/>
    <s v="UPMC Montefiore"/>
    <s v="Short Term Acute Care Hospital"/>
    <s v="Pittsburgh"/>
    <m/>
    <m/>
    <m/>
    <m/>
    <m/>
    <m/>
    <m/>
    <m/>
    <n v="7258"/>
    <m/>
  </r>
  <r>
    <x v="2123"/>
    <s v="390164*"/>
    <s v="PA"/>
    <s v="PA - Allegheny"/>
    <n v="15232"/>
    <s v="UPMC Shadyside"/>
    <s v="Short Term Acute Care Hospital"/>
    <s v="Pittsburgh"/>
    <m/>
    <m/>
    <m/>
    <m/>
    <m/>
    <m/>
    <n v="520"/>
    <m/>
    <n v="7259"/>
    <m/>
  </r>
  <r>
    <x v="2123"/>
    <n v="390328"/>
    <s v="PA"/>
    <s v="PA - Allegheny"/>
    <n v="15146"/>
    <s v="UPMC East"/>
    <s v="Short Term Acute Care Hospital"/>
    <s v="Monroeville"/>
    <n v="102.7"/>
    <n v="4.7"/>
    <n v="155"/>
    <n v="136"/>
    <n v="8"/>
    <n v="0.08"/>
    <n v="136"/>
    <n v="1.44"/>
    <n v="550199"/>
    <n v="7926"/>
  </r>
  <r>
    <x v="2123"/>
    <m/>
    <s v="PA"/>
    <s v="PA - Allegheny"/>
    <n v="15090"/>
    <s v="AHN Wexford Hospital (Opening 2021)"/>
    <s v="Short Term Acute Care Hospital"/>
    <s v="Wexford"/>
    <m/>
    <m/>
    <m/>
    <m/>
    <m/>
    <m/>
    <m/>
    <m/>
    <n v="966936"/>
    <m/>
  </r>
  <r>
    <x v="2123"/>
    <m/>
    <s v="PA"/>
    <s v="PA - Allegheny"/>
    <n v="15024"/>
    <s v="AHN Harmar Neighborhood Hospital (Opening 2020)"/>
    <s v="Short Term Acute Care Hospital"/>
    <s v="Harmar"/>
    <m/>
    <m/>
    <m/>
    <m/>
    <m/>
    <m/>
    <m/>
    <m/>
    <n v="976860"/>
    <m/>
  </r>
  <r>
    <x v="2123"/>
    <m/>
    <s v="PA"/>
    <s v="PA - Allegheny"/>
    <n v="15227"/>
    <s v="AHN Brentwood Neighborhood Hospital"/>
    <s v="Short Term Acute Care Hospital"/>
    <s v="Brentwood"/>
    <m/>
    <m/>
    <m/>
    <m/>
    <m/>
    <m/>
    <m/>
    <m/>
    <n v="976863"/>
    <m/>
  </r>
  <r>
    <x v="2123"/>
    <m/>
    <s v="PA"/>
    <s v="PA - Allegheny"/>
    <n v="15237"/>
    <s v="AHN McCandless Neighborhood Hospital"/>
    <s v="Short Term Acute Care Hospital"/>
    <s v="Pittsburgh"/>
    <m/>
    <m/>
    <m/>
    <m/>
    <m/>
    <m/>
    <n v="10"/>
    <m/>
    <n v="977913"/>
    <m/>
  </r>
  <r>
    <x v="2124"/>
    <n v="390163"/>
    <s v="PA"/>
    <s v="PA - Armstrong"/>
    <n v="16201"/>
    <s v="Armstrong County Memorial Hospital (AKA ACMH Hospital)"/>
    <s v="Short Term Acute Care Hospital"/>
    <s v="Kittanning"/>
    <n v="40.299999999999997"/>
    <n v="4"/>
    <n v="164"/>
    <n v="131"/>
    <n v="12"/>
    <n v="0.08"/>
    <n v="131"/>
    <n v="1.37"/>
    <n v="3449"/>
    <n v="3826"/>
  </r>
  <r>
    <x v="2125"/>
    <n v="390036"/>
    <s v="PA"/>
    <s v="PA - Beaver"/>
    <n v="15009"/>
    <s v="Heritage Valley Beaver"/>
    <s v="Short Term Acute Care Hospital"/>
    <s v="Beaver"/>
    <n v="116"/>
    <n v="4.8"/>
    <n v="424"/>
    <n v="194"/>
    <n v="20"/>
    <n v="0.08"/>
    <n v="194"/>
    <n v="1.67"/>
    <n v="3450"/>
    <n v="9204"/>
  </r>
  <r>
    <x v="2125"/>
    <s v="390176 (Closed)"/>
    <s v="PA"/>
    <s v="PA - Beaver"/>
    <n v="15001"/>
    <s v="Commonwealth Medical Center (Closed 12/2008)"/>
    <s v="Short Term Acute Care Hospital"/>
    <s v="Aliquippa"/>
    <n v="19.899999999999999"/>
    <n v="5.7"/>
    <m/>
    <m/>
    <m/>
    <n v="0.08"/>
    <m/>
    <m/>
    <n v="5488"/>
    <n v="1276"/>
  </r>
  <r>
    <x v="2126"/>
    <n v="390117"/>
    <s v="PA"/>
    <s v="PA - Bedford"/>
    <n v="15537"/>
    <s v="UPMC Bedford"/>
    <s v="Short Term Acute Care Hospital"/>
    <s v="Everett"/>
    <n v="11"/>
    <n v="3.3"/>
    <n v="69"/>
    <n v="40"/>
    <n v="4"/>
    <m/>
    <n v="40"/>
    <n v="1.29"/>
    <n v="3451"/>
    <n v="1180"/>
  </r>
  <r>
    <x v="2127"/>
    <n v="390096"/>
    <s v="PA"/>
    <s v="PA - Berks"/>
    <n v="19605"/>
    <s v="Penn State Health St Joseph Medical Center - Main Campus"/>
    <s v="Short Term Acute Care Hospital"/>
    <s v="Reading"/>
    <n v="102.6"/>
    <n v="4.4000000000000004"/>
    <n v="303"/>
    <n v="180"/>
    <n v="30"/>
    <n v="0.64"/>
    <n v="180"/>
    <n v="1.75"/>
    <n v="3452"/>
    <n v="7747"/>
  </r>
  <r>
    <x v="2127"/>
    <n v="390316"/>
    <s v="PA"/>
    <s v="PA - Berks"/>
    <n v="19610"/>
    <s v="Surgical Institute of Reading"/>
    <s v="Short Term Acute Care Hospital"/>
    <s v="Wyomissing"/>
    <n v="4.4000000000000004"/>
    <n v="2"/>
    <n v="70"/>
    <n v="15"/>
    <m/>
    <n v="0.64"/>
    <n v="15"/>
    <n v="2.35"/>
    <n v="3453"/>
    <n v="811"/>
  </r>
  <r>
    <x v="2127"/>
    <n v="390044"/>
    <s v="PA"/>
    <s v="PA - Berks"/>
    <n v="19611"/>
    <s v="Reading Hospital"/>
    <s v="Short Term Acute Care Hospital"/>
    <s v="West Reading"/>
    <n v="374.2"/>
    <n v="4.4000000000000004"/>
    <n v="1225"/>
    <n v="562"/>
    <n v="20"/>
    <n v="0.64"/>
    <n v="562"/>
    <n v="1.62"/>
    <n v="3454"/>
    <n v="32014"/>
  </r>
  <r>
    <x v="908"/>
    <n v="390062"/>
    <s v="PA"/>
    <s v="PA - Blair"/>
    <n v="16673"/>
    <s v="Conemaugh Health System - Conemaugh Nason Medical Center (FKA Nason Hospital)"/>
    <s v="Short Term Acute Care Hospital"/>
    <s v="Roaring Spring"/>
    <n v="11.4"/>
    <n v="3"/>
    <n v="69"/>
    <n v="45"/>
    <n v="4"/>
    <n v="0.78"/>
    <n v="45"/>
    <n v="1.49"/>
    <n v="3455"/>
    <n v="1598"/>
  </r>
  <r>
    <x v="908"/>
    <n v="390073"/>
    <s v="PA"/>
    <s v="PA - Blair"/>
    <n v="16601"/>
    <s v="UPMC Altoona"/>
    <s v="Short Term Acute Care Hospital"/>
    <s v="Altoona"/>
    <n v="241.4"/>
    <n v="4.9000000000000004"/>
    <n v="476"/>
    <n v="344"/>
    <n v="33"/>
    <n v="0.78"/>
    <n v="346"/>
    <n v="1.65"/>
    <n v="3457"/>
    <n v="18442"/>
  </r>
  <r>
    <x v="908"/>
    <s v="390073* (Closed)"/>
    <s v="PA"/>
    <s v="PA - Blair"/>
    <n v="16602"/>
    <s v="Altoona Hospital - 7th Avenue Campus (Closed March 2012)"/>
    <s v="Short Term Acute Care Hospital"/>
    <s v="Altoona"/>
    <m/>
    <m/>
    <m/>
    <m/>
    <m/>
    <m/>
    <m/>
    <m/>
    <n v="542173"/>
    <m/>
  </r>
  <r>
    <x v="909"/>
    <n v="390079"/>
    <s v="PA"/>
    <s v="PA - Bradford"/>
    <n v="18840"/>
    <s v="Guthrie Robert Packer Hospital"/>
    <s v="Short Term Acute Care Hospital"/>
    <s v="Sayre"/>
    <n v="176"/>
    <n v="4.2"/>
    <n v="393"/>
    <n v="250"/>
    <n v="38"/>
    <n v="0.76"/>
    <n v="250"/>
    <n v="1.8"/>
    <n v="3458"/>
    <n v="15376"/>
  </r>
  <r>
    <x v="909"/>
    <n v="390236"/>
    <s v="PA"/>
    <s v="PA - Bradford"/>
    <n v="18848"/>
    <s v="Guthrie Towanda Memorial Hospital (AKA Memorial Hospital Inc of Towanda)"/>
    <s v="Short Term Acute Care Hospital"/>
    <s v="Towanda"/>
    <n v="9.5"/>
    <n v="5.7"/>
    <n v="51"/>
    <n v="35"/>
    <n v="4"/>
    <n v="0.76"/>
    <n v="35"/>
    <n v="1.18"/>
    <n v="3460"/>
    <n v="611"/>
  </r>
  <r>
    <x v="2128"/>
    <n v="390258"/>
    <s v="PA"/>
    <s v="PA - Bucks"/>
    <n v="19047"/>
    <s v="St Mary Medical Center"/>
    <s v="Short Term Acute Care Hospital"/>
    <s v="Langhorne"/>
    <n v="223.4"/>
    <n v="3.3"/>
    <n v="683"/>
    <n v="348"/>
    <n v="41"/>
    <n v="0.05"/>
    <n v="348"/>
    <n v="1.58"/>
    <n v="3461"/>
    <n v="25567"/>
  </r>
  <r>
    <x v="2128"/>
    <n v="390203"/>
    <s v="PA"/>
    <s v="PA - Bucks"/>
    <n v="18901"/>
    <s v="Doylestown Hospital (AKA Doylestown Health)"/>
    <s v="Short Term Acute Care Hospital"/>
    <s v="Doylestown"/>
    <n v="137.5"/>
    <n v="3.8"/>
    <n v="484"/>
    <n v="217"/>
    <n v="14"/>
    <n v="0.05"/>
    <n v="217"/>
    <n v="1.68"/>
    <n v="3462"/>
    <n v="13288"/>
  </r>
  <r>
    <x v="2128"/>
    <n v="390322"/>
    <s v="PA"/>
    <s v="PA - Bucks"/>
    <n v="19020"/>
    <s v="Rothman Orthopaedic Specialty Hospital"/>
    <s v="Short Term Acute Care Hospital"/>
    <s v="Bensalem"/>
    <n v="7.3"/>
    <n v="1.3"/>
    <n v="37"/>
    <n v="24"/>
    <m/>
    <n v="0.05"/>
    <n v="24"/>
    <n v="2.27"/>
    <n v="3463"/>
    <n v="2119"/>
  </r>
  <r>
    <x v="2128"/>
    <n v="390070"/>
    <s v="PA"/>
    <s v="PA - Bucks"/>
    <n v="19007"/>
    <s v="Lower Bucks Hospital"/>
    <s v="Short Term Acute Care Hospital"/>
    <s v="Bristol"/>
    <n v="35.200000000000003"/>
    <n v="3.6"/>
    <n v="112"/>
    <n v="130"/>
    <n v="22"/>
    <n v="0.05"/>
    <n v="130"/>
    <n v="1.59"/>
    <n v="3464"/>
    <n v="3581"/>
  </r>
  <r>
    <x v="2128"/>
    <n v="390035"/>
    <s v="PA"/>
    <s v="PA - Bucks"/>
    <n v="18951"/>
    <s v="St Lukes Quakertown Campus"/>
    <s v="Short Term Acute Care Hospital"/>
    <s v="Quakertown"/>
    <n v="43.7"/>
    <n v="4.5"/>
    <n v="112"/>
    <n v="62"/>
    <m/>
    <n v="0.05"/>
    <n v="62"/>
    <n v="1.48"/>
    <n v="3465"/>
    <n v="3530"/>
  </r>
  <r>
    <x v="2128"/>
    <n v="390057"/>
    <s v="PA"/>
    <s v="PA - Bucks"/>
    <n v="18960"/>
    <s v="Grand View Hospital (AKA Grand View Health)"/>
    <s v="Short Term Acute Care Hospital"/>
    <s v="Sellersville"/>
    <n v="73.900000000000006"/>
    <n v="3.9"/>
    <n v="384"/>
    <n v="162"/>
    <n v="14"/>
    <n v="0.05"/>
    <n v="162"/>
    <n v="1.51"/>
    <n v="3466"/>
    <n v="7519"/>
  </r>
  <r>
    <x v="2128"/>
    <s v="390317 (Closed)"/>
    <s v="PA"/>
    <s v="PA - Bucks"/>
    <n v="19020"/>
    <s v="Diversified Specialty Institute of Bucks County (Closed February 2009)"/>
    <s v="Short Term Acute Care Hospital"/>
    <s v="Bensalem"/>
    <n v="0.9"/>
    <n v="2.1"/>
    <m/>
    <m/>
    <m/>
    <n v="0.05"/>
    <m/>
    <m/>
    <n v="4838"/>
    <n v="162"/>
  </r>
  <r>
    <x v="2128"/>
    <s v="390302 (Closed)"/>
    <s v="PA"/>
    <s v="PA - Bucks"/>
    <n v="19047"/>
    <s v="Bariatric Care Centers of Penn (Closed)"/>
    <s v="Short Term Acute Care Hospital"/>
    <s v="Langhorne"/>
    <n v="2.6"/>
    <n v="2.1"/>
    <m/>
    <m/>
    <m/>
    <n v="0.05"/>
    <m/>
    <n v="1.55"/>
    <n v="5135"/>
    <n v="436"/>
  </r>
  <r>
    <x v="2128"/>
    <s v="390115*"/>
    <s v="PA"/>
    <s v="PA - Bucks"/>
    <n v="19047"/>
    <s v="Jefferson Bucks Hospital"/>
    <s v="Short Term Acute Care Hospital"/>
    <s v="Langhorne"/>
    <m/>
    <m/>
    <m/>
    <m/>
    <m/>
    <m/>
    <n v="112"/>
    <m/>
    <n v="274154"/>
    <m/>
  </r>
  <r>
    <x v="2128"/>
    <m/>
    <s v="PA"/>
    <s v="PA - Bucks"/>
    <n v="19047"/>
    <s v="Capital Health at Oxford Valley (FKA Forest Health Medical Center - Bucks County)"/>
    <s v="Short Term Acute Care Hospital"/>
    <s v="Langhorne"/>
    <m/>
    <m/>
    <m/>
    <m/>
    <m/>
    <m/>
    <m/>
    <m/>
    <n v="939858"/>
    <m/>
  </r>
  <r>
    <x v="2128"/>
    <m/>
    <s v="PA"/>
    <s v="PA - Bucks"/>
    <n v="18951"/>
    <s v="St Lukes Upper Bucks Campus"/>
    <s v="Short Term Acute Care Hospital"/>
    <s v="Quakertown"/>
    <m/>
    <m/>
    <m/>
    <m/>
    <m/>
    <m/>
    <m/>
    <m/>
    <n v="999542"/>
    <m/>
  </r>
  <r>
    <x v="2129"/>
    <n v="390168"/>
    <s v="PA"/>
    <s v="PA - Butler"/>
    <n v="16001"/>
    <s v="Butler Memorial Hospital"/>
    <s v="Short Term Acute Care Hospital"/>
    <s v="Butler"/>
    <n v="148.1"/>
    <n v="4.7"/>
    <n v="498"/>
    <n v="266"/>
    <n v="35"/>
    <n v="0.08"/>
    <n v="266"/>
    <n v="1.8"/>
    <n v="3467"/>
    <n v="11945"/>
  </r>
  <r>
    <x v="2129"/>
    <s v="390107*"/>
    <s v="PA"/>
    <s v="PA - Butler"/>
    <n v="16066"/>
    <s v="UPMC Passavant - Cranberry"/>
    <s v="Short Term Acute Care Hospital"/>
    <s v="Cranberry Township"/>
    <m/>
    <m/>
    <m/>
    <m/>
    <m/>
    <m/>
    <n v="25"/>
    <m/>
    <n v="560415"/>
    <m/>
  </r>
  <r>
    <x v="2130"/>
    <n v="390130"/>
    <s v="PA"/>
    <s v="PA - Cambria"/>
    <n v="16646"/>
    <s v="Conemaugh Health System - Conemaugh Miners Medical Center"/>
    <s v="Short Term Acute Care Hospital"/>
    <s v="Hastings"/>
    <n v="4.9000000000000004"/>
    <n v="3.8"/>
    <n v="37"/>
    <n v="30"/>
    <n v="5"/>
    <n v="0.93"/>
    <n v="30"/>
    <n v="1.17"/>
    <n v="3468"/>
    <n v="479"/>
  </r>
  <r>
    <x v="2130"/>
    <n v="390110"/>
    <s v="PA"/>
    <s v="PA - Cambria"/>
    <n v="15905"/>
    <s v="Conemaugh Health System - Conemaugh Memorial Medical Center Main Campus"/>
    <s v="Short Term Acute Care Hospital"/>
    <s v="Johnstown"/>
    <n v="208.6"/>
    <n v="4.5999999999999996"/>
    <n v="562"/>
    <n v="354"/>
    <n v="14"/>
    <n v="0.93"/>
    <n v="354"/>
    <n v="1.64"/>
    <n v="3469"/>
    <n v="17208"/>
  </r>
  <r>
    <x v="2131"/>
    <n v="390194"/>
    <s v="PA"/>
    <s v="PA - Carbon"/>
    <n v="18235"/>
    <s v="St Lukes Lehighton Campus (FKA Gnaden Huetten Memorial Hospital)"/>
    <s v="Short Term Acute Care Hospital"/>
    <s v="Lehighton"/>
    <n v="34.5"/>
    <n v="5.4"/>
    <n v="122"/>
    <n v="68"/>
    <n v="6"/>
    <n v="0.32"/>
    <n v="68"/>
    <n v="1.3"/>
    <n v="3470"/>
    <n v="2338"/>
  </r>
  <r>
    <x v="2131"/>
    <s v="390194* (Closed)"/>
    <s v="PA"/>
    <s v="PA - Carbon"/>
    <n v="18071"/>
    <s v="St Lukes Hospital - Palmerton Campus (Closed - no longer offering inpatient services)"/>
    <s v="Short Term Acute Care Hospital"/>
    <s v="Palmerton"/>
    <m/>
    <m/>
    <m/>
    <m/>
    <m/>
    <m/>
    <m/>
    <m/>
    <n v="3471"/>
    <m/>
  </r>
  <r>
    <x v="2131"/>
    <m/>
    <s v="PA"/>
    <s v="PA - Carbon"/>
    <n v="18235"/>
    <s v="St Lukes Carbon Campus (Opening Fall 2021)"/>
    <s v="Short Term Acute Care Hospital"/>
    <s v="Lehighton"/>
    <m/>
    <m/>
    <m/>
    <m/>
    <m/>
    <m/>
    <m/>
    <m/>
    <n v="1011003"/>
    <m/>
  </r>
  <r>
    <x v="2132"/>
    <n v="390268"/>
    <s v="PA"/>
    <s v="PA - Centre"/>
    <n v="16803"/>
    <s v="Mount Nittany Medical Center"/>
    <s v="Short Term Acute Care Hospital"/>
    <s v="State College"/>
    <n v="122.3"/>
    <n v="3.8"/>
    <n v="476"/>
    <n v="248"/>
    <m/>
    <n v="1"/>
    <n v="248"/>
    <n v="1.71"/>
    <n v="3472"/>
    <n v="12576"/>
  </r>
  <r>
    <x v="2133"/>
    <n v="390220"/>
    <s v="PA"/>
    <s v="PA - Chester"/>
    <n v="19390"/>
    <s v="Jennersville Hospital"/>
    <s v="Short Term Acute Care Hospital"/>
    <s v="West Grove"/>
    <n v="19.2"/>
    <n v="3.1"/>
    <n v="71"/>
    <n v="53"/>
    <n v="10"/>
    <n v="0.05"/>
    <n v="53"/>
    <n v="1.33"/>
    <n v="3473"/>
    <n v="2275"/>
  </r>
  <r>
    <x v="2133"/>
    <n v="390076"/>
    <s v="PA"/>
    <s v="PA - Chester"/>
    <n v="19320"/>
    <s v="Brandywine Hospital"/>
    <s v="Short Term Acute Care Hospital"/>
    <s v="Coatesville"/>
    <n v="87.4"/>
    <n v="5.4"/>
    <n v="154"/>
    <n v="155"/>
    <n v="15"/>
    <n v="0.05"/>
    <n v="155"/>
    <n v="1.55"/>
    <n v="3474"/>
    <n v="5877"/>
  </r>
  <r>
    <x v="2133"/>
    <n v="390127"/>
    <s v="PA"/>
    <s v="PA - Chester"/>
    <n v="19460"/>
    <s v="Phoenixville Hospital"/>
    <s v="Short Term Acute Care Hospital"/>
    <s v="Phoenixville"/>
    <n v="66.3"/>
    <n v="4.3"/>
    <n v="239"/>
    <n v="123"/>
    <n v="24"/>
    <n v="0.05"/>
    <n v="123"/>
    <n v="1.55"/>
    <n v="3475"/>
    <n v="6000"/>
  </r>
  <r>
    <x v="2133"/>
    <n v="390179"/>
    <s v="PA"/>
    <s v="PA - Chester"/>
    <n v="19380"/>
    <s v="Chester County Hospital"/>
    <s v="Short Term Acute Care Hospital"/>
    <s v="West Chester"/>
    <n v="143.4"/>
    <n v="3.4"/>
    <n v="678"/>
    <n v="244"/>
    <n v="14"/>
    <n v="0.05"/>
    <n v="244"/>
    <n v="1.67"/>
    <n v="3476"/>
    <n v="17362"/>
  </r>
  <r>
    <x v="2133"/>
    <n v="390153"/>
    <s v="PA"/>
    <s v="PA - Chester"/>
    <n v="19301"/>
    <s v="Paoli Hospital"/>
    <s v="Short Term Acute Care Hospital"/>
    <s v="Paoli"/>
    <n v="140.69999999999999"/>
    <n v="3.9"/>
    <n v="413"/>
    <n v="231"/>
    <n v="30"/>
    <n v="0.05"/>
    <n v="231"/>
    <n v="1.58"/>
    <n v="3477"/>
    <n v="14156"/>
  </r>
  <r>
    <x v="2133"/>
    <s v="39020E"/>
    <s v="PA"/>
    <s v="PA - Chester"/>
    <n v="19355"/>
    <s v="Malvern Institute - Malvern Addiction Treatment Center"/>
    <s v="Short Term Acute Care Hospital"/>
    <s v="Malvern"/>
    <m/>
    <m/>
    <n v="1"/>
    <m/>
    <m/>
    <m/>
    <n v="80"/>
    <m/>
    <n v="581809"/>
    <m/>
  </r>
  <r>
    <x v="2134"/>
    <n v="390093"/>
    <s v="PA"/>
    <s v="PA - Clarion"/>
    <n v="16214"/>
    <s v="Clarion Hospital"/>
    <s v="Short Term Acute Care Hospital"/>
    <s v="Clarion"/>
    <n v="15.3"/>
    <n v="4.4000000000000004"/>
    <n v="86"/>
    <n v="57"/>
    <n v="7"/>
    <m/>
    <n v="57"/>
    <n v="1.33"/>
    <n v="3479"/>
    <n v="1318"/>
  </r>
  <r>
    <x v="2135"/>
    <n v="390086"/>
    <s v="PA"/>
    <s v="PA - Clearfield"/>
    <n v="15801"/>
    <s v="Penn Highlands DuBois"/>
    <s v="Short Term Acute Care Hospital"/>
    <s v="Dubois"/>
    <n v="115.9"/>
    <n v="4.4000000000000004"/>
    <n v="377"/>
    <n v="201"/>
    <n v="15"/>
    <n v="0.8"/>
    <n v="201"/>
    <n v="1.65"/>
    <n v="3480"/>
    <n v="9968"/>
  </r>
  <r>
    <x v="2135"/>
    <n v="390052"/>
    <s v="PA"/>
    <s v="PA - Clearfield"/>
    <n v="16830"/>
    <s v="Penn Highlands Clearfield"/>
    <s v="Short Term Acute Care Hospital"/>
    <s v="Clearfield"/>
    <n v="13.1"/>
    <n v="4.2"/>
    <n v="107"/>
    <n v="40"/>
    <m/>
    <n v="0.8"/>
    <n v="40"/>
    <n v="1.23"/>
    <n v="3481"/>
    <n v="1143"/>
  </r>
  <r>
    <x v="910"/>
    <n v="390071"/>
    <s v="PA"/>
    <s v="PA - Clinton"/>
    <n v="17745"/>
    <s v="UPMC Lock Haven (FKA UPMC Susquehanna Lock Haven)"/>
    <s v="Short Term Acute Care Hospital"/>
    <s v="Lock Haven"/>
    <n v="7.8"/>
    <n v="3.5"/>
    <n v="46"/>
    <n v="47"/>
    <m/>
    <n v="0.71"/>
    <n v="47"/>
    <n v="1.22"/>
    <n v="3482"/>
    <n v="819"/>
  </r>
  <r>
    <x v="2136"/>
    <n v="390072"/>
    <s v="PA"/>
    <s v="PA - Columbia"/>
    <n v="18603"/>
    <s v="Berwick Hospital Center"/>
    <s v="Short Term Acute Care Hospital"/>
    <s v="Berwick"/>
    <n v="7.4"/>
    <n v="3.3"/>
    <n v="48"/>
    <n v="87"/>
    <n v="10"/>
    <n v="0.87"/>
    <n v="87"/>
    <n v="1.23"/>
    <n v="3483"/>
    <n v="812"/>
  </r>
  <r>
    <x v="2136"/>
    <n v="390003"/>
    <s v="PA"/>
    <s v="PA - Columbia"/>
    <n v="17815"/>
    <s v="Geisinger Bloomsburg Hospital"/>
    <s v="Short Term Acute Care Hospital"/>
    <s v="Bloomsburg"/>
    <n v="10"/>
    <n v="2.9"/>
    <n v="42"/>
    <n v="56"/>
    <n v="12"/>
    <n v="0.87"/>
    <n v="56"/>
    <n v="1.24"/>
    <n v="3484"/>
    <n v="1536"/>
  </r>
  <r>
    <x v="911"/>
    <n v="390113"/>
    <s v="PA"/>
    <s v="PA - Crawford"/>
    <n v="16335"/>
    <s v="Meadville Medical Center"/>
    <s v="Short Term Acute Care Hospital"/>
    <s v="Meadville"/>
    <n v="60.4"/>
    <n v="4.3"/>
    <n v="198"/>
    <n v="145"/>
    <n v="12"/>
    <n v="0.75"/>
    <n v="145"/>
    <n v="1.45"/>
    <n v="3485"/>
    <n v="5339"/>
  </r>
  <r>
    <x v="2137"/>
    <n v="390004"/>
    <s v="PA"/>
    <s v="PA - Cumberland"/>
    <n v="17011"/>
    <s v="Geisinger Holy Spirit (FKA Holy Spirit Hospital)"/>
    <s v="Short Term Acute Care Hospital"/>
    <s v="Camp Hill"/>
    <n v="119.4"/>
    <n v="4.7"/>
    <n v="461"/>
    <n v="277"/>
    <n v="21"/>
    <n v="0.4"/>
    <n v="277"/>
    <n v="1.78"/>
    <n v="3487"/>
    <n v="9727"/>
  </r>
  <r>
    <x v="2137"/>
    <n v="390058"/>
    <s v="PA"/>
    <s v="PA - Cumberland"/>
    <n v="17015"/>
    <s v="UPMC Carlisle (FKA UPMC Pinnacle Carlisle Carlisle Regional Medical Center)"/>
    <s v="Short Term Acute Care Hospital"/>
    <s v="Carlisle"/>
    <n v="49.8"/>
    <n v="3.8"/>
    <n v="162"/>
    <n v="66"/>
    <n v="10"/>
    <n v="0.4"/>
    <n v="66"/>
    <n v="1.42"/>
    <n v="3488"/>
    <n v="4422"/>
  </r>
  <r>
    <x v="2137"/>
    <m/>
    <s v="PA"/>
    <s v="PA - Cumberland"/>
    <n v="17050"/>
    <s v="UPMC Pinnacle West Shore (FKA West Shore Hospital)"/>
    <s v="Short Term Acute Care Hospital"/>
    <s v="Mechanicsburg"/>
    <m/>
    <m/>
    <n v="3"/>
    <m/>
    <m/>
    <m/>
    <n v="102"/>
    <m/>
    <n v="550824"/>
    <m/>
  </r>
  <r>
    <x v="2138"/>
    <n v="390067"/>
    <s v="PA"/>
    <s v="PA - Dauphin"/>
    <n v="17101"/>
    <s v="UPMC Pinnacle Harrisburg (FKA Harrisburg Hospital)"/>
    <s v="Short Term Acute Care Hospital"/>
    <s v="Harrisburg"/>
    <n v="427"/>
    <n v="4.5999999999999996"/>
    <n v="1285"/>
    <n v="493"/>
    <n v="20"/>
    <n v="0.4"/>
    <n v="493"/>
    <n v="1.91"/>
    <n v="3489"/>
    <n v="35807"/>
  </r>
  <r>
    <x v="2138"/>
    <n v="390256"/>
    <s v="PA"/>
    <s v="PA - Dauphin"/>
    <n v="17033"/>
    <s v="Penn State Health Milton S Hershey Medical Center"/>
    <s v="Short Term Acute Care Hospital"/>
    <s v="Hershey"/>
    <n v="453.1"/>
    <n v="5.9"/>
    <n v="1516"/>
    <n v="548"/>
    <n v="16"/>
    <n v="0.4"/>
    <n v="548"/>
    <n v="2.14"/>
    <n v="3490"/>
    <n v="28899"/>
  </r>
  <r>
    <x v="2138"/>
    <s v="390067*"/>
    <s v="PA"/>
    <s v="PA - Dauphin"/>
    <n v="17109"/>
    <s v="UPMC Pinnacle Community Osteopathic (FKA Community General Osteopathic Hospital)"/>
    <s v="Short Term Acute Care Hospital"/>
    <s v="Harrisburg"/>
    <m/>
    <m/>
    <n v="5"/>
    <m/>
    <m/>
    <m/>
    <n v="145"/>
    <m/>
    <n v="550156"/>
    <m/>
  </r>
  <r>
    <x v="2139"/>
    <n v="390222"/>
    <s v="PA"/>
    <s v="PA - Delaware"/>
    <n v="19063"/>
    <s v="Riddle Hospital"/>
    <s v="Short Term Acute Care Hospital"/>
    <s v="Media"/>
    <n v="109.1"/>
    <n v="3.9"/>
    <n v="309"/>
    <n v="204"/>
    <n v="14"/>
    <n v="0.05"/>
    <n v="204"/>
    <n v="1.57"/>
    <n v="3491"/>
    <n v="10814"/>
  </r>
  <r>
    <x v="2139"/>
    <n v="390081"/>
    <s v="PA"/>
    <s v="PA - Delaware"/>
    <n v="19026"/>
    <s v="Delaware County Memorial Hospital"/>
    <s v="Short Term Acute Care Hospital"/>
    <s v="Drexel Hill"/>
    <n v="65.900000000000006"/>
    <n v="4.5"/>
    <n v="243"/>
    <n v="145"/>
    <n v="14"/>
    <n v="0.05"/>
    <n v="145"/>
    <n v="1.43"/>
    <n v="3492"/>
    <n v="5773"/>
  </r>
  <r>
    <x v="2139"/>
    <n v="390139"/>
    <s v="PA"/>
    <s v="PA - Delaware"/>
    <n v="19010"/>
    <s v="Bryn Mawr Hospital"/>
    <s v="Short Term Acute Care Hospital"/>
    <s v="Bryn Mawr"/>
    <n v="131"/>
    <n v="3.7"/>
    <n v="507"/>
    <n v="267"/>
    <n v="30"/>
    <n v="0.05"/>
    <n v="267"/>
    <n v="1.63"/>
    <n v="3493"/>
    <n v="13854"/>
  </r>
  <r>
    <x v="2139"/>
    <n v="390156"/>
    <s v="PA"/>
    <s v="PA - Delaware"/>
    <n v="19023"/>
    <s v="Mercy Catholic Medical Center - Mercy Fitzgerald Campus"/>
    <s v="Short Term Acute Care Hospital"/>
    <s v="Darby"/>
    <n v="170.6"/>
    <n v="4.5999999999999996"/>
    <n v="356"/>
    <n v="292"/>
    <n v="18"/>
    <n v="0.05"/>
    <n v="183"/>
    <n v="1.42"/>
    <n v="3494"/>
    <n v="13571"/>
  </r>
  <r>
    <x v="2139"/>
    <n v="390180"/>
    <s v="PA"/>
    <s v="PA - Delaware"/>
    <n v="19013"/>
    <s v="Crozer-Chester Medical Center"/>
    <s v="Short Term Acute Care Hospital"/>
    <s v="Chester"/>
    <n v="222.8"/>
    <n v="5.0999999999999996"/>
    <n v="811"/>
    <n v="359"/>
    <n v="25"/>
    <n v="0.05"/>
    <n v="359"/>
    <n v="1.63"/>
    <n v="3495"/>
    <n v="16376"/>
  </r>
  <r>
    <x v="2139"/>
    <s v="390180* (Closed)"/>
    <s v="PA"/>
    <s v="PA - Delaware"/>
    <n v="19013"/>
    <s v="Community Hospital - Chester (Closed - No Longer Offers Inpatient Services)"/>
    <s v="Short Term Acute Care Hospital"/>
    <s v="Chester"/>
    <m/>
    <m/>
    <m/>
    <m/>
    <m/>
    <m/>
    <m/>
    <m/>
    <n v="541893"/>
    <m/>
  </r>
  <r>
    <x v="2139"/>
    <s v="390180*"/>
    <s v="PA"/>
    <s v="PA - Delaware"/>
    <n v="19064"/>
    <s v="Springfield Hospital"/>
    <s v="Short Term Acute Care Hospital"/>
    <s v="Springfield"/>
    <m/>
    <m/>
    <m/>
    <m/>
    <m/>
    <m/>
    <n v="716"/>
    <m/>
    <n v="541894"/>
    <m/>
  </r>
  <r>
    <x v="2139"/>
    <s v="390180*"/>
    <s v="PA"/>
    <s v="PA - Delaware"/>
    <n v="19078"/>
    <s v="Taylor Hospital"/>
    <s v="Short Term Acute Care Hospital"/>
    <s v="Ridley Park"/>
    <m/>
    <m/>
    <m/>
    <m/>
    <m/>
    <m/>
    <n v="105"/>
    <m/>
    <n v="541895"/>
    <m/>
  </r>
  <r>
    <x v="913"/>
    <n v="390198"/>
    <s v="PA"/>
    <s v="PA - Erie"/>
    <n v="16509"/>
    <s v="Millcreek Community Hospital"/>
    <s v="Short Term Acute Care Hospital"/>
    <s v="Erie"/>
    <n v="61.1"/>
    <n v="5.9"/>
    <n v="116"/>
    <n v="130"/>
    <n v="6"/>
    <n v="0.44"/>
    <n v="130"/>
    <n v="1.1200000000000001"/>
    <n v="3497"/>
    <n v="3710"/>
  </r>
  <r>
    <x v="913"/>
    <n v="390063"/>
    <s v="PA"/>
    <s v="PA - Erie"/>
    <n v="16550"/>
    <s v="UPMC Hamot"/>
    <s v="Short Term Acute Care Hospital"/>
    <s v="Erie"/>
    <n v="269.10000000000002"/>
    <n v="4.9000000000000004"/>
    <n v="532"/>
    <n v="421"/>
    <n v="14"/>
    <n v="0.44"/>
    <n v="421"/>
    <n v="2"/>
    <n v="3500"/>
    <n v="20388"/>
  </r>
  <r>
    <x v="913"/>
    <n v="390009"/>
    <s v="PA"/>
    <s v="PA - Erie"/>
    <n v="16544"/>
    <s v="Saint Vincent Hospital"/>
    <s v="Short Term Acute Care Hospital"/>
    <s v="Erie"/>
    <n v="160.80000000000001"/>
    <n v="4.8"/>
    <n v="421"/>
    <n v="298"/>
    <n v="20"/>
    <n v="0.44"/>
    <n v="298"/>
    <n v="1.79"/>
    <n v="3501"/>
    <n v="12740"/>
  </r>
  <r>
    <x v="913"/>
    <s v="390165 (Closed)"/>
    <s v="PA"/>
    <s v="PA - Erie"/>
    <n v="16505"/>
    <s v="Shriners Hospitals for Children - Erie (Closed - No inpatient services)"/>
    <s v="Short Term Acute Care Hospital"/>
    <s v="Erie"/>
    <m/>
    <m/>
    <m/>
    <m/>
    <m/>
    <m/>
    <m/>
    <m/>
    <n v="274385"/>
    <m/>
  </r>
  <r>
    <x v="2140"/>
    <n v="390041"/>
    <s v="PA"/>
    <s v="PA - Fayette"/>
    <n v="15401"/>
    <s v="Uniontown Hospital"/>
    <s v="Short Term Acute Care Hospital"/>
    <s v="Uniontown"/>
    <n v="85.6"/>
    <n v="4.2"/>
    <n v="212"/>
    <n v="149"/>
    <n v="15"/>
    <n v="0.08"/>
    <n v="149"/>
    <n v="1.45"/>
    <n v="3502"/>
    <n v="7795"/>
  </r>
  <r>
    <x v="2140"/>
    <n v="390184"/>
    <s v="PA"/>
    <s v="PA - Fayette"/>
    <n v="15425"/>
    <s v="Highlands Hospital"/>
    <s v="Short Term Acute Care Hospital"/>
    <s v="Connellsville"/>
    <n v="18.399999999999999"/>
    <n v="4.4000000000000004"/>
    <n v="119"/>
    <n v="61"/>
    <m/>
    <n v="0.08"/>
    <n v="61"/>
    <n v="1.05"/>
    <n v="3503"/>
    <n v="1542"/>
  </r>
  <r>
    <x v="2140"/>
    <s v="390319 (Closed)"/>
    <s v="PA"/>
    <s v="PA - Fayette"/>
    <n v="15417"/>
    <s v="Best Fayette Medical Center(Closed)"/>
    <s v="Short Term Acute Care Hospital"/>
    <s v="Brownsville"/>
    <n v="16.8"/>
    <n v="6.4"/>
    <m/>
    <m/>
    <m/>
    <n v="0.08"/>
    <m/>
    <m/>
    <n v="550162"/>
    <n v="965"/>
  </r>
  <r>
    <x v="2141"/>
    <n v="390151"/>
    <s v="PA"/>
    <s v="PA - Franklin"/>
    <n v="17201"/>
    <s v="WellSpan Chambersburg Hospital"/>
    <s v="Short Term Acute Care Hospital"/>
    <s v="Chambersburg"/>
    <n v="92.4"/>
    <n v="3.6"/>
    <n v="474"/>
    <n v="242"/>
    <m/>
    <n v="0.71"/>
    <n v="242"/>
    <n v="1.59"/>
    <n v="3504"/>
    <n v="9362"/>
  </r>
  <r>
    <x v="2141"/>
    <n v="390138"/>
    <s v="PA"/>
    <s v="PA - Franklin"/>
    <n v="17268"/>
    <s v="WellSpan Waynesboro Hospital"/>
    <s v="Short Term Acute Care Hospital"/>
    <s v="Waynesboro"/>
    <n v="18.7"/>
    <n v="3.4"/>
    <n v="89"/>
    <n v="57"/>
    <m/>
    <n v="0.71"/>
    <n v="57"/>
    <n v="1.37"/>
    <n v="3505"/>
    <n v="2301"/>
  </r>
  <r>
    <x v="2142"/>
    <n v="390150"/>
    <s v="PA"/>
    <s v="PA - Greene"/>
    <n v="15370"/>
    <s v="Washington Health System Greene (FKA Southwest Regional Medical Center)"/>
    <s v="Short Term Acute Care Hospital"/>
    <s v="Waynesburg"/>
    <n v="8.1"/>
    <n v="4.4000000000000004"/>
    <n v="41"/>
    <n v="23"/>
    <m/>
    <m/>
    <n v="23"/>
    <n v="1.07"/>
    <n v="3507"/>
    <n v="681"/>
  </r>
  <r>
    <x v="2143"/>
    <n v="390056"/>
    <s v="PA"/>
    <s v="PA - Huntingdon"/>
    <n v="16652"/>
    <s v="Penn Highlands Huntingdon (FKA JC Blair Memorial Hospital)"/>
    <s v="Short Term Acute Care Hospital"/>
    <s v="Huntingdon"/>
    <n v="16.8"/>
    <n v="3.9"/>
    <n v="147"/>
    <n v="57"/>
    <n v="7"/>
    <n v="1"/>
    <n v="57"/>
    <n v="1.28"/>
    <n v="3508"/>
    <n v="1628"/>
  </r>
  <r>
    <x v="2144"/>
    <n v="390173"/>
    <s v="PA"/>
    <s v="PA - Indiana"/>
    <n v="15701"/>
    <s v="Indiana Regional Medical Center"/>
    <s v="Short Term Acute Care Hospital"/>
    <s v="Indiana"/>
    <n v="54"/>
    <n v="3.7"/>
    <n v="214"/>
    <n v="134"/>
    <n v="12"/>
    <n v="1"/>
    <n v="134"/>
    <n v="1.51"/>
    <n v="3509"/>
    <n v="5612"/>
  </r>
  <r>
    <x v="915"/>
    <n v="390199"/>
    <s v="PA"/>
    <s v="PA - Jefferson"/>
    <n v="15767"/>
    <s v="Punxsutawney Area Hospital"/>
    <s v="Short Term Acute Care Hospital"/>
    <s v="Punxsutawney"/>
    <n v="16.3"/>
    <n v="5.8"/>
    <n v="63"/>
    <n v="44"/>
    <n v="5"/>
    <m/>
    <n v="44"/>
    <n v="1.52"/>
    <n v="3511"/>
    <n v="1058"/>
  </r>
  <r>
    <x v="916"/>
    <n v="390237"/>
    <s v="PA"/>
    <s v="PA - Lackawanna"/>
    <n v="18510"/>
    <s v="Regional Hospital of Scranton"/>
    <s v="Short Term Acute Care Hospital"/>
    <s v="Scranton"/>
    <n v="103.6"/>
    <n v="4.8"/>
    <n v="152"/>
    <n v="154"/>
    <n v="24"/>
    <n v="0.21"/>
    <n v="154"/>
    <n v="1.75"/>
    <n v="3512"/>
    <n v="7849"/>
  </r>
  <r>
    <x v="916"/>
    <n v="390119"/>
    <s v="PA"/>
    <s v="PA - Lackawanna"/>
    <n v="18510"/>
    <s v="Moses Taylor Hospital"/>
    <s v="Short Term Acute Care Hospital"/>
    <s v="Scranton"/>
    <n v="81.8"/>
    <n v="4.5999999999999996"/>
    <n v="204"/>
    <n v="161"/>
    <n v="11"/>
    <n v="0.21"/>
    <n v="161"/>
    <n v="1.64"/>
    <n v="3514"/>
    <n v="7521"/>
  </r>
  <r>
    <x v="916"/>
    <s v="390095 (Closed)"/>
    <s v="PA"/>
    <s v="PA - Lackawanna"/>
    <n v="18407"/>
    <s v="Marian Community Hospital (Closed 2/28/12)"/>
    <s v="Short Term Acute Care Hospital"/>
    <s v="Carbondale"/>
    <n v="10.7"/>
    <n v="4.0999999999999996"/>
    <m/>
    <m/>
    <m/>
    <n v="0.21"/>
    <m/>
    <m/>
    <n v="3515"/>
    <n v="953"/>
  </r>
  <r>
    <x v="916"/>
    <n v="390001"/>
    <s v="PA"/>
    <s v="PA - Lackawanna"/>
    <n v="18510"/>
    <s v="Geisinger Community Medical Center"/>
    <s v="Short Term Acute Care Hospital"/>
    <s v="Scranton"/>
    <n v="136.1"/>
    <n v="4.3"/>
    <n v="428"/>
    <n v="255"/>
    <n v="18"/>
    <n v="0.21"/>
    <n v="255"/>
    <n v="1.71"/>
    <n v="3516"/>
    <n v="11624"/>
  </r>
  <r>
    <x v="2145"/>
    <s v="390061 (Closed)"/>
    <s v="PA"/>
    <s v="PA - Lancaster"/>
    <n v="17603"/>
    <s v="UPMC Pinnacle Lancaster (FKA Lancaster Regional Medical Center - Closed)"/>
    <s v="Short Term Acute Care Hospital"/>
    <s v="Lancaster"/>
    <n v="27.9"/>
    <n v="4.4000000000000004"/>
    <m/>
    <m/>
    <m/>
    <n v="0.44"/>
    <m/>
    <n v="1.91"/>
    <n v="3517"/>
    <n v="2297"/>
  </r>
  <r>
    <x v="2145"/>
    <n v="390068"/>
    <s v="PA"/>
    <s v="PA - Lancaster"/>
    <n v="17543"/>
    <s v="UPMC Lititz (FKA UPMC Pinnacle Lititz Heart of Lancaster Regional Medical Center)"/>
    <s v="Short Term Acute Care Hospital"/>
    <s v="Lititz"/>
    <n v="21.2"/>
    <n v="3.3"/>
    <n v="175"/>
    <n v="55"/>
    <n v="6"/>
    <n v="0.44"/>
    <n v="55"/>
    <n v="1.41"/>
    <n v="3518"/>
    <n v="2927"/>
  </r>
  <r>
    <x v="2145"/>
    <n v="390100"/>
    <s v="PA"/>
    <s v="PA - Lancaster"/>
    <n v="17602"/>
    <s v="Lancaster General Hospital"/>
    <s v="Short Term Acute Care Hospital"/>
    <s v="Lancaster"/>
    <n v="411.4"/>
    <n v="5"/>
    <n v="1358"/>
    <n v="581"/>
    <n v="48"/>
    <n v="0.44"/>
    <n v="581"/>
    <n v="1.87"/>
    <n v="3519"/>
    <n v="30649"/>
  </r>
  <r>
    <x v="2145"/>
    <n v="390225"/>
    <s v="PA"/>
    <s v="PA - Lancaster"/>
    <n v="17522"/>
    <s v="WellSpan Ephrata Community Hospital"/>
    <s v="Short Term Acute Care Hospital"/>
    <s v="Ephrata"/>
    <n v="57.4"/>
    <n v="3.7"/>
    <n v="272"/>
    <n v="115"/>
    <n v="19"/>
    <n v="0.44"/>
    <n v="115"/>
    <n v="1.58"/>
    <n v="3520"/>
    <n v="6009"/>
  </r>
  <r>
    <x v="2145"/>
    <s v="390100*"/>
    <s v="PA"/>
    <s v="PA - Lancaster"/>
    <n v="17601"/>
    <s v="Women &amp; Babies Hospital"/>
    <s v="Short Term Acute Care Hospital"/>
    <s v="Lancaster"/>
    <m/>
    <m/>
    <m/>
    <m/>
    <m/>
    <m/>
    <n v="95"/>
    <m/>
    <n v="553315"/>
    <m/>
  </r>
  <r>
    <x v="2145"/>
    <m/>
    <s v="PA"/>
    <s v="PA - Lancaster"/>
    <n v="17601"/>
    <s v="Clio Health Lancaster (Opening 2020)"/>
    <s v="Short Term Acute Care Hospital"/>
    <s v="Lancaster"/>
    <m/>
    <m/>
    <m/>
    <m/>
    <m/>
    <m/>
    <m/>
    <m/>
    <n v="916721"/>
    <m/>
  </r>
  <r>
    <x v="2146"/>
    <s v="390008 (Closed)"/>
    <s v="PA"/>
    <s v="PA - Lawrence"/>
    <n v="16117"/>
    <s v="Ellwood City Medical Center (Closed)"/>
    <s v="Short Term Acute Care Hospital"/>
    <s v="Ellwood City"/>
    <n v="6"/>
    <n v="4"/>
    <m/>
    <m/>
    <m/>
    <n v="0.69"/>
    <m/>
    <n v="1.1200000000000001"/>
    <n v="3521"/>
    <n v="554"/>
  </r>
  <r>
    <x v="2146"/>
    <n v="390016"/>
    <s v="PA"/>
    <s v="PA - Lawrence"/>
    <n v="16105"/>
    <s v="UPMC Jameson (FKA Jameson Memorial Hospital - North Campus)"/>
    <s v="Short Term Acute Care Hospital"/>
    <s v="New Castle"/>
    <n v="62.7"/>
    <n v="4.5999999999999996"/>
    <n v="157"/>
    <n v="121"/>
    <n v="12"/>
    <n v="0.69"/>
    <n v="121"/>
    <n v="1.44"/>
    <n v="3522"/>
    <n v="4769"/>
  </r>
  <r>
    <x v="2146"/>
    <s v="390016* (Closed)"/>
    <s v="PA"/>
    <s v="PA - Lawrence"/>
    <n v="16101"/>
    <s v="UPMC Jameson - South Campus (Closed)"/>
    <s v="Short Term Acute Care Hospital"/>
    <s v="New Castle"/>
    <m/>
    <m/>
    <m/>
    <m/>
    <m/>
    <m/>
    <m/>
    <m/>
    <n v="560417"/>
    <m/>
  </r>
  <r>
    <x v="2147"/>
    <n v="390066"/>
    <s v="PA"/>
    <s v="PA - Lebanon"/>
    <n v="17042"/>
    <s v="WellSpan Good Samaritan Hospital"/>
    <s v="Short Term Acute Care Hospital"/>
    <s v="Lebanon"/>
    <n v="78.2"/>
    <n v="3.9"/>
    <n v="351"/>
    <n v="145"/>
    <n v="18"/>
    <n v="1"/>
    <n v="145"/>
    <n v="1.63"/>
    <n v="3524"/>
    <n v="7751"/>
  </r>
  <r>
    <x v="2148"/>
    <n v="390133"/>
    <s v="PA"/>
    <s v="PA - Lehigh"/>
    <n v="18103"/>
    <s v="Lehigh Valley Hospital - Cedar Crest"/>
    <s v="Short Term Acute Care Hospital"/>
    <s v="Allentown"/>
    <n v="688.9"/>
    <n v="4.9000000000000004"/>
    <n v="2191"/>
    <n v="1023"/>
    <n v="86"/>
    <n v="0.32"/>
    <n v="1023"/>
    <n v="1.77"/>
    <n v="3525"/>
    <n v="53090"/>
  </r>
  <r>
    <x v="2148"/>
    <n v="390197"/>
    <s v="PA"/>
    <s v="PA - Lehigh"/>
    <n v="18102"/>
    <s v="St Lukes Sacred Heart Campus (FKA Sacred Heart Hospital)"/>
    <s v="Short Term Acute Care Hospital"/>
    <s v="Allentown"/>
    <n v="85.4"/>
    <n v="5.8"/>
    <n v="166"/>
    <n v="129"/>
    <n v="12"/>
    <n v="0.32"/>
    <n v="129"/>
    <n v="1.34"/>
    <n v="3526"/>
    <n v="3947"/>
  </r>
  <r>
    <x v="2148"/>
    <s v="390318 (Closed)"/>
    <s v="PA"/>
    <s v="PA - Lehigh"/>
    <n v="18105"/>
    <s v="Westfield Hospital (Closed)"/>
    <s v="Short Term Acute Care Hospital"/>
    <s v="Allentown"/>
    <n v="2.1"/>
    <n v="2.5"/>
    <m/>
    <m/>
    <m/>
    <n v="0.32"/>
    <m/>
    <m/>
    <n v="3529"/>
    <n v="312"/>
  </r>
  <r>
    <x v="2148"/>
    <n v="390321"/>
    <s v="PA"/>
    <s v="PA - Lehigh"/>
    <n v="18104"/>
    <s v="Coordinated Health - Allentown Hospital"/>
    <s v="Short Term Acute Care Hospital"/>
    <s v="Allentown"/>
    <n v="5.8"/>
    <n v="2"/>
    <n v="164"/>
    <n v="20"/>
    <m/>
    <n v="0.32"/>
    <n v="20"/>
    <n v="2.67"/>
    <n v="3530"/>
    <n v="1025"/>
  </r>
  <r>
    <x v="2148"/>
    <s v="390049*"/>
    <s v="PA"/>
    <s v="PA - Lehigh"/>
    <n v="18104"/>
    <s v="St Lukes Allentown Campus"/>
    <s v="Short Term Acute Care Hospital"/>
    <s v="Allentown"/>
    <m/>
    <m/>
    <n v="73"/>
    <m/>
    <m/>
    <m/>
    <n v="150"/>
    <m/>
    <n v="541899"/>
    <m/>
  </r>
  <r>
    <x v="2148"/>
    <s v="390133*"/>
    <s v="PA"/>
    <s v="PA - Lehigh"/>
    <n v="18102"/>
    <s v="Lehigh Valley Hospital - 17th Street"/>
    <s v="Short Term Acute Care Hospital"/>
    <s v="Allentown"/>
    <m/>
    <m/>
    <n v="3"/>
    <m/>
    <m/>
    <m/>
    <n v="729"/>
    <m/>
    <n v="550787"/>
    <m/>
  </r>
  <r>
    <x v="2149"/>
    <n v="390270"/>
    <s v="PA"/>
    <s v="PA - Luzerne"/>
    <n v="18711"/>
    <s v="Geisinger Wyoming Valley Medical Center"/>
    <s v="Short Term Acute Care Hospital"/>
    <s v="Wilkes Barre"/>
    <n v="209.4"/>
    <n v="4"/>
    <n v="642"/>
    <n v="300"/>
    <n v="25"/>
    <n v="0.21"/>
    <n v="300"/>
    <n v="1.83"/>
    <n v="3531"/>
    <n v="18816"/>
  </r>
  <r>
    <x v="2149"/>
    <n v="390185"/>
    <s v="PA"/>
    <s v="PA - Luzerne"/>
    <n v="18201"/>
    <s v="Lehigh Valley Hospital - Hazleton (FKA Hazleton General Hospital)"/>
    <s v="Short Term Acute Care Hospital"/>
    <s v="Hazleton"/>
    <n v="55.5"/>
    <n v="3.8"/>
    <n v="181"/>
    <n v="134"/>
    <n v="12"/>
    <n v="0.21"/>
    <n v="134"/>
    <n v="1.31"/>
    <n v="3532"/>
    <n v="5697"/>
  </r>
  <r>
    <x v="2149"/>
    <n v="390137"/>
    <s v="PA"/>
    <s v="PA - Luzerne"/>
    <n v="18764"/>
    <s v="Wilkes-Barre General Hospital"/>
    <s v="Short Term Acute Care Hospital"/>
    <s v="Wilkes Barre"/>
    <n v="147.9"/>
    <n v="4.9000000000000004"/>
    <n v="453"/>
    <n v="258"/>
    <n v="30"/>
    <n v="0.21"/>
    <n v="258"/>
    <n v="1.59"/>
    <n v="3533"/>
    <n v="11515"/>
  </r>
  <r>
    <x v="2149"/>
    <s v="390169 (Closed)"/>
    <s v="PA"/>
    <s v="PA - Luzerne"/>
    <n v="18765"/>
    <s v="Geisinger South Wilkes - Barre (Closed - No Longer Offers Inpatient Services)"/>
    <s v="Short Term Acute Care Hospital"/>
    <s v="Wilkes Barre"/>
    <n v="18.2"/>
    <n v="3.7"/>
    <m/>
    <m/>
    <m/>
    <n v="0.21"/>
    <m/>
    <m/>
    <n v="4837"/>
    <n v="1800"/>
  </r>
  <r>
    <x v="2149"/>
    <s v="390270*"/>
    <s v="PA"/>
    <s v="PA - Luzerne"/>
    <n v="18711"/>
    <s v="Richard &amp; Marion Pearsall Heart Hospital"/>
    <s v="Short Term Acute Care Hospital"/>
    <s v="Wilkes Barre"/>
    <m/>
    <m/>
    <m/>
    <m/>
    <m/>
    <m/>
    <n v="274"/>
    <m/>
    <n v="553310"/>
    <m/>
  </r>
  <r>
    <x v="917"/>
    <n v="390045"/>
    <s v="PA"/>
    <s v="PA - Lycoming"/>
    <n v="17701"/>
    <s v="UPMC Williamsport (FKA UPMC Susquehanna Williamsport)"/>
    <s v="Short Term Acute Care Hospital"/>
    <s v="Williamsport"/>
    <n v="138.19999999999999"/>
    <n v="4.7"/>
    <n v="465"/>
    <n v="227"/>
    <n v="28"/>
    <n v="0.69"/>
    <n v="227"/>
    <n v="1.9"/>
    <n v="3537"/>
    <n v="10654"/>
  </r>
  <r>
    <x v="2150"/>
    <n v="390104"/>
    <s v="PA"/>
    <s v="PA - Mckean"/>
    <n v="16735"/>
    <s v="UPMC Kane (FKA Kane Community Hospital)"/>
    <s v="Short Term Acute Care Hospital"/>
    <s v="Kane"/>
    <n v="3.4"/>
    <n v="3.8"/>
    <n v="36"/>
    <n v="31"/>
    <n v="5"/>
    <n v="0.8"/>
    <n v="31"/>
    <n v="1.3"/>
    <n v="3538"/>
    <n v="332"/>
  </r>
  <r>
    <x v="2150"/>
    <n v="390118"/>
    <s v="PA"/>
    <s v="PA - Mckean"/>
    <n v="16701"/>
    <s v="Bradford Regional Medical Center"/>
    <s v="Short Term Acute Care Hospital"/>
    <s v="Bradford"/>
    <n v="39.200000000000003"/>
    <n v="5.0999999999999996"/>
    <n v="27"/>
    <n v="107"/>
    <n v="5"/>
    <n v="0.8"/>
    <n v="107"/>
    <n v="1.21"/>
    <n v="3539"/>
    <n v="2904"/>
  </r>
  <r>
    <x v="2151"/>
    <n v="390178"/>
    <s v="PA"/>
    <s v="PA - Mercer"/>
    <n v="16125"/>
    <s v="UPMC Horizon - Greenville"/>
    <s v="Short Term Acute Care Hospital"/>
    <s v="Greenville"/>
    <n v="33.6"/>
    <n v="3.9"/>
    <n v="167"/>
    <n v="122"/>
    <n v="6"/>
    <n v="0.15"/>
    <n v="122"/>
    <n v="1.31"/>
    <n v="3540"/>
    <n v="3995"/>
  </r>
  <r>
    <x v="2151"/>
    <n v="390211"/>
    <s v="PA"/>
    <s v="PA - Mercer"/>
    <n v="16146"/>
    <s v="Sharon Regional Medical Center (FKA Sharon Regional Health System)"/>
    <s v="Short Term Acute Care Hospital"/>
    <s v="Sharon"/>
    <n v="84.8"/>
    <n v="4.5999999999999996"/>
    <n v="197"/>
    <n v="195"/>
    <n v="12"/>
    <n v="0.15"/>
    <n v="195"/>
    <n v="1.53"/>
    <n v="3541"/>
    <n v="6956"/>
  </r>
  <r>
    <x v="2151"/>
    <n v="390266"/>
    <s v="PA"/>
    <s v="PA - Mercer"/>
    <n v="16127"/>
    <s v="AHN Grove City (FKA Grove City Medical Center)"/>
    <s v="Short Term Acute Care Hospital"/>
    <s v="Grove City"/>
    <n v="11.2"/>
    <n v="3.4"/>
    <n v="147"/>
    <n v="77"/>
    <n v="8"/>
    <n v="0.15"/>
    <n v="77"/>
    <n v="1.27"/>
    <n v="3542"/>
    <n v="1200"/>
  </r>
  <r>
    <x v="2151"/>
    <n v="390307"/>
    <s v="PA"/>
    <s v="PA - Mercer"/>
    <n v="16154"/>
    <s v="Edgewood Surgical Hospital"/>
    <s v="Short Term Acute Care Hospital"/>
    <s v="Transfer"/>
    <n v="0.3"/>
    <n v="2.8"/>
    <n v="20"/>
    <n v="10"/>
    <m/>
    <n v="0.15"/>
    <n v="10"/>
    <n v="2.33"/>
    <n v="3543"/>
    <n v="38"/>
  </r>
  <r>
    <x v="2151"/>
    <s v="390178*"/>
    <s v="PA"/>
    <s v="PA - Mercer"/>
    <n v="16121"/>
    <s v="UPMC Horizon - Shenango Valley"/>
    <s v="Short Term Acute Care Hospital"/>
    <s v="Farrell"/>
    <m/>
    <m/>
    <m/>
    <m/>
    <m/>
    <m/>
    <n v="158"/>
    <m/>
    <n v="581771"/>
    <m/>
  </r>
  <r>
    <x v="2152"/>
    <n v="390048"/>
    <s v="PA"/>
    <s v="PA - Mifflin"/>
    <n v="17044"/>
    <s v="Geisinger Lewistown Hospital"/>
    <s v="Short Term Acute Care Hospital"/>
    <s v="Lewistown"/>
    <n v="33.200000000000003"/>
    <n v="3"/>
    <n v="162"/>
    <n v="109"/>
    <n v="10"/>
    <n v="1"/>
    <n v="109"/>
    <n v="1.37"/>
    <n v="3544"/>
    <n v="4320"/>
  </r>
  <r>
    <x v="2153"/>
    <n v="390201"/>
    <s v="PA"/>
    <s v="PA - Monroe"/>
    <n v="18301"/>
    <s v="Lehigh Valley Hospital - Pocono (FKA Pocono Medical Center)"/>
    <s v="Short Term Acute Care Hospital"/>
    <s v="East Stroudsburg"/>
    <n v="95.5"/>
    <n v="4.2"/>
    <n v="318"/>
    <n v="205"/>
    <n v="12"/>
    <n v="0.53"/>
    <n v="205"/>
    <n v="1.54"/>
    <n v="3545"/>
    <n v="8816"/>
  </r>
  <r>
    <x v="2153"/>
    <n v="390330"/>
    <s v="PA"/>
    <s v="PA - Monroe"/>
    <n v="18360"/>
    <s v="St Lukes Monroe Campus"/>
    <s v="Short Term Acute Care Hospital"/>
    <s v="Stroudsburg"/>
    <n v="67.400000000000006"/>
    <n v="3.7"/>
    <n v="183"/>
    <n v="90"/>
    <n v="12"/>
    <n v="0.53"/>
    <n v="90"/>
    <n v="1.44"/>
    <n v="829029"/>
    <n v="6712"/>
  </r>
  <r>
    <x v="2153"/>
    <m/>
    <s v="PA"/>
    <s v="PA - Monroe"/>
    <n v="18372"/>
    <s v="Lehigh Valley Hospital - Pocono West (Opening 2020)"/>
    <s v="Short Term Acute Care Hospital"/>
    <s v="Tannersville"/>
    <m/>
    <m/>
    <m/>
    <m/>
    <m/>
    <m/>
    <m/>
    <m/>
    <n v="955492"/>
    <m/>
  </r>
  <r>
    <x v="2154"/>
    <n v="390195"/>
    <s v="PA"/>
    <s v="PA - Montgomery"/>
    <n v="19096"/>
    <s v="Lankenau Medical Center"/>
    <s v="Short Term Acute Care Hospital"/>
    <s v="Wynnewood"/>
    <n v="230"/>
    <n v="4.7"/>
    <n v="771"/>
    <n v="370"/>
    <n v="46"/>
    <n v="0.05"/>
    <n v="370"/>
    <n v="2.12"/>
    <n v="3546"/>
    <n v="18986"/>
  </r>
  <r>
    <x v="2154"/>
    <n v="390272"/>
    <s v="PA"/>
    <s v="PA - Montgomery"/>
    <n v="19403"/>
    <s v="Valley Forge Medical Center and Hospital"/>
    <s v="Short Term Acute Care Hospital"/>
    <s v="Norristown"/>
    <n v="34.4"/>
    <n v="10.7"/>
    <n v="5"/>
    <n v="50"/>
    <m/>
    <n v="0.05"/>
    <n v="50"/>
    <n v="1.04"/>
    <n v="3547"/>
    <n v="1172"/>
  </r>
  <r>
    <x v="2154"/>
    <n v="390278"/>
    <s v="PA"/>
    <s v="PA - Montgomery"/>
    <n v="19403"/>
    <s v="Eagleville Hospital"/>
    <s v="Short Term Acute Care Hospital"/>
    <s v="Eagleville"/>
    <n v="33.4"/>
    <n v="6.1"/>
    <n v="11"/>
    <n v="49"/>
    <m/>
    <n v="0.05"/>
    <n v="49"/>
    <n v="1.02"/>
    <n v="3548"/>
    <n v="2017"/>
  </r>
  <r>
    <x v="2154"/>
    <n v="390231"/>
    <s v="PA"/>
    <s v="PA - Montgomery"/>
    <n v="19001"/>
    <s v="Abington Hospital - Jefferson Health (FKA Abington Memorial Hospital)"/>
    <s v="Short Term Acute Care Hospital"/>
    <s v="Abington"/>
    <n v="349.5"/>
    <n v="5"/>
    <n v="1331"/>
    <n v="592"/>
    <n v="33"/>
    <n v="0.05"/>
    <n v="592"/>
    <n v="1.64"/>
    <n v="3549"/>
    <n v="27052"/>
  </r>
  <r>
    <x v="2154"/>
    <n v="390116"/>
    <s v="PA"/>
    <s v="PA - Montgomery"/>
    <n v="19401"/>
    <s v="Suburban Community Hospital (FKA Mercy Suburban Hospital)"/>
    <s v="Short Term Acute Care Hospital"/>
    <s v="East Norriton"/>
    <n v="25.9"/>
    <n v="3.9"/>
    <n v="105"/>
    <n v="111"/>
    <n v="12"/>
    <n v="0.05"/>
    <n v="111"/>
    <n v="1.82"/>
    <n v="3550"/>
    <n v="2437"/>
  </r>
  <r>
    <x v="2154"/>
    <n v="390123"/>
    <s v="PA"/>
    <s v="PA - Montgomery"/>
    <n v="19464"/>
    <s v="Pottstown Hospital"/>
    <s v="Short Term Acute Care Hospital"/>
    <s v="Pottstown"/>
    <n v="75.900000000000006"/>
    <n v="3.8"/>
    <n v="249"/>
    <n v="183"/>
    <n v="18"/>
    <n v="0.05"/>
    <n v="183"/>
    <n v="1.51"/>
    <n v="3551"/>
    <n v="7452"/>
  </r>
  <r>
    <x v="2154"/>
    <n v="390329"/>
    <s v="PA"/>
    <s v="PA - Montgomery"/>
    <n v="19403"/>
    <s v="Einstein Medical Center Montgomery (FKA Montgomery Hospital Medical Center)"/>
    <s v="Short Term Acute Care Hospital"/>
    <s v="East Norriton"/>
    <n v="121.2"/>
    <n v="3.9"/>
    <n v="285"/>
    <n v="170"/>
    <n v="22"/>
    <n v="0.05"/>
    <n v="170"/>
    <n v="1.58"/>
    <n v="3552"/>
    <n v="12240"/>
  </r>
  <r>
    <x v="2154"/>
    <n v="390097"/>
    <s v="PA"/>
    <s v="PA - Montgomery"/>
    <n v="19046"/>
    <s v="Holy Redeemer Hospital and Medical Center (AKA Holy Redeemer Health System)"/>
    <s v="Short Term Acute Care Hospital"/>
    <s v="Meadowbrook"/>
    <n v="99.6"/>
    <n v="3.5"/>
    <n v="383"/>
    <n v="201"/>
    <n v="20"/>
    <n v="0.05"/>
    <n v="201"/>
    <n v="1.47"/>
    <n v="3553"/>
    <n v="12200"/>
  </r>
  <r>
    <x v="2154"/>
    <n v="390012"/>
    <s v="PA"/>
    <s v="PA - Montgomery"/>
    <n v="19446"/>
    <s v="Abington - Lansdale Hospital (FKA Lansdale Hospital)"/>
    <s v="Short Term Acute Care Hospital"/>
    <s v="Lansdale"/>
    <n v="54.1"/>
    <n v="3.6"/>
    <n v="173"/>
    <n v="140"/>
    <n v="14"/>
    <n v="0.05"/>
    <n v="140"/>
    <n v="1.42"/>
    <n v="3554"/>
    <n v="5433"/>
  </r>
  <r>
    <x v="2154"/>
    <s v="390142*"/>
    <s v="PA"/>
    <s v="PA - Montgomery"/>
    <n v="19027"/>
    <s v="Einstein Medical Center Elkins Park"/>
    <s v="Short Term Acute Care Hospital"/>
    <s v="Elkins Park"/>
    <m/>
    <m/>
    <m/>
    <m/>
    <m/>
    <m/>
    <n v="263"/>
    <m/>
    <n v="274108"/>
    <m/>
  </r>
  <r>
    <x v="2154"/>
    <n v="390324"/>
    <s v="PA"/>
    <s v="PA - Montgomery"/>
    <n v="19468"/>
    <s v="Physicians Care Surgical Hospital"/>
    <s v="Short Term Acute Care Hospital"/>
    <s v="Royersford"/>
    <n v="4.5"/>
    <n v="1.2"/>
    <n v="34"/>
    <n v="12"/>
    <m/>
    <n v="0.05"/>
    <n v="12"/>
    <n v="2.27"/>
    <n v="553369"/>
    <n v="1353"/>
  </r>
  <r>
    <x v="2154"/>
    <m/>
    <s v="PA"/>
    <s v="PA - Montgomery"/>
    <n v="19090"/>
    <s v="Malvern Institute - Willow Grove Addiction Treatment Center"/>
    <s v="Short Term Acute Care Hospital"/>
    <s v="Willow Grove"/>
    <m/>
    <m/>
    <m/>
    <m/>
    <m/>
    <m/>
    <n v="90"/>
    <m/>
    <n v="939860"/>
    <m/>
  </r>
  <r>
    <x v="2155"/>
    <n v="390006"/>
    <s v="PA"/>
    <s v="PA - Montour"/>
    <n v="17822"/>
    <s v="Geisinger Medical Center"/>
    <s v="Short Term Acute Care Hospital"/>
    <s v="Danville"/>
    <n v="386.4"/>
    <n v="4.9000000000000004"/>
    <n v="1327"/>
    <n v="524"/>
    <n v="68"/>
    <n v="0.87"/>
    <n v="524"/>
    <n v="1.99"/>
    <n v="3555"/>
    <n v="29642"/>
  </r>
  <r>
    <x v="2156"/>
    <n v="390263"/>
    <s v="PA"/>
    <s v="PA - Northampton"/>
    <n v="18017"/>
    <s v="Lehigh Valley Hospital - Muhlenberg"/>
    <s v="Short Term Acute Care Hospital"/>
    <s v="Bethlehem"/>
    <n v="145.9"/>
    <n v="6"/>
    <n v="44"/>
    <n v="216"/>
    <n v="30"/>
    <n v="0.32"/>
    <n v="194"/>
    <n v="1.52"/>
    <n v="3527"/>
    <n v="9299"/>
  </r>
  <r>
    <x v="2156"/>
    <s v="390314 (Closed)"/>
    <s v="PA"/>
    <s v="PA - Northampton"/>
    <n v="18020"/>
    <s v="Coordinated Health - Bethlehem Hospital (Temprarily Closed due to COVID-19)"/>
    <s v="Short Term Acute Care Hospital"/>
    <s v="Bethlehem"/>
    <n v="7.1"/>
    <n v="2.2000000000000002"/>
    <m/>
    <n v="20"/>
    <m/>
    <n v="0.32"/>
    <m/>
    <n v="2.19"/>
    <n v="3528"/>
    <n v="1169"/>
  </r>
  <r>
    <x v="2156"/>
    <n v="390049"/>
    <s v="PA"/>
    <s v="PA - Northampton"/>
    <n v="18015"/>
    <s v="St Lukes University Hospital - Bethlehem"/>
    <s v="Short Term Acute Care Hospital"/>
    <s v="Bethlehem"/>
    <n v="350.7"/>
    <n v="4"/>
    <n v="1283"/>
    <n v="482"/>
    <n v="14"/>
    <n v="0.32"/>
    <n v="482"/>
    <n v="1.93"/>
    <n v="3556"/>
    <n v="32582"/>
  </r>
  <r>
    <x v="2156"/>
    <n v="390162"/>
    <s v="PA"/>
    <s v="PA - Northampton"/>
    <n v="18042"/>
    <s v="Easton Hospital (Closing June 30 2020)"/>
    <s v="Short Term Acute Care Hospital"/>
    <s v="Easton"/>
    <n v="48.7"/>
    <n v="4"/>
    <n v="211"/>
    <n v="164"/>
    <n v="24"/>
    <n v="0.32"/>
    <n v="164"/>
    <n v="1.58"/>
    <n v="3557"/>
    <n v="4688"/>
  </r>
  <r>
    <x v="2156"/>
    <n v="390326"/>
    <s v="PA"/>
    <s v="PA - Northampton"/>
    <n v="18045"/>
    <s v="St Lukes Anderson Campus"/>
    <s v="Short Term Acute Care Hospital"/>
    <s v="Easton"/>
    <n v="73.3"/>
    <n v="3.4"/>
    <n v="215"/>
    <n v="108"/>
    <n v="12"/>
    <n v="0.32"/>
    <n v="108"/>
    <n v="1.41"/>
    <n v="542186"/>
    <n v="7789"/>
  </r>
  <r>
    <x v="2157"/>
    <s v="390084 (Closed)"/>
    <s v="PA"/>
    <s v="PA - Northumberland"/>
    <n v="17801"/>
    <s v="UPMC Sunbury (Closed)"/>
    <s v="Short Term Acute Care Hospital"/>
    <s v="Sunbury"/>
    <n v="12.6"/>
    <n v="5.3"/>
    <m/>
    <m/>
    <m/>
    <n v="1"/>
    <m/>
    <n v="1.32"/>
    <n v="3558"/>
    <n v="948"/>
  </r>
  <r>
    <x v="2157"/>
    <s v="390006*"/>
    <s v="PA"/>
    <s v="PA - Northumberland"/>
    <n v="17866"/>
    <s v="Geisinger Shamokin Area Community Hospital"/>
    <s v="Short Term Acute Care Hospital"/>
    <s v="Coal Township"/>
    <m/>
    <m/>
    <m/>
    <m/>
    <m/>
    <m/>
    <n v="45"/>
    <m/>
    <n v="3559"/>
    <m/>
  </r>
  <r>
    <x v="2158"/>
    <n v="390196"/>
    <s v="PA"/>
    <s v="PA - Philadelphia"/>
    <n v="19111"/>
    <s v="Fox Chase Cancer Center"/>
    <s v="Short Term Acute Care Hospital"/>
    <s v="Philadelphia"/>
    <n v="58.5"/>
    <n v="5.6"/>
    <n v="227"/>
    <n v="100"/>
    <n v="8"/>
    <n v="0.05"/>
    <n v="100"/>
    <n v="1.81"/>
    <n v="3560"/>
    <n v="3814"/>
  </r>
  <r>
    <x v="2158"/>
    <n v="390204"/>
    <s v="PA"/>
    <s v="PA - Philadelphia"/>
    <n v="19152"/>
    <s v="Nazareth Hospital"/>
    <s v="Short Term Acute Care Hospital"/>
    <s v="Philadelphia"/>
    <n v="82.2"/>
    <n v="3.6"/>
    <n v="237"/>
    <n v="152"/>
    <n v="14"/>
    <n v="0.05"/>
    <n v="152"/>
    <n v="1.5"/>
    <n v="3561"/>
    <n v="8558"/>
  </r>
  <r>
    <x v="2158"/>
    <n v="390226"/>
    <s v="PA"/>
    <s v="PA - Philadelphia"/>
    <n v="19107"/>
    <s v="Pennsylvania Hospital"/>
    <s v="Short Term Acute Care Hospital"/>
    <s v="Philadelphia"/>
    <n v="209.3"/>
    <n v="4"/>
    <n v="715"/>
    <n v="403"/>
    <m/>
    <n v="0.05"/>
    <n v="403"/>
    <n v="2"/>
    <n v="3562"/>
    <n v="21761"/>
  </r>
  <r>
    <x v="2158"/>
    <n v="390223"/>
    <s v="PA"/>
    <s v="PA - Philadelphia"/>
    <n v="19104"/>
    <s v="Penn Presbyterian Medical Center"/>
    <s v="Short Term Acute Care Hospital"/>
    <s v="Philadelphia"/>
    <n v="269.5"/>
    <n v="5.7"/>
    <n v="816"/>
    <n v="316"/>
    <n v="44"/>
    <n v="0.05"/>
    <n v="316"/>
    <n v="2.39"/>
    <n v="3563"/>
    <n v="17368"/>
  </r>
  <r>
    <x v="2158"/>
    <s v="390290 (Closed)"/>
    <s v="PA"/>
    <s v="PA - Philadelphia"/>
    <n v="19102"/>
    <s v="Hahnemann University Hospital (Closed)"/>
    <s v="Short Term Acute Care Hospital"/>
    <s v="Philadelphia"/>
    <n v="240.6"/>
    <n v="5.5"/>
    <m/>
    <m/>
    <m/>
    <n v="0.05"/>
    <m/>
    <n v="1.65"/>
    <n v="3564"/>
    <n v="16648"/>
  </r>
  <r>
    <x v="2158"/>
    <n v="390304"/>
    <s v="PA"/>
    <s v="PA - Philadelphia"/>
    <n v="19128"/>
    <s v="Roxborough Memorial Hospital"/>
    <s v="Short Term Acute Care Hospital"/>
    <s v="Philadelphia"/>
    <n v="32.299999999999997"/>
    <n v="3.6"/>
    <n v="118"/>
    <n v="107"/>
    <n v="18"/>
    <n v="0.05"/>
    <n v="107"/>
    <n v="1.53"/>
    <n v="3565"/>
    <n v="3272"/>
  </r>
  <r>
    <x v="2158"/>
    <n v="390312"/>
    <s v="PA"/>
    <s v="PA - Philadelphia"/>
    <n v="19124"/>
    <s v="Cancer Treatment Centers of America - Philadelphia"/>
    <s v="Short Term Acute Care Hospital"/>
    <s v="Philadelphia"/>
    <n v="7"/>
    <n v="4.5999999999999996"/>
    <n v="63"/>
    <n v="74"/>
    <n v="12"/>
    <m/>
    <n v="74"/>
    <n v="1.96"/>
    <n v="3566"/>
    <n v="551"/>
  </r>
  <r>
    <x v="2158"/>
    <s v="390027*"/>
    <s v="PA"/>
    <s v="PA - Philadelphia"/>
    <n v="19111"/>
    <s v="Temple University Hospital - Jeanes Campus (FKA Jeanes Hospital)"/>
    <s v="Short Term Acute Care Hospital"/>
    <s v="Philadelphia"/>
    <m/>
    <m/>
    <n v="197"/>
    <m/>
    <m/>
    <m/>
    <m/>
    <n v="1.59"/>
    <n v="3568"/>
    <m/>
  </r>
  <r>
    <x v="2158"/>
    <n v="390111"/>
    <s v="PA"/>
    <s v="PA - Philadelphia"/>
    <n v="19104"/>
    <s v="Hospital of the University of Pennsylvania"/>
    <s v="Short Term Acute Care Hospital"/>
    <s v="Philadelphia"/>
    <n v="655.20000000000005"/>
    <n v="6.6"/>
    <n v="2286"/>
    <n v="748"/>
    <n v="32"/>
    <n v="0.05"/>
    <n v="748"/>
    <n v="2.57"/>
    <n v="3571"/>
    <n v="37508"/>
  </r>
  <r>
    <x v="2158"/>
    <n v="390174"/>
    <s v="PA"/>
    <s v="PA - Philadelphia"/>
    <n v="19107"/>
    <s v="Thomas Jefferson University Hospital"/>
    <s v="Short Term Acute Care Hospital"/>
    <s v="Philadelphia"/>
    <n v="580.29999999999995"/>
    <n v="5.7"/>
    <n v="1469"/>
    <n v="832"/>
    <n v="12"/>
    <n v="0.05"/>
    <n v="832"/>
    <n v="2.19"/>
    <n v="3572"/>
    <n v="37680"/>
  </r>
  <r>
    <x v="2158"/>
    <s v="390132 (Closed)"/>
    <s v="PA"/>
    <s v="PA - Philadelphia"/>
    <n v="19130"/>
    <s v="St Josephs Hospital (Closed)"/>
    <s v="Short Term Acute Care Hospital"/>
    <s v="Philadelphia"/>
    <n v="56.2"/>
    <n v="5.0999999999999996"/>
    <m/>
    <m/>
    <m/>
    <n v="0.05"/>
    <m/>
    <m/>
    <n v="3573"/>
    <n v="3991"/>
  </r>
  <r>
    <x v="2158"/>
    <n v="390142"/>
    <s v="PA"/>
    <s v="PA - Philadelphia"/>
    <n v="19141"/>
    <s v="Einstein Medical Center Philadelphia"/>
    <s v="Short Term Acute Care Hospital"/>
    <s v="Philadelphia"/>
    <n v="282.89999999999998"/>
    <n v="4.3"/>
    <n v="899"/>
    <n v="407"/>
    <n v="32"/>
    <n v="0.05"/>
    <n v="509"/>
    <n v="1.61"/>
    <n v="3574"/>
    <n v="25138"/>
  </r>
  <r>
    <x v="2158"/>
    <n v="390025"/>
    <s v="PA"/>
    <s v="PA - Philadelphia"/>
    <n v="19122"/>
    <s v="Kensington Hospital"/>
    <s v="Short Term Acute Care Hospital"/>
    <s v="Philadelphia"/>
    <n v="9.8000000000000007"/>
    <n v="11.8"/>
    <n v="6"/>
    <n v="14"/>
    <m/>
    <n v="0.05"/>
    <n v="14"/>
    <n v="0.71"/>
    <n v="3575"/>
    <n v="303"/>
  </r>
  <r>
    <x v="2158"/>
    <n v="390026"/>
    <s v="PA"/>
    <s v="PA - Philadelphia"/>
    <n v="19118"/>
    <s v="Chestnut Hill Hospital (AKA Chestnut Hill Health System)"/>
    <s v="Short Term Acute Care Hospital"/>
    <s v="Philadelphia"/>
    <n v="81.599999999999994"/>
    <n v="4.4000000000000004"/>
    <n v="279"/>
    <n v="128"/>
    <n v="14"/>
    <n v="0.05"/>
    <n v="128"/>
    <n v="1.48"/>
    <n v="3576"/>
    <n v="6824"/>
  </r>
  <r>
    <x v="2158"/>
    <n v="390027"/>
    <s v="PA"/>
    <s v="PA - Philadelphia"/>
    <n v="19140"/>
    <s v="Temple University Hospital"/>
    <s v="Short Term Acute Care Hospital"/>
    <s v="Philadelphia"/>
    <n v="408.5"/>
    <n v="6.3"/>
    <n v="1155"/>
    <n v="598"/>
    <n v="43"/>
    <n v="0.05"/>
    <n v="451"/>
    <n v="2.2599999999999998"/>
    <n v="3577"/>
    <n v="24314"/>
  </r>
  <r>
    <x v="2158"/>
    <s v="390023 (Closed)"/>
    <s v="PA"/>
    <s v="PA - Philadelphia"/>
    <n v="19134"/>
    <s v="Northeastern Hospital (Closed July 2009)"/>
    <s v="Short Term Acute Care Hospital"/>
    <s v="Philadelphia"/>
    <n v="103.8"/>
    <n v="4.0999999999999996"/>
    <m/>
    <m/>
    <m/>
    <n v="0.05"/>
    <m/>
    <m/>
    <n v="4834"/>
    <n v="9964"/>
  </r>
  <r>
    <x v="2158"/>
    <m/>
    <s v="PA"/>
    <s v="PA - Philadelphia"/>
    <n v="19122"/>
    <s v="Girard Medical Center"/>
    <s v="Short Term Acute Care Hospital"/>
    <s v="Philadelphia"/>
    <n v="39.9"/>
    <n v="29.1"/>
    <m/>
    <m/>
    <m/>
    <n v="0.05"/>
    <n v="51"/>
    <m/>
    <n v="5962"/>
    <n v="501"/>
  </r>
  <r>
    <x v="2158"/>
    <n v="390115"/>
    <s v="PA"/>
    <s v="PA - Philadelphia"/>
    <n v="19114"/>
    <s v="Jefferson Torresdale Hospital"/>
    <s v="Short Term Acute Care Hospital"/>
    <s v="Philadelphia"/>
    <n v="293.8"/>
    <n v="5"/>
    <n v="525"/>
    <n v="450"/>
    <m/>
    <n v="0.05"/>
    <n v="252"/>
    <n v="1.69"/>
    <n v="274152"/>
    <n v="21588"/>
  </r>
  <r>
    <x v="2158"/>
    <s v="390115*"/>
    <s v="PA"/>
    <s v="PA - Philadelphia"/>
    <n v="19124"/>
    <s v="Jefferson Frankford Hospital"/>
    <s v="Short Term Acute Care Hospital"/>
    <s v="Philadelphia"/>
    <m/>
    <m/>
    <n v="47"/>
    <m/>
    <m/>
    <m/>
    <n v="113"/>
    <m/>
    <n v="274153"/>
    <m/>
  </r>
  <r>
    <x v="2158"/>
    <s v="390156*"/>
    <s v="PA"/>
    <s v="PA - Philadelphia"/>
    <n v="19143"/>
    <s v="Mercy Catholic Medical Center - Mercy Philadelphia Campus"/>
    <s v="Short Term Acute Care Hospital"/>
    <s v="Philadelphia"/>
    <m/>
    <m/>
    <n v="1"/>
    <m/>
    <m/>
    <m/>
    <n v="155"/>
    <m/>
    <n v="274317"/>
    <m/>
  </r>
  <r>
    <x v="2158"/>
    <s v="390027*"/>
    <s v="PA"/>
    <s v="PA - Philadelphia"/>
    <n v="19125"/>
    <s v="Temple Health - Episcopal Campus"/>
    <s v="Short Term Acute Care Hospital"/>
    <s v="Philadelphia"/>
    <m/>
    <m/>
    <m/>
    <m/>
    <m/>
    <m/>
    <n v="139"/>
    <m/>
    <n v="274092"/>
    <m/>
  </r>
  <r>
    <x v="2158"/>
    <s v="390174*"/>
    <s v="PA"/>
    <s v="PA - Philadelphia"/>
    <n v="19148"/>
    <s v="Jefferson Methodist Hospital"/>
    <s v="Short Term Acute Care Hospital"/>
    <s v="Philadelphia"/>
    <m/>
    <m/>
    <n v="49"/>
    <m/>
    <m/>
    <m/>
    <n v="220"/>
    <m/>
    <n v="553225"/>
    <m/>
  </r>
  <r>
    <x v="2158"/>
    <s v="390174*"/>
    <s v="PA"/>
    <s v="PA - Philadelphia"/>
    <n v="19107"/>
    <s v="Jefferson Hospital for Neuroscience"/>
    <s v="Short Term Acute Care Hospital"/>
    <s v="Philadelphia"/>
    <m/>
    <m/>
    <m/>
    <m/>
    <m/>
    <m/>
    <n v="52"/>
    <m/>
    <n v="577642"/>
    <m/>
  </r>
  <r>
    <x v="2158"/>
    <m/>
    <s v="PA"/>
    <s v="PA - Philadelphia"/>
    <n v="19121"/>
    <s v="The Liacouras Center Field Hospital (Temporarily Open due to COVID-19)"/>
    <s v="Short Term Acute Care Hospital"/>
    <s v="Philadelphia"/>
    <m/>
    <m/>
    <m/>
    <m/>
    <m/>
    <m/>
    <m/>
    <m/>
    <n v="1012070"/>
    <m/>
  </r>
  <r>
    <x v="2158"/>
    <n v="390331"/>
    <s v="PA"/>
    <s v="PA - Philadelphia"/>
    <n v="19107"/>
    <s v="Wills Eye Hospital"/>
    <s v="Short Term Acute Care Hospital"/>
    <s v="Philadelphia"/>
    <n v="2.1"/>
    <n v="2.6"/>
    <n v="185"/>
    <n v="4"/>
    <m/>
    <n v="0.05"/>
    <n v="4"/>
    <n v="1.1200000000000001"/>
    <n v="585464"/>
    <n v="297"/>
  </r>
  <r>
    <x v="2159"/>
    <s v="390313 (Closed)"/>
    <s v="PA"/>
    <s v="PA - Schuylkill"/>
    <n v="17921"/>
    <s v="St Catherine Medical Center Fountain Springs (Closed 4/20/2012)"/>
    <s v="Short Term Acute Care Hospital"/>
    <s v="Ashland"/>
    <n v="6.1"/>
    <n v="3.8"/>
    <m/>
    <m/>
    <m/>
    <n v="0.32"/>
    <m/>
    <m/>
    <n v="3579"/>
    <n v="588"/>
  </r>
  <r>
    <x v="2159"/>
    <n v="390183"/>
    <s v="PA"/>
    <s v="PA - Schuylkill"/>
    <n v="18218"/>
    <s v="St Lukes Miners Campus"/>
    <s v="Short Term Acute Care Hospital"/>
    <s v="Coaldale"/>
    <n v="24.1"/>
    <n v="3.5"/>
    <n v="107"/>
    <n v="49"/>
    <n v="6"/>
    <n v="0.32"/>
    <n v="49"/>
    <n v="1.34"/>
    <n v="3580"/>
    <n v="2527"/>
  </r>
  <r>
    <x v="2159"/>
    <n v="390030"/>
    <s v="PA"/>
    <s v="PA - Schuylkill"/>
    <n v="17901"/>
    <s v="Lehigh Valley Hospital - Schuylkill S Jackson Street (FKA Schuylkill Medical Center - S Jackson Street)"/>
    <s v="Short Term Acute Care Hospital"/>
    <s v="Pottsville"/>
    <n v="79.400000000000006"/>
    <n v="5.5"/>
    <n v="213"/>
    <n v="118"/>
    <n v="10"/>
    <n v="0.32"/>
    <n v="118"/>
    <n v="1.36"/>
    <n v="3581"/>
    <n v="7097"/>
  </r>
  <r>
    <x v="2159"/>
    <n v="390031"/>
    <s v="PA"/>
    <s v="PA - Schuylkill"/>
    <n v="17901"/>
    <s v="Lehigh Valley Hospital - Schuylkill E Norwegian Street (FKA Schuylkill Medical Center - E Norwegian Street)"/>
    <s v="Short Term Acute Care Hospital"/>
    <s v="Pottsville"/>
    <n v="62"/>
    <n v="4.3"/>
    <n v="11"/>
    <n v="99"/>
    <n v="10"/>
    <n v="0.32"/>
    <n v="99"/>
    <n v="1.4"/>
    <n v="3582"/>
    <n v="5286"/>
  </r>
  <r>
    <x v="2159"/>
    <n v="390332"/>
    <s v="PA"/>
    <s v="PA - Schuylkill"/>
    <n v="17961"/>
    <s v="Geisinger St Lukes Hospital"/>
    <s v="Short Term Acute Care Hospital"/>
    <s v="Orwigsburg"/>
    <m/>
    <m/>
    <n v="3"/>
    <m/>
    <m/>
    <m/>
    <m/>
    <m/>
    <n v="1002910"/>
    <m/>
  </r>
  <r>
    <x v="919"/>
    <n v="390039"/>
    <s v="PA"/>
    <s v="PA - Somerset"/>
    <n v="15501"/>
    <s v="UPMC Somerset (FKA Somerset Hospital)"/>
    <s v="Short Term Acute Care Hospital"/>
    <s v="Somerset"/>
    <n v="21"/>
    <n v="3.9"/>
    <n v="158"/>
    <n v="81"/>
    <m/>
    <n v="0.44"/>
    <n v="81"/>
    <n v="1.52"/>
    <n v="3583"/>
    <n v="1968"/>
  </r>
  <r>
    <x v="919"/>
    <n v="390112"/>
    <s v="PA"/>
    <s v="PA - Somerset"/>
    <n v="15963"/>
    <s v="Chan Soon-Shiong Medical Center at Windber (FKA Windber Medical Center)"/>
    <s v="Short Term Acute Care Hospital"/>
    <s v="Windber"/>
    <n v="6.7"/>
    <n v="2.2999999999999998"/>
    <n v="100"/>
    <n v="47"/>
    <n v="6"/>
    <n v="0.44"/>
    <n v="47"/>
    <n v="1.34"/>
    <n v="3584"/>
    <n v="1090"/>
  </r>
  <r>
    <x v="2160"/>
    <n v="390013"/>
    <s v="PA"/>
    <s v="PA - Union"/>
    <n v="17837"/>
    <s v="Evangelical Community Hospital"/>
    <s v="Short Term Acute Care Hospital"/>
    <s v="Lewisburg"/>
    <n v="45.9"/>
    <n v="3.3"/>
    <n v="325"/>
    <n v="123"/>
    <n v="12"/>
    <n v="1"/>
    <n v="123"/>
    <n v="1.51"/>
    <n v="3587"/>
    <n v="5618"/>
  </r>
  <r>
    <x v="2161"/>
    <n v="390091"/>
    <s v="PA"/>
    <s v="PA - Venango"/>
    <n v="16346"/>
    <s v="UPMC Northwest"/>
    <s v="Short Term Acute Care Hospital"/>
    <s v="Seneca"/>
    <n v="51.1"/>
    <n v="4.0999999999999996"/>
    <n v="172"/>
    <n v="118"/>
    <n v="8"/>
    <n v="1"/>
    <n v="118"/>
    <n v="1.28"/>
    <n v="3588"/>
    <n v="4734"/>
  </r>
  <r>
    <x v="2162"/>
    <n v="390146"/>
    <s v="PA"/>
    <s v="PA - Warren"/>
    <n v="16365"/>
    <s v="Warren General Hospital"/>
    <s v="Short Term Acute Care Hospital"/>
    <s v="Warren"/>
    <n v="28.7"/>
    <n v="4.8"/>
    <n v="106"/>
    <n v="85"/>
    <n v="6"/>
    <n v="1"/>
    <n v="85"/>
    <n v="1.21"/>
    <n v="3589"/>
    <n v="2306"/>
  </r>
  <r>
    <x v="2163"/>
    <n v="390147"/>
    <s v="PA"/>
    <s v="PA - Washington"/>
    <n v="15063"/>
    <s v="Monongahela Valley Hospital"/>
    <s v="Short Term Acute Care Hospital"/>
    <s v="Monongahela"/>
    <n v="68.3"/>
    <n v="4.9000000000000004"/>
    <n v="188"/>
    <n v="132"/>
    <n v="8"/>
    <n v="0.08"/>
    <n v="132"/>
    <n v="1.45"/>
    <n v="3590"/>
    <n v="5075"/>
  </r>
  <r>
    <x v="2163"/>
    <n v="390160"/>
    <s v="PA"/>
    <s v="PA - Washington"/>
    <n v="15317"/>
    <s v="Canonsburg Hospital"/>
    <s v="Short Term Acute Care Hospital"/>
    <s v="Canonsburg"/>
    <n v="15.2"/>
    <n v="3.7"/>
    <n v="82"/>
    <n v="88"/>
    <n v="8"/>
    <n v="0.08"/>
    <n v="88"/>
    <n v="1.33"/>
    <n v="3591"/>
    <n v="1496"/>
  </r>
  <r>
    <x v="2163"/>
    <n v="390042"/>
    <s v="PA"/>
    <s v="PA - Washington"/>
    <n v="15301"/>
    <s v="Washington Hospital"/>
    <s v="Short Term Acute Care Hospital"/>
    <s v="Washington"/>
    <n v="93.6"/>
    <n v="4"/>
    <n v="388"/>
    <n v="214"/>
    <m/>
    <n v="0.08"/>
    <n v="214"/>
    <n v="1.59"/>
    <n v="3592"/>
    <n v="8921"/>
  </r>
  <r>
    <x v="2163"/>
    <n v="390323"/>
    <s v="PA"/>
    <s v="PA - Washington"/>
    <n v="15301"/>
    <s v="Advanced Surgical Hospital"/>
    <s v="Short Term Acute Care Hospital"/>
    <s v="Washington"/>
    <n v="3.9"/>
    <n v="1.9"/>
    <n v="24"/>
    <n v="14"/>
    <m/>
    <n v="0.08"/>
    <n v="14"/>
    <n v="2.2400000000000002"/>
    <n v="550149"/>
    <n v="742"/>
  </r>
  <r>
    <x v="2164"/>
    <n v="390125"/>
    <s v="PA"/>
    <s v="PA - Wayne"/>
    <n v="18431"/>
    <s v="Wayne Memorial Hospital"/>
    <s v="Short Term Acute Care Hospital"/>
    <s v="Honesdale"/>
    <n v="27.7"/>
    <n v="3.1"/>
    <n v="162"/>
    <n v="76"/>
    <n v="8"/>
    <m/>
    <n v="76"/>
    <n v="1.29"/>
    <n v="3593"/>
    <n v="3568"/>
  </r>
  <r>
    <x v="2165"/>
    <n v="390145"/>
    <s v="PA"/>
    <s v="PA - Westmoreland"/>
    <n v="15601"/>
    <s v="Excela Health Westmoreland Hospital"/>
    <s v="Short Term Acute Care Hospital"/>
    <s v="Greensburg"/>
    <n v="177.5"/>
    <n v="4.2"/>
    <n v="433"/>
    <n v="246"/>
    <n v="22"/>
    <n v="0.08"/>
    <n v="246"/>
    <n v="1.59"/>
    <n v="3594"/>
    <n v="15881"/>
  </r>
  <r>
    <x v="2165"/>
    <n v="390217"/>
    <s v="PA"/>
    <s v="PA - Westmoreland"/>
    <n v="15666"/>
    <s v="Excela Health Frick Hospital"/>
    <s v="Short Term Acute Care Hospital"/>
    <s v="Mount Pleasant"/>
    <n v="22.8"/>
    <n v="4.0999999999999996"/>
    <n v="88"/>
    <n v="33"/>
    <m/>
    <n v="0.08"/>
    <n v="33"/>
    <n v="1.37"/>
    <n v="3595"/>
    <n v="2029"/>
  </r>
  <r>
    <x v="2165"/>
    <n v="390219"/>
    <s v="PA"/>
    <s v="PA - Westmoreland"/>
    <n v="15650"/>
    <s v="Excela Health Latrobe Hospital"/>
    <s v="Short Term Acute Care Hospital"/>
    <s v="Latrobe"/>
    <n v="70.099999999999994"/>
    <n v="3.9"/>
    <n v="262"/>
    <n v="122"/>
    <n v="11"/>
    <n v="0.08"/>
    <n v="122"/>
    <n v="1.52"/>
    <n v="3596"/>
    <n v="6376"/>
  </r>
  <r>
    <x v="2165"/>
    <s v="390010 (Closed)"/>
    <s v="PA"/>
    <s v="PA - Westmoreland"/>
    <n v="15644"/>
    <s v="Excela Health Westmoreland Hospital at Jeannette (Closed January 2011)"/>
    <s v="Short Term Acute Care Hospital"/>
    <s v="Jeannette"/>
    <n v="62"/>
    <n v="4.5"/>
    <m/>
    <m/>
    <m/>
    <n v="0.08"/>
    <m/>
    <m/>
    <n v="5247"/>
    <n v="5239"/>
  </r>
  <r>
    <x v="2165"/>
    <m/>
    <s v="PA"/>
    <s v="PA - Westmoreland"/>
    <n v="15601"/>
    <s v="AHN Hempfield Neighborhood Hospital"/>
    <s v="Short Term Acute Care Hospital"/>
    <s v="Greensburg"/>
    <m/>
    <m/>
    <n v="1"/>
    <m/>
    <m/>
    <m/>
    <m/>
    <m/>
    <n v="976853"/>
    <m/>
  </r>
  <r>
    <x v="2166"/>
    <n v="390192"/>
    <s v="PA"/>
    <s v="PA - Wyoming"/>
    <n v="18657"/>
    <s v="Tyler Memorial Hospital"/>
    <s v="Short Term Acute Care Hospital"/>
    <s v="Tunkhannock"/>
    <n v="2.7"/>
    <n v="2.6"/>
    <n v="27"/>
    <n v="44"/>
    <n v="6"/>
    <n v="0.21"/>
    <n v="44"/>
    <n v="1.03"/>
    <n v="3597"/>
    <n v="372"/>
  </r>
  <r>
    <x v="2167"/>
    <n v="390233"/>
    <s v="PA"/>
    <s v="PA - York"/>
    <n v="17331"/>
    <s v="UPMC Hanover (FKA UPMC Pinnacle Hanover Hanover Hospital)"/>
    <s v="Short Term Acute Care Hospital"/>
    <s v="Hanover"/>
    <n v="57.7"/>
    <n v="4"/>
    <n v="224"/>
    <n v="81"/>
    <m/>
    <n v="0.51"/>
    <n v="81"/>
    <n v="1.46"/>
    <n v="3598"/>
    <n v="5334"/>
  </r>
  <r>
    <x v="2167"/>
    <n v="390101"/>
    <s v="PA"/>
    <s v="PA - York"/>
    <n v="17408"/>
    <s v="UPMC Memorial (FKA UPMC Pinnacle Memorial Hospital York)"/>
    <s v="Short Term Acute Care Hospital"/>
    <s v="York"/>
    <n v="35.4"/>
    <n v="3.6"/>
    <n v="129"/>
    <n v="60"/>
    <n v="10"/>
    <n v="0.51"/>
    <n v="60"/>
    <n v="1.38"/>
    <n v="3599"/>
    <n v="3868"/>
  </r>
  <r>
    <x v="2167"/>
    <n v="390046"/>
    <s v="PA"/>
    <s v="PA - York"/>
    <n v="17403"/>
    <s v="WellSpan York Hospital"/>
    <s v="Short Term Acute Care Hospital"/>
    <s v="York"/>
    <n v="399"/>
    <n v="5.6"/>
    <n v="1332"/>
    <n v="522"/>
    <n v="60"/>
    <n v="0.51"/>
    <n v="522"/>
    <n v="1.78"/>
    <n v="3600"/>
    <n v="27115"/>
  </r>
  <r>
    <x v="2167"/>
    <n v="390327"/>
    <s v="PA"/>
    <s v="PA - York"/>
    <n v="17403"/>
    <s v="Wellspan Surgery &amp; Rehabilitation Hospital"/>
    <s v="Short Term Acute Care Hospital"/>
    <s v="York"/>
    <n v="4.4000000000000004"/>
    <n v="2.2999999999999998"/>
    <n v="19"/>
    <n v="25"/>
    <m/>
    <n v="0.51"/>
    <n v="25"/>
    <n v="1.46"/>
    <n v="550790"/>
    <n v="693"/>
  </r>
  <r>
    <x v="2167"/>
    <n v="390325"/>
    <s v="PA"/>
    <s v="PA - York"/>
    <n v="17402"/>
    <s v="Orthopaedic and Spine Specialists Orthopaedic Hospital"/>
    <s v="Short Term Acute Care Hospital"/>
    <s v="York"/>
    <n v="9.1"/>
    <n v="1.9"/>
    <n v="119"/>
    <n v="30"/>
    <m/>
    <n v="0.51"/>
    <n v="30"/>
    <n v="2.35"/>
    <n v="553368"/>
    <n v="1789"/>
  </r>
  <r>
    <x v="2168"/>
    <n v="410009"/>
    <s v="RI"/>
    <s v="RI - Kent"/>
    <s v="02886"/>
    <s v="Kent Hospital"/>
    <s v="Short Term Acute Care Hospital"/>
    <s v="Warwick"/>
    <n v="161.4"/>
    <n v="4.3"/>
    <n v="536"/>
    <n v="323"/>
    <n v="15"/>
    <n v="0.14000000000000001"/>
    <n v="323"/>
    <n v="1.49"/>
    <n v="3601"/>
    <n v="14113"/>
  </r>
  <r>
    <x v="2169"/>
    <n v="410006"/>
    <s v="RI"/>
    <s v="RI - Newport"/>
    <s v="02840"/>
    <s v="Newport Hospital"/>
    <s v="Short Term Acute Care Hospital"/>
    <s v="Newport"/>
    <n v="42.4"/>
    <n v="3.7"/>
    <n v="161"/>
    <n v="102"/>
    <n v="10"/>
    <n v="0.14000000000000001"/>
    <n v="102"/>
    <n v="1.35"/>
    <n v="3602"/>
    <n v="4431"/>
  </r>
  <r>
    <x v="2170"/>
    <n v="410007"/>
    <s v="RI"/>
    <s v="RI - Providence"/>
    <s v="02903"/>
    <s v="Rhode Island Hospital"/>
    <s v="Short Term Acute Care Hospital"/>
    <s v="Providence"/>
    <n v="510.6"/>
    <n v="5.4"/>
    <n v="1263"/>
    <n v="635"/>
    <n v="137"/>
    <n v="0.14000000000000001"/>
    <n v="635"/>
    <n v="1.82"/>
    <n v="3603"/>
    <n v="34671"/>
  </r>
  <r>
    <x v="2170"/>
    <n v="410010"/>
    <s v="RI"/>
    <s v="RI - Providence"/>
    <s v="02905"/>
    <s v="Women &amp; Infants Hospital"/>
    <s v="Short Term Acute Care Hospital"/>
    <s v="Providence"/>
    <n v="134.9"/>
    <n v="6.3"/>
    <n v="407"/>
    <n v="247"/>
    <m/>
    <n v="0.14000000000000001"/>
    <n v="247"/>
    <n v="1.48"/>
    <n v="3604"/>
    <n v="10951"/>
  </r>
  <r>
    <x v="2170"/>
    <n v="410011"/>
    <s v="RI"/>
    <s v="RI - Providence"/>
    <s v="02895"/>
    <s v="Landmark Medical Center"/>
    <s v="Short Term Acute Care Hospital"/>
    <s v="Woonsocket"/>
    <n v="55.2"/>
    <n v="3.5"/>
    <n v="184"/>
    <n v="123"/>
    <n v="16"/>
    <n v="0.14000000000000001"/>
    <n v="123"/>
    <n v="1.59"/>
    <n v="3605"/>
    <n v="5988"/>
  </r>
  <r>
    <x v="2170"/>
    <n v="410012"/>
    <s v="RI"/>
    <s v="RI - Providence"/>
    <s v="02906"/>
    <s v="Miriam Hospital"/>
    <s v="Short Term Acute Care Hospital"/>
    <s v="Providence"/>
    <n v="204.7"/>
    <n v="3.8"/>
    <n v="930"/>
    <n v="246"/>
    <n v="35"/>
    <n v="0.14000000000000001"/>
    <n v="246"/>
    <n v="1.52"/>
    <n v="3606"/>
    <n v="19583"/>
  </r>
  <r>
    <x v="2170"/>
    <s v="410001 (Closed)"/>
    <s v="RI"/>
    <s v="RI - Providence"/>
    <s v="02860"/>
    <s v="Memorial Hospital of Rhode Island (Closed - No Longer Provides Inpatient Services)"/>
    <s v="Short Term Acute Care Hospital"/>
    <s v="Pawtucket"/>
    <n v="9.4"/>
    <n v="3.6"/>
    <m/>
    <m/>
    <m/>
    <n v="0.14000000000000001"/>
    <m/>
    <m/>
    <n v="3607"/>
    <n v="963"/>
  </r>
  <r>
    <x v="2170"/>
    <n v="410004"/>
    <s v="RI"/>
    <s v="RI - Providence"/>
    <s v="02908"/>
    <s v="Roger Williams Medical Center"/>
    <s v="Short Term Acute Care Hospital"/>
    <s v="Providence"/>
    <n v="77.2"/>
    <n v="4.3"/>
    <n v="204"/>
    <n v="148"/>
    <m/>
    <m/>
    <n v="148"/>
    <n v="1.62"/>
    <n v="3608"/>
    <n v="6526"/>
  </r>
  <r>
    <x v="2170"/>
    <n v="410005"/>
    <s v="RI"/>
    <s v="RI - Providence"/>
    <s v="02904"/>
    <s v="Our Lady of Fatima Hospital"/>
    <s v="Short Term Acute Care Hospital"/>
    <s v="North Providence"/>
    <n v="40.299999999999997"/>
    <n v="4.2"/>
    <n v="246"/>
    <n v="163"/>
    <n v="15"/>
    <n v="0.14000000000000001"/>
    <n v="163"/>
    <n v="1.52"/>
    <n v="3609"/>
    <n v="3504"/>
  </r>
  <r>
    <x v="2171"/>
    <n v="410013"/>
    <s v="RI"/>
    <s v="RI - Washington"/>
    <s v="02891"/>
    <s v="Westerly Hospital"/>
    <s v="Short Term Acute Care Hospital"/>
    <s v="Westerly"/>
    <n v="30.7"/>
    <n v="4.0999999999999996"/>
    <n v="119"/>
    <n v="79"/>
    <n v="9"/>
    <n v="0.14000000000000001"/>
    <n v="79"/>
    <n v="1.47"/>
    <n v="3610"/>
    <n v="2735"/>
  </r>
  <r>
    <x v="2171"/>
    <n v="410008"/>
    <s v="RI"/>
    <s v="RI - Washington"/>
    <s v="02879"/>
    <s v="South County Hospital"/>
    <s v="Short Term Acute Care Hospital"/>
    <s v="Wakefield"/>
    <n v="54.3"/>
    <n v="3.4"/>
    <n v="349"/>
    <n v="79"/>
    <n v="8"/>
    <n v="0.14000000000000001"/>
    <n v="79"/>
    <n v="1.54"/>
    <n v="3611"/>
    <n v="6280"/>
  </r>
  <r>
    <x v="2172"/>
    <n v="420082"/>
    <s v="SC"/>
    <s v="SC - Aiken"/>
    <n v="29801"/>
    <s v="Aiken Regional Medical Centers"/>
    <s v="Short Term Acute Care Hospital"/>
    <s v="Aiken"/>
    <n v="129.30000000000001"/>
    <n v="4.3"/>
    <n v="278"/>
    <n v="204"/>
    <n v="35"/>
    <n v="0.26"/>
    <n v="204"/>
    <n v="1.55"/>
    <n v="3613"/>
    <n v="10569"/>
  </r>
  <r>
    <x v="2173"/>
    <n v="420027"/>
    <s v="SC"/>
    <s v="SC - Anderson"/>
    <n v="29621"/>
    <s v="AnMed Health Medical Center"/>
    <s v="Short Term Acute Care Hospital"/>
    <s v="Anderson"/>
    <n v="217"/>
    <n v="4.5"/>
    <n v="549"/>
    <n v="367"/>
    <n v="25"/>
    <n v="0.26"/>
    <n v="269"/>
    <n v="1.65"/>
    <n v="3614"/>
    <n v="18401"/>
  </r>
  <r>
    <x v="2174"/>
    <s v="420056 (Closed)"/>
    <s v="SC"/>
    <s v="SC - Bamberg"/>
    <n v="29003"/>
    <s v="Bamberg County Memorial Hospital (Closed April 2012)"/>
    <s v="Short Term Acute Care Hospital"/>
    <s v="Bamberg"/>
    <n v="0.2"/>
    <n v="3.2"/>
    <m/>
    <m/>
    <m/>
    <m/>
    <m/>
    <m/>
    <n v="3615"/>
    <n v="21"/>
  </r>
  <r>
    <x v="2175"/>
    <s v="420016 (Closed)"/>
    <s v="SC"/>
    <s v="SC - Barnwell"/>
    <n v="29812"/>
    <s v="Southern Palmetto Hospital (Closed)"/>
    <s v="Short Term Acute Care Hospital"/>
    <s v="Barnwell"/>
    <n v="3.5"/>
    <n v="4.2"/>
    <m/>
    <m/>
    <m/>
    <m/>
    <m/>
    <m/>
    <n v="3616"/>
    <n v="300"/>
  </r>
  <r>
    <x v="2176"/>
    <n v="420067"/>
    <s v="SC"/>
    <s v="SC - Beaufort"/>
    <n v="29902"/>
    <s v="Beaufort Memorial Hospital"/>
    <s v="Short Term Acute Care Hospital"/>
    <s v="Beaufort"/>
    <n v="81"/>
    <n v="4.0999999999999996"/>
    <n v="287"/>
    <n v="167"/>
    <n v="12"/>
    <n v="0.41"/>
    <n v="167"/>
    <n v="1.44"/>
    <n v="3617"/>
    <n v="7758"/>
  </r>
  <r>
    <x v="2176"/>
    <n v="420080"/>
    <s v="SC"/>
    <s v="SC - Beaufort"/>
    <n v="29925"/>
    <s v="Hilton Head Hospital"/>
    <s v="Short Term Acute Care Hospital"/>
    <s v="Hilton Head Island"/>
    <n v="59.7"/>
    <n v="3.6"/>
    <n v="202"/>
    <n v="93"/>
    <n v="12"/>
    <n v="0.41"/>
    <n v="93"/>
    <n v="1.51"/>
    <n v="3618"/>
    <n v="6277"/>
  </r>
  <r>
    <x v="2177"/>
    <n v="420079"/>
    <s v="SC"/>
    <s v="SC - Charleston"/>
    <n v="29406"/>
    <s v="Trident Medical Center"/>
    <s v="Short Term Acute Care Hospital"/>
    <s v="Charleston"/>
    <n v="316.8"/>
    <n v="4.5999999999999996"/>
    <n v="658"/>
    <n v="434"/>
    <n v="36"/>
    <n v="0.33"/>
    <n v="296"/>
    <n v="1.79"/>
    <n v="3619"/>
    <n v="25401"/>
  </r>
  <r>
    <x v="2177"/>
    <n v="420065"/>
    <s v="SC"/>
    <s v="SC - Charleston"/>
    <n v="29414"/>
    <s v="Roper St Francis Healthcare - Bon Secours St Francis Hospital"/>
    <s v="Short Term Acute Care Hospital"/>
    <s v="Charleston"/>
    <n v="99"/>
    <n v="4.4000000000000004"/>
    <n v="420"/>
    <n v="189"/>
    <n v="11"/>
    <n v="0.33"/>
    <n v="189"/>
    <n v="1.7"/>
    <n v="3620"/>
    <n v="8655"/>
  </r>
  <r>
    <x v="2177"/>
    <n v="420087"/>
    <s v="SC"/>
    <s v="SC - Charleston"/>
    <n v="29401"/>
    <s v="Roper St Francis Healthcare - Roper Hospital"/>
    <s v="Short Term Acute Care Hospital"/>
    <s v="Charleston"/>
    <n v="149"/>
    <n v="4.9000000000000004"/>
    <n v="481"/>
    <n v="316"/>
    <n v="38"/>
    <n v="0.33"/>
    <n v="316"/>
    <n v="1.98"/>
    <n v="3621"/>
    <n v="11062"/>
  </r>
  <r>
    <x v="2177"/>
    <n v="420089"/>
    <s v="SC"/>
    <s v="SC - Charleston"/>
    <n v="29464"/>
    <s v="East Cooper Medical Center"/>
    <s v="Short Term Acute Care Hospital"/>
    <s v="Mount Pleasant"/>
    <n v="37.200000000000003"/>
    <n v="3.5"/>
    <n v="205"/>
    <n v="130"/>
    <n v="12"/>
    <n v="0.33"/>
    <n v="130"/>
    <n v="2.15"/>
    <n v="3622"/>
    <n v="4976"/>
  </r>
  <r>
    <x v="2177"/>
    <n v="420004"/>
    <s v="SC"/>
    <s v="SC - Charleston"/>
    <n v="29425"/>
    <s v="Medical University of South Carolina"/>
    <s v="Short Term Acute Care Hospital"/>
    <s v="Charleston"/>
    <n v="595.5"/>
    <n v="6"/>
    <n v="1677"/>
    <n v="681"/>
    <n v="114"/>
    <n v="0.33"/>
    <n v="467"/>
    <n v="2.2400000000000002"/>
    <n v="3623"/>
    <n v="35919"/>
  </r>
  <r>
    <x v="2177"/>
    <n v="420104"/>
    <s v="SC"/>
    <s v="SC - Charleston"/>
    <n v="29466"/>
    <s v="Roper St Francis Healthcare - Roper St Francis Mount Pleasant Hospital"/>
    <s v="Short Term Acute Care Hospital"/>
    <s v="Mount Pleasant"/>
    <n v="25.4"/>
    <n v="3.4"/>
    <n v="100"/>
    <n v="84"/>
    <n v="10"/>
    <n v="0.33"/>
    <n v="84"/>
    <n v="1.59"/>
    <n v="274172"/>
    <n v="2747"/>
  </r>
  <r>
    <x v="2177"/>
    <s v="420004*"/>
    <s v="SC"/>
    <s v="SC - Charleston"/>
    <n v="29425"/>
    <s v="Medical University of South Carolina - Ashley River Tower"/>
    <s v="Short Term Acute Care Hospital"/>
    <s v="Charleston"/>
    <m/>
    <m/>
    <m/>
    <m/>
    <m/>
    <m/>
    <n v="156"/>
    <m/>
    <n v="581950"/>
    <m/>
  </r>
  <r>
    <x v="2177"/>
    <s v="420006 (Closed)"/>
    <s v="SC"/>
    <s v="SC - Charleston"/>
    <n v="29425"/>
    <s v="Charleston Memorial Hospital (Closed 2008)"/>
    <s v="Short Term Acute Care Hospital"/>
    <s v="Charleston"/>
    <n v="16.5"/>
    <n v="71.7"/>
    <m/>
    <m/>
    <m/>
    <n v="0.33"/>
    <m/>
    <m/>
    <n v="4841"/>
    <n v="84"/>
  </r>
  <r>
    <x v="2178"/>
    <n v="420043"/>
    <s v="SC"/>
    <s v="SC - Cherokee"/>
    <n v="29340"/>
    <s v="Cherokee Medical Center (FKA Mary Black Health System - Gaffney)"/>
    <s v="Short Term Acute Care Hospital"/>
    <s v="Gaffney"/>
    <n v="15.1"/>
    <n v="3.8"/>
    <n v="59"/>
    <n v="44"/>
    <n v="12"/>
    <n v="1"/>
    <n v="44"/>
    <n v="1.48"/>
    <n v="3624"/>
    <n v="1443"/>
  </r>
  <r>
    <x v="2179"/>
    <n v="420019"/>
    <s v="SC"/>
    <s v="SC - Chester"/>
    <n v="29706"/>
    <s v="MUSC Health Chester Medical Center (FKA Chester Regional Medical Center)"/>
    <s v="Short Term Acute Care Hospital"/>
    <s v="Chester"/>
    <n v="7.7"/>
    <n v="3.4"/>
    <n v="30"/>
    <n v="36"/>
    <n v="6"/>
    <n v="0.16"/>
    <n v="36"/>
    <n v="1.4"/>
    <n v="3625"/>
    <n v="825"/>
  </r>
  <r>
    <x v="2180"/>
    <n v="420107"/>
    <s v="SC"/>
    <s v="SC - Chesterfield"/>
    <n v="29520"/>
    <s v="McLeod Health Cheraw (FKA Chesterfield General Hospital)"/>
    <s v="Short Term Acute Care Hospital"/>
    <s v="Cheraw"/>
    <n v="26.8"/>
    <n v="5.0999999999999996"/>
    <n v="72"/>
    <n v="48"/>
    <n v="6"/>
    <m/>
    <n v="48"/>
    <n v="1.38"/>
    <n v="3626"/>
    <n v="1927"/>
  </r>
  <r>
    <x v="2181"/>
    <n v="420109"/>
    <s v="SC"/>
    <s v="SC - Clarendon"/>
    <n v="29102"/>
    <s v="McLeod Health Clarendon (FKA Clarendon Memorial Hospital)"/>
    <s v="Short Term Acute Care Hospital"/>
    <s v="Manning"/>
    <n v="20.399999999999999"/>
    <n v="3.9"/>
    <n v="93"/>
    <n v="49"/>
    <n v="6"/>
    <n v="0.69"/>
    <n v="49"/>
    <n v="1.41"/>
    <n v="3627"/>
    <n v="2083"/>
  </r>
  <r>
    <x v="2182"/>
    <n v="420030"/>
    <s v="SC"/>
    <s v="SC - Colleton"/>
    <n v="29488"/>
    <s v="Colleton Medical Center"/>
    <s v="Short Term Acute Care Hospital"/>
    <s v="Walterboro"/>
    <n v="38"/>
    <n v="3.9"/>
    <n v="100"/>
    <n v="102"/>
    <n v="8"/>
    <m/>
    <n v="102"/>
    <n v="1.43"/>
    <n v="3628"/>
    <n v="3662"/>
  </r>
  <r>
    <x v="2183"/>
    <n v="420010"/>
    <s v="SC"/>
    <s v="SC - Darlington"/>
    <n v="29550"/>
    <s v="Carolina Pines Regional Medical Center"/>
    <s v="Short Term Acute Care Hospital"/>
    <s v="Hartsville"/>
    <n v="38.799999999999997"/>
    <n v="3.6"/>
    <n v="94"/>
    <n v="116"/>
    <n v="12"/>
    <n v="0.53"/>
    <n v="116"/>
    <n v="1.53"/>
    <n v="3629"/>
    <n v="4412"/>
  </r>
  <r>
    <x v="2183"/>
    <n v="420057"/>
    <s v="SC"/>
    <s v="SC - Darlington"/>
    <n v="29532"/>
    <s v="McLeod Health Darlington (FKA Wilson Hospital)"/>
    <s v="Short Term Acute Care Hospital"/>
    <s v="Darlington"/>
    <n v="18.8"/>
    <n v="163.1"/>
    <n v="10"/>
    <n v="36"/>
    <m/>
    <n v="0.53"/>
    <n v="36"/>
    <n v="1.1200000000000001"/>
    <n v="3630"/>
    <n v="42"/>
  </r>
  <r>
    <x v="2184"/>
    <n v="420005"/>
    <s v="SC"/>
    <s v="SC - Dillon"/>
    <n v="29536"/>
    <s v="McLeod Health Dillon"/>
    <s v="Short Term Acute Care Hospital"/>
    <s v="Dillon"/>
    <n v="20.9"/>
    <n v="4.5999999999999996"/>
    <n v="56"/>
    <n v="72"/>
    <n v="6"/>
    <m/>
    <n v="72"/>
    <n v="1.25"/>
    <n v="3631"/>
    <n v="1793"/>
  </r>
  <r>
    <x v="2185"/>
    <s v="420079*"/>
    <s v="SC"/>
    <s v="SC - Dorchester"/>
    <n v="29485"/>
    <s v="Summerville Medical Center"/>
    <s v="Short Term Acute Care Hospital"/>
    <s v="Summerville"/>
    <m/>
    <m/>
    <m/>
    <m/>
    <m/>
    <m/>
    <n v="94"/>
    <m/>
    <n v="274302"/>
    <m/>
  </r>
  <r>
    <x v="2185"/>
    <n v="420110"/>
    <s v="SC"/>
    <s v="SC - Dorchester"/>
    <n v="29483"/>
    <s v="Roper St Francis Healthcare (AKA Berkeley Hospital)"/>
    <s v="Short Term Acute Care Hospital"/>
    <s v="Summerville"/>
    <m/>
    <m/>
    <n v="6"/>
    <m/>
    <m/>
    <m/>
    <m/>
    <m/>
    <n v="847834"/>
    <m/>
  </r>
  <r>
    <x v="2186"/>
    <n v="420091"/>
    <s v="SC"/>
    <s v="SC - Florence"/>
    <n v="29505"/>
    <s v="Florence Medical Center (FKA Carolinas Hospital System - Florence)"/>
    <s v="Short Term Acute Care Hospital"/>
    <s v="Florence"/>
    <n v="137.6"/>
    <n v="5.3"/>
    <n v="152"/>
    <n v="354"/>
    <n v="37"/>
    <n v="0.53"/>
    <n v="354"/>
    <n v="1.62"/>
    <n v="3634"/>
    <n v="10067"/>
  </r>
  <r>
    <x v="2186"/>
    <n v="420066"/>
    <s v="SC"/>
    <s v="SC - Florence"/>
    <n v="29560"/>
    <s v="Lake City Community Hospital"/>
    <s v="Short Term Acute Care Hospital"/>
    <s v="Lake City"/>
    <n v="7"/>
    <n v="4.5"/>
    <n v="46"/>
    <n v="26"/>
    <m/>
    <n v="0.53"/>
    <n v="26"/>
    <n v="1"/>
    <n v="3635"/>
    <n v="569"/>
  </r>
  <r>
    <x v="2186"/>
    <n v="420051"/>
    <s v="SC"/>
    <s v="SC - Florence"/>
    <n v="29506"/>
    <s v="McLeod Regional Medical Center"/>
    <s v="Short Term Acute Care Hospital"/>
    <s v="Florence"/>
    <n v="388.3"/>
    <n v="5.8"/>
    <n v="502"/>
    <n v="524"/>
    <n v="30"/>
    <n v="0.53"/>
    <n v="461"/>
    <n v="1.88"/>
    <n v="3636"/>
    <n v="24873"/>
  </r>
  <r>
    <x v="2187"/>
    <n v="420020"/>
    <s v="SC"/>
    <s v="SC - Georgetown"/>
    <n v="29440"/>
    <s v="Tidelands Georgetown Memorial Hospital"/>
    <s v="Short Term Acute Care Hospital"/>
    <s v="Georgetown"/>
    <n v="44.1"/>
    <n v="4.3"/>
    <n v="164"/>
    <n v="131"/>
    <n v="10"/>
    <n v="1"/>
    <n v="131"/>
    <n v="1.58"/>
    <n v="3637"/>
    <n v="3838"/>
  </r>
  <r>
    <x v="2188"/>
    <n v="420102"/>
    <s v="SC"/>
    <s v="SC - Greenville"/>
    <n v="29615"/>
    <s v="Patewood Hospital"/>
    <s v="Short Term Acute Care Hospital"/>
    <s v="Greenville"/>
    <n v="16.5"/>
    <n v="1.7"/>
    <n v="161"/>
    <n v="62"/>
    <m/>
    <n v="0.26"/>
    <n v="62"/>
    <n v="2.16"/>
    <n v="3639"/>
    <n v="5940"/>
  </r>
  <r>
    <x v="2188"/>
    <n v="420103"/>
    <s v="SC"/>
    <s v="SC - Greenville"/>
    <n v="29651"/>
    <s v="Pelham Medical Center (FKA Village Hospital)"/>
    <s v="Short Term Acute Care Hospital"/>
    <s v="Greer"/>
    <n v="26.6"/>
    <n v="3.7"/>
    <n v="54"/>
    <n v="48"/>
    <n v="4"/>
    <n v="0.26"/>
    <n v="48"/>
    <n v="1.69"/>
    <n v="3640"/>
    <n v="2599"/>
  </r>
  <r>
    <x v="2188"/>
    <n v="420078"/>
    <s v="SC"/>
    <s v="SC - Greenville"/>
    <n v="29605"/>
    <s v="Greenville Memorial Hospital"/>
    <s v="Short Term Acute Care Hospital"/>
    <s v="Greenville"/>
    <n v="522.5"/>
    <n v="5.7"/>
    <n v="1384"/>
    <n v="697"/>
    <n v="107"/>
    <n v="0.26"/>
    <n v="697"/>
    <n v="2.19"/>
    <n v="3641"/>
    <n v="34491"/>
  </r>
  <r>
    <x v="2188"/>
    <n v="420023"/>
    <s v="SC"/>
    <s v="SC - Greenville"/>
    <n v="29601"/>
    <s v="St Francis Downtown"/>
    <s v="Short Term Acute Care Hospital"/>
    <s v="Greenville"/>
    <n v="222.9"/>
    <n v="4.5999999999999996"/>
    <n v="639"/>
    <n v="319"/>
    <n v="33"/>
    <n v="0.26"/>
    <n v="245"/>
    <n v="1.86"/>
    <n v="3642"/>
    <n v="18978"/>
  </r>
  <r>
    <x v="2188"/>
    <n v="420033"/>
    <s v="SC"/>
    <s v="SC - Greenville"/>
    <n v="29650"/>
    <s v="Greer Memorial Hospital"/>
    <s v="Short Term Acute Care Hospital"/>
    <s v="Greer"/>
    <n v="23.5"/>
    <n v="2.8"/>
    <n v="109"/>
    <n v="58"/>
    <n v="8"/>
    <n v="0.26"/>
    <n v="58"/>
    <n v="1.33"/>
    <n v="3643"/>
    <n v="3652"/>
  </r>
  <r>
    <x v="2188"/>
    <n v="420037"/>
    <s v="SC"/>
    <s v="SC - Greenville"/>
    <n v="29681"/>
    <s v="Hillcrest Hospital"/>
    <s v="Short Term Acute Care Hospital"/>
    <s v="Simpsonville"/>
    <n v="14.7"/>
    <n v="3"/>
    <n v="97"/>
    <n v="39"/>
    <n v="6"/>
    <n v="0.26"/>
    <n v="39"/>
    <n v="1.4"/>
    <n v="3644"/>
    <n v="1774"/>
  </r>
  <r>
    <x v="2188"/>
    <s v="420023*"/>
    <s v="SC"/>
    <s v="SC - Greenville"/>
    <n v="29615"/>
    <s v="St Francis Eastside (FKA St Francis Womens &amp; Family Hospital)"/>
    <s v="Short Term Acute Care Hospital"/>
    <s v="Greenville"/>
    <m/>
    <m/>
    <n v="13"/>
    <m/>
    <m/>
    <m/>
    <n v="93"/>
    <m/>
    <n v="578010"/>
    <m/>
  </r>
  <r>
    <x v="2189"/>
    <n v="420071"/>
    <s v="SC"/>
    <s v="SC - Greenwood"/>
    <n v="29646"/>
    <s v="Self Regional Healthcare"/>
    <s v="Short Term Acute Care Hospital"/>
    <s v="Greenwood"/>
    <n v="141.5"/>
    <n v="4.9000000000000004"/>
    <n v="416"/>
    <n v="290"/>
    <n v="20"/>
    <n v="1"/>
    <n v="290"/>
    <n v="1.64"/>
    <n v="3645"/>
    <n v="10945"/>
  </r>
  <r>
    <x v="2190"/>
    <n v="420072"/>
    <s v="SC"/>
    <s v="SC - Hampton"/>
    <n v="29944"/>
    <s v="Hampton Regional Medical Center"/>
    <s v="Short Term Acute Care Hospital"/>
    <s v="Varnville"/>
    <n v="7"/>
    <n v="3.8"/>
    <n v="43"/>
    <n v="32"/>
    <n v="6"/>
    <m/>
    <n v="32"/>
    <n v="1.29"/>
    <n v="3646"/>
    <n v="672"/>
  </r>
  <r>
    <x v="2191"/>
    <n v="420098"/>
    <s v="SC"/>
    <s v="SC - Horry"/>
    <n v="29576"/>
    <s v="Tidelands Waccamaw Community Hospital"/>
    <s v="Short Term Acute Care Hospital"/>
    <s v="Murrells Inlet"/>
    <n v="65.400000000000006"/>
    <n v="3.7"/>
    <n v="242"/>
    <n v="124"/>
    <n v="8"/>
    <n v="0.25"/>
    <n v="124"/>
    <n v="1.58"/>
    <n v="3638"/>
    <n v="6894"/>
  </r>
  <r>
    <x v="2191"/>
    <n v="420105"/>
    <s v="SC"/>
    <s v="SC - Horry"/>
    <n v="29569"/>
    <s v="McLeod Health Loris (FKA Loris Community Hospital)"/>
    <s v="Short Term Acute Care Hospital"/>
    <s v="Loris"/>
    <n v="74.599999999999994"/>
    <n v="4.2"/>
    <n v="226"/>
    <n v="155"/>
    <n v="16"/>
    <n v="0.25"/>
    <n v="50"/>
    <n v="1.61"/>
    <n v="3647"/>
    <n v="6704"/>
  </r>
  <r>
    <x v="2191"/>
    <n v="420085"/>
    <s v="SC"/>
    <s v="SC - Horry"/>
    <n v="29572"/>
    <s v="Grand Strand Medical Center"/>
    <s v="Short Term Acute Care Hospital"/>
    <s v="Myrtle Beach"/>
    <n v="271"/>
    <n v="4.7"/>
    <n v="506"/>
    <n v="325"/>
    <n v="56"/>
    <n v="0.25"/>
    <n v="325"/>
    <n v="1.79"/>
    <n v="3648"/>
    <n v="21789"/>
  </r>
  <r>
    <x v="2191"/>
    <n v="420049"/>
    <s v="SC"/>
    <s v="SC - Horry"/>
    <n v="29526"/>
    <s v="Conway Medical Center"/>
    <s v="Short Term Acute Care Hospital"/>
    <s v="Conway"/>
    <n v="96.4"/>
    <n v="4.3"/>
    <n v="235"/>
    <n v="166"/>
    <n v="20"/>
    <n v="0.25"/>
    <n v="166"/>
    <n v="1.55"/>
    <n v="3649"/>
    <n v="8954"/>
  </r>
  <r>
    <x v="2191"/>
    <s v="420105*"/>
    <s v="SC"/>
    <s v="SC - Horry"/>
    <n v="29566"/>
    <s v="McLeod Health Seacoast (FKA Seacoast Medical Center)"/>
    <s v="Short Term Acute Care Hospital"/>
    <s v="Little River"/>
    <m/>
    <m/>
    <m/>
    <m/>
    <m/>
    <m/>
    <n v="50"/>
    <m/>
    <n v="551524"/>
    <m/>
  </r>
  <r>
    <x v="2192"/>
    <n v="420101"/>
    <s v="SC"/>
    <s v="SC - Jasper"/>
    <n v="29927"/>
    <s v="Coastal Carolina Hospital"/>
    <s v="Short Term Acute Care Hospital"/>
    <s v="Hardeeville"/>
    <n v="24.8"/>
    <n v="3.5"/>
    <n v="69"/>
    <n v="41"/>
    <n v="4"/>
    <n v="0.41"/>
    <n v="41"/>
    <n v="1.28"/>
    <n v="3650"/>
    <n v="2916"/>
  </r>
  <r>
    <x v="2193"/>
    <n v="420048"/>
    <s v="SC"/>
    <s v="SC - Kershaw"/>
    <n v="29020"/>
    <s v="KershawHealth Medical Center"/>
    <s v="Short Term Acute Care Hospital"/>
    <s v="Camden"/>
    <n v="40.200000000000003"/>
    <n v="4.0999999999999996"/>
    <n v="158"/>
    <n v="101"/>
    <n v="10"/>
    <n v="0.28000000000000003"/>
    <n v="101"/>
    <n v="1.38"/>
    <n v="3651"/>
    <n v="3705"/>
  </r>
  <r>
    <x v="2194"/>
    <n v="420036"/>
    <s v="SC"/>
    <s v="SC - Lancaster"/>
    <n v="29720"/>
    <s v="Lancaster Medical Center (FKA Springs Memorial Hospital)"/>
    <s v="Short Term Acute Care Hospital"/>
    <s v="Lancaster"/>
    <n v="46.6"/>
    <n v="4.2"/>
    <n v="105"/>
    <n v="166"/>
    <n v="20"/>
    <n v="0.16"/>
    <n v="166"/>
    <n v="1.34"/>
    <n v="3652"/>
    <n v="4407"/>
  </r>
  <r>
    <x v="2195"/>
    <n v="420038"/>
    <s v="SC"/>
    <s v="SC - Laurens"/>
    <n v="29325"/>
    <s v="Laurens County Hospital"/>
    <s v="Short Term Acute Care Hospital"/>
    <s v="Clinton"/>
    <n v="19.600000000000001"/>
    <n v="3.6"/>
    <n v="95"/>
    <n v="47"/>
    <m/>
    <n v="0.26"/>
    <n v="47"/>
    <n v="1.6"/>
    <n v="3653"/>
    <n v="2168"/>
  </r>
  <r>
    <x v="2196"/>
    <n v="420073"/>
    <s v="SC"/>
    <s v="SC - Lexington"/>
    <n v="29169"/>
    <s v="Lexington Medical Center"/>
    <s v="Short Term Acute Care Hospital"/>
    <s v="West Columbia"/>
    <n v="336.3"/>
    <n v="5.4"/>
    <n v="718"/>
    <n v="481"/>
    <n v="21"/>
    <n v="0.28000000000000003"/>
    <n v="481"/>
    <n v="1.9"/>
    <n v="3654"/>
    <n v="24484"/>
  </r>
  <r>
    <x v="2196"/>
    <n v="420106"/>
    <s v="SC"/>
    <s v="SC - Lexington"/>
    <n v="29212"/>
    <s v="Prisma Health Baptist Parkridge Hospital (FKA Palmetto Health Baptist Parkridge)"/>
    <s v="Short Term Acute Care Hospital"/>
    <s v="Columbia"/>
    <n v="41.1"/>
    <n v="4.2"/>
    <n v="101"/>
    <n v="70"/>
    <n v="16"/>
    <n v="0.28000000000000003"/>
    <n v="70"/>
    <n v="1.77"/>
    <n v="550791"/>
    <n v="3997"/>
  </r>
  <r>
    <x v="2197"/>
    <n v="420055"/>
    <s v="SC"/>
    <s v="SC - Marion"/>
    <n v="29574"/>
    <s v="Marion Medical Center (FKA Carolinas Hospital System - Marion)"/>
    <s v="Short Term Acute Care Hospital"/>
    <s v="Mullins"/>
    <n v="19.5"/>
    <n v="4"/>
    <n v="45"/>
    <n v="94"/>
    <n v="10"/>
    <m/>
    <n v="94"/>
    <n v="1.38"/>
    <n v="3655"/>
    <n v="1805"/>
  </r>
  <r>
    <x v="2198"/>
    <s v="420054 (Closed)"/>
    <s v="SC"/>
    <s v="SC - Marlboro"/>
    <n v="29512"/>
    <s v="Marlboro Park Hospital (Closed April 2015)"/>
    <s v="Short Term Acute Care Hospital"/>
    <s v="Bennettsville"/>
    <n v="8.6"/>
    <n v="3.2"/>
    <m/>
    <m/>
    <m/>
    <n v="1"/>
    <m/>
    <m/>
    <n v="3656"/>
    <n v="1035"/>
  </r>
  <r>
    <x v="2199"/>
    <n v="420053"/>
    <s v="SC"/>
    <s v="SC - Newberry"/>
    <n v="29108"/>
    <s v="Newberry County Memorial Hospital"/>
    <s v="Short Term Acute Care Hospital"/>
    <s v="Newberry"/>
    <n v="17.7"/>
    <n v="3.6"/>
    <n v="82"/>
    <n v="48"/>
    <n v="7"/>
    <n v="1"/>
    <n v="48"/>
    <n v="1.6"/>
    <n v="3657"/>
    <n v="1934"/>
  </r>
  <r>
    <x v="2200"/>
    <n v="420009"/>
    <s v="SC"/>
    <s v="SC - Oconee"/>
    <n v="29672"/>
    <s v="Oconee Memorial Hospital (FKA Oconee Medical Center)"/>
    <s v="Short Term Acute Care Hospital"/>
    <s v="Seneca"/>
    <n v="53.5"/>
    <n v="4.2"/>
    <n v="219"/>
    <n v="133"/>
    <m/>
    <n v="1"/>
    <n v="133"/>
    <n v="1.45"/>
    <n v="3658"/>
    <n v="4855"/>
  </r>
  <r>
    <x v="2201"/>
    <n v="420068"/>
    <s v="SC"/>
    <s v="SC - Orangeburg"/>
    <n v="29118"/>
    <s v="The Regional Medical Center (TRMC) of Orangeburg &amp; Calhoun"/>
    <s v="Short Term Acute Care Hospital"/>
    <s v="Orangeburg"/>
    <n v="113.8"/>
    <n v="5.3"/>
    <n v="253"/>
    <n v="251"/>
    <n v="20"/>
    <n v="1"/>
    <n v="251"/>
    <n v="1.54"/>
    <n v="3659"/>
    <n v="8111"/>
  </r>
  <r>
    <x v="2202"/>
    <n v="420011"/>
    <s v="SC"/>
    <s v="SC - Pickens"/>
    <n v="29671"/>
    <s v="AnMed Health Cannon (FKA Cannon Memorial Hospital)"/>
    <s v="Short Term Acute Care Hospital"/>
    <s v="Pickens"/>
    <n v="7"/>
    <n v="3.4"/>
    <n v="39"/>
    <n v="42"/>
    <n v="4"/>
    <n v="0.26"/>
    <n v="42"/>
    <n v="1.21"/>
    <n v="3660"/>
    <n v="749"/>
  </r>
  <r>
    <x v="2202"/>
    <n v="420015"/>
    <s v="SC"/>
    <s v="SC - Pickens"/>
    <n v="29640"/>
    <s v="Baptist Easley Hospital"/>
    <s v="Short Term Acute Care Hospital"/>
    <s v="Easley"/>
    <n v="30.3"/>
    <n v="3.7"/>
    <n v="142"/>
    <n v="69"/>
    <m/>
    <n v="0.26"/>
    <n v="69"/>
    <n v="1.5"/>
    <n v="3661"/>
    <n v="3216"/>
  </r>
  <r>
    <x v="2203"/>
    <n v="420018"/>
    <s v="SC"/>
    <s v="SC - Richland"/>
    <n v="29203"/>
    <s v="Prisma Health Richland Hospital (FKA Palmetto Health Richland)"/>
    <s v="Short Term Acute Care Hospital"/>
    <s v="Columbia"/>
    <n v="463.2"/>
    <n v="6.9"/>
    <n v="1018"/>
    <n v="627"/>
    <n v="48"/>
    <n v="0.28000000000000003"/>
    <n v="627"/>
    <n v="2.23"/>
    <n v="3662"/>
    <n v="25097"/>
  </r>
  <r>
    <x v="2203"/>
    <n v="420026"/>
    <s v="SC"/>
    <s v="SC - Richland"/>
    <n v="29204"/>
    <s v="Providence Health"/>
    <s v="Short Term Acute Care Hospital"/>
    <s v="Columbia"/>
    <n v="107.5"/>
    <n v="6.3"/>
    <n v="228"/>
    <n v="332"/>
    <n v="18"/>
    <n v="0.28000000000000003"/>
    <n v="247"/>
    <n v="1.84"/>
    <n v="3663"/>
    <n v="6190"/>
  </r>
  <r>
    <x v="2203"/>
    <n v="420086"/>
    <s v="SC"/>
    <s v="SC - Richland"/>
    <n v="29220"/>
    <s v="Prisma Health Baptist Hospital (FKA Palmetto Health Baptist)"/>
    <s v="Short Term Acute Care Hospital"/>
    <s v="Columbia"/>
    <n v="154.80000000000001"/>
    <n v="5.5"/>
    <n v="234"/>
    <n v="288"/>
    <n v="18"/>
    <n v="0.28000000000000003"/>
    <n v="288"/>
    <n v="1.86"/>
    <n v="3664"/>
    <n v="11249"/>
  </r>
  <r>
    <x v="2203"/>
    <s v="420026*"/>
    <s v="SC"/>
    <s v="SC - Richland"/>
    <n v="29203"/>
    <s v="Providence Health Northeast (FKA Providence Orthopedic Hospital)"/>
    <s v="Short Term Acute Care Hospital"/>
    <s v="Columbia"/>
    <m/>
    <m/>
    <m/>
    <m/>
    <m/>
    <m/>
    <n v="74"/>
    <m/>
    <n v="553224"/>
    <m/>
  </r>
  <r>
    <x v="2203"/>
    <s v="420018*"/>
    <s v="SC"/>
    <s v="SC - Richland"/>
    <n v="29203"/>
    <s v="Prisma Health Heart Hospital (FKA Palmetto Health Heart Hospital)"/>
    <s v="Short Term Acute Care Hospital"/>
    <s v="Columbia"/>
    <m/>
    <m/>
    <n v="3"/>
    <m/>
    <m/>
    <m/>
    <n v="124"/>
    <m/>
    <n v="579924"/>
    <m/>
  </r>
  <r>
    <x v="2203"/>
    <m/>
    <s v="SC"/>
    <s v="SC - Richland"/>
    <n v="29203"/>
    <s v="Columbia Regional Care Center"/>
    <s v="Short Term Acute Care Hospital"/>
    <s v="Columbia"/>
    <m/>
    <m/>
    <m/>
    <m/>
    <m/>
    <m/>
    <m/>
    <m/>
    <n v="867063"/>
    <m/>
  </r>
  <r>
    <x v="2204"/>
    <n v="420007"/>
    <s v="SC"/>
    <s v="SC - Spartanburg"/>
    <n v="29303"/>
    <s v="Spartanburg Medical Center"/>
    <s v="Short Term Acute Care Hospital"/>
    <s v="Spartanburg"/>
    <n v="457.9"/>
    <n v="5.9"/>
    <n v="1019"/>
    <n v="644"/>
    <n v="49"/>
    <n v="0.81"/>
    <n v="644"/>
    <n v="1.83"/>
    <n v="3667"/>
    <n v="29891"/>
  </r>
  <r>
    <x v="2204"/>
    <n v="420083"/>
    <s v="SC"/>
    <s v="SC - Spartanburg"/>
    <n v="29307"/>
    <s v="Spartanburg Medical Center - Mary Black Campus (FKA Mary Black Health System - Spartanburg)"/>
    <s v="Short Term Acute Care Hospital"/>
    <s v="Spartanburg"/>
    <n v="57.6"/>
    <n v="4.2"/>
    <n v="64"/>
    <n v="148"/>
    <n v="18"/>
    <n v="0.81"/>
    <n v="148"/>
    <n v="1.52"/>
    <n v="3666"/>
    <n v="5492"/>
  </r>
  <r>
    <x v="2205"/>
    <n v="420070"/>
    <s v="SC"/>
    <s v="SC - Sumter"/>
    <n v="29150"/>
    <s v="Prisma Health Tuomey Hospital (FKA Palmetto Health Tuomey)"/>
    <s v="Short Term Acute Care Hospital"/>
    <s v="Sumter"/>
    <n v="118.5"/>
    <n v="5.4"/>
    <n v="291"/>
    <n v="173"/>
    <n v="17"/>
    <n v="0.69"/>
    <n v="173"/>
    <n v="1.42"/>
    <n v="3668"/>
    <n v="8602"/>
  </r>
  <r>
    <x v="2206"/>
    <n v="420108"/>
    <s v="SC"/>
    <s v="SC - Union"/>
    <n v="29379"/>
    <s v="Union Medical Center (FKA Wallace Thomson Hospital)"/>
    <s v="Short Term Acute Care Hospital"/>
    <s v="Union"/>
    <n v="6.6"/>
    <n v="6.4"/>
    <n v="23"/>
    <n v="43"/>
    <m/>
    <n v="1"/>
    <n v="43"/>
    <n v="0.99"/>
    <n v="3669"/>
    <n v="379"/>
  </r>
  <r>
    <x v="2207"/>
    <n v="420002"/>
    <s v="SC"/>
    <s v="SC - York"/>
    <n v="29732"/>
    <s v="Piedmont Medical Center"/>
    <s v="Short Term Acute Care Hospital"/>
    <s v="Rock Hill"/>
    <n v="177.8"/>
    <n v="4.8"/>
    <n v="437"/>
    <n v="268"/>
    <n v="24"/>
    <n v="0.16"/>
    <n v="268"/>
    <n v="1.56"/>
    <n v="3671"/>
    <n v="14485"/>
  </r>
  <r>
    <x v="2207"/>
    <m/>
    <s v="SC"/>
    <s v="SC - York"/>
    <n v="29715"/>
    <s v="Fort Mill Medical Center (Opening 2020)"/>
    <s v="Short Term Acute Care Hospital"/>
    <s v="Fort Mill"/>
    <m/>
    <m/>
    <m/>
    <m/>
    <m/>
    <m/>
    <m/>
    <m/>
    <n v="585541"/>
    <m/>
  </r>
  <r>
    <x v="2208"/>
    <n v="430008"/>
    <s v="SD"/>
    <s v="SD - Brookings"/>
    <n v="57006"/>
    <s v="Brookings Health System (FKA Brookings Hospital)"/>
    <s v="Short Term Acute Care Hospital"/>
    <s v="Brookings"/>
    <n v="10.9"/>
    <n v="4.0999999999999996"/>
    <n v="72"/>
    <n v="49"/>
    <m/>
    <n v="1"/>
    <n v="49"/>
    <n v="1.19"/>
    <n v="3674"/>
    <n v="1137"/>
  </r>
  <r>
    <x v="2209"/>
    <n v="430014"/>
    <s v="SD"/>
    <s v="SD - Brown"/>
    <n v="57401"/>
    <s v="Avera St Lukes Hospital"/>
    <s v="Short Term Acute Care Hospital"/>
    <s v="Aberdeen"/>
    <n v="33.299999999999997"/>
    <n v="3.2"/>
    <n v="131"/>
    <n v="49"/>
    <n v="6"/>
    <n v="0.56000000000000005"/>
    <n v="49"/>
    <n v="1.75"/>
    <n v="3675"/>
    <n v="4083"/>
  </r>
  <r>
    <x v="2209"/>
    <n v="430097"/>
    <s v="SD"/>
    <s v="SD - Brown"/>
    <n v="57401"/>
    <s v="Sanford Aberdeen Medical Center"/>
    <s v="Short Term Acute Care Hospital"/>
    <s v="Aberdeen"/>
    <n v="9.8000000000000007"/>
    <n v="2.5"/>
    <n v="87"/>
    <n v="48"/>
    <m/>
    <n v="0.56000000000000005"/>
    <n v="48"/>
    <n v="1.31"/>
    <n v="576759"/>
    <n v="1653"/>
  </r>
  <r>
    <x v="2209"/>
    <s v="430092 (Closed)"/>
    <s v="SD"/>
    <s v="SD - Brown"/>
    <n v="57401"/>
    <s v="Avera Dakota Plains Surgical Center (Closed)"/>
    <s v="Short Term Acute Care Hospital"/>
    <s v="Aberdeen"/>
    <n v="2.1"/>
    <n v="2.7"/>
    <m/>
    <m/>
    <m/>
    <n v="0.56000000000000005"/>
    <m/>
    <m/>
    <n v="3676"/>
    <n v="291"/>
  </r>
  <r>
    <x v="2210"/>
    <n v="430005"/>
    <s v="SD"/>
    <s v="SD - Codington"/>
    <n v="57201"/>
    <s v="Prairie Lakes Healthcare System"/>
    <s v="Short Term Acute Care Hospital"/>
    <s v="Watertown"/>
    <n v="21.7"/>
    <n v="3.3"/>
    <n v="123"/>
    <n v="81"/>
    <n v="8"/>
    <n v="1"/>
    <n v="81"/>
    <n v="1.55"/>
    <n v="3681"/>
    <n v="2714"/>
  </r>
  <r>
    <x v="2211"/>
    <n v="430013"/>
    <s v="SD"/>
    <s v="SD - Davison"/>
    <n v="57301"/>
    <s v="Avera Queen of Peace Hospital"/>
    <s v="Short Term Acute Care Hospital"/>
    <s v="Mitchell"/>
    <n v="16.899999999999999"/>
    <n v="4.0999999999999996"/>
    <n v="89"/>
    <n v="50"/>
    <n v="8"/>
    <n v="1"/>
    <n v="50"/>
    <n v="1.48"/>
    <n v="3683"/>
    <n v="1741"/>
  </r>
  <r>
    <x v="2212"/>
    <n v="430083"/>
    <s v="SD"/>
    <s v="SD - Dewey"/>
    <n v="57625"/>
    <s v="Cheyenne River Health Center (AKA Eagle Butte Hospital)"/>
    <s v="Short Term Acute Care Hospital"/>
    <s v="Eagle Butte"/>
    <n v="2.2999999999999998"/>
    <n v="4.4000000000000004"/>
    <n v="33"/>
    <n v="8"/>
    <m/>
    <m/>
    <n v="8"/>
    <n v="0.81"/>
    <n v="3684"/>
    <n v="189"/>
  </r>
  <r>
    <x v="2213"/>
    <n v="430015"/>
    <s v="SD"/>
    <s v="SD - Hughes"/>
    <n v="57501"/>
    <s v="Avera St Marys Hospital"/>
    <s v="Short Term Acute Care Hospital"/>
    <s v="Pierre"/>
    <n v="11.5"/>
    <n v="3"/>
    <n v="92"/>
    <n v="50"/>
    <n v="6"/>
    <n v="1"/>
    <n v="50"/>
    <n v="1.47"/>
    <n v="3690"/>
    <n v="1655"/>
  </r>
  <r>
    <x v="948"/>
    <n v="430048"/>
    <s v="SD"/>
    <s v="SD - Lawrence"/>
    <n v="57783"/>
    <s v="Monument Health Spearfish Hospital (FKA Regional Health Spearfish Hospital)"/>
    <s v="Short Term Acute Care Hospital"/>
    <s v="Spearfish"/>
    <n v="8.6"/>
    <n v="2.6"/>
    <n v="106"/>
    <n v="27"/>
    <n v="3"/>
    <n v="0.76"/>
    <n v="27"/>
    <n v="1.64"/>
    <n v="3697"/>
    <n v="1514"/>
  </r>
  <r>
    <x v="949"/>
    <n v="430095"/>
    <s v="SD"/>
    <s v="SD - Lincoln"/>
    <n v="57108"/>
    <s v="Avera Heart Hospital"/>
    <s v="Short Term Acute Care Hospital"/>
    <s v="Sioux Falls"/>
    <n v="23.7"/>
    <n v="3.9"/>
    <n v="48"/>
    <n v="53"/>
    <m/>
    <n v="0.4"/>
    <n v="53"/>
    <n v="2.98"/>
    <n v="3698"/>
    <n v="2239"/>
  </r>
  <r>
    <x v="949"/>
    <m/>
    <s v="SD"/>
    <s v="SD - Lincoln"/>
    <n v="57108"/>
    <s v="Avera on Louise Health Campus"/>
    <s v="Short Term Acute Care Hospital"/>
    <s v="Sioux Falls"/>
    <m/>
    <m/>
    <m/>
    <m/>
    <m/>
    <m/>
    <m/>
    <m/>
    <n v="1006626"/>
    <m/>
  </r>
  <r>
    <x v="953"/>
    <n v="430016"/>
    <s v="SD"/>
    <s v="SD - Minnehaha"/>
    <n v="57105"/>
    <s v="Avera McKennan Hospital &amp; University Health Center"/>
    <s v="Short Term Acute Care Hospital"/>
    <s v="Sioux Falls"/>
    <n v="315.7"/>
    <n v="4.9000000000000004"/>
    <n v="740"/>
    <n v="455"/>
    <n v="29"/>
    <n v="0.4"/>
    <n v="455"/>
    <n v="1.74"/>
    <n v="3701"/>
    <n v="24800"/>
  </r>
  <r>
    <x v="953"/>
    <n v="430027"/>
    <s v="SD"/>
    <s v="SD - Minnehaha"/>
    <n v="57117"/>
    <s v="Sanford USD Medical Center"/>
    <s v="Short Term Acute Care Hospital"/>
    <s v="Sioux Falls"/>
    <n v="305.3"/>
    <n v="4.7"/>
    <n v="831"/>
    <n v="452"/>
    <n v="27"/>
    <n v="0.4"/>
    <n v="452"/>
    <n v="2"/>
    <n v="3702"/>
    <n v="24964"/>
  </r>
  <r>
    <x v="953"/>
    <n v="430090"/>
    <s v="SD"/>
    <s v="SD - Minnehaha"/>
    <n v="57105"/>
    <s v="Sioux Falls Specialty Hospital"/>
    <s v="Short Term Acute Care Hospital"/>
    <s v="Sioux Falls"/>
    <n v="8.1999999999999993"/>
    <n v="1.5"/>
    <n v="99"/>
    <n v="26"/>
    <m/>
    <n v="0.4"/>
    <n v="26"/>
    <n v="2.35"/>
    <n v="3704"/>
    <n v="2054"/>
  </r>
  <r>
    <x v="953"/>
    <s v="430027*"/>
    <s v="SD"/>
    <s v="SD - Minnehaha"/>
    <n v="57105"/>
    <s v="Sanford Heart Hospital - Sioux Falls"/>
    <s v="Short Term Acute Care Hospital"/>
    <s v="Sioux Falls"/>
    <m/>
    <m/>
    <m/>
    <m/>
    <m/>
    <m/>
    <m/>
    <m/>
    <n v="583168"/>
    <m/>
  </r>
  <r>
    <x v="2214"/>
    <n v="430081"/>
    <s v="SD"/>
    <s v="SD - Oglala Lakota"/>
    <n v="57770"/>
    <s v="Pine Ridge Service Unit (AKA Pine Ridge Hospital)"/>
    <s v="Short Term Acute Care Hospital"/>
    <s v="Pine Ridge"/>
    <n v="11.5"/>
    <n v="3.1"/>
    <n v="46"/>
    <n v="45"/>
    <m/>
    <m/>
    <n v="45"/>
    <m/>
    <n v="3712"/>
    <n v="1347"/>
  </r>
  <r>
    <x v="2215"/>
    <m/>
    <s v="SD"/>
    <s v="SD - Pennington"/>
    <n v="57702"/>
    <s v="Sioux San Hospital (Closed - No Longer Offers Inpatient Care)"/>
    <s v="Short Term Acute Care Hospital"/>
    <s v="Rapid City"/>
    <m/>
    <m/>
    <m/>
    <m/>
    <m/>
    <m/>
    <m/>
    <m/>
    <n v="3707"/>
    <m/>
  </r>
  <r>
    <x v="2215"/>
    <n v="430093"/>
    <s v="SD"/>
    <s v="SD - Pennington"/>
    <n v="57701"/>
    <s v="Same Day Surgery Center in Rapid City"/>
    <s v="Short Term Acute Care Hospital"/>
    <s v="Rapid City"/>
    <n v="0.4"/>
    <n v="1.9"/>
    <n v="4"/>
    <n v="6"/>
    <m/>
    <n v="0.69"/>
    <n v="6"/>
    <n v="1.54"/>
    <n v="3708"/>
    <n v="70"/>
  </r>
  <r>
    <x v="2215"/>
    <n v="430091"/>
    <s v="SD"/>
    <s v="SD - Pennington"/>
    <n v="57701"/>
    <s v="Black Hills Surgical Hospital"/>
    <s v="Short Term Acute Care Hospital"/>
    <s v="Rapid City"/>
    <n v="10.7"/>
    <n v="2.2000000000000002"/>
    <n v="103"/>
    <n v="26"/>
    <m/>
    <n v="0.69"/>
    <n v="26"/>
    <n v="2.31"/>
    <n v="3709"/>
    <n v="1799"/>
  </r>
  <r>
    <x v="2215"/>
    <n v="430077"/>
    <s v="SD"/>
    <s v="SD - Pennington"/>
    <n v="57701"/>
    <s v="Monument Health Rapid City Hospital (FKA Regional Health Rapid City Hospital)"/>
    <s v="Short Term Acute Care Hospital"/>
    <s v="Rapid City"/>
    <n v="221.9"/>
    <n v="4.5999999999999996"/>
    <n v="574"/>
    <n v="370"/>
    <n v="38"/>
    <n v="0.69"/>
    <n v="370"/>
    <n v="1.82"/>
    <n v="3710"/>
    <n v="18361"/>
  </r>
  <r>
    <x v="2215"/>
    <m/>
    <s v="SD"/>
    <s v="SD - Pennington"/>
    <n v="57702"/>
    <s v="Monument Health Orthopedic &amp; Specialty Hospital (FKA Regional Health Orthopedic &amp; Specialty Hospital)"/>
    <s v="Short Term Acute Care Hospital"/>
    <s v="Rapid City"/>
    <m/>
    <m/>
    <m/>
    <m/>
    <m/>
    <m/>
    <m/>
    <m/>
    <n v="1003172"/>
    <m/>
  </r>
  <r>
    <x v="955"/>
    <s v="430060 (Closed)"/>
    <s v="SD"/>
    <s v="SD - Potter"/>
    <n v="57450"/>
    <s v="Holy Infant Hospital (Closed October 2010)"/>
    <s v="Short Term Acute Care Hospital"/>
    <s v="Hoven"/>
    <n v="9.6"/>
    <n v="207.6"/>
    <m/>
    <m/>
    <m/>
    <m/>
    <m/>
    <m/>
    <n v="3711"/>
    <n v="17"/>
  </r>
  <r>
    <x v="2216"/>
    <n v="430084"/>
    <s v="SD"/>
    <s v="SD - Todd"/>
    <n v="57570"/>
    <s v="Rosebud Service Unit (AKA Rosebud Hospital)"/>
    <s v="Short Term Acute Care Hospital"/>
    <s v="Rosebud"/>
    <n v="3.6"/>
    <n v="4.0999999999999996"/>
    <n v="44"/>
    <n v="35"/>
    <m/>
    <m/>
    <n v="35"/>
    <n v="0.83"/>
    <n v="3714"/>
    <n v="322"/>
  </r>
  <r>
    <x v="2217"/>
    <n v="430089"/>
    <s v="SD"/>
    <s v="SD - Union"/>
    <n v="57049"/>
    <s v="Dunes Surgical Hospital (FKA Siouxland Surgery Center)"/>
    <s v="Short Term Acute Care Hospital"/>
    <s v="Dakota Dunes"/>
    <n v="8.6"/>
    <n v="2.2000000000000002"/>
    <n v="56"/>
    <n v="38"/>
    <m/>
    <n v="0.35"/>
    <n v="38"/>
    <n v="2.71"/>
    <n v="3716"/>
    <n v="1443"/>
  </r>
  <r>
    <x v="2218"/>
    <n v="430096"/>
    <s v="SD"/>
    <s v="SD - Yankton"/>
    <n v="57078"/>
    <s v="Avera Surgical Hospital (FKA Lewis and Clark Specialty Hospital)"/>
    <s v="Short Term Acute Care Hospital"/>
    <s v="Yankton"/>
    <n v="0.6"/>
    <n v="2.2999999999999998"/>
    <n v="2"/>
    <n v="10"/>
    <m/>
    <n v="0.92"/>
    <n v="10"/>
    <m/>
    <n v="3718"/>
    <n v="90"/>
  </r>
  <r>
    <x v="2218"/>
    <n v="430012"/>
    <s v="SD"/>
    <s v="SD - Yankton"/>
    <n v="57078"/>
    <s v="Avera Sacred Heart Hospital"/>
    <s v="Short Term Acute Care Hospital"/>
    <s v="Yankton"/>
    <n v="25.2"/>
    <n v="3.4"/>
    <n v="122"/>
    <n v="75"/>
    <n v="10"/>
    <n v="0.92"/>
    <n v="75"/>
    <n v="1.65"/>
    <n v="3719"/>
    <n v="3113"/>
  </r>
  <r>
    <x v="2219"/>
    <n v="440034"/>
    <s v="TN"/>
    <s v="TN - Anderson"/>
    <n v="37831"/>
    <s v="Methodist Medical Center of Oak Ridge"/>
    <s v="Short Term Acute Care Hospital"/>
    <s v="Oak Ridge"/>
    <n v="123.3"/>
    <n v="4.4000000000000004"/>
    <n v="285"/>
    <n v="204"/>
    <n v="25"/>
    <n v="0.2"/>
    <n v="204"/>
    <n v="1.79"/>
    <n v="3720"/>
    <n v="10414"/>
  </r>
  <r>
    <x v="2220"/>
    <n v="440137"/>
    <s v="TN"/>
    <s v="TN - Bedford"/>
    <n v="37160"/>
    <s v="Tennova Healthcare - Shelbyville (FKA Heritage Medical Center)"/>
    <s v="Short Term Acute Care Hospital"/>
    <s v="Shelbyville"/>
    <n v="9.1"/>
    <n v="2.6"/>
    <n v="50"/>
    <n v="44"/>
    <n v="8"/>
    <n v="1"/>
    <n v="44"/>
    <n v="1.43"/>
    <n v="3721"/>
    <n v="1278"/>
  </r>
  <r>
    <x v="2221"/>
    <n v="440011"/>
    <s v="TN"/>
    <s v="TN - Blount"/>
    <n v="37804"/>
    <s v="Blount Memorial Hospital"/>
    <s v="Short Term Acute Care Hospital"/>
    <s v="Maryville"/>
    <n v="133.5"/>
    <n v="4.5"/>
    <n v="460"/>
    <n v="193"/>
    <n v="8"/>
    <n v="0.2"/>
    <n v="193"/>
    <n v="1.61"/>
    <n v="3723"/>
    <n v="11177"/>
  </r>
  <r>
    <x v="2222"/>
    <n v="440185"/>
    <s v="TN"/>
    <s v="TN - Bradley"/>
    <n v="37311"/>
    <s v="Tennova Healthcare - Cleveland (FKA Skyridge Medical Center - Main Campus)"/>
    <s v="Short Term Acute Care Hospital"/>
    <s v="Cleveland"/>
    <n v="106.2"/>
    <n v="4.5"/>
    <n v="228"/>
    <n v="177"/>
    <n v="24"/>
    <n v="0.89"/>
    <n v="177"/>
    <n v="1.51"/>
    <n v="3724"/>
    <n v="9201"/>
  </r>
  <r>
    <x v="2223"/>
    <n v="440180"/>
    <s v="TN"/>
    <s v="TN - Campbell"/>
    <n v="37762"/>
    <s v="Jellico Medical Center (AKA Jellico Community Hospital)"/>
    <s v="Short Term Acute Care Hospital"/>
    <s v="Jellico"/>
    <n v="3.1"/>
    <n v="3.4"/>
    <n v="27"/>
    <n v="34"/>
    <n v="4"/>
    <n v="0.2"/>
    <n v="34"/>
    <n v="1.24"/>
    <n v="3725"/>
    <n v="560"/>
  </r>
  <r>
    <x v="2223"/>
    <n v="440033"/>
    <s v="TN"/>
    <s v="TN - Campbell"/>
    <n v="37766"/>
    <s v="LaFollette Medical Center (FKA St Marys Medical Center of Campbell County)"/>
    <s v="Short Term Acute Care Hospital"/>
    <s v="La Follette"/>
    <n v="21.6"/>
    <n v="5.4"/>
    <n v="59"/>
    <n v="48"/>
    <n v="6"/>
    <n v="0.2"/>
    <n v="48"/>
    <n v="1.39"/>
    <n v="3726"/>
    <n v="1456"/>
  </r>
  <r>
    <x v="2224"/>
    <n v="440200"/>
    <s v="TN"/>
    <s v="TN - Cannon"/>
    <n v="37190"/>
    <s v="Ascension Saint Thomas Stones River (FKA Stones River Hospital)"/>
    <s v="Short Term Acute Care Hospital"/>
    <s v="Woodbury"/>
    <n v="6.6"/>
    <n v="5.9"/>
    <n v="22"/>
    <n v="30"/>
    <m/>
    <n v="0.26"/>
    <n v="30"/>
    <n v="1.19"/>
    <n v="3727"/>
    <n v="409"/>
  </r>
  <r>
    <x v="2225"/>
    <n v="440016"/>
    <s v="TN"/>
    <s v="TN - Carroll"/>
    <n v="38344"/>
    <s v="Baptist Memorial Hospital - Carroll County (AKA Baptist Memorial Hospital - Huntingdon)"/>
    <s v="Short Term Acute Care Hospital"/>
    <s v="Huntingdon"/>
    <n v="14"/>
    <n v="5.9"/>
    <n v="47"/>
    <n v="42"/>
    <m/>
    <m/>
    <n v="42"/>
    <n v="1.32"/>
    <n v="3729"/>
    <n v="870"/>
  </r>
  <r>
    <x v="2225"/>
    <s v="440182 (Closed)"/>
    <s v="TN"/>
    <s v="TN - Carroll"/>
    <n v="38201"/>
    <s v="McKenzie Regional Hospital (Closed)"/>
    <s v="Short Term Acute Care Hospital"/>
    <s v="Mc Kenzie"/>
    <n v="7.7"/>
    <n v="3"/>
    <m/>
    <m/>
    <m/>
    <m/>
    <m/>
    <n v="1.21"/>
    <n v="542224"/>
    <n v="1092"/>
  </r>
  <r>
    <x v="2226"/>
    <n v="440018"/>
    <s v="TN"/>
    <s v="TN - Carter"/>
    <n v="37643"/>
    <s v="Sycamore Shoals Hospital"/>
    <s v="Short Term Acute Care Hospital"/>
    <s v="Elizabethton"/>
    <n v="32.200000000000003"/>
    <n v="3.8"/>
    <n v="93"/>
    <n v="109"/>
    <n v="8"/>
    <n v="0.59"/>
    <n v="109"/>
    <n v="1.34"/>
    <n v="3730"/>
    <n v="3101"/>
  </r>
  <r>
    <x v="2227"/>
    <n v="440057"/>
    <s v="TN"/>
    <s v="TN - Claiborne"/>
    <n v="37879"/>
    <s v="Claiborne Medical Center (FKA Claiborne County Hospital)"/>
    <s v="Short Term Acute Care Hospital"/>
    <s v="Tazewell"/>
    <n v="9.6999999999999993"/>
    <n v="3.3"/>
    <n v="54"/>
    <n v="33"/>
    <n v="5"/>
    <m/>
    <n v="33"/>
    <n v="1.36"/>
    <n v="3732"/>
    <n v="1113"/>
  </r>
  <r>
    <x v="2228"/>
    <n v="440153"/>
    <s v="TN"/>
    <s v="TN - Cocke"/>
    <n v="37821"/>
    <s v="Newport Medical Center (FKA Baptist Hospital of Cocke County)"/>
    <s v="Short Term Acute Care Hospital"/>
    <s v="Newport"/>
    <n v="20.100000000000001"/>
    <n v="3.8"/>
    <n v="71"/>
    <n v="32"/>
    <n v="5"/>
    <n v="1"/>
    <n v="32"/>
    <n v="1.27"/>
    <n v="3734"/>
    <n v="2023"/>
  </r>
  <r>
    <x v="2229"/>
    <n v="440144"/>
    <s v="TN"/>
    <s v="TN - Coffee"/>
    <n v="37388"/>
    <s v="Tennova Healthcare - Harton (FKA Harton Regional Medical Center)"/>
    <s v="Short Term Acute Care Hospital"/>
    <s v="Tullahoma"/>
    <n v="35.200000000000003"/>
    <n v="3.9"/>
    <n v="113"/>
    <n v="74"/>
    <n v="13"/>
    <n v="0.43"/>
    <n v="74"/>
    <n v="1.51"/>
    <n v="3735"/>
    <n v="3538"/>
  </r>
  <r>
    <x v="2229"/>
    <n v="440007"/>
    <s v="TN"/>
    <s v="TN - Coffee"/>
    <n v="37355"/>
    <s v="Unity Medical Center (FKA Medical Center of Manchester)"/>
    <s v="Short Term Acute Care Hospital"/>
    <s v="Manchester"/>
    <n v="9.1"/>
    <n v="3.5"/>
    <n v="62"/>
    <n v="49"/>
    <m/>
    <n v="0.43"/>
    <n v="49"/>
    <n v="1.33"/>
    <n v="3736"/>
    <n v="957"/>
  </r>
  <r>
    <x v="2229"/>
    <m/>
    <s v="TN"/>
    <s v="TN - Coffee"/>
    <n v="37355"/>
    <s v="United Regional Medical Center (Closed)"/>
    <s v="Short Term Acute Care Hospital"/>
    <s v="Manchester"/>
    <m/>
    <m/>
    <m/>
    <m/>
    <m/>
    <m/>
    <m/>
    <m/>
    <n v="3737"/>
    <m/>
  </r>
  <r>
    <x v="2230"/>
    <n v="440009"/>
    <s v="TN"/>
    <s v="TN - Cumberland"/>
    <n v="38555"/>
    <s v="Cumberland Medical Center"/>
    <s v="Short Term Acute Care Hospital"/>
    <s v="Crossville"/>
    <n v="50.1"/>
    <n v="3.8"/>
    <n v="158"/>
    <n v="73"/>
    <n v="12"/>
    <n v="1"/>
    <n v="73"/>
    <n v="1.38"/>
    <n v="3738"/>
    <n v="5105"/>
  </r>
  <r>
    <x v="2231"/>
    <n v="440197"/>
    <s v="TN"/>
    <s v="TN - Davidson"/>
    <n v="37211"/>
    <s v="TriStar Southern Hills Medical Center"/>
    <s v="Short Term Acute Care Hospital"/>
    <s v="Nashville"/>
    <n v="51.4"/>
    <n v="4.2"/>
    <n v="151"/>
    <n v="103"/>
    <n v="20"/>
    <n v="0.26"/>
    <n v="103"/>
    <n v="1.83"/>
    <n v="3745"/>
    <n v="4445"/>
  </r>
  <r>
    <x v="2231"/>
    <n v="440161"/>
    <s v="TN"/>
    <s v="TN - Davidson"/>
    <n v="37203"/>
    <s v="TriStar Centennial Medical Center"/>
    <s v="Short Term Acute Care Hospital"/>
    <s v="Nashville"/>
    <n v="405.2"/>
    <n v="5"/>
    <n v="906"/>
    <n v="472"/>
    <n v="24"/>
    <n v="0.26"/>
    <n v="472"/>
    <n v="2.15"/>
    <n v="3746"/>
    <n v="30644"/>
  </r>
  <r>
    <x v="2231"/>
    <n v="440133"/>
    <s v="TN"/>
    <s v="TN - Davidson"/>
    <n v="37236"/>
    <s v="Ascension Saint Thomas Midtown (FKA Baptist Hospital)"/>
    <s v="Short Term Acute Care Hospital"/>
    <s v="Nashville"/>
    <n v="246.7"/>
    <n v="4.9000000000000004"/>
    <n v="558"/>
    <n v="395"/>
    <n v="37"/>
    <n v="0.26"/>
    <n v="395"/>
    <n v="1.99"/>
    <n v="3747"/>
    <n v="21325"/>
  </r>
  <r>
    <x v="2231"/>
    <n v="440150"/>
    <s v="TN"/>
    <s v="TN - Davidson"/>
    <n v="37076"/>
    <s v="TriStar Summit Medical Center"/>
    <s v="Short Term Acute Care Hospital"/>
    <s v="Hermitage"/>
    <n v="121"/>
    <n v="3.9"/>
    <n v="356"/>
    <n v="170"/>
    <n v="12"/>
    <n v="0.26"/>
    <n v="170"/>
    <n v="1.53"/>
    <n v="3748"/>
    <n v="12275"/>
  </r>
  <r>
    <x v="2231"/>
    <n v="440082"/>
    <s v="TN"/>
    <s v="TN - Davidson"/>
    <n v="37205"/>
    <s v="Ascension Saint Thomas West (FKA St Thomas Hospital)"/>
    <s v="Short Term Acute Care Hospital"/>
    <s v="Nashville"/>
    <n v="264.8"/>
    <n v="5.4"/>
    <n v="407"/>
    <n v="340"/>
    <n v="88"/>
    <n v="0.26"/>
    <n v="340"/>
    <n v="2.2599999999999998"/>
    <n v="3740"/>
    <n v="17952"/>
  </r>
  <r>
    <x v="2231"/>
    <n v="440111"/>
    <s v="TN"/>
    <s v="TN - Davidson"/>
    <n v="37208"/>
    <s v="Nashville General Hospital at Meharry"/>
    <s v="Short Term Acute Care Hospital"/>
    <s v="Nashville"/>
    <n v="26.8"/>
    <n v="4.9000000000000004"/>
    <n v="145"/>
    <n v="114"/>
    <n v="22"/>
    <n v="0.26"/>
    <n v="114"/>
    <n v="1.64"/>
    <n v="3741"/>
    <n v="2116"/>
  </r>
  <r>
    <x v="2231"/>
    <n v="440039"/>
    <s v="TN"/>
    <s v="TN - Davidson"/>
    <n v="37232"/>
    <s v="Vanderbilt University Medical Center"/>
    <s v="Short Term Acute Care Hospital"/>
    <s v="Nashville"/>
    <n v="882.7"/>
    <n v="5.3"/>
    <n v="1878"/>
    <n v="954"/>
    <n v="111"/>
    <n v="0.26"/>
    <n v="626"/>
    <n v="2.31"/>
    <n v="3742"/>
    <n v="61271"/>
  </r>
  <r>
    <x v="2231"/>
    <n v="440006"/>
    <s v="TN"/>
    <s v="TN - Davidson"/>
    <n v="37207"/>
    <s v="TriStar Skyline Medical Center"/>
    <s v="Short Term Acute Care Hospital"/>
    <s v="Nashville"/>
    <n v="244.5"/>
    <n v="5.4"/>
    <n v="224"/>
    <n v="298"/>
    <n v="45"/>
    <n v="0.26"/>
    <n v="233"/>
    <n v="1.7"/>
    <n v="3743"/>
    <n v="16673"/>
  </r>
  <r>
    <x v="2231"/>
    <s v="440026 (Closed)"/>
    <s v="TN"/>
    <s v="TN - Davidson"/>
    <n v="37206"/>
    <s v="Nashville Rehabilitation Hospital (Closed)"/>
    <s v="Short Term Acute Care Hospital"/>
    <s v="Nashville"/>
    <m/>
    <m/>
    <m/>
    <m/>
    <m/>
    <n v="0.26"/>
    <m/>
    <m/>
    <n v="5449"/>
    <m/>
  </r>
  <r>
    <x v="2231"/>
    <s v="440006*"/>
    <s v="TN"/>
    <s v="TN - Davidson"/>
    <n v="37115"/>
    <s v="TriStar Skyline Madison Campus"/>
    <s v="Short Term Acute Care Hospital"/>
    <s v="Madison"/>
    <m/>
    <m/>
    <m/>
    <m/>
    <m/>
    <m/>
    <n v="13"/>
    <m/>
    <n v="550191"/>
    <m/>
  </r>
  <r>
    <x v="2231"/>
    <s v="440161*"/>
    <s v="TN"/>
    <s v="TN - Davidson"/>
    <n v="37203"/>
    <s v="TriStar Centennial Parthenon Pavilion"/>
    <s v="Short Term Acute Care Hospital"/>
    <s v="Nashville"/>
    <m/>
    <m/>
    <m/>
    <m/>
    <m/>
    <m/>
    <m/>
    <m/>
    <n v="550192"/>
    <m/>
  </r>
  <r>
    <x v="2231"/>
    <n v="440218"/>
    <s v="TN"/>
    <s v="TN - Davidson"/>
    <n v="37203"/>
    <s v="Saint Thomas Hospital for Specialty Surgery (FKA the Hospital for Spinal Surgery)"/>
    <s v="Short Term Acute Care Hospital"/>
    <s v="Nashville"/>
    <n v="7.8"/>
    <n v="1.5"/>
    <n v="30"/>
    <n v="23"/>
    <m/>
    <n v="0.26"/>
    <n v="23"/>
    <n v="3.42"/>
    <n v="3744"/>
    <n v="1945"/>
  </r>
  <r>
    <x v="2232"/>
    <s v="440070 (Closed)"/>
    <s v="TN"/>
    <s v="TN - Decatur"/>
    <n v="38363"/>
    <s v="Decatur County General Hospital (Closed April 15 2020)"/>
    <s v="Short Term Acute Care Hospital"/>
    <s v="Parsons"/>
    <n v="2.2000000000000002"/>
    <n v="2.2999999999999998"/>
    <m/>
    <n v="40"/>
    <m/>
    <m/>
    <m/>
    <n v="0.98"/>
    <n v="3750"/>
    <n v="346"/>
  </r>
  <r>
    <x v="2233"/>
    <n v="440148"/>
    <s v="TN"/>
    <s v="TN - Dekalb"/>
    <n v="37166"/>
    <s v="Ascension Saint Thomas Dekalb (FKA Dekalb Community Hospital)"/>
    <s v="Short Term Acute Care Hospital"/>
    <s v="Smithville"/>
    <n v="3.9"/>
    <n v="3.2"/>
    <n v="30"/>
    <n v="52"/>
    <n v="4"/>
    <m/>
    <n v="52"/>
    <n v="1.3"/>
    <n v="3751"/>
    <n v="444"/>
  </r>
  <r>
    <x v="2234"/>
    <n v="440046"/>
    <s v="TN"/>
    <s v="TN - Dickson"/>
    <n v="37055"/>
    <s v="TriStar Horizon Medical Center"/>
    <s v="Short Term Acute Care Hospital"/>
    <s v="Dickson"/>
    <n v="54.2"/>
    <n v="3.7"/>
    <n v="167"/>
    <n v="91"/>
    <n v="6"/>
    <n v="0.26"/>
    <n v="91"/>
    <n v="1.39"/>
    <n v="3752"/>
    <n v="5408"/>
  </r>
  <r>
    <x v="2235"/>
    <n v="440072"/>
    <s v="TN"/>
    <s v="TN - Dyer"/>
    <n v="38024"/>
    <s v="Dyersburg Hospital (FKA Tennova Healthcare - Dyersburg Regional)"/>
    <s v="Short Term Acute Care Hospital"/>
    <s v="Dyersburg"/>
    <n v="43.4"/>
    <n v="3.8"/>
    <n v="102"/>
    <n v="109"/>
    <n v="14"/>
    <n v="1"/>
    <n v="109"/>
    <n v="1.48"/>
    <n v="3753"/>
    <n v="4461"/>
  </r>
  <r>
    <x v="2236"/>
    <s v="440168 (Closed)"/>
    <s v="TN"/>
    <s v="TN - Fayette"/>
    <n v="38068"/>
    <s v="Methodist Healthcare Fayette Hospital (Closed March 2015)"/>
    <s v="Short Term Acute Care Hospital"/>
    <s v="Somerville"/>
    <n v="0.1"/>
    <n v="4"/>
    <m/>
    <m/>
    <m/>
    <n v="0.27"/>
    <m/>
    <m/>
    <n v="3754"/>
    <n v="8"/>
  </r>
  <r>
    <x v="2237"/>
    <s v="440083 (Closed)"/>
    <s v="TN"/>
    <s v="TN - Fentress"/>
    <n v="38556"/>
    <s v="Jamestown Regional Medical Center (Closed)"/>
    <s v="Short Term Acute Care Hospital"/>
    <s v="Jamestown"/>
    <n v="7.7"/>
    <n v="3.3"/>
    <m/>
    <m/>
    <m/>
    <m/>
    <m/>
    <n v="1.04"/>
    <n v="3755"/>
    <n v="866"/>
  </r>
  <r>
    <x v="2238"/>
    <n v="440058"/>
    <s v="TN"/>
    <s v="TN - Franklin"/>
    <n v="37398"/>
    <s v="Southern Tennessee Regional Health System - Winchester"/>
    <s v="Short Term Acute Care Hospital"/>
    <s v="Winchester"/>
    <n v="28.9"/>
    <n v="3.5"/>
    <n v="144"/>
    <n v="128"/>
    <n v="10"/>
    <n v="0.43"/>
    <n v="131"/>
    <n v="1.34"/>
    <n v="3756"/>
    <n v="3318"/>
  </r>
  <r>
    <x v="2238"/>
    <s v="440058*"/>
    <s v="TN"/>
    <s v="TN - Franklin"/>
    <n v="37375"/>
    <s v="Southern Tennessee Regional Health System - Sewanee (FKA Emerald - Hodgson Hospital)"/>
    <s v="Short Term Acute Care Hospital"/>
    <s v="Sewanee"/>
    <m/>
    <m/>
    <m/>
    <m/>
    <m/>
    <m/>
    <n v="21"/>
    <m/>
    <n v="541903"/>
    <m/>
  </r>
  <r>
    <x v="2239"/>
    <n v="440060"/>
    <s v="TN"/>
    <s v="TN - Gibson"/>
    <n v="38358"/>
    <s v="Milan Hospital"/>
    <s v="Short Term Acute Care Hospital"/>
    <s v="Milan"/>
    <n v="5.0999999999999996"/>
    <n v="3.9"/>
    <n v="38"/>
    <n v="47"/>
    <n v="3"/>
    <n v="0.8"/>
    <n v="47"/>
    <n v="1.5"/>
    <n v="3757"/>
    <n v="480"/>
  </r>
  <r>
    <x v="2239"/>
    <s v="440047 (Closed)"/>
    <s v="TN"/>
    <s v="TN - Gibson"/>
    <n v="38382"/>
    <s v="Trenton Medical Center (FKA Gibson General Hospital - Closed - no longer offer Inpatient Services)"/>
    <s v="Short Term Acute Care Hospital"/>
    <s v="Trenton"/>
    <n v="1.1000000000000001"/>
    <n v="4.2"/>
    <m/>
    <m/>
    <m/>
    <n v="0.8"/>
    <m/>
    <m/>
    <n v="3758"/>
    <n v="97"/>
  </r>
  <r>
    <x v="2239"/>
    <s v="440115 (Closed)"/>
    <s v="TN"/>
    <s v="TN - Gibson"/>
    <n v="38343"/>
    <s v="Humboldt Medical Center (Closed)"/>
    <s v="Short Term Acute Care Hospital"/>
    <s v="Humboldt"/>
    <n v="1.8"/>
    <n v="5.4"/>
    <m/>
    <m/>
    <m/>
    <n v="0.8"/>
    <m/>
    <m/>
    <n v="3759"/>
    <n v="124"/>
  </r>
  <r>
    <x v="2240"/>
    <n v="440020"/>
    <s v="TN"/>
    <s v="TN - Giles"/>
    <n v="38478"/>
    <s v="Southern Tennessee Regional Health System - Pulaski (FKA Hillside Hospital)"/>
    <s v="Short Term Acute Care Hospital"/>
    <s v="Pulaski"/>
    <n v="16"/>
    <n v="3.7"/>
    <n v="69"/>
    <n v="81"/>
    <n v="6"/>
    <m/>
    <n v="81"/>
    <n v="1.28"/>
    <n v="3760"/>
    <n v="1677"/>
  </r>
  <r>
    <x v="2241"/>
    <n v="440025"/>
    <s v="TN"/>
    <s v="TN - Greene"/>
    <n v="37745"/>
    <s v="Greeneville Community Hospital East (FKA Laughlin Memorial Hospital)"/>
    <s v="Short Term Acute Care Hospital"/>
    <s v="Greeneville"/>
    <n v="27.5"/>
    <n v="4"/>
    <n v="51"/>
    <n v="140"/>
    <n v="10"/>
    <n v="0.51"/>
    <n v="140"/>
    <n v="1.48"/>
    <n v="3761"/>
    <n v="2599"/>
  </r>
  <r>
    <x v="2241"/>
    <n v="440050"/>
    <s v="TN"/>
    <s v="TN - Greene"/>
    <n v="37743"/>
    <s v="Greeneville Community Hospital West (FKA Takoma Regional Hospital)"/>
    <s v="Short Term Acute Care Hospital"/>
    <s v="Greeneville"/>
    <n v="15.8"/>
    <n v="3.6"/>
    <n v="182"/>
    <n v="49"/>
    <n v="7"/>
    <n v="0.51"/>
    <n v="49"/>
    <n v="1.32"/>
    <n v="3762"/>
    <n v="1849"/>
  </r>
  <r>
    <x v="2242"/>
    <s v="440067 (Closed)"/>
    <s v="TN"/>
    <s v="TN - Hamblen"/>
    <n v="37814"/>
    <s v="Lakeway Regional Hospital (Closed)"/>
    <s v="Short Term Acute Care Hospital"/>
    <s v="Morristown"/>
    <n v="15"/>
    <n v="4.3"/>
    <m/>
    <m/>
    <m/>
    <n v="0.42"/>
    <m/>
    <n v="1.34"/>
    <n v="3763"/>
    <n v="1261"/>
  </r>
  <r>
    <x v="2242"/>
    <n v="440030"/>
    <s v="TN"/>
    <s v="TN - Hamblen"/>
    <n v="37814"/>
    <s v="Morristown-Hamblen Healthcare System"/>
    <s v="Short Term Acute Care Hospital"/>
    <s v="Morristown"/>
    <n v="69.8"/>
    <n v="3.6"/>
    <n v="164"/>
    <n v="116"/>
    <n v="20"/>
    <n v="0.42"/>
    <n v="116"/>
    <n v="1.47"/>
    <n v="3764"/>
    <n v="7458"/>
  </r>
  <r>
    <x v="2243"/>
    <n v="440091"/>
    <s v="TN"/>
    <s v="TN - Hamilton"/>
    <n v="37404"/>
    <s v="CHI Memorial Hospital Chattanooga"/>
    <s v="Short Term Acute Care Hospital"/>
    <s v="Chattanooga"/>
    <n v="307.60000000000002"/>
    <n v="5"/>
    <n v="839"/>
    <n v="423"/>
    <n v="34"/>
    <n v="0.38"/>
    <n v="336"/>
    <n v="2.04"/>
    <n v="3765"/>
    <n v="22379"/>
  </r>
  <r>
    <x v="2243"/>
    <n v="440104"/>
    <s v="TN"/>
    <s v="TN - Hamilton"/>
    <n v="37403"/>
    <s v="Erlanger Baroness Hospital (FKA Erlanger Medical Center - Baroness Campus)"/>
    <s v="Short Term Acute Care Hospital"/>
    <s v="Chattanooga"/>
    <n v="533.1"/>
    <n v="5.0999999999999996"/>
    <n v="861"/>
    <n v="674"/>
    <n v="84"/>
    <n v="0.38"/>
    <n v="674"/>
    <n v="1.95"/>
    <n v="3766"/>
    <n v="39766"/>
  </r>
  <r>
    <x v="2243"/>
    <n v="440156"/>
    <s v="TN"/>
    <s v="TN - Hamilton"/>
    <n v="37404"/>
    <s v="Parkridge Medical Center"/>
    <s v="Short Term Acute Care Hospital"/>
    <s v="Chattanooga"/>
    <n v="243.6"/>
    <n v="5.5"/>
    <n v="262"/>
    <n v="380"/>
    <n v="33"/>
    <n v="0.38"/>
    <n v="275"/>
    <n v="1.81"/>
    <n v="3768"/>
    <n v="16725"/>
  </r>
  <r>
    <x v="2243"/>
    <s v="440091*"/>
    <s v="TN"/>
    <s v="TN - Hamilton"/>
    <n v="37343"/>
    <s v="CHI Memorial Hospital Hixson (FKA Memorial Hospital Hixson)"/>
    <s v="Short Term Acute Care Hospital"/>
    <s v="Hixson"/>
    <m/>
    <m/>
    <m/>
    <m/>
    <m/>
    <m/>
    <n v="69"/>
    <m/>
    <n v="274192"/>
    <m/>
  </r>
  <r>
    <x v="2243"/>
    <s v="440156*"/>
    <s v="TN"/>
    <s v="TN - Hamilton"/>
    <n v="37412"/>
    <s v="Parkridge East Hospital"/>
    <s v="Short Term Acute Care Hospital"/>
    <s v="Chattanooga"/>
    <m/>
    <m/>
    <n v="58"/>
    <m/>
    <m/>
    <m/>
    <n v="128"/>
    <m/>
    <n v="550193"/>
    <m/>
  </r>
  <r>
    <x v="2243"/>
    <s v="440104*"/>
    <s v="TN"/>
    <s v="TN - Hamilton"/>
    <n v="37415"/>
    <s v="Erlanger North Hospital (FKA Erlanger Medical Center - North Campus)"/>
    <s v="Short Term Acute Care Hospital"/>
    <s v="Chattanooga"/>
    <m/>
    <m/>
    <m/>
    <m/>
    <m/>
    <m/>
    <n v="26"/>
    <m/>
    <n v="581798"/>
    <m/>
  </r>
  <r>
    <x v="2243"/>
    <s v="440104*"/>
    <s v="TN"/>
    <s v="TN - Hamilton"/>
    <n v="37421"/>
    <s v="Erlanger East Hospital"/>
    <s v="Short Term Acute Care Hospital"/>
    <s v="Chattanooga"/>
    <m/>
    <m/>
    <n v="3"/>
    <m/>
    <m/>
    <m/>
    <n v="107"/>
    <m/>
    <n v="795604"/>
    <m/>
  </r>
  <r>
    <x v="2244"/>
    <n v="440109"/>
    <s v="TN"/>
    <s v="TN - Hardin"/>
    <n v="38372"/>
    <s v="Hardin Medical Center"/>
    <s v="Short Term Acute Care Hospital"/>
    <s v="Savannah"/>
    <n v="11.2"/>
    <n v="3.9"/>
    <n v="74"/>
    <n v="49"/>
    <m/>
    <m/>
    <n v="49"/>
    <n v="1.24"/>
    <n v="3771"/>
    <n v="1249"/>
  </r>
  <r>
    <x v="2245"/>
    <n v="440032"/>
    <s v="TN"/>
    <s v="TN - Hawkins"/>
    <n v="37857"/>
    <s v="Hawkins County Memorial Hospital (FKA Wellmont Hawkins County Memorial Hospital)"/>
    <s v="Short Term Acute Care Hospital"/>
    <s v="Rogersville"/>
    <n v="8.1"/>
    <n v="3.7"/>
    <n v="56"/>
    <n v="32"/>
    <n v="6"/>
    <n v="0.3"/>
    <n v="32"/>
    <n v="1.25"/>
    <n v="3772"/>
    <n v="786"/>
  </r>
  <r>
    <x v="2246"/>
    <s v="440174 (Closed)"/>
    <s v="TN"/>
    <s v="TN - Haywood"/>
    <n v="38012"/>
    <s v="Haywood Park Community Hospital (Closed Inpatient July 2014)"/>
    <s v="Short Term Acute Care Hospital"/>
    <s v="Brownsville"/>
    <n v="0.8"/>
    <n v="2.9"/>
    <m/>
    <m/>
    <m/>
    <n v="1"/>
    <m/>
    <m/>
    <n v="3773"/>
    <n v="103"/>
  </r>
  <r>
    <x v="2247"/>
    <n v="440008"/>
    <s v="TN"/>
    <s v="TN - Henderson"/>
    <n v="38351"/>
    <s v="Henderson County Community Hospital"/>
    <s v="Short Term Acute Care Hospital"/>
    <s v="Lexington"/>
    <n v="2.8"/>
    <n v="2.6"/>
    <n v="35"/>
    <n v="36"/>
    <m/>
    <m/>
    <n v="36"/>
    <n v="1.05"/>
    <n v="3774"/>
    <n v="396"/>
  </r>
  <r>
    <x v="2248"/>
    <n v="440132"/>
    <s v="TN"/>
    <s v="TN - Henry"/>
    <n v="38242"/>
    <s v="Henry County Medical Center"/>
    <s v="Short Term Acute Care Hospital"/>
    <s v="Paris"/>
    <n v="25.9"/>
    <n v="2.9"/>
    <n v="142"/>
    <n v="64"/>
    <m/>
    <n v="1"/>
    <n v="64"/>
    <n v="1.46"/>
    <n v="3775"/>
    <n v="3716"/>
  </r>
  <r>
    <x v="2249"/>
    <n v="440056"/>
    <s v="TN"/>
    <s v="TN - Jefferson"/>
    <n v="37760"/>
    <s v="Jefferson Memorial Hospital"/>
    <s v="Short Term Acute Care Hospital"/>
    <s v="Jefferson City"/>
    <n v="25.9"/>
    <n v="4"/>
    <n v="93"/>
    <n v="58"/>
    <n v="6"/>
    <n v="0.42"/>
    <n v="58"/>
    <n v="1.6"/>
    <n v="3778"/>
    <n v="2351"/>
  </r>
  <r>
    <x v="2250"/>
    <s v="440033*"/>
    <s v="TN"/>
    <s v="TN - Knox"/>
    <n v="37934"/>
    <s v="Turkey Creek Medical Center (FKA Mercy Medical Center West)"/>
    <s v="Short Term Acute Care Hospital"/>
    <s v="Knoxville"/>
    <m/>
    <m/>
    <m/>
    <m/>
    <m/>
    <m/>
    <n v="101"/>
    <m/>
    <n v="3780"/>
    <m/>
  </r>
  <r>
    <x v="2250"/>
    <n v="440173"/>
    <s v="TN"/>
    <s v="TN - Knox"/>
    <n v="37923"/>
    <s v="Parkwest Medical Center"/>
    <s v="Short Term Acute Care Hospital"/>
    <s v="Knoxville"/>
    <n v="265.60000000000002"/>
    <n v="4.8"/>
    <n v="463"/>
    <n v="354"/>
    <n v="30"/>
    <n v="0.2"/>
    <n v="354"/>
    <n v="1.92"/>
    <n v="3781"/>
    <n v="22847"/>
  </r>
  <r>
    <x v="2250"/>
    <m/>
    <s v="TN"/>
    <s v="TN - Knox"/>
    <n v="37917"/>
    <s v="Physicians Regional Medical Center (Closed)"/>
    <s v="Short Term Acute Care Hospital"/>
    <s v="Knoxville"/>
    <m/>
    <m/>
    <m/>
    <m/>
    <m/>
    <m/>
    <m/>
    <n v="1.84"/>
    <n v="3782"/>
    <m/>
  </r>
  <r>
    <x v="2250"/>
    <n v="440125"/>
    <s v="TN"/>
    <s v="TN - Knox"/>
    <n v="37916"/>
    <s v="Fort Sanders Regional Medical Center"/>
    <s v="Short Term Acute Care Hospital"/>
    <s v="Knoxville"/>
    <n v="214.2"/>
    <n v="5.0999999999999996"/>
    <n v="450"/>
    <n v="280"/>
    <n v="45"/>
    <n v="0.2"/>
    <n v="280"/>
    <n v="1.8"/>
    <n v="3783"/>
    <n v="16497"/>
  </r>
  <r>
    <x v="2250"/>
    <n v="440015"/>
    <s v="TN"/>
    <s v="TN - Knox"/>
    <n v="37920"/>
    <s v="University of Tennessee Medical Center"/>
    <s v="Short Term Acute Care Hospital"/>
    <s v="Knoxville"/>
    <n v="450.1"/>
    <n v="5.7"/>
    <n v="936"/>
    <n v="632"/>
    <n v="20"/>
    <n v="0.2"/>
    <n v="632"/>
    <n v="1.95"/>
    <n v="3784"/>
    <n v="30393"/>
  </r>
  <r>
    <x v="2250"/>
    <s v="440225 (Closed)"/>
    <s v="TN"/>
    <s v="TN - Knox"/>
    <n v="37922"/>
    <s v="Baptist Hospital for Women (Closed)"/>
    <s v="Short Term Acute Care Hospital"/>
    <s v="Knoxville"/>
    <n v="9.8000000000000007"/>
    <n v="3.8"/>
    <m/>
    <m/>
    <m/>
    <n v="0.2"/>
    <m/>
    <m/>
    <n v="4845"/>
    <n v="931"/>
  </r>
  <r>
    <x v="2250"/>
    <n v="440120"/>
    <s v="TN"/>
    <s v="TN - Knox"/>
    <n v="37849"/>
    <s v="North Knoxville Medical Center (FKA Mercy Medical Center North)"/>
    <s v="Short Term Acute Care Hospital"/>
    <s v="Powell"/>
    <n v="145"/>
    <n v="4.5999999999999996"/>
    <n v="318"/>
    <n v="218"/>
    <n v="33"/>
    <n v="0.2"/>
    <n v="108"/>
    <m/>
    <n v="7243"/>
    <n v="13583"/>
  </r>
  <r>
    <x v="2251"/>
    <n v="440175"/>
    <s v="TN"/>
    <s v="TN - Lawrence"/>
    <n v="38464"/>
    <s v="Southern Tennessee Regional Health System - Lawrenceburg (FKA Crockett Hospital)"/>
    <s v="Short Term Acute Care Hospital"/>
    <s v="Lawrenceburg"/>
    <n v="16.899999999999999"/>
    <n v="3.8"/>
    <n v="107"/>
    <n v="89"/>
    <n v="6"/>
    <n v="1"/>
    <n v="89"/>
    <n v="1.29"/>
    <n v="3786"/>
    <n v="1796"/>
  </r>
  <r>
    <x v="2252"/>
    <n v="440102"/>
    <s v="TN"/>
    <s v="TN - Lincoln"/>
    <n v="37334"/>
    <s v="Lincoln Medical Center (AKA Lincoln Health System)"/>
    <s v="Short Term Acute Care Hospital"/>
    <s v="Fayetteville"/>
    <n v="8.6"/>
    <n v="3.3"/>
    <n v="54"/>
    <n v="49"/>
    <n v="6"/>
    <m/>
    <n v="49"/>
    <n v="1.29"/>
    <n v="3787"/>
    <n v="1102"/>
  </r>
  <r>
    <x v="2253"/>
    <n v="440110"/>
    <s v="TN"/>
    <s v="TN - Loudon"/>
    <n v="37772"/>
    <s v="Fort Loudoun Medical Center"/>
    <s v="Short Term Acute Care Hospital"/>
    <s v="Lenoir City"/>
    <n v="26.3"/>
    <n v="4.2"/>
    <n v="67"/>
    <n v="30"/>
    <n v="5"/>
    <n v="0.2"/>
    <n v="30"/>
    <n v="1.55"/>
    <n v="3788"/>
    <n v="2285"/>
  </r>
  <r>
    <x v="2254"/>
    <n v="440068"/>
    <s v="TN"/>
    <s v="TN - Mcminn"/>
    <n v="37303"/>
    <s v="Starr Regional Medical Center - Athens Campus (FKA Athens Regional Medical Center)"/>
    <s v="Short Term Acute Care Hospital"/>
    <s v="Athens"/>
    <n v="25.2"/>
    <n v="4"/>
    <n v="164"/>
    <n v="88"/>
    <n v="4"/>
    <n v="1"/>
    <n v="88"/>
    <n v="1.24"/>
    <n v="3789"/>
    <n v="2543"/>
  </r>
  <r>
    <x v="2254"/>
    <s v="440068* (Closed)"/>
    <s v="TN"/>
    <s v="TN - Mcminn"/>
    <n v="37331"/>
    <s v="Starr Regional Medical Center - Etowah Campus (FKA Woods Memorial Hospital - Inpatient Closed)"/>
    <s v="Short Term Acute Care Hospital"/>
    <s v="Etowah"/>
    <m/>
    <m/>
    <m/>
    <m/>
    <m/>
    <m/>
    <m/>
    <m/>
    <n v="3790"/>
    <m/>
  </r>
  <r>
    <x v="2255"/>
    <s v="440051 (Closed)"/>
    <s v="TN"/>
    <s v="TN - Mcnairy"/>
    <n v="38375"/>
    <s v="Tennova Healthcare - McNairy Regional Hospital (Closed May 18 2016)"/>
    <s v="Short Term Acute Care Hospital"/>
    <s v="Selmer"/>
    <n v="3.7"/>
    <n v="2.5"/>
    <m/>
    <m/>
    <m/>
    <m/>
    <m/>
    <m/>
    <n v="3791"/>
    <n v="653"/>
  </r>
  <r>
    <x v="2256"/>
    <m/>
    <s v="TN"/>
    <s v="TN - Madison"/>
    <n v="38305"/>
    <s v="North Hospital (FKA Tennova Healthcare - Regional Jackson)"/>
    <s v="Short Term Acute Care Hospital"/>
    <s v="Jackson"/>
    <n v="42.6"/>
    <n v="4.5"/>
    <n v="10"/>
    <n v="115"/>
    <n v="16"/>
    <n v="0.8"/>
    <n v="115"/>
    <n v="1.77"/>
    <n v="3793"/>
    <n v="3554"/>
  </r>
  <r>
    <x v="2256"/>
    <n v="440002"/>
    <s v="TN"/>
    <s v="TN - Madison"/>
    <n v="38301"/>
    <s v="Jackson-Madison County General Hospital"/>
    <s v="Short Term Acute Care Hospital"/>
    <s v="Jackson"/>
    <n v="415.6"/>
    <n v="5.5"/>
    <n v="681"/>
    <n v="777"/>
    <n v="73"/>
    <n v="0.8"/>
    <n v="635"/>
    <n v="1.87"/>
    <n v="3794"/>
    <n v="28588"/>
  </r>
  <r>
    <x v="2257"/>
    <s v="440064 (Closed)"/>
    <s v="TN"/>
    <s v="TN - Marion"/>
    <n v="37347"/>
    <s v="Parkridge West Hospital (FKA Grandview Medical Center - Closed - No Longer Offers Inpatient Services)"/>
    <s v="Short Term Acute Care Hospital"/>
    <s v="Jasper"/>
    <n v="10"/>
    <n v="3.6"/>
    <m/>
    <m/>
    <m/>
    <n v="0.38"/>
    <m/>
    <m/>
    <n v="3795"/>
    <n v="1029"/>
  </r>
  <r>
    <x v="2258"/>
    <n v="440073"/>
    <s v="TN"/>
    <s v="TN - Maury"/>
    <n v="38401"/>
    <s v="Maury Regional Medical Center"/>
    <s v="Short Term Acute Care Hospital"/>
    <s v="Columbia"/>
    <n v="141.9"/>
    <n v="4.2"/>
    <n v="326"/>
    <n v="265"/>
    <n v="41"/>
    <n v="0.26"/>
    <n v="265"/>
    <n v="1.69"/>
    <n v="3797"/>
    <n v="12573"/>
  </r>
  <r>
    <x v="2259"/>
    <n v="440084"/>
    <s v="TN"/>
    <s v="TN - Monroe"/>
    <n v="37874"/>
    <s v="Sweetwater Hospital Association"/>
    <s v="Short Term Acute Care Hospital"/>
    <s v="Sweetwater"/>
    <n v="25.2"/>
    <n v="5"/>
    <n v="59"/>
    <n v="59"/>
    <m/>
    <m/>
    <n v="59"/>
    <n v="1.25"/>
    <n v="3798"/>
    <n v="1942"/>
  </r>
  <r>
    <x v="2260"/>
    <n v="440035"/>
    <s v="TN"/>
    <s v="TN - Montgomery"/>
    <n v="37040"/>
    <s v="Tennova Healthcare - Clarksville (FKA Gateway Medical Center)"/>
    <s v="Short Term Acute Care Hospital"/>
    <s v="Clarksville"/>
    <n v="100.5"/>
    <n v="4.3"/>
    <n v="272"/>
    <n v="234"/>
    <n v="21"/>
    <n v="0.46"/>
    <n v="234"/>
    <n v="1.51"/>
    <n v="3799"/>
    <n v="9528"/>
  </r>
  <r>
    <x v="2261"/>
    <n v="440130"/>
    <s v="TN"/>
    <s v="TN - Obion"/>
    <n v="38261"/>
    <s v="Baptist Memorial Hospital - Union City"/>
    <s v="Short Term Acute Care Hospital"/>
    <s v="Union City"/>
    <n v="18.3"/>
    <n v="3.1"/>
    <n v="78"/>
    <n v="63"/>
    <m/>
    <n v="1"/>
    <n v="63"/>
    <n v="1.37"/>
    <n v="3800"/>
    <n v="2333"/>
  </r>
  <r>
    <x v="2262"/>
    <n v="440187"/>
    <s v="TN"/>
    <s v="TN - Overton"/>
    <n v="38570"/>
    <s v="Livingston Regional Hospital"/>
    <s v="Short Term Acute Care Hospital"/>
    <s v="Livingston"/>
    <n v="18"/>
    <n v="4.3"/>
    <n v="54"/>
    <n v="90"/>
    <n v="6"/>
    <n v="0.81"/>
    <n v="90"/>
    <n v="1.25"/>
    <n v="3801"/>
    <n v="1680"/>
  </r>
  <r>
    <x v="2263"/>
    <n v="440040"/>
    <s v="TN"/>
    <s v="TN - Perry"/>
    <n v="37096"/>
    <s v="Perry County Medical Center (AKA Perry Community Hospital)"/>
    <s v="Short Term Acute Care Hospital"/>
    <s v="Linden"/>
    <n v="4.5"/>
    <n v="5"/>
    <n v="15"/>
    <n v="21"/>
    <m/>
    <m/>
    <n v="21"/>
    <n v="0.95"/>
    <n v="3802"/>
    <n v="334"/>
  </r>
  <r>
    <x v="2264"/>
    <n v="440059"/>
    <s v="TN"/>
    <s v="TN - Putnam"/>
    <n v="38501"/>
    <s v="Cookeville Regional Medical Center"/>
    <s v="Short Term Acute Care Hospital"/>
    <s v="Cookeville"/>
    <n v="149.4"/>
    <n v="4.4000000000000004"/>
    <n v="367"/>
    <n v="211"/>
    <n v="38"/>
    <n v="0.81"/>
    <n v="211"/>
    <n v="1.78"/>
    <n v="3804"/>
    <n v="13256"/>
  </r>
  <r>
    <x v="2265"/>
    <n v="440031"/>
    <s v="TN"/>
    <s v="TN - Roane"/>
    <n v="37748"/>
    <s v="Roane Medical Center"/>
    <s v="Short Term Acute Care Hospital"/>
    <s v="Harriman"/>
    <n v="27.8"/>
    <n v="3.7"/>
    <n v="74"/>
    <n v="52"/>
    <n v="6"/>
    <n v="0.2"/>
    <n v="52"/>
    <n v="1.42"/>
    <n v="3806"/>
    <n v="2743"/>
  </r>
  <r>
    <x v="2266"/>
    <n v="440065"/>
    <s v="TN"/>
    <s v="TN - Robertson"/>
    <n v="37172"/>
    <s v="NorthCrest Medical Center"/>
    <s v="Short Term Acute Care Hospital"/>
    <s v="Springfield"/>
    <n v="25.3"/>
    <n v="4.8"/>
    <n v="158"/>
    <n v="109"/>
    <n v="8"/>
    <n v="0.26"/>
    <n v="109"/>
    <n v="1.64"/>
    <n v="3807"/>
    <n v="2255"/>
  </r>
  <r>
    <x v="2267"/>
    <n v="440053"/>
    <s v="TN"/>
    <s v="TN - Rutherford"/>
    <n v="37129"/>
    <s v="Ascension Saint Thomas Rutherford (FKA Middle Tennessee Medical Center)"/>
    <s v="Short Term Acute Care Hospital"/>
    <s v="Murfreesboro"/>
    <n v="212.4"/>
    <n v="4.4000000000000004"/>
    <n v="334"/>
    <n v="287"/>
    <n v="68"/>
    <n v="0.26"/>
    <n v="285"/>
    <n v="1.56"/>
    <n v="3808"/>
    <n v="19370"/>
  </r>
  <r>
    <x v="2267"/>
    <n v="440227"/>
    <s v="TN"/>
    <s v="TN - Rutherford"/>
    <n v="37167"/>
    <s v="TriStar StoneCrest Medical Center"/>
    <s v="Short Term Acute Care Hospital"/>
    <s v="Smyrna"/>
    <n v="52.2"/>
    <n v="3.6"/>
    <n v="192"/>
    <n v="109"/>
    <n v="10"/>
    <n v="0.26"/>
    <n v="109"/>
    <n v="1.79"/>
    <n v="3809"/>
    <n v="5875"/>
  </r>
  <r>
    <x v="2267"/>
    <s v="440223 (Closed)"/>
    <s v="TN"/>
    <s v="TN - Rutherford"/>
    <n v="37130"/>
    <s v="Baptist Womens Treatment Center (Closed)"/>
    <s v="Short Term Acute Care Hospital"/>
    <s v="Murfreesboro"/>
    <m/>
    <m/>
    <m/>
    <m/>
    <m/>
    <m/>
    <m/>
    <m/>
    <n v="6044"/>
    <m/>
  </r>
  <r>
    <x v="2267"/>
    <n v="440231"/>
    <s v="TN"/>
    <s v="TN - Rutherford"/>
    <n v="37129"/>
    <s v="TrustPoint Hospital"/>
    <s v="Short Term Acute Care Hospital"/>
    <s v="Murfreesboro"/>
    <n v="0"/>
    <n v="18"/>
    <n v="17"/>
    <n v="18"/>
    <m/>
    <n v="0.26"/>
    <n v="18"/>
    <n v="1.17"/>
    <n v="581769"/>
    <n v="1"/>
  </r>
  <r>
    <x v="2267"/>
    <m/>
    <s v="TN"/>
    <s v="TN - Rutherford"/>
    <n v="37128"/>
    <s v="Vanderbilt Murfreesboro Hospital (Opening Early 2021)"/>
    <s v="Short Term Acute Care Hospital"/>
    <s v="Murfreesboro"/>
    <m/>
    <m/>
    <m/>
    <m/>
    <m/>
    <m/>
    <m/>
    <m/>
    <n v="1013354"/>
    <m/>
  </r>
  <r>
    <x v="2268"/>
    <n v="440235"/>
    <s v="TN"/>
    <s v="TN - Scott"/>
    <n v="37841"/>
    <s v="Big South Fork Medical Center (FKA Pioneer Community Hospital of Scott)"/>
    <s v="Short Term Acute Care Hospital"/>
    <s v="Oneida"/>
    <n v="4.5"/>
    <n v="3.8"/>
    <n v="27"/>
    <n v="25"/>
    <m/>
    <m/>
    <n v="25"/>
    <n v="1.17"/>
    <n v="3810"/>
    <n v="427"/>
  </r>
  <r>
    <x v="2269"/>
    <n v="440081"/>
    <s v="TN"/>
    <s v="TN - Sevier"/>
    <n v="37862"/>
    <s v="LeConte Medical Center"/>
    <s v="Short Term Acute Care Hospital"/>
    <s v="Sevierville"/>
    <n v="38.700000000000003"/>
    <n v="3.5"/>
    <n v="145"/>
    <n v="58"/>
    <n v="16"/>
    <n v="1"/>
    <n v="58"/>
    <n v="1.44"/>
    <n v="3739"/>
    <n v="4538"/>
  </r>
  <r>
    <x v="2270"/>
    <n v="440228"/>
    <s v="TN"/>
    <s v="TN - Shelby"/>
    <n v="38133"/>
    <s v="Saint Francis Hospital - Bartlett"/>
    <s v="Short Term Acute Care Hospital"/>
    <s v="Bartlett"/>
    <n v="95.7"/>
    <n v="4.4000000000000004"/>
    <n v="147"/>
    <n v="156"/>
    <n v="32"/>
    <n v="0.27"/>
    <n v="156"/>
    <n v="1.67"/>
    <n v="3811"/>
    <n v="8019"/>
  </r>
  <r>
    <x v="2270"/>
    <n v="440152"/>
    <s v="TN"/>
    <s v="TN - Shelby"/>
    <n v="38103"/>
    <s v="Regional Medical Center (AKA Regional One Health Hospital)"/>
    <s v="Short Term Acute Care Hospital"/>
    <s v="Memphis"/>
    <n v="202.4"/>
    <n v="7.8"/>
    <n v="321"/>
    <n v="288"/>
    <m/>
    <n v="0.27"/>
    <n v="288"/>
    <n v="2.44"/>
    <n v="3813"/>
    <n v="10840"/>
  </r>
  <r>
    <x v="2270"/>
    <s v="440147 (Closed)"/>
    <s v="TN"/>
    <s v="TN - Shelby"/>
    <n v="38138"/>
    <s v="Baptist Rehabilitation Germantown (Closed Inpatient Services)"/>
    <s v="Short Term Acute Care Hospital"/>
    <s v="Germantown"/>
    <m/>
    <m/>
    <m/>
    <m/>
    <m/>
    <m/>
    <m/>
    <m/>
    <n v="3814"/>
    <m/>
  </r>
  <r>
    <x v="2270"/>
    <n v="440159"/>
    <s v="TN"/>
    <s v="TN - Shelby"/>
    <n v="38118"/>
    <s v="Delta Medical Center"/>
    <s v="Short Term Acute Care Hospital"/>
    <s v="Memphis"/>
    <n v="3.7"/>
    <n v="10.5"/>
    <n v="7"/>
    <n v="112"/>
    <m/>
    <n v="0.27"/>
    <n v="112"/>
    <n v="1.1499999999999999"/>
    <n v="3816"/>
    <n v="127"/>
  </r>
  <r>
    <x v="2270"/>
    <n v="440048"/>
    <s v="TN"/>
    <s v="TN - Shelby"/>
    <n v="38120"/>
    <s v="Baptist Memorial Hospital - Memphis"/>
    <s v="Short Term Acute Care Hospital"/>
    <s v="Memphis"/>
    <n v="585.6"/>
    <n v="6.2"/>
    <n v="914"/>
    <n v="793"/>
    <n v="61"/>
    <n v="0.27"/>
    <n v="642"/>
    <n v="2.0099999999999998"/>
    <n v="3817"/>
    <n v="36277"/>
  </r>
  <r>
    <x v="2270"/>
    <n v="440049"/>
    <s v="TN"/>
    <s v="TN - Shelby"/>
    <n v="38104"/>
    <s v="Methodist University Hospital"/>
    <s v="Short Term Acute Care Hospital"/>
    <s v="Memphis"/>
    <n v="951.3"/>
    <n v="5.8"/>
    <n v="1179"/>
    <n v="1328"/>
    <n v="105"/>
    <n v="0.27"/>
    <n v="617"/>
    <n v="1.92"/>
    <n v="3818"/>
    <n v="61866"/>
  </r>
  <r>
    <x v="2270"/>
    <n v="440183"/>
    <s v="TN"/>
    <s v="TN - Shelby"/>
    <n v="38119"/>
    <s v="Saint Francis Hospital - Memphis"/>
    <s v="Short Term Acute Care Hospital"/>
    <s v="Memphis"/>
    <n v="183.8"/>
    <n v="4.7"/>
    <n v="315"/>
    <n v="325"/>
    <m/>
    <n v="0.27"/>
    <n v="325"/>
    <n v="1.83"/>
    <n v="4687"/>
    <n v="14664"/>
  </r>
  <r>
    <x v="2270"/>
    <s v="440049*"/>
    <s v="TN"/>
    <s v="TN - Shelby"/>
    <n v="38128"/>
    <s v="Methodist North Hospital"/>
    <s v="Short Term Acute Care Hospital"/>
    <s v="Memphis"/>
    <m/>
    <m/>
    <m/>
    <m/>
    <m/>
    <m/>
    <n v="246"/>
    <m/>
    <n v="542016"/>
    <m/>
  </r>
  <r>
    <x v="2270"/>
    <s v="440049*"/>
    <s v="TN"/>
    <s v="TN - Shelby"/>
    <n v="38138"/>
    <s v="Methodist Le Bonheur Germantown Hospital"/>
    <s v="Short Term Acute Care Hospital"/>
    <s v="Germantown"/>
    <m/>
    <m/>
    <n v="9"/>
    <m/>
    <m/>
    <m/>
    <n v="309"/>
    <m/>
    <n v="542018"/>
    <m/>
  </r>
  <r>
    <x v="2270"/>
    <s v="440049*"/>
    <s v="TN"/>
    <s v="TN - Shelby"/>
    <n v="38116"/>
    <s v="Methodist South Hospital (FKA Methodist Hospital South)"/>
    <s v="Short Term Acute Care Hospital"/>
    <s v="Memphis"/>
    <m/>
    <m/>
    <m/>
    <m/>
    <m/>
    <m/>
    <n v="156"/>
    <m/>
    <n v="542019"/>
    <m/>
  </r>
  <r>
    <x v="2270"/>
    <s v="440048*"/>
    <s v="TN"/>
    <s v="TN - Shelby"/>
    <n v="38017"/>
    <s v="Baptist Memorial Hospital - Collierville"/>
    <s v="Short Term Acute Care Hospital"/>
    <s v="Collierville"/>
    <m/>
    <m/>
    <m/>
    <m/>
    <m/>
    <m/>
    <n v="71"/>
    <m/>
    <n v="541879"/>
    <m/>
  </r>
  <r>
    <x v="2270"/>
    <s v="440048*"/>
    <s v="TN"/>
    <s v="TN - Shelby"/>
    <n v="38120"/>
    <s v="Baptist Memorial Hospital for Women"/>
    <s v="Short Term Acute Care Hospital"/>
    <s v="Memphis"/>
    <m/>
    <m/>
    <n v="41"/>
    <m/>
    <m/>
    <m/>
    <n v="140"/>
    <m/>
    <n v="541880"/>
    <m/>
  </r>
  <r>
    <x v="976"/>
    <s v="440142 (Closed)"/>
    <s v="TN"/>
    <s v="TN - Smith"/>
    <n v="37030"/>
    <s v="Riverview Regional Medical Center South (Closed)"/>
    <s v="Short Term Acute Care Hospital"/>
    <s v="Carthage"/>
    <m/>
    <m/>
    <m/>
    <m/>
    <m/>
    <m/>
    <m/>
    <m/>
    <n v="3820"/>
    <m/>
  </r>
  <r>
    <x v="2271"/>
    <n v="440176"/>
    <s v="TN"/>
    <s v="TN - Sullivan"/>
    <n v="37660"/>
    <s v="Indian Path Community Hospital (FKA Indian Path Medical Center)"/>
    <s v="Short Term Acute Care Hospital"/>
    <s v="Kingsport"/>
    <n v="43.1"/>
    <n v="4.3"/>
    <n v="174"/>
    <n v="148"/>
    <n v="14"/>
    <n v="0.3"/>
    <n v="148"/>
    <n v="1.65"/>
    <n v="3821"/>
    <n v="4044"/>
  </r>
  <r>
    <x v="2271"/>
    <n v="440017"/>
    <s v="TN"/>
    <s v="TN - Sullivan"/>
    <n v="37660"/>
    <s v="Holston Valley Medical Center (FKA Wellmont Holston Valley Medical Center)"/>
    <s v="Short Term Acute Care Hospital"/>
    <s v="Kingsport"/>
    <n v="219.5"/>
    <n v="4.4000000000000004"/>
    <n v="502"/>
    <n v="316"/>
    <n v="36"/>
    <n v="0.3"/>
    <n v="316"/>
    <n v="1.88"/>
    <n v="3822"/>
    <n v="18407"/>
  </r>
  <r>
    <x v="2271"/>
    <n v="440012"/>
    <s v="TN"/>
    <s v="TN - Sullivan"/>
    <n v="37620"/>
    <s v="Bristol Regional Medical Center (FKA Wellmont Bristol Regional Medical Center)"/>
    <s v="Short Term Acute Care Hospital"/>
    <s v="Bristol"/>
    <n v="177.2"/>
    <n v="4.4000000000000004"/>
    <n v="356"/>
    <n v="232"/>
    <n v="42"/>
    <n v="0.3"/>
    <n v="232"/>
    <n v="1.65"/>
    <n v="3823"/>
    <n v="15255"/>
  </r>
  <r>
    <x v="2272"/>
    <n v="440003"/>
    <s v="TN"/>
    <s v="TN - Sumner"/>
    <n v="37066"/>
    <s v="Sumner Regional Medical Center"/>
    <s v="Short Term Acute Care Hospital"/>
    <s v="Gallatin"/>
    <n v="70.3"/>
    <n v="4"/>
    <n v="212"/>
    <n v="126"/>
    <n v="18"/>
    <n v="0.26"/>
    <n v="126"/>
    <n v="1.32"/>
    <n v="3824"/>
    <n v="6801"/>
  </r>
  <r>
    <x v="2272"/>
    <n v="440194"/>
    <s v="TN"/>
    <s v="TN - Sumner"/>
    <n v="37075"/>
    <s v="TriStar Hendersonville Medical Center"/>
    <s v="Short Term Acute Care Hospital"/>
    <s v="Hendersonville"/>
    <n v="71.400000000000006"/>
    <n v="3.7"/>
    <n v="272"/>
    <n v="129"/>
    <n v="20"/>
    <n v="0.26"/>
    <n v="129"/>
    <n v="1.56"/>
    <n v="3825"/>
    <n v="7454"/>
  </r>
  <r>
    <x v="2273"/>
    <n v="440131"/>
    <s v="TN"/>
    <s v="TN - Tipton"/>
    <n v="38019"/>
    <s v="Baptist Memorial Hospital - Tipton"/>
    <s v="Short Term Acute Care Hospital"/>
    <s v="Covington"/>
    <n v="5.5"/>
    <n v="2.2000000000000002"/>
    <n v="88"/>
    <n v="47"/>
    <m/>
    <n v="0.27"/>
    <n v="47"/>
    <n v="1.18"/>
    <n v="3826"/>
    <n v="1166"/>
  </r>
  <r>
    <x v="2274"/>
    <n v="440001"/>
    <s v="TN"/>
    <s v="TN - Unicoi"/>
    <n v="37650"/>
    <s v="Unicoi County Hospital (FKA Unicoi County Memorial Hospital)"/>
    <s v="Short Term Acute Care Hospital"/>
    <s v="Erwin"/>
    <n v="3.8"/>
    <n v="3.2"/>
    <n v="32"/>
    <n v="10"/>
    <m/>
    <n v="0.59"/>
    <n v="10"/>
    <n v="1.17"/>
    <n v="3828"/>
    <n v="442"/>
  </r>
  <r>
    <x v="2275"/>
    <n v="440151"/>
    <s v="TN"/>
    <s v="TN - Warren"/>
    <n v="37110"/>
    <s v="Ascension Saint Thomas River Park (FKA River Park Hospital)"/>
    <s v="Short Term Acute Care Hospital"/>
    <s v="McMinnville"/>
    <n v="12.3"/>
    <n v="2.9"/>
    <n v="107"/>
    <n v="100"/>
    <n v="8"/>
    <n v="1"/>
    <n v="100"/>
    <n v="1.34"/>
    <n v="3829"/>
    <n v="1824"/>
  </r>
  <r>
    <x v="2276"/>
    <n v="440063"/>
    <s v="TN"/>
    <s v="TN - Washington"/>
    <n v="37604"/>
    <s v="Johnson City Medical Center"/>
    <s v="Short Term Acute Care Hospital"/>
    <s v="Johnson City"/>
    <n v="366.6"/>
    <n v="5.2"/>
    <n v="614"/>
    <n v="514"/>
    <n v="56"/>
    <n v="0.59"/>
    <n v="445"/>
    <n v="1.78"/>
    <n v="3830"/>
    <n v="26139"/>
  </r>
  <r>
    <x v="2276"/>
    <n v="440184"/>
    <s v="TN"/>
    <s v="TN - Washington"/>
    <n v="37604"/>
    <s v="Franklin Woods Community Hospital"/>
    <s v="Short Term Acute Care Hospital"/>
    <s v="Johnson City"/>
    <n v="45.5"/>
    <n v="3.8"/>
    <n v="93"/>
    <n v="80"/>
    <n v="20"/>
    <n v="0.59"/>
    <n v="80"/>
    <n v="1.33"/>
    <n v="3832"/>
    <n v="4983"/>
  </r>
  <r>
    <x v="2276"/>
    <s v="440105 (Closed)"/>
    <s v="TN"/>
    <s v="TN - Washington"/>
    <n v="37601"/>
    <s v="Johnson City Specialty Hospital (Closed July 2010)"/>
    <s v="Short Term Acute Care Hospital"/>
    <s v="Johnson City"/>
    <n v="5.7"/>
    <n v="4"/>
    <m/>
    <m/>
    <m/>
    <n v="0.59"/>
    <m/>
    <m/>
    <n v="3833"/>
    <n v="1075"/>
  </r>
  <r>
    <x v="2277"/>
    <n v="440010"/>
    <s v="TN"/>
    <s v="TN - Wayne"/>
    <n v="38485"/>
    <s v="Wayne Medical Center"/>
    <s v="Short Term Acute Care Hospital"/>
    <s v="Waynesboro"/>
    <n v="7.5"/>
    <n v="6.3"/>
    <n v="24"/>
    <n v="30"/>
    <m/>
    <m/>
    <n v="30"/>
    <n v="1.04"/>
    <n v="3834"/>
    <n v="435"/>
  </r>
  <r>
    <x v="2278"/>
    <n v="440061"/>
    <s v="TN"/>
    <s v="TN - Weakley"/>
    <n v="38237"/>
    <s v="Volunteer Hospital (FKA Tennova Healthcare - Volunteer Martin)"/>
    <s v="Short Term Acute Care Hospital"/>
    <s v="Martin"/>
    <n v="7.2"/>
    <n v="2.8"/>
    <n v="53"/>
    <n v="38"/>
    <n v="6"/>
    <n v="1"/>
    <n v="38"/>
    <n v="1.26"/>
    <n v="3835"/>
    <n v="1171"/>
  </r>
  <r>
    <x v="2279"/>
    <n v="440192"/>
    <s v="TN"/>
    <s v="TN - White"/>
    <n v="38583"/>
    <s v="Ascension Saint Thomas Highlands (FKA Highlands Medical Center)"/>
    <s v="Short Term Acute Care Hospital"/>
    <s v="Sparta"/>
    <n v="3.7"/>
    <n v="2.9"/>
    <n v="43"/>
    <n v="32"/>
    <n v="4"/>
    <m/>
    <n v="32"/>
    <n v="1.28"/>
    <n v="3836"/>
    <n v="478"/>
  </r>
  <r>
    <x v="2280"/>
    <n v="440029"/>
    <s v="TN"/>
    <s v="TN - Williamson"/>
    <n v="37067"/>
    <s v="Williamson Medical Center"/>
    <s v="Short Term Acute Care Hospital"/>
    <s v="Franklin"/>
    <n v="86"/>
    <n v="4"/>
    <n v="359"/>
    <n v="185"/>
    <n v="28"/>
    <n v="0.26"/>
    <n v="185"/>
    <n v="1.85"/>
    <n v="3837"/>
    <n v="8523"/>
  </r>
  <r>
    <x v="2281"/>
    <n v="440193"/>
    <s v="TN"/>
    <s v="TN - Wilson"/>
    <n v="37087"/>
    <s v="Vanderbilt Wilson County Hospital (FKA Tennova Healthcare - Lebanon University Medical Center)"/>
    <s v="Short Term Acute Care Hospital"/>
    <s v="Lebanon"/>
    <n v="34.299999999999997"/>
    <n v="3.9"/>
    <n v="108"/>
    <n v="170"/>
    <n v="12"/>
    <n v="0.26"/>
    <n v="170"/>
    <n v="1.49"/>
    <n v="3838"/>
    <n v="3402"/>
  </r>
  <r>
    <x v="2281"/>
    <s v="440193* (Closed)"/>
    <s v="TN"/>
    <s v="TN - Wilson"/>
    <n v="37087"/>
    <s v="University Medical Center - McFarland Campus (Closed)"/>
    <s v="Short Term Acute Care Hospital"/>
    <s v="Lebanon"/>
    <m/>
    <m/>
    <m/>
    <m/>
    <m/>
    <m/>
    <m/>
    <m/>
    <n v="577609"/>
    <m/>
  </r>
  <r>
    <x v="2282"/>
    <n v="450747"/>
    <s v="TX"/>
    <s v="TX - Anderson"/>
    <n v="75801"/>
    <s v="Palestine Regional Medical Center"/>
    <s v="Short Term Acute Care Hospital"/>
    <s v="Palestine"/>
    <n v="49.6"/>
    <n v="5.6"/>
    <n v="86"/>
    <n v="116"/>
    <n v="10"/>
    <n v="1"/>
    <n v="150"/>
    <n v="1.32"/>
    <n v="3839"/>
    <n v="3425"/>
  </r>
  <r>
    <x v="2283"/>
    <n v="450144"/>
    <s v="TX"/>
    <s v="TX - Andrews"/>
    <n v="79714"/>
    <s v="Permian Regional Medical Center"/>
    <s v="Short Term Acute Care Hospital"/>
    <s v="Andrews"/>
    <n v="3.9"/>
    <n v="1.7"/>
    <n v="36"/>
    <n v="30"/>
    <m/>
    <n v="1"/>
    <n v="30"/>
    <n v="1.26"/>
    <n v="3840"/>
    <n v="1135"/>
  </r>
  <r>
    <x v="2284"/>
    <n v="450211"/>
    <s v="TX"/>
    <s v="TX - Angelina"/>
    <n v="75904"/>
    <s v="CHI St Lukes Health-Memorial Lufkin (FKA Memorial Health System of East Texas - Lufkin)"/>
    <s v="Short Term Acute Care Hospital"/>
    <s v="Lufkin"/>
    <n v="107.2"/>
    <n v="5"/>
    <n v="157"/>
    <n v="172"/>
    <n v="24"/>
    <n v="0.52"/>
    <n v="172"/>
    <n v="1.8"/>
    <n v="3841"/>
    <n v="5860"/>
  </r>
  <r>
    <x v="2284"/>
    <n v="450484"/>
    <s v="TX"/>
    <s v="TX - Angelina"/>
    <n v="75904"/>
    <s v="Woodland Heights Medical Center"/>
    <s v="Short Term Acute Care Hospital"/>
    <s v="Lufkin"/>
    <n v="61"/>
    <n v="4.2"/>
    <n v="94"/>
    <n v="145"/>
    <n v="15"/>
    <n v="0.52"/>
    <n v="145"/>
    <n v="1.66"/>
    <n v="3842"/>
    <n v="5666"/>
  </r>
  <r>
    <x v="2285"/>
    <n v="450165"/>
    <s v="TX"/>
    <s v="TX - Atascosa"/>
    <n v="78026"/>
    <s v="Methodist Hospital - South (FKA South Texas Regional Medical Center)"/>
    <s v="Short Term Acute Care Hospital"/>
    <s v="Jourdanton"/>
    <n v="13.5"/>
    <n v="3.1"/>
    <n v="60"/>
    <n v="67"/>
    <n v="6"/>
    <n v="0.19"/>
    <n v="67"/>
    <n v="1.27"/>
    <n v="3843"/>
    <n v="1711"/>
  </r>
  <r>
    <x v="2286"/>
    <n v="450253"/>
    <s v="TX"/>
    <s v="TX - Austin"/>
    <n v="77418"/>
    <s v="Bellville Medical Center (FKA CHI St Joseph Health Bellville Hospital)"/>
    <s v="Short Term Acute Care Hospital"/>
    <s v="Bellville"/>
    <n v="2.2999999999999998"/>
    <n v="8.4"/>
    <n v="28"/>
    <n v="32"/>
    <m/>
    <n v="7.0000000000000007E-2"/>
    <n v="32"/>
    <n v="0.99"/>
    <n v="3844"/>
    <n v="101"/>
  </r>
  <r>
    <x v="2287"/>
    <n v="450143"/>
    <s v="TX"/>
    <s v="TX - Bastrop"/>
    <n v="78957"/>
    <s v="Ascension Seton Smithville (FKA Seton Smithville Regional)"/>
    <s v="Short Term Acute Care Hospital"/>
    <s v="Smithville"/>
    <n v="1.5"/>
    <n v="3.1"/>
    <n v="56"/>
    <n v="8"/>
    <m/>
    <n v="0.09"/>
    <n v="8"/>
    <n v="1.07"/>
    <n v="3845"/>
    <n v="184"/>
  </r>
  <r>
    <x v="2287"/>
    <s v="670011 (Closed)"/>
    <s v="TX"/>
    <s v="TX - Bastrop"/>
    <n v="78602"/>
    <s v="Lakeside Hospital at Bastrop (closed 2010)"/>
    <s v="Short Term Acute Care Hospital"/>
    <s v="Bastrop"/>
    <n v="6.9"/>
    <n v="3.3"/>
    <m/>
    <m/>
    <m/>
    <n v="0.09"/>
    <m/>
    <m/>
    <n v="3846"/>
    <n v="772"/>
  </r>
  <r>
    <x v="2288"/>
    <n v="450586"/>
    <s v="TX"/>
    <s v="TX - Baylor"/>
    <n v="76380"/>
    <s v="Seymour Hospital"/>
    <s v="Short Term Acute Care Hospital"/>
    <s v="Seymour"/>
    <n v="5.0999999999999996"/>
    <n v="7.1"/>
    <n v="11"/>
    <n v="27"/>
    <m/>
    <m/>
    <n v="27"/>
    <n v="1.1499999999999999"/>
    <n v="3847"/>
    <n v="271"/>
  </r>
  <r>
    <x v="2289"/>
    <n v="450082"/>
    <s v="TX"/>
    <s v="TX - Bee"/>
    <n v="78102"/>
    <s v="CHRISTUS Spohn Hospital Beeville"/>
    <s v="Short Term Acute Care Hospital"/>
    <s v="Beeville"/>
    <n v="13.3"/>
    <n v="3.1"/>
    <n v="48"/>
    <n v="40"/>
    <n v="8"/>
    <n v="1"/>
    <n v="40"/>
    <n v="1.22"/>
    <n v="3848"/>
    <n v="1662"/>
  </r>
  <r>
    <x v="2290"/>
    <n v="450054"/>
    <s v="TX"/>
    <s v="TX - Bell"/>
    <n v="76508"/>
    <s v="Baylor Scott &amp; White Medical Center - Temple"/>
    <s v="Short Term Acute Care Hospital"/>
    <s v="Temple"/>
    <n v="452.5"/>
    <n v="4.5999999999999996"/>
    <n v="1505"/>
    <n v="608"/>
    <n v="70"/>
    <n v="0.59"/>
    <n v="608"/>
    <n v="1.9"/>
    <n v="3849"/>
    <n v="36407"/>
  </r>
  <r>
    <x v="2290"/>
    <n v="450152"/>
    <s v="TX"/>
    <s v="TX - Bell"/>
    <n v="76549"/>
    <s v="AdventHealth Central Texas (FKA Metroplex Adventist Hospital)"/>
    <s v="Short Term Acute Care Hospital"/>
    <s v="Killeen"/>
    <n v="66"/>
    <n v="3.9"/>
    <n v="164"/>
    <n v="208"/>
    <n v="10"/>
    <n v="0.59"/>
    <n v="148"/>
    <n v="1.59"/>
    <n v="3850"/>
    <n v="6702"/>
  </r>
  <r>
    <x v="2290"/>
    <n v="670080"/>
    <s v="TX"/>
    <s v="TX - Bell"/>
    <n v="76548"/>
    <s v="Seton Medical Center Harker Heights"/>
    <s v="Short Term Acute Care Hospital"/>
    <s v="Harker Heights"/>
    <n v="26.1"/>
    <n v="2.5"/>
    <n v="145"/>
    <n v="66"/>
    <n v="10"/>
    <n v="0.59"/>
    <n v="66"/>
    <n v="1.51"/>
    <n v="550013"/>
    <n v="4415"/>
  </r>
  <r>
    <x v="2290"/>
    <m/>
    <s v="TX"/>
    <s v="TX - Bell"/>
    <n v="76504"/>
    <s v="Santa Fe Hospital (Closed - No Longer Offers Inpatient Services)"/>
    <s v="Short Term Acute Care Hospital"/>
    <s v="Temple"/>
    <m/>
    <m/>
    <m/>
    <m/>
    <m/>
    <m/>
    <m/>
    <m/>
    <n v="553317"/>
    <m/>
  </r>
  <r>
    <x v="2291"/>
    <s v="450388*"/>
    <s v="TX"/>
    <s v="TX - Bexar"/>
    <n v="78201"/>
    <s v="Methodist Hospital - Texsan"/>
    <s v="Short Term Acute Care Hospital"/>
    <s v="San Antonio"/>
    <m/>
    <m/>
    <m/>
    <m/>
    <m/>
    <m/>
    <n v="120"/>
    <m/>
    <n v="3853"/>
    <m/>
  </r>
  <r>
    <x v="2291"/>
    <n v="450780"/>
    <s v="TX"/>
    <s v="TX - Bexar"/>
    <n v="78240"/>
    <s v="Methodist Hospital Ambulatory Surgery"/>
    <s v="Short Term Acute Care Hospital"/>
    <s v="San Antonio"/>
    <n v="2.6"/>
    <n v="2"/>
    <n v="24"/>
    <n v="22"/>
    <m/>
    <n v="0.19"/>
    <n v="22"/>
    <n v="2.16"/>
    <n v="3855"/>
    <n v="459"/>
  </r>
  <r>
    <x v="2291"/>
    <n v="450856"/>
    <s v="TX"/>
    <s v="TX - Bexar"/>
    <n v="78258"/>
    <s v="South Texas Spine &amp; Surgical Hospital"/>
    <s v="Short Term Acute Care Hospital"/>
    <s v="San Antonio"/>
    <n v="8.1"/>
    <n v="2"/>
    <n v="46"/>
    <n v="30"/>
    <m/>
    <n v="0.19"/>
    <n v="30"/>
    <n v="2.77"/>
    <n v="3856"/>
    <n v="1467"/>
  </r>
  <r>
    <x v="2291"/>
    <n v="450697"/>
    <s v="TX"/>
    <s v="TX - Bexar"/>
    <n v="78224"/>
    <s v="Southwest General Hospital"/>
    <s v="Short Term Acute Care Hospital"/>
    <s v="San Antonio"/>
    <n v="82.4"/>
    <n v="3.9"/>
    <n v="82"/>
    <n v="185"/>
    <n v="18"/>
    <n v="0.19"/>
    <n v="185"/>
    <n v="1.78"/>
    <n v="3857"/>
    <n v="8334"/>
  </r>
  <r>
    <x v="2291"/>
    <s v="450130 (Closed)"/>
    <s v="TX"/>
    <s v="TX - Bexar"/>
    <n v="78205"/>
    <s v="Nix Health (Closed)"/>
    <s v="Short Term Acute Care Hospital"/>
    <s v="San Antonio"/>
    <n v="124.5"/>
    <n v="6"/>
    <m/>
    <m/>
    <m/>
    <n v="0.19"/>
    <m/>
    <n v="1.66"/>
    <n v="3858"/>
    <n v="7551"/>
  </r>
  <r>
    <x v="2291"/>
    <n v="450213"/>
    <s v="TX"/>
    <s v="TX - Bexar"/>
    <n v="78229"/>
    <s v="University Hospital (AKA University Health System)"/>
    <s v="Short Term Acute Care Hospital"/>
    <s v="San Antonio"/>
    <n v="464.4"/>
    <n v="5.9"/>
    <n v="1187"/>
    <n v="606"/>
    <n v="20"/>
    <n v="0.19"/>
    <n v="606"/>
    <n v="1.95"/>
    <n v="3859"/>
    <n v="29631"/>
  </r>
  <r>
    <x v="2291"/>
    <n v="450058"/>
    <s v="TX"/>
    <s v="TX - Bexar"/>
    <n v="78205"/>
    <s v="Baptist Medical Center"/>
    <s v="Short Term Acute Care Hospital"/>
    <s v="San Antonio"/>
    <n v="692.3"/>
    <n v="4.5999999999999996"/>
    <n v="1392"/>
    <n v="1457"/>
    <n v="151"/>
    <n v="0.19"/>
    <n v="1457"/>
    <n v="1.8"/>
    <n v="3860"/>
    <n v="58575"/>
  </r>
  <r>
    <x v="2291"/>
    <s v="450237* (Closed)"/>
    <s v="TX"/>
    <s v="TX - Bexar"/>
    <n v="78207"/>
    <s v="Christus Santa Rosa Hospital - City Centre (Closed)"/>
    <s v="Short Term Acute Care Hospital"/>
    <s v="San Antonio"/>
    <m/>
    <m/>
    <m/>
    <m/>
    <m/>
    <m/>
    <m/>
    <m/>
    <n v="3861"/>
    <m/>
  </r>
  <r>
    <x v="2291"/>
    <n v="450388"/>
    <s v="TX"/>
    <s v="TX - Bexar"/>
    <n v="78229"/>
    <s v="Methodist Hospital"/>
    <s v="Short Term Acute Care Hospital"/>
    <s v="San Antonio"/>
    <n v="1168"/>
    <n v="5.3"/>
    <n v="1340"/>
    <n v="1560"/>
    <n v="207"/>
    <n v="0.19"/>
    <n v="1560"/>
    <n v="1.89"/>
    <n v="3862"/>
    <n v="83063"/>
  </r>
  <r>
    <x v="2291"/>
    <n v="670054"/>
    <s v="TX"/>
    <s v="TX - Bexar"/>
    <n v="78240"/>
    <s v="Foundation Surgical Hospital of San Antonio"/>
    <s v="Short Term Acute Care Hospital"/>
    <s v="San Antonio"/>
    <n v="5.9"/>
    <n v="1.8"/>
    <n v="22"/>
    <n v="20"/>
    <m/>
    <n v="0.19"/>
    <n v="20"/>
    <n v="2.46"/>
    <n v="3863"/>
    <n v="1216"/>
  </r>
  <r>
    <x v="2291"/>
    <n v="670055"/>
    <s v="TX"/>
    <s v="TX - Bexar"/>
    <n v="78258"/>
    <s v="Methodist Hospital - Stone Oak"/>
    <s v="Short Term Acute Care Hospital"/>
    <s v="San Antonio"/>
    <n v="157"/>
    <n v="4.7"/>
    <n v="179"/>
    <n v="227"/>
    <n v="28"/>
    <n v="0.19"/>
    <n v="227"/>
    <n v="1.82"/>
    <n v="3864"/>
    <n v="12864"/>
  </r>
  <r>
    <x v="2291"/>
    <n v="670112"/>
    <s v="TX"/>
    <s v="TX - Bexar"/>
    <n v="78249"/>
    <s v="Legent Orthopedic and Spine (FKA Cumberland Surgical Hospital)"/>
    <s v="Short Term Acute Care Hospital"/>
    <s v="San Antonio"/>
    <n v="3.4"/>
    <n v="1.5"/>
    <n v="8"/>
    <n v="26"/>
    <m/>
    <n v="0.19"/>
    <n v="26"/>
    <n v="2.09"/>
    <n v="4857"/>
    <n v="853"/>
  </r>
  <r>
    <x v="2291"/>
    <n v="670125"/>
    <s v="TX"/>
    <s v="TX - Bexar"/>
    <n v="78223"/>
    <s v="Texas Center for Infectious Disease (FKA San Antonio State Chest Hospital)"/>
    <s v="Short Term Acute Care Hospital"/>
    <s v="San Antonio"/>
    <n v="34.4"/>
    <n v="144.4"/>
    <n v="2"/>
    <n v="50"/>
    <m/>
    <n v="0.19"/>
    <n v="50"/>
    <n v="0.93"/>
    <n v="5373"/>
    <n v="87"/>
  </r>
  <r>
    <x v="2291"/>
    <s v="450058*"/>
    <s v="TX"/>
    <s v="TX - Bexar"/>
    <n v="78235"/>
    <s v="Mission Trail Baptist Hospital"/>
    <s v="Short Term Acute Care Hospital"/>
    <s v="San Antonio"/>
    <m/>
    <m/>
    <m/>
    <m/>
    <m/>
    <m/>
    <n v="110"/>
    <m/>
    <n v="274219"/>
    <m/>
  </r>
  <r>
    <x v="2291"/>
    <s v="450058*"/>
    <s v="TX"/>
    <s v="TX - Bexar"/>
    <n v="78258"/>
    <s v="North Central Baptist Hospital"/>
    <s v="Short Term Acute Care Hospital"/>
    <s v="San Antonio"/>
    <m/>
    <m/>
    <m/>
    <m/>
    <m/>
    <m/>
    <n v="362"/>
    <m/>
    <n v="274220"/>
    <m/>
  </r>
  <r>
    <x v="2291"/>
    <s v="450058*"/>
    <s v="TX"/>
    <s v="TX - Bexar"/>
    <n v="78217"/>
    <s v="Northeast Baptist Hospital"/>
    <s v="Short Term Acute Care Hospital"/>
    <s v="San Antonio"/>
    <m/>
    <m/>
    <m/>
    <m/>
    <m/>
    <m/>
    <n v="362"/>
    <m/>
    <n v="274221"/>
    <m/>
  </r>
  <r>
    <x v="2291"/>
    <s v="450058*"/>
    <s v="TX"/>
    <s v="TX - Bexar"/>
    <n v="78229"/>
    <s v="St Lukes Baptist Hospital"/>
    <s v="Short Term Acute Care Hospital"/>
    <s v="San Antonio"/>
    <m/>
    <m/>
    <m/>
    <m/>
    <m/>
    <m/>
    <m/>
    <m/>
    <n v="274222"/>
    <m/>
  </r>
  <r>
    <x v="2291"/>
    <s v="450388*"/>
    <s v="TX"/>
    <s v="TX - Bexar"/>
    <n v="78233"/>
    <s v="Methodist Hospital - Northeast"/>
    <s v="Short Term Acute Care Hospital"/>
    <s v="San Antonio"/>
    <m/>
    <m/>
    <n v="1"/>
    <m/>
    <m/>
    <m/>
    <n v="153"/>
    <m/>
    <n v="550017"/>
    <m/>
  </r>
  <r>
    <x v="2291"/>
    <s v="450388*"/>
    <s v="TX"/>
    <s v="TX - Bexar"/>
    <n v="78212"/>
    <s v="Methodist Hospital - Metropolitan"/>
    <s v="Short Term Acute Care Hospital"/>
    <s v="San Antonio"/>
    <m/>
    <m/>
    <n v="5"/>
    <m/>
    <m/>
    <m/>
    <n v="330"/>
    <m/>
    <n v="550018"/>
    <m/>
  </r>
  <r>
    <x v="2291"/>
    <s v="450388*"/>
    <s v="TX"/>
    <s v="TX - Bexar"/>
    <n v="78229"/>
    <s v="Methodist Heart Hospital"/>
    <s v="Short Term Acute Care Hospital"/>
    <s v="San Antonio"/>
    <m/>
    <m/>
    <n v="1"/>
    <m/>
    <m/>
    <m/>
    <n v="26"/>
    <m/>
    <n v="550020"/>
    <m/>
  </r>
  <r>
    <x v="2291"/>
    <s v="450237*"/>
    <s v="TX"/>
    <s v="TX - Bexar"/>
    <n v="78209"/>
    <s v="CHRISTUS Santa Rosa Hospital - Alamo Heights"/>
    <s v="Short Term Acute Care Hospital"/>
    <s v="San Antonio"/>
    <m/>
    <m/>
    <n v="1"/>
    <m/>
    <m/>
    <m/>
    <n v="36"/>
    <m/>
    <n v="550182"/>
    <m/>
  </r>
  <r>
    <x v="2291"/>
    <n v="450237"/>
    <s v="TX"/>
    <s v="TX - Bexar"/>
    <n v="78229"/>
    <s v="CHRISTUS Santa Rosa Hospital - Medical Center"/>
    <s v="Short Term Acute Care Hospital"/>
    <s v="San Antonio"/>
    <n v="229.2"/>
    <n v="4.0999999999999996"/>
    <n v="421"/>
    <n v="377"/>
    <n v="49"/>
    <n v="0.19"/>
    <n v="377"/>
    <n v="1.74"/>
    <n v="550184"/>
    <n v="20679"/>
  </r>
  <r>
    <x v="2291"/>
    <s v="450388*"/>
    <s v="TX"/>
    <s v="TX - Bexar"/>
    <n v="78229"/>
    <s v="Methodist Hospital - Specialty and Transplant"/>
    <s v="Short Term Acute Care Hospital"/>
    <s v="San Antonio"/>
    <m/>
    <m/>
    <n v="1"/>
    <m/>
    <m/>
    <m/>
    <n v="382"/>
    <m/>
    <n v="550775"/>
    <m/>
  </r>
  <r>
    <x v="2291"/>
    <n v="670078"/>
    <s v="TX"/>
    <s v="TX - Bexar"/>
    <n v="78232"/>
    <s v="Baptist Emergency Hospital - Thousand Oaks"/>
    <s v="Short Term Acute Care Hospital"/>
    <s v="San Antonio"/>
    <n v="7"/>
    <n v="2"/>
    <n v="60"/>
    <n v="50"/>
    <m/>
    <n v="0.19"/>
    <n v="50"/>
    <n v="0.92"/>
    <n v="553385"/>
    <n v="1269"/>
  </r>
  <r>
    <x v="2291"/>
    <s v="450237*"/>
    <s v="TX"/>
    <s v="TX - Bexar"/>
    <n v="78251"/>
    <s v="CHRISTUS Santa Rosa Hospital - Westover Hills"/>
    <s v="Short Term Acute Care Hospital"/>
    <s v="San Antonio"/>
    <m/>
    <m/>
    <m/>
    <m/>
    <m/>
    <m/>
    <n v="150"/>
    <m/>
    <n v="577647"/>
    <m/>
  </r>
  <r>
    <x v="2291"/>
    <s v="670078*"/>
    <s v="TX"/>
    <s v="TX - Bexar"/>
    <n v="78251"/>
    <s v="Baptist Emergency Hospital - Westover Hills"/>
    <s v="Short Term Acute Care Hospital"/>
    <s v="San Antonio"/>
    <m/>
    <m/>
    <n v="2"/>
    <m/>
    <m/>
    <m/>
    <n v="6"/>
    <m/>
    <n v="582557"/>
    <m/>
  </r>
  <r>
    <x v="2291"/>
    <s v="670078*"/>
    <s v="TX"/>
    <s v="TX - Bexar"/>
    <n v="78249"/>
    <s v="Baptist Emergency Hospital - Hausman"/>
    <s v="Short Term Acute Care Hospital"/>
    <s v="San Antonio"/>
    <m/>
    <m/>
    <n v="3"/>
    <m/>
    <m/>
    <m/>
    <n v="6"/>
    <m/>
    <n v="582558"/>
    <m/>
  </r>
  <r>
    <x v="2291"/>
    <m/>
    <s v="TX"/>
    <s v="TX - Bexar"/>
    <n v="78249"/>
    <s v="Forest Park Medical Center - San Antonio (Closed)"/>
    <s v="Short Term Acute Care Hospital"/>
    <s v="San Antonio"/>
    <m/>
    <m/>
    <m/>
    <m/>
    <m/>
    <m/>
    <m/>
    <m/>
    <n v="585564"/>
    <m/>
  </r>
  <r>
    <x v="2291"/>
    <s v="670078*"/>
    <s v="TX"/>
    <s v="TX - Bexar"/>
    <n v="78258"/>
    <s v="Baptist Emergency Hospital - Overlook"/>
    <s v="Short Term Acute Care Hospital"/>
    <s v="San Antonio"/>
    <m/>
    <m/>
    <n v="6"/>
    <m/>
    <m/>
    <m/>
    <n v="8"/>
    <m/>
    <n v="833111"/>
    <m/>
  </r>
  <r>
    <x v="2291"/>
    <s v="670078*"/>
    <s v="TX"/>
    <s v="TX - Bexar"/>
    <n v="78224"/>
    <s v="Baptist Emergency Hospital - Zarzamora"/>
    <s v="Short Term Acute Care Hospital"/>
    <s v="San Antonio"/>
    <m/>
    <m/>
    <m/>
    <m/>
    <m/>
    <m/>
    <m/>
    <m/>
    <n v="869343"/>
    <m/>
  </r>
  <r>
    <x v="2291"/>
    <m/>
    <s v="TX"/>
    <s v="TX - Bexar"/>
    <n v="78237"/>
    <s v="Baptist Emergency Hospital - Kelly"/>
    <s v="Short Term Acute Care Hospital"/>
    <s v="San Antonio"/>
    <m/>
    <m/>
    <m/>
    <m/>
    <m/>
    <m/>
    <m/>
    <m/>
    <n v="1009961"/>
    <m/>
  </r>
  <r>
    <x v="2291"/>
    <s v="670130 (Closed)"/>
    <s v="TX"/>
    <s v="TX - Bexar"/>
    <n v="78222"/>
    <s v="Southcross Hospital (Closed)"/>
    <s v="Short Term Acute Care Hospital"/>
    <s v="San Antonio"/>
    <m/>
    <m/>
    <m/>
    <m/>
    <m/>
    <m/>
    <m/>
    <m/>
    <n v="1007152"/>
    <m/>
  </r>
  <r>
    <x v="2292"/>
    <n v="450200"/>
    <s v="TX"/>
    <s v="TX - Bowie"/>
    <n v="75501"/>
    <s v="Wadley Regional Medical Center"/>
    <s v="Short Term Acute Care Hospital"/>
    <s v="Texarkana"/>
    <n v="73.099999999999994"/>
    <n v="4.8"/>
    <n v="138"/>
    <n v="185"/>
    <n v="26"/>
    <n v="0.6"/>
    <n v="185"/>
    <n v="1.71"/>
    <n v="3866"/>
    <n v="6086"/>
  </r>
  <r>
    <x v="2292"/>
    <n v="450801"/>
    <s v="TX"/>
    <s v="TX - Bowie"/>
    <n v="75501"/>
    <s v="CHRISTUS St Michael Hospital (AKA CHRISTUS St Michael Health System)"/>
    <s v="Short Term Acute Care Hospital"/>
    <s v="Texarkana"/>
    <n v="159.19999999999999"/>
    <n v="4.4000000000000004"/>
    <n v="285"/>
    <n v="354"/>
    <n v="32"/>
    <n v="0.6"/>
    <n v="354"/>
    <n v="1.78"/>
    <n v="3867"/>
    <n v="14351"/>
  </r>
  <r>
    <x v="980"/>
    <s v="450018*"/>
    <s v="TX"/>
    <s v="TX - Brazoria"/>
    <n v="77515"/>
    <s v="UTMB Health Angleton Danbury Campus (AKA Angleton Danbury Hospital)"/>
    <s v="Short Term Acute Care Hospital"/>
    <s v="Angleton"/>
    <m/>
    <m/>
    <n v="8"/>
    <m/>
    <m/>
    <m/>
    <m/>
    <m/>
    <n v="3868"/>
    <m/>
  </r>
  <r>
    <x v="980"/>
    <n v="450072"/>
    <s v="TX"/>
    <s v="TX - Brazoria"/>
    <n v="77566"/>
    <s v="CHI St Lukes Health - Brazosport Hospital"/>
    <s v="Short Term Acute Care Hospital"/>
    <s v="Lake Jackson"/>
    <n v="32"/>
    <n v="3.2"/>
    <n v="122"/>
    <n v="80"/>
    <n v="8"/>
    <n v="7.0000000000000007E-2"/>
    <n v="80"/>
    <n v="1.34"/>
    <n v="3869"/>
    <n v="3834"/>
  </r>
  <r>
    <x v="980"/>
    <n v="670106"/>
    <s v="TX"/>
    <s v="TX - Brazoria"/>
    <n v="77584"/>
    <s v="HCA Houston Healthcare Pearland (FKA Pearland Medical Center)"/>
    <s v="Short Term Acute Care Hospital"/>
    <s v="Pearland"/>
    <n v="38.1"/>
    <n v="3.7"/>
    <n v="41"/>
    <n v="49"/>
    <n v="8"/>
    <n v="7.0000000000000007E-2"/>
    <n v="49"/>
    <n v="1.59"/>
    <n v="582554"/>
    <n v="2574"/>
  </r>
  <r>
    <x v="980"/>
    <s v="450184*"/>
    <s v="TX"/>
    <s v="TX - Brazoria"/>
    <n v="77584"/>
    <s v="Memorial Hermann Pearland Hospital"/>
    <s v="Short Term Acute Care Hospital"/>
    <s v="Pearland"/>
    <m/>
    <m/>
    <m/>
    <m/>
    <m/>
    <m/>
    <n v="64"/>
    <m/>
    <n v="836474"/>
    <m/>
  </r>
  <r>
    <x v="2293"/>
    <n v="450299"/>
    <s v="TX"/>
    <s v="TX - Brazos"/>
    <n v="77845"/>
    <s v="CHI St Joseph Health College Station Hospital (FKA College Station Medical Center)"/>
    <s v="Short Term Acute Care Hospital"/>
    <s v="College Station"/>
    <n v="22.9"/>
    <n v="3.5"/>
    <n v="63"/>
    <n v="114"/>
    <n v="12"/>
    <n v="0.39"/>
    <n v="114"/>
    <n v="1.88"/>
    <n v="3870"/>
    <n v="2396"/>
  </r>
  <r>
    <x v="2293"/>
    <n v="450011"/>
    <s v="TX"/>
    <s v="TX - Brazos"/>
    <n v="77802"/>
    <s v="CHI St Joseph Regional Health Care Center"/>
    <s v="Short Term Acute Care Hospital"/>
    <s v="Bryan"/>
    <n v="148.69999999999999"/>
    <n v="4.4000000000000004"/>
    <n v="513"/>
    <n v="209"/>
    <n v="20"/>
    <n v="0.39"/>
    <n v="209"/>
    <n v="1.8"/>
    <n v="3871"/>
    <n v="13682"/>
  </r>
  <r>
    <x v="2293"/>
    <n v="450834"/>
    <s v="TX"/>
    <s v="TX - Brazos"/>
    <n v="77802"/>
    <s v="The Physicians Centre Hospital"/>
    <s v="Short Term Acute Care Hospital"/>
    <s v="Bryan"/>
    <n v="1.5"/>
    <n v="2"/>
    <n v="29"/>
    <n v="16"/>
    <m/>
    <n v="0.39"/>
    <n v="16"/>
    <n v="2.63"/>
    <n v="3872"/>
    <n v="268"/>
  </r>
  <r>
    <x v="2293"/>
    <n v="670088"/>
    <s v="TX"/>
    <s v="TX - Brazos"/>
    <n v="77845"/>
    <s v="Baylor Scott &amp; White Medical Center - College Station"/>
    <s v="Short Term Acute Care Hospital"/>
    <s v="College Station"/>
    <n v="68.400000000000006"/>
    <n v="3.2"/>
    <n v="225"/>
    <n v="119"/>
    <n v="16"/>
    <n v="0.39"/>
    <n v="119"/>
    <n v="1.83"/>
    <n v="550015"/>
    <n v="8565"/>
  </r>
  <r>
    <x v="2293"/>
    <m/>
    <s v="TX"/>
    <s v="TX - Brazos"/>
    <n v="77802"/>
    <s v="CapRock Hospital - Bryan (AKA CapRock Health)"/>
    <s v="Short Term Acute Care Hospital"/>
    <s v="Bryan"/>
    <m/>
    <m/>
    <n v="4"/>
    <m/>
    <m/>
    <m/>
    <m/>
    <m/>
    <n v="994604"/>
    <m/>
  </r>
  <r>
    <x v="2294"/>
    <n v="450587"/>
    <s v="TX"/>
    <s v="TX - Brown"/>
    <n v="76801"/>
    <s v="Brownwood Regional Medical Center"/>
    <s v="Short Term Acute Care Hospital"/>
    <s v="Brownwood"/>
    <n v="24.1"/>
    <n v="4"/>
    <n v="96"/>
    <n v="63"/>
    <n v="12"/>
    <n v="1"/>
    <n v="63"/>
    <n v="1.64"/>
    <n v="3874"/>
    <n v="2777"/>
  </r>
  <r>
    <x v="983"/>
    <n v="670108"/>
    <s v="TX"/>
    <s v="TX - Burnet"/>
    <n v="78654"/>
    <s v="Baylor Scott &amp; White Medical Center - Marble Falls"/>
    <s v="Short Term Acute Care Hospital"/>
    <s v="Marble Falls"/>
    <n v="20"/>
    <n v="3.1"/>
    <n v="114"/>
    <n v="46"/>
    <n v="8"/>
    <m/>
    <n v="46"/>
    <n v="1.42"/>
    <n v="553318"/>
    <n v="2567"/>
  </r>
  <r>
    <x v="2295"/>
    <n v="450855"/>
    <s v="TX"/>
    <s v="TX - Cameron"/>
    <n v="78550"/>
    <s v="Harlingen Medical Center"/>
    <s v="Short Term Acute Care Hospital"/>
    <s v="Harlingen"/>
    <n v="64.2"/>
    <n v="4.0999999999999996"/>
    <n v="78"/>
    <n v="112"/>
    <n v="14"/>
    <n v="0.28999999999999998"/>
    <n v="112"/>
    <n v="1.84"/>
    <n v="3879"/>
    <n v="6119"/>
  </r>
  <r>
    <x v="2295"/>
    <s v="450841 (Closed)"/>
    <s v="TX"/>
    <s v="TX - Cameron"/>
    <n v="78526"/>
    <s v="Brownsville Doctors Hospital (Closed 2013)"/>
    <s v="Short Term Acute Care Hospital"/>
    <s v="Brownsville"/>
    <n v="10.199999999999999"/>
    <n v="4"/>
    <m/>
    <m/>
    <m/>
    <n v="0.28999999999999998"/>
    <m/>
    <m/>
    <n v="3880"/>
    <n v="1037"/>
  </r>
  <r>
    <x v="2295"/>
    <n v="450662"/>
    <s v="TX"/>
    <s v="TX - Cameron"/>
    <n v="78526"/>
    <s v="Valley Regional Medical Center"/>
    <s v="Short Term Acute Care Hospital"/>
    <s v="Brownsville"/>
    <n v="117.8"/>
    <n v="5.2"/>
    <n v="123"/>
    <n v="214"/>
    <n v="18"/>
    <n v="0.28999999999999998"/>
    <n v="214"/>
    <n v="1.88"/>
    <n v="3881"/>
    <n v="9006"/>
  </r>
  <r>
    <x v="2295"/>
    <n v="450028"/>
    <s v="TX"/>
    <s v="TX - Cameron"/>
    <n v="78520"/>
    <s v="Valley Baptist Medical Center - Brownsville (FKA VHS Brownsville Hospital)"/>
    <s v="Short Term Acute Care Hospital"/>
    <s v="Brownsville"/>
    <n v="103.7"/>
    <n v="4.4000000000000004"/>
    <n v="131"/>
    <n v="243"/>
    <n v="24"/>
    <n v="0.28999999999999998"/>
    <n v="243"/>
    <n v="1.65"/>
    <n v="3882"/>
    <n v="9346"/>
  </r>
  <r>
    <x v="2295"/>
    <n v="450033"/>
    <s v="TX"/>
    <s v="TX - Cameron"/>
    <n v="78550"/>
    <s v="Valley Baptist Medical Center - Harlingen (FKA VHS Harlingen Hospital)"/>
    <s v="Short Term Acute Care Hospital"/>
    <s v="Harlingen"/>
    <n v="212.1"/>
    <n v="4.5"/>
    <n v="299"/>
    <n v="378"/>
    <n v="40"/>
    <n v="0.28999999999999998"/>
    <n v="378"/>
    <n v="1.71"/>
    <n v="3883"/>
    <n v="17726"/>
  </r>
  <r>
    <x v="987"/>
    <s v="450801*"/>
    <s v="TX"/>
    <s v="TX - Cass"/>
    <n v="75551"/>
    <s v="CHRISTUS St Michael - Atlanta (FKA Atlanta Memorial Hospital)"/>
    <s v="Short Term Acute Care Hospital"/>
    <s v="Atlanta"/>
    <m/>
    <m/>
    <n v="4"/>
    <m/>
    <m/>
    <m/>
    <n v="43"/>
    <m/>
    <n v="3885"/>
    <m/>
  </r>
  <r>
    <x v="990"/>
    <n v="450194"/>
    <s v="TX"/>
    <s v="TX - Cherokee"/>
    <n v="75766"/>
    <s v="UT Health Jacksonville (FKA East Texas Medical Center - Jacksonville)"/>
    <s v="Short Term Acute Care Hospital"/>
    <s v="Jacksonville"/>
    <n v="7.8"/>
    <n v="2.4"/>
    <n v="38"/>
    <n v="32"/>
    <m/>
    <n v="0.52"/>
    <n v="32"/>
    <n v="1.31"/>
    <n v="3890"/>
    <n v="1347"/>
  </r>
  <r>
    <x v="2296"/>
    <n v="450369"/>
    <s v="TX"/>
    <s v="TX - Childress"/>
    <n v="79201"/>
    <s v="Childress Regional Medical Center"/>
    <s v="Short Term Acute Care Hospital"/>
    <s v="Childress"/>
    <n v="6.2"/>
    <n v="5"/>
    <n v="17"/>
    <n v="37"/>
    <m/>
    <m/>
    <n v="37"/>
    <n v="1.22"/>
    <n v="3891"/>
    <n v="519"/>
  </r>
  <r>
    <x v="2297"/>
    <n v="450890"/>
    <s v="TX"/>
    <s v="TX - Collin"/>
    <n v="75093"/>
    <s v="Baylor Scott &amp; White Medical Center - Plano"/>
    <s v="Short Term Acute Care Hospital"/>
    <s v="Plano"/>
    <n v="87.1"/>
    <n v="4.5"/>
    <n v="267"/>
    <n v="118"/>
    <n v="16"/>
    <n v="0.03"/>
    <n v="118"/>
    <n v="1.78"/>
    <n v="3893"/>
    <n v="7027"/>
  </r>
  <r>
    <x v="2297"/>
    <n v="450891"/>
    <s v="TX"/>
    <s v="TX - Collin"/>
    <n v="75093"/>
    <s v="Texas Health Center for Diagnostics &amp; Surgery"/>
    <s v="Short Term Acute Care Hospital"/>
    <s v="Plano"/>
    <n v="2.8"/>
    <n v="1.8"/>
    <n v="102"/>
    <n v="18"/>
    <m/>
    <n v="0.03"/>
    <n v="18"/>
    <n v="2.98"/>
    <n v="3894"/>
    <n v="567"/>
  </r>
  <r>
    <x v="2297"/>
    <n v="450885"/>
    <s v="TX"/>
    <s v="TX - Collin"/>
    <n v="75035"/>
    <s v="Baylor Scott &amp; White Medical Center - Centennial (FKA Centennial Medical Center)"/>
    <s v="Short Term Acute Care Hospital"/>
    <s v="Frisco"/>
    <n v="46.3"/>
    <n v="4.4000000000000004"/>
    <n v="83"/>
    <n v="118"/>
    <n v="12"/>
    <n v="0.03"/>
    <n v="118"/>
    <n v="1.78"/>
    <n v="3896"/>
    <n v="4498"/>
  </r>
  <r>
    <x v="2297"/>
    <n v="450840"/>
    <s v="TX"/>
    <s v="TX - Collin"/>
    <n v="75013"/>
    <s v="Texas Health Allen (FKA Texas Health Presbyterian Hospital Allen)"/>
    <s v="Short Term Acute Care Hospital"/>
    <s v="Allen"/>
    <n v="24.2"/>
    <n v="2.8"/>
    <n v="137"/>
    <n v="44"/>
    <n v="8"/>
    <n v="0.03"/>
    <n v="44"/>
    <n v="1.57"/>
    <n v="3897"/>
    <n v="3380"/>
  </r>
  <r>
    <x v="2297"/>
    <n v="450651"/>
    <s v="TX"/>
    <s v="TX - Collin"/>
    <n v="75075"/>
    <s v="Medical City Plano (FKA Medical Center of Plano)"/>
    <s v="Short Term Acute Care Hospital"/>
    <s v="Plano"/>
    <n v="346.7"/>
    <n v="5.7"/>
    <n v="627"/>
    <n v="441"/>
    <m/>
    <n v="0.03"/>
    <n v="441"/>
    <n v="1.97"/>
    <n v="3898"/>
    <n v="23262"/>
  </r>
  <r>
    <x v="2297"/>
    <n v="450771"/>
    <s v="TX"/>
    <s v="TX - Collin"/>
    <n v="75093"/>
    <s v="Texas Health Plano (FKA Texas Health Presbyterian Hospital Plano)"/>
    <s v="Short Term Acute Care Hospital"/>
    <s v="Plano"/>
    <n v="197.9"/>
    <n v="4"/>
    <n v="573"/>
    <n v="321"/>
    <n v="26"/>
    <n v="0.03"/>
    <n v="321"/>
    <n v="1.77"/>
    <n v="3899"/>
    <n v="20384"/>
  </r>
  <r>
    <x v="2297"/>
    <n v="450403"/>
    <s v="TX"/>
    <s v="TX - Collin"/>
    <n v="75069"/>
    <s v="Medical City McKinney (FKA Medical Center of Mckinney)"/>
    <s v="Short Term Acute Care Hospital"/>
    <s v="McKinney"/>
    <n v="119.3"/>
    <n v="4.5"/>
    <n v="260"/>
    <n v="157"/>
    <n v="16"/>
    <n v="0.03"/>
    <n v="157"/>
    <n v="1.58"/>
    <n v="3900"/>
    <n v="10426"/>
  </r>
  <r>
    <x v="2297"/>
    <n v="670025"/>
    <s v="TX"/>
    <s v="TX - Collin"/>
    <n v="75093"/>
    <s v="Baylor Scott &amp; White the Heart Hospital Baylor - Plano"/>
    <s v="Short Term Acute Care Hospital"/>
    <s v="Plano"/>
    <n v="82.6"/>
    <n v="5.8"/>
    <n v="165"/>
    <n v="114"/>
    <m/>
    <n v="0.03"/>
    <n v="114"/>
    <n v="3.6"/>
    <n v="3901"/>
    <n v="5233"/>
  </r>
  <r>
    <x v="2297"/>
    <n v="670082"/>
    <s v="TX"/>
    <s v="TX - Collin"/>
    <n v="75071"/>
    <s v="Baylor Scott &amp; White Medical Center - McKinney"/>
    <s v="Short Term Acute Care Hospital"/>
    <s v="McKinney"/>
    <n v="88.9"/>
    <n v="4.2"/>
    <n v="209"/>
    <n v="143"/>
    <n v="16"/>
    <m/>
    <n v="143"/>
    <n v="1.48"/>
    <n v="553313"/>
    <n v="8594"/>
  </r>
  <r>
    <x v="2297"/>
    <n v="670069"/>
    <s v="TX"/>
    <s v="TX - Collin"/>
    <n v="75070"/>
    <s v="Methodist McKinney Hospital"/>
    <s v="Short Term Acute Care Hospital"/>
    <s v="McKinney"/>
    <n v="7.4"/>
    <n v="2.1"/>
    <n v="83"/>
    <n v="23"/>
    <m/>
    <n v="0.03"/>
    <n v="23"/>
    <n v="2.4300000000000002"/>
    <n v="553372"/>
    <n v="1290"/>
  </r>
  <r>
    <x v="2297"/>
    <m/>
    <s v="TX"/>
    <s v="TX - Collin"/>
    <n v="75093"/>
    <s v="Plano Surgical Hospital (FKA Victory Medical Center Plano)"/>
    <s v="Short Term Acute Care Hospital"/>
    <s v="Plano"/>
    <m/>
    <m/>
    <n v="3"/>
    <m/>
    <m/>
    <m/>
    <m/>
    <m/>
    <n v="575808"/>
    <m/>
  </r>
  <r>
    <x v="2297"/>
    <m/>
    <s v="TX"/>
    <s v="TX - Collin"/>
    <n v="75075"/>
    <s v="Legent Hospital for Special Surgery (FKA Star Medical Center)"/>
    <s v="Short Term Acute Care Hospital"/>
    <s v="Plano"/>
    <m/>
    <m/>
    <n v="3"/>
    <m/>
    <m/>
    <m/>
    <m/>
    <m/>
    <n v="825935"/>
    <m/>
  </r>
  <r>
    <x v="2297"/>
    <m/>
    <s v="TX"/>
    <s v="TX - Collin"/>
    <n v="75071"/>
    <s v="Baylor Scott &amp; White the Heart Hospital - McKinney"/>
    <s v="Short Term Acute Care Hospital"/>
    <s v="McKinney"/>
    <m/>
    <m/>
    <m/>
    <m/>
    <m/>
    <m/>
    <m/>
    <m/>
    <n v="1005865"/>
    <m/>
  </r>
  <r>
    <x v="2297"/>
    <m/>
    <s v="TX"/>
    <s v="TX - Collin"/>
    <n v="75094"/>
    <s v="Baylor Emergency Medical Center at Murphy"/>
    <s v="Short Term Acute Care Hospital"/>
    <s v="Murphy"/>
    <m/>
    <m/>
    <n v="3"/>
    <m/>
    <m/>
    <m/>
    <n v="7"/>
    <m/>
    <n v="764507"/>
    <m/>
  </r>
  <r>
    <x v="2297"/>
    <m/>
    <s v="TX"/>
    <s v="TX - Collin"/>
    <n v="75070"/>
    <s v="Victory Medical Center - Craig Ranch (FKA the Hospital at Craig Ranch - Closed)"/>
    <s v="Short Term Acute Care Hospital"/>
    <s v="McKinney"/>
    <n v="4"/>
    <n v="4.7"/>
    <m/>
    <m/>
    <m/>
    <n v="0.03"/>
    <m/>
    <m/>
    <n v="3902"/>
    <n v="310"/>
  </r>
  <r>
    <x v="995"/>
    <s v="450438 (Closed)"/>
    <s v="TX"/>
    <s v="TX - Colorado"/>
    <n v="78962"/>
    <s v="Colorado Fayette Medical Center (Closed)"/>
    <s v="Short Term Acute Care Hospital"/>
    <s v="Weimar"/>
    <n v="9.1999999999999993"/>
    <n v="4.5"/>
    <m/>
    <m/>
    <m/>
    <m/>
    <m/>
    <m/>
    <n v="3904"/>
    <n v="751"/>
  </r>
  <r>
    <x v="995"/>
    <n v="450370"/>
    <s v="TX"/>
    <s v="TX - Colorado"/>
    <n v="78934"/>
    <s v="Columbus Community Hospital"/>
    <s v="Short Term Acute Care Hospital"/>
    <s v="Columbus"/>
    <n v="7.7"/>
    <n v="4.0999999999999996"/>
    <n v="51"/>
    <n v="40"/>
    <m/>
    <m/>
    <n v="40"/>
    <n v="1.1299999999999999"/>
    <n v="3905"/>
    <n v="823"/>
  </r>
  <r>
    <x v="995"/>
    <s v="670114 (Closed)"/>
    <s v="TX"/>
    <s v="TX - Colorado"/>
    <n v="78962"/>
    <s v="Weimar Medical Center (Closed)"/>
    <s v="Short Term Acute Care Hospital"/>
    <s v="Weimar"/>
    <n v="1"/>
    <n v="3.4"/>
    <m/>
    <m/>
    <m/>
    <m/>
    <m/>
    <m/>
    <n v="864836"/>
    <n v="104"/>
  </r>
  <r>
    <x v="2298"/>
    <s v="450237*"/>
    <s v="TX"/>
    <s v="TX - Comal"/>
    <n v="78130"/>
    <s v="CHRISTUS Santa Rosa - New Braunfels"/>
    <s v="Short Term Acute Care Hospital"/>
    <s v="New Braunfels"/>
    <m/>
    <m/>
    <n v="3"/>
    <m/>
    <m/>
    <m/>
    <n v="132"/>
    <m/>
    <n v="5474"/>
    <m/>
  </r>
  <r>
    <x v="2298"/>
    <n v="670098"/>
    <s v="TX"/>
    <s v="TX - Comal"/>
    <n v="78130"/>
    <s v="Resolute Health Hospital"/>
    <s v="Short Term Acute Care Hospital"/>
    <s v="New Braunfels"/>
    <n v="43.5"/>
    <n v="3.9"/>
    <n v="114"/>
    <n v="112"/>
    <n v="16"/>
    <n v="0.19"/>
    <n v="112"/>
    <n v="1.55"/>
    <n v="581941"/>
    <n v="4420"/>
  </r>
  <r>
    <x v="998"/>
    <n v="450090"/>
    <s v="TX"/>
    <s v="TX - Cooke"/>
    <n v="76240"/>
    <s v="North Texas Medical Center"/>
    <s v="Short Term Acute Care Hospital"/>
    <s v="Gainesville"/>
    <n v="15.3"/>
    <n v="3.8"/>
    <n v="64"/>
    <n v="36"/>
    <n v="5"/>
    <n v="0.67"/>
    <n v="36"/>
    <n v="1.39"/>
    <n v="3907"/>
    <n v="1593"/>
  </r>
  <r>
    <x v="2299"/>
    <m/>
    <s v="TX"/>
    <s v="TX - Dallas"/>
    <n v="75235"/>
    <s v="Zale Lipshy Pavilion - William P Clements Jr University Hospital (AKA Zale Lipshy University Hospital)"/>
    <s v="Short Term Acute Care Hospital"/>
    <s v="Dallas"/>
    <n v="69.5"/>
    <n v="5.3"/>
    <n v="20"/>
    <n v="94"/>
    <n v="20"/>
    <n v="0.03"/>
    <n v="94"/>
    <n v="2.12"/>
    <n v="3909"/>
    <n v="4809"/>
  </r>
  <r>
    <x v="2299"/>
    <n v="450723"/>
    <s v="TX"/>
    <s v="TX - Dallas"/>
    <n v="75237"/>
    <s v="Methodist Charlton Medical Center"/>
    <s v="Short Term Acute Care Hospital"/>
    <s v="Dallas"/>
    <n v="178.8"/>
    <n v="5.2"/>
    <n v="355"/>
    <n v="317"/>
    <n v="32"/>
    <n v="0.03"/>
    <n v="317"/>
    <n v="1.74"/>
    <n v="3910"/>
    <n v="13736"/>
  </r>
  <r>
    <x v="2299"/>
    <n v="450742"/>
    <s v="TX"/>
    <s v="TX - Dallas"/>
    <n v="75088"/>
    <s v="Baylor Scott &amp; White Medical Center - Lake Pointe"/>
    <s v="Short Term Acute Care Hospital"/>
    <s v="Rowlett"/>
    <n v="74.900000000000006"/>
    <n v="4.3"/>
    <n v="211"/>
    <n v="121"/>
    <n v="14"/>
    <n v="0.03"/>
    <n v="121"/>
    <n v="1.63"/>
    <n v="3911"/>
    <n v="7034"/>
  </r>
  <r>
    <x v="2299"/>
    <n v="450678"/>
    <s v="TX"/>
    <s v="TX - Dallas"/>
    <n v="75218"/>
    <s v="City Hospital at White Rock (FKA Baylor Scott &amp; White Medical Center - White Rock)"/>
    <s v="Short Term Acute Care Hospital"/>
    <s v="Dallas"/>
    <n v="65.3"/>
    <n v="3.9"/>
    <n v="187"/>
    <n v="187"/>
    <n v="20"/>
    <n v="0.03"/>
    <n v="187"/>
    <n v="1.63"/>
    <n v="3912"/>
    <n v="6755"/>
  </r>
  <r>
    <x v="2299"/>
    <n v="450688"/>
    <s v="TX"/>
    <s v="TX - Dallas"/>
    <n v="75149"/>
    <s v="Dallas Regional Medical Center"/>
    <s v="Short Term Acute Care Hospital"/>
    <s v="Mesquite"/>
    <n v="79.400000000000006"/>
    <n v="4.0999999999999996"/>
    <n v="160"/>
    <n v="202"/>
    <n v="24"/>
    <n v="0.03"/>
    <n v="202"/>
    <n v="1.86"/>
    <n v="3913"/>
    <n v="7445"/>
  </r>
  <r>
    <x v="2299"/>
    <n v="450647"/>
    <s v="TX"/>
    <s v="TX - Dallas"/>
    <n v="75230"/>
    <s v="Medical City Dallas"/>
    <s v="Short Term Acute Care Hospital"/>
    <s v="Dallas"/>
    <n v="506.6"/>
    <n v="6.3"/>
    <n v="684"/>
    <n v="776"/>
    <n v="36"/>
    <n v="0.03"/>
    <n v="776"/>
    <n v="2.0299999999999998"/>
    <n v="3914"/>
    <n v="30537"/>
  </r>
  <r>
    <x v="2299"/>
    <n v="450851"/>
    <s v="TX"/>
    <s v="TX - Dallas"/>
    <n v="75226"/>
    <s v="Baylor Scott &amp; White Heart and Vascular Hospital - Dallas (FKA Baylor Jack and Jane Hamilton Heart and Vascular)"/>
    <s v="Short Term Acute Care Hospital"/>
    <s v="Dallas"/>
    <n v="24.2"/>
    <n v="3.4"/>
    <n v="50"/>
    <n v="53"/>
    <m/>
    <n v="0.03"/>
    <n v="53"/>
    <n v="2.99"/>
    <n v="3916"/>
    <n v="2628"/>
  </r>
  <r>
    <x v="2299"/>
    <n v="450822"/>
    <s v="TX"/>
    <s v="TX - Dallas"/>
    <n v="75039"/>
    <s v="Medical City Las Colinas (FKA Las Colinas Medical Center)"/>
    <s v="Short Term Acute Care Hospital"/>
    <s v="Irving"/>
    <n v="51.6"/>
    <n v="3.9"/>
    <n v="155"/>
    <n v="80"/>
    <n v="8"/>
    <n v="0.03"/>
    <n v="80"/>
    <n v="1.42"/>
    <n v="3917"/>
    <n v="6002"/>
  </r>
  <r>
    <x v="2299"/>
    <s v="670002 (Closed)"/>
    <s v="TX"/>
    <s v="TX - Dallas"/>
    <n v="75224"/>
    <s v="University General Hospital - Dallas (Closed)"/>
    <s v="Short Term Acute Care Hospital"/>
    <s v="Dallas"/>
    <n v="16.7"/>
    <n v="4.4000000000000004"/>
    <m/>
    <m/>
    <m/>
    <n v="0.03"/>
    <m/>
    <m/>
    <n v="3935"/>
    <n v="1434"/>
  </r>
  <r>
    <x v="2299"/>
    <s v="450894 (Closed)"/>
    <s v="TX"/>
    <s v="TX - Dallas"/>
    <n v="75235"/>
    <s v="Pine Creek Medical Center (Closed)"/>
    <s v="Short Term Acute Care Hospital"/>
    <s v="Dallas"/>
    <n v="4.9000000000000004"/>
    <n v="1.8"/>
    <m/>
    <m/>
    <m/>
    <n v="0.03"/>
    <m/>
    <n v="2.23"/>
    <n v="3920"/>
    <n v="982"/>
  </r>
  <r>
    <x v="2299"/>
    <n v="450079"/>
    <s v="TX"/>
    <s v="TX - Dallas"/>
    <n v="75061"/>
    <s v="Baylor Scott &amp; White Medical Center - Irving"/>
    <s v="Short Term Acute Care Hospital"/>
    <s v="Irving"/>
    <n v="117.3"/>
    <n v="4.4000000000000004"/>
    <n v="287"/>
    <n v="204"/>
    <n v="14"/>
    <n v="0.03"/>
    <n v="204"/>
    <n v="1.58"/>
    <n v="3921"/>
    <n v="10124"/>
  </r>
  <r>
    <x v="2299"/>
    <n v="450051"/>
    <s v="TX"/>
    <s v="TX - Dallas"/>
    <n v="75203"/>
    <s v="Methodist Dallas Medical Center"/>
    <s v="Short Term Acute Care Hospital"/>
    <s v="Dallas"/>
    <n v="221.3"/>
    <n v="5.4"/>
    <n v="406"/>
    <n v="378"/>
    <m/>
    <n v="0.03"/>
    <n v="378"/>
    <n v="2.0699999999999998"/>
    <n v="3922"/>
    <n v="15989"/>
  </r>
  <r>
    <x v="2299"/>
    <n v="450044"/>
    <s v="TX"/>
    <s v="TX - Dallas"/>
    <n v="75390"/>
    <s v="William P Clements Jr University Hospital (FKA UT Southwestern University Hospital - St Paul)"/>
    <s v="Short Term Acute Care Hospital"/>
    <s v="Dallas"/>
    <n v="368"/>
    <n v="5.9"/>
    <n v="1511"/>
    <n v="459"/>
    <n v="72"/>
    <n v="0.03"/>
    <n v="459"/>
    <n v="2.14"/>
    <n v="3923"/>
    <n v="23313"/>
  </r>
  <r>
    <x v="2299"/>
    <s v="450280 (Closed)"/>
    <s v="TX"/>
    <s v="TX - Dallas"/>
    <n v="75042"/>
    <s v="Baylor Scott &amp; White Medical Center - Garland (Closed February 28 2018)"/>
    <s v="Short Term Acute Care Hospital"/>
    <s v="Garland"/>
    <n v="71.5"/>
    <n v="4.2"/>
    <m/>
    <m/>
    <m/>
    <n v="0.03"/>
    <m/>
    <n v="1.43"/>
    <n v="3924"/>
    <n v="6557"/>
  </r>
  <r>
    <x v="2299"/>
    <s v="450315 (Closed)"/>
    <s v="TX"/>
    <s v="TX - Dallas"/>
    <n v="75042"/>
    <s v="Vista Hospital of Dallas (Closed September 2011)"/>
    <s v="Short Term Acute Care Hospital"/>
    <s v="Garland"/>
    <n v="0.3"/>
    <n v="2.4"/>
    <m/>
    <m/>
    <m/>
    <n v="0.03"/>
    <m/>
    <m/>
    <n v="3925"/>
    <n v="42"/>
  </r>
  <r>
    <x v="2299"/>
    <n v="450422"/>
    <s v="TX"/>
    <s v="TX - Dallas"/>
    <n v="75204"/>
    <s v="Baylor Scott &amp; White Medical Center - Uptown"/>
    <s v="Short Term Acute Care Hospital"/>
    <s v="Dallas"/>
    <n v="5.6"/>
    <n v="1.9"/>
    <n v="47"/>
    <n v="24"/>
    <m/>
    <n v="0.03"/>
    <n v="24"/>
    <n v="2.33"/>
    <n v="3926"/>
    <n v="1071"/>
  </r>
  <r>
    <x v="2299"/>
    <n v="450379"/>
    <s v="TX"/>
    <s v="TX - Dallas"/>
    <n v="75234"/>
    <s v="Dallas Medical Center"/>
    <s v="Short Term Acute Care Hospital"/>
    <s v="Dallas"/>
    <n v="28.2"/>
    <n v="4"/>
    <n v="113"/>
    <n v="119"/>
    <n v="12"/>
    <n v="0.03"/>
    <n v="119"/>
    <n v="2.17"/>
    <n v="3927"/>
    <n v="2600"/>
  </r>
  <r>
    <x v="2299"/>
    <n v="450462"/>
    <s v="TX"/>
    <s v="TX - Dallas"/>
    <n v="75231"/>
    <s v="Texas Health Dallas (FKA Texas Health Presbyterian Hospital Dallas)"/>
    <s v="Short Term Acute Care Hospital"/>
    <s v="Dallas"/>
    <n v="340.6"/>
    <n v="5.4"/>
    <n v="806"/>
    <n v="567"/>
    <n v="48"/>
    <n v="0.03"/>
    <n v="567"/>
    <n v="1.91"/>
    <n v="3928"/>
    <n v="25050"/>
  </r>
  <r>
    <x v="2299"/>
    <n v="450537"/>
    <s v="TX"/>
    <s v="TX - Dallas"/>
    <n v="75082"/>
    <s v="Methodist Richardson Medical Center"/>
    <s v="Short Term Acute Care Hospital"/>
    <s v="Richardson"/>
    <n v="135.30000000000001"/>
    <n v="4.5999999999999996"/>
    <n v="281"/>
    <n v="172"/>
    <n v="25"/>
    <n v="0.03"/>
    <n v="172"/>
    <n v="1.73"/>
    <n v="3929"/>
    <n v="11297"/>
  </r>
  <r>
    <x v="2299"/>
    <n v="450021"/>
    <s v="TX"/>
    <s v="TX - Dallas"/>
    <n v="75246"/>
    <s v="Baylor University Medical Center - Dallas"/>
    <s v="Short Term Acute Care Hospital"/>
    <s v="Dallas"/>
    <n v="606.29999999999995"/>
    <n v="3.1"/>
    <n v="995"/>
    <n v="824"/>
    <n v="128"/>
    <n v="0.03"/>
    <n v="824"/>
    <n v="2.1800000000000002"/>
    <n v="3930"/>
    <n v="74926"/>
  </r>
  <r>
    <x v="2299"/>
    <n v="450015"/>
    <s v="TX"/>
    <s v="TX - Dallas"/>
    <n v="75235"/>
    <s v="Parkland Health and Hospital System (AKA Parkland Memorial Hospital)"/>
    <s v="Short Term Acute Care Hospital"/>
    <s v="Dallas"/>
    <n v="576"/>
    <n v="4.8"/>
    <n v="1224"/>
    <n v="777"/>
    <n v="35"/>
    <n v="0.03"/>
    <n v="777"/>
    <n v="1.79"/>
    <n v="3931"/>
    <n v="49381"/>
  </r>
  <r>
    <x v="2299"/>
    <s v="670057 (Closed)"/>
    <s v="TX"/>
    <s v="TX - Dallas"/>
    <n v="75243"/>
    <s v="Forest Park Medical Center - Dallas (Closed)"/>
    <s v="Short Term Acute Care Hospital"/>
    <s v="Dallas"/>
    <m/>
    <m/>
    <m/>
    <m/>
    <m/>
    <m/>
    <m/>
    <m/>
    <n v="3932"/>
    <m/>
  </r>
  <r>
    <x v="2299"/>
    <n v="670060"/>
    <s v="TX"/>
    <s v="TX - Dallas"/>
    <n v="75182"/>
    <s v="Baylor Scott &amp; White Medical Center - Sunnyvale (FKA Texas Regional Medical Center at Sunnyvale)"/>
    <s v="Short Term Acute Care Hospital"/>
    <s v="Sunnyvale"/>
    <n v="53.3"/>
    <n v="4.3"/>
    <n v="84"/>
    <n v="70"/>
    <n v="8"/>
    <n v="0.03"/>
    <n v="70"/>
    <n v="1.52"/>
    <n v="3933"/>
    <n v="4559"/>
  </r>
  <r>
    <x v="2299"/>
    <s v="450758 (Closed)"/>
    <s v="TX"/>
    <s v="TX - Dallas"/>
    <n v="75235"/>
    <s v="Healthsouth Dallas Rehab (Closed 10/31/2008)"/>
    <s v="Short Term Acute Care Hospital"/>
    <s v="Dallas"/>
    <m/>
    <m/>
    <m/>
    <m/>
    <m/>
    <n v="0.03"/>
    <m/>
    <m/>
    <n v="5432"/>
    <m/>
  </r>
  <r>
    <x v="2299"/>
    <n v="670073"/>
    <s v="TX"/>
    <s v="TX - Dallas"/>
    <n v="75001"/>
    <s v="Methodist Hospital for Surgery"/>
    <s v="Short Term Acute Care Hospital"/>
    <s v="Addison"/>
    <n v="20.6"/>
    <n v="3"/>
    <n v="59"/>
    <n v="32"/>
    <n v="4"/>
    <n v="0.03"/>
    <n v="32"/>
    <n v="3.15"/>
    <n v="553371"/>
    <n v="2543"/>
  </r>
  <r>
    <x v="2299"/>
    <n v="670090"/>
    <s v="TX"/>
    <s v="TX - Dallas"/>
    <n v="75146"/>
    <s v="Crescent Medical Center Lancaster"/>
    <s v="Short Term Acute Care Hospital"/>
    <s v="Lancaster"/>
    <n v="6"/>
    <n v="3.2"/>
    <n v="77"/>
    <n v="84"/>
    <n v="8"/>
    <n v="0.03"/>
    <n v="84"/>
    <n v="2.12"/>
    <n v="575750"/>
    <n v="687"/>
  </r>
  <r>
    <x v="2299"/>
    <s v="670083 (Closed)"/>
    <s v="TX"/>
    <s v="TX - Dallas"/>
    <n v="75051"/>
    <s v="Texas General - Grand Prairie Hospital (Closed)"/>
    <s v="Short Term Acute Care Hospital"/>
    <s v="Grand Prairie"/>
    <n v="4.5"/>
    <n v="3.9"/>
    <m/>
    <m/>
    <m/>
    <n v="0.03"/>
    <m/>
    <n v="1.04"/>
    <n v="579884"/>
    <n v="427"/>
  </r>
  <r>
    <x v="2299"/>
    <s v="670092 (Closed)"/>
    <s v="TX"/>
    <s v="TX - Dallas"/>
    <n v="75231"/>
    <s v="Walnut Hill Medical Center (Closed June 1 2017)"/>
    <s v="Short Term Acute Care Hospital"/>
    <s v="Dallas"/>
    <n v="18"/>
    <n v="4.0999999999999996"/>
    <m/>
    <m/>
    <m/>
    <n v="0.03"/>
    <m/>
    <m/>
    <n v="585428"/>
    <n v="1597"/>
  </r>
  <r>
    <x v="2299"/>
    <s v="670110 (Closed)"/>
    <s v="TX"/>
    <s v="TX - Dallas"/>
    <n v="75006"/>
    <s v="First Texas Hospital (Closed)"/>
    <s v="Short Term Acute Care Hospital"/>
    <s v="Carrollton"/>
    <n v="4.7"/>
    <n v="3"/>
    <m/>
    <m/>
    <m/>
    <n v="0.03"/>
    <m/>
    <n v="1.54"/>
    <n v="840627"/>
    <n v="573"/>
  </r>
  <r>
    <x v="2299"/>
    <s v="450537*"/>
    <s v="TX"/>
    <s v="TX - Dallas"/>
    <n v="75080"/>
    <s v="Methodist Campus for Continuing Care"/>
    <s v="Short Term Acute Care Hospital"/>
    <s v="Richardson"/>
    <m/>
    <m/>
    <m/>
    <m/>
    <m/>
    <m/>
    <m/>
    <m/>
    <n v="841697"/>
    <m/>
  </r>
  <r>
    <x v="2299"/>
    <m/>
    <s v="TX"/>
    <s v="TX - Dallas"/>
    <n v="75080"/>
    <s v="Eminent Medical Center"/>
    <s v="Short Term Acute Care Hospital"/>
    <s v="Richardson"/>
    <m/>
    <m/>
    <n v="16"/>
    <m/>
    <m/>
    <m/>
    <n v="5"/>
    <m/>
    <n v="858508"/>
    <m/>
  </r>
  <r>
    <x v="2299"/>
    <m/>
    <s v="TX"/>
    <s v="TX - Dallas"/>
    <n v="75231"/>
    <s v="First Baptist Medical Center"/>
    <s v="Short Term Acute Care Hospital"/>
    <s v="Dallas"/>
    <m/>
    <m/>
    <n v="2"/>
    <m/>
    <m/>
    <m/>
    <m/>
    <m/>
    <n v="916793"/>
    <m/>
  </r>
  <r>
    <x v="2299"/>
    <s v="670107*"/>
    <s v="TX"/>
    <s v="TX - Dallas"/>
    <n v="75052"/>
    <s v="Baylor Scott &amp; White Emergency Hospital - Grand Prairie"/>
    <s v="Short Term Acute Care Hospital"/>
    <s v="Grand Prairie"/>
    <m/>
    <m/>
    <m/>
    <m/>
    <m/>
    <m/>
    <m/>
    <m/>
    <n v="968483"/>
    <m/>
  </r>
  <r>
    <x v="2299"/>
    <m/>
    <s v="TX"/>
    <s v="TX - Dallas"/>
    <n v="75243"/>
    <s v="Medical City Heart Hospital"/>
    <s v="Short Term Acute Care Hospital"/>
    <s v="Dallas"/>
    <m/>
    <m/>
    <m/>
    <m/>
    <m/>
    <m/>
    <m/>
    <m/>
    <n v="1007067"/>
    <m/>
  </r>
  <r>
    <x v="2299"/>
    <m/>
    <s v="TX"/>
    <s v="TX - Dallas"/>
    <n v="75243"/>
    <s v="Medical City Spine Hospital"/>
    <s v="Short Term Acute Care Hospital"/>
    <s v="Dallas"/>
    <m/>
    <m/>
    <m/>
    <m/>
    <m/>
    <m/>
    <m/>
    <m/>
    <n v="1007068"/>
    <m/>
  </r>
  <r>
    <x v="2299"/>
    <m/>
    <s v="TX"/>
    <s v="TX - Dallas"/>
    <n v="75202"/>
    <s v="Kay Bailey Hutchison Convention Field Hospital (Temporarily Open due to COVID-19)"/>
    <s v="Short Term Acute Care Hospital"/>
    <s v="Dallas"/>
    <m/>
    <m/>
    <m/>
    <m/>
    <m/>
    <m/>
    <m/>
    <m/>
    <n v="1012071"/>
    <m/>
  </r>
  <r>
    <x v="2299"/>
    <s v="670101 (Closed)"/>
    <s v="TX"/>
    <s v="TX - Dallas"/>
    <n v="75042"/>
    <s v="Select Specialty Hospital - Garland (Closed)"/>
    <s v="Short Term Acute Care Hospital"/>
    <s v="Garland"/>
    <n v="16.600000000000001"/>
    <n v="26.8"/>
    <m/>
    <m/>
    <m/>
    <n v="0.03"/>
    <m/>
    <m/>
    <n v="835955"/>
    <n v="227"/>
  </r>
  <r>
    <x v="2299"/>
    <n v="450889"/>
    <s v="TX"/>
    <s v="TX - Dallas"/>
    <n v="75231"/>
    <s v="Texas Institute for Surgery at Texas Health Dallas"/>
    <s v="Short Term Acute Care Hospital"/>
    <s v="Dallas"/>
    <n v="3.1"/>
    <n v="2"/>
    <n v="56"/>
    <n v="9"/>
    <m/>
    <n v="0.03"/>
    <n v="9"/>
    <n v="2.21"/>
    <n v="3919"/>
    <n v="560"/>
  </r>
  <r>
    <x v="2299"/>
    <n v="670049"/>
    <s v="TX"/>
    <s v="TX - Dallas"/>
    <n v="75231"/>
    <s v="North Central Surgical Center Hospital"/>
    <s v="Short Term Acute Care Hospital"/>
    <s v="Dallas"/>
    <n v="8.1999999999999993"/>
    <n v="2.1"/>
    <n v="94"/>
    <n v="24"/>
    <m/>
    <n v="0.03"/>
    <n v="24"/>
    <n v="2.61"/>
    <n v="3934"/>
    <n v="1430"/>
  </r>
  <r>
    <x v="2299"/>
    <n v="450874"/>
    <s v="TX"/>
    <s v="TX - Dallas"/>
    <n v="75063"/>
    <s v="Baylor Surgical Hospital at Las Colinas (FKA Irving Coppell Surgical Hospital)"/>
    <s v="Short Term Acute Care Hospital"/>
    <s v="Irving"/>
    <n v="4.2"/>
    <n v="2"/>
    <n v="48"/>
    <n v="20"/>
    <m/>
    <n v="0.03"/>
    <n v="20"/>
    <n v="3.17"/>
    <n v="3918"/>
    <n v="763"/>
  </r>
  <r>
    <x v="2299"/>
    <m/>
    <s v="TX"/>
    <s v="TX - Dallas"/>
    <n v="75246"/>
    <s v="Baylor T Boone Pickens Cancer Hospital"/>
    <s v="Short Term Acute Care Hospital"/>
    <s v="Dallas"/>
    <m/>
    <m/>
    <n v="8"/>
    <m/>
    <m/>
    <m/>
    <n v="96"/>
    <m/>
    <n v="553312"/>
    <m/>
  </r>
  <r>
    <x v="2300"/>
    <n v="450489"/>
    <s v="TX"/>
    <s v="TX - Dawson"/>
    <n v="79331"/>
    <s v="Medical Arts Hospital"/>
    <s v="Short Term Acute Care Hospital"/>
    <s v="Lamesa"/>
    <n v="3.1"/>
    <n v="3.7"/>
    <n v="22"/>
    <n v="22"/>
    <m/>
    <n v="1"/>
    <n v="22"/>
    <n v="1"/>
    <n v="3936"/>
    <n v="305"/>
  </r>
  <r>
    <x v="2301"/>
    <n v="450155"/>
    <s v="TX"/>
    <s v="TX - Deaf Smith"/>
    <n v="79045"/>
    <s v="Hereford Regional Medical Center (AKA Deaf Smith County Hospital District)"/>
    <s v="Short Term Acute Care Hospital"/>
    <s v="Hereford"/>
    <n v="5.3"/>
    <n v="4.5"/>
    <n v="39"/>
    <n v="32"/>
    <n v="2"/>
    <n v="1"/>
    <n v="32"/>
    <n v="1.1000000000000001"/>
    <n v="3937"/>
    <n v="531"/>
  </r>
  <r>
    <x v="2302"/>
    <n v="450853"/>
    <s v="TX"/>
    <s v="TX - Denton"/>
    <n v="75034"/>
    <s v="Baylor Scott &amp; White Medical Center - Frisco"/>
    <s v="Short Term Acute Care Hospital"/>
    <s v="Frisco"/>
    <n v="28.1"/>
    <n v="3.7"/>
    <n v="126"/>
    <n v="68"/>
    <m/>
    <n v="0.03"/>
    <n v="68"/>
    <n v="2.25"/>
    <n v="3895"/>
    <n v="4127"/>
  </r>
  <r>
    <x v="2302"/>
    <m/>
    <s v="TX"/>
    <s v="TX - Denton"/>
    <n v="76208"/>
    <s v="North Texas Hospital (Closed 2013)"/>
    <s v="Short Term Acute Care Hospital"/>
    <s v="Denton"/>
    <m/>
    <m/>
    <m/>
    <m/>
    <m/>
    <m/>
    <m/>
    <m/>
    <n v="3938"/>
    <m/>
  </r>
  <r>
    <x v="2302"/>
    <n v="450883"/>
    <s v="TX"/>
    <s v="TX - Denton"/>
    <n v="76262"/>
    <s v="Baylor Scott &amp; White Medical Center - Trophy Club"/>
    <s v="Short Term Acute Care Hospital"/>
    <s v="Trophy Club"/>
    <n v="6.7"/>
    <n v="2.2000000000000002"/>
    <n v="57"/>
    <n v="22"/>
    <m/>
    <n v="0.03"/>
    <n v="22"/>
    <n v="2.86"/>
    <n v="3939"/>
    <n v="1113"/>
  </r>
  <r>
    <x v="2302"/>
    <n v="450634"/>
    <s v="TX"/>
    <s v="TX - Denton"/>
    <n v="76210"/>
    <s v="Medical City Denton (FKA Denton Regional Medical Center)"/>
    <s v="Short Term Acute Care Hospital"/>
    <s v="Denton"/>
    <n v="125.9"/>
    <n v="4.9000000000000004"/>
    <n v="236"/>
    <n v="185"/>
    <n v="29"/>
    <n v="0.03"/>
    <n v="185"/>
    <n v="1.71"/>
    <n v="3940"/>
    <n v="9442"/>
  </r>
  <r>
    <x v="2302"/>
    <n v="450743"/>
    <s v="TX"/>
    <s v="TX - Denton"/>
    <n v="76201"/>
    <s v="Texas Health Denton (FKA Texas Health Presbyterian Hospital Denton)"/>
    <s v="Short Term Acute Care Hospital"/>
    <s v="Denton"/>
    <n v="115.1"/>
    <n v="4.3"/>
    <n v="226"/>
    <n v="196"/>
    <n v="20"/>
    <n v="0.03"/>
    <n v="196"/>
    <n v="1.67"/>
    <n v="3941"/>
    <n v="10568"/>
  </r>
  <r>
    <x v="2302"/>
    <n v="450730"/>
    <s v="TX"/>
    <s v="TX - Denton"/>
    <n v="75010"/>
    <s v="Carrollton Regional Medical Center (FKA Baylor Scott &amp; White Medical Center - Carrollton)"/>
    <s v="Short Term Acute Care Hospital"/>
    <s v="Carrollton"/>
    <n v="46"/>
    <n v="4.3"/>
    <n v="131"/>
    <n v="89"/>
    <n v="16"/>
    <n v="0.03"/>
    <n v="89"/>
    <n v="1.46"/>
    <n v="3942"/>
    <n v="3864"/>
  </r>
  <r>
    <x v="2302"/>
    <n v="450669"/>
    <s v="TX"/>
    <s v="TX - Denton"/>
    <n v="75057"/>
    <s v="Medical City Lewisville (FKA Medical Center of Lewisville)"/>
    <s v="Short Term Acute Care Hospital"/>
    <s v="Lewisville"/>
    <n v="70.400000000000006"/>
    <n v="4.3"/>
    <n v="212"/>
    <n v="138"/>
    <n v="12"/>
    <n v="0.03"/>
    <n v="138"/>
    <n v="1.53"/>
    <n v="3943"/>
    <n v="6565"/>
  </r>
  <r>
    <x v="2302"/>
    <n v="670010"/>
    <s v="TX"/>
    <s v="TX - Denton"/>
    <n v="76208"/>
    <s v="Mayhill Hospital"/>
    <s v="Short Term Acute Care Hospital"/>
    <s v="Denton"/>
    <m/>
    <m/>
    <n v="2"/>
    <n v="4"/>
    <m/>
    <n v="0.03"/>
    <n v="4"/>
    <n v="1.17"/>
    <n v="4855"/>
    <m/>
  </r>
  <r>
    <x v="2302"/>
    <n v="670068"/>
    <s v="TX"/>
    <s v="TX - Denton"/>
    <n v="75028"/>
    <s v="Texas Health Flower Mound (FKA Texas Health Presbyterian Hospital Flower Mound)"/>
    <s v="Short Term Acute Care Hospital"/>
    <s v="Flower Mound"/>
    <n v="52"/>
    <n v="2.7"/>
    <n v="170"/>
    <n v="99"/>
    <n v="8"/>
    <n v="0.03"/>
    <n v="99"/>
    <n v="1.66"/>
    <n v="274291"/>
    <n v="8321"/>
  </r>
  <r>
    <x v="2302"/>
    <n v="670062"/>
    <s v="TX"/>
    <s v="TX - Denton"/>
    <n v="76227"/>
    <s v="Baylor Scott &amp; White Emergency Hospital - Aubrey (FKA Emerus Hospital East Denton County)"/>
    <s v="Short Term Acute Care Hospital"/>
    <s v="Aubrey"/>
    <n v="3.6"/>
    <n v="1.9"/>
    <n v="18"/>
    <n v="40"/>
    <m/>
    <n v="0.03"/>
    <n v="40"/>
    <n v="0.92"/>
    <n v="550022"/>
    <n v="648"/>
  </r>
  <r>
    <x v="2302"/>
    <s v="450651*"/>
    <s v="TX"/>
    <s v="TX - Denton"/>
    <n v="75034"/>
    <s v="Medical City Frisco (FKA Forest Park Medical Center - Frisco)"/>
    <s v="Short Term Acute Care Hospital"/>
    <s v="Frisco"/>
    <m/>
    <m/>
    <n v="4"/>
    <m/>
    <m/>
    <m/>
    <n v="54"/>
    <m/>
    <n v="577557"/>
    <m/>
  </r>
  <r>
    <x v="2302"/>
    <n v="450893"/>
    <s v="TX"/>
    <s v="TX - Denton"/>
    <n v="76208"/>
    <s v="The Heart Hospital Baylor - Denton"/>
    <s v="Short Term Acute Care Hospital"/>
    <s v="Denton"/>
    <n v="7.6"/>
    <n v="4.2"/>
    <n v="40"/>
    <n v="22"/>
    <m/>
    <n v="0.03"/>
    <n v="22"/>
    <n v="2.94"/>
    <n v="764511"/>
    <n v="660"/>
  </r>
  <r>
    <x v="2302"/>
    <m/>
    <s v="TX"/>
    <s v="TX - Denton"/>
    <n v="75033"/>
    <s v="Texas Health Frisco"/>
    <s v="Short Term Acute Care Hospital"/>
    <s v="Frisco"/>
    <m/>
    <m/>
    <m/>
    <m/>
    <m/>
    <m/>
    <m/>
    <m/>
    <n v="948572"/>
    <m/>
  </r>
  <r>
    <x v="2302"/>
    <m/>
    <s v="TX"/>
    <s v="TX - Denton"/>
    <n v="75056"/>
    <s v="The Colony ER Hospital"/>
    <s v="Short Term Acute Care Hospital"/>
    <s v="The Colony"/>
    <m/>
    <m/>
    <n v="34"/>
    <m/>
    <m/>
    <m/>
    <n v="2"/>
    <m/>
    <n v="954993"/>
    <m/>
  </r>
  <r>
    <x v="2302"/>
    <m/>
    <s v="TX"/>
    <s v="TX - Denton"/>
    <n v="76226"/>
    <s v="Wise Health Surgical Hospital at Argyle"/>
    <s v="Short Term Acute Care Hospital"/>
    <s v="Argyle"/>
    <m/>
    <m/>
    <m/>
    <m/>
    <m/>
    <m/>
    <n v="12"/>
    <m/>
    <n v="968978"/>
    <m/>
  </r>
  <r>
    <x v="2303"/>
    <n v="450597"/>
    <s v="TX"/>
    <s v="TX - De Witt"/>
    <n v="77954"/>
    <s v="Cuero Regional Hospital (FKA Cuero Community Hospital)"/>
    <s v="Short Term Acute Care Hospital"/>
    <s v="Cuero"/>
    <n v="7.9"/>
    <n v="3.5"/>
    <n v="50"/>
    <n v="44"/>
    <m/>
    <m/>
    <n v="44"/>
    <n v="1.22"/>
    <n v="3944"/>
    <n v="909"/>
  </r>
  <r>
    <x v="2304"/>
    <n v="450620"/>
    <s v="TX"/>
    <s v="TX - Dimmit"/>
    <n v="78834"/>
    <s v="Dimmit Regional Hospital (FKA Dimmit County Memorial Hospital)"/>
    <s v="Short Term Acute Care Hospital"/>
    <s v="Carrizo Springs"/>
    <n v="6.3"/>
    <n v="5.0999999999999996"/>
    <n v="26"/>
    <m/>
    <m/>
    <m/>
    <n v="25"/>
    <n v="0.89"/>
    <n v="3946"/>
    <n v="503"/>
  </r>
  <r>
    <x v="2305"/>
    <n v="450411"/>
    <s v="TX"/>
    <s v="TX - Eastland"/>
    <n v="76448"/>
    <s v="Eastland Memorial Hospital"/>
    <s v="Short Term Acute Care Hospital"/>
    <s v="Eastland"/>
    <n v="8.9"/>
    <n v="5.8"/>
    <n v="38"/>
    <n v="36"/>
    <m/>
    <m/>
    <n v="36"/>
    <n v="1.17"/>
    <n v="3947"/>
    <n v="559"/>
  </r>
  <r>
    <x v="2306"/>
    <n v="450132"/>
    <s v="TX"/>
    <s v="TX - Ector"/>
    <n v="79761"/>
    <s v="Medical Center Hospital (AKA Medical Center Health System)"/>
    <s v="Short Term Acute Care Hospital"/>
    <s v="Odessa"/>
    <n v="188.7"/>
    <n v="5.0999999999999996"/>
    <n v="309"/>
    <n v="331"/>
    <n v="20"/>
    <n v="0.48"/>
    <n v="331"/>
    <n v="1.64"/>
    <n v="3948"/>
    <n v="14115"/>
  </r>
  <r>
    <x v="2306"/>
    <n v="450661"/>
    <s v="TX"/>
    <s v="TX - Ector"/>
    <n v="79761"/>
    <s v="Odessa Regional Medical Center"/>
    <s v="Short Term Acute Care Hospital"/>
    <s v="Odessa"/>
    <n v="62.2"/>
    <n v="5"/>
    <n v="134"/>
    <n v="192"/>
    <n v="10"/>
    <n v="0.48"/>
    <n v="154"/>
    <n v="1.76"/>
    <n v="3949"/>
    <n v="6189"/>
  </r>
  <r>
    <x v="2306"/>
    <s v="670066 (Closed)"/>
    <s v="TX"/>
    <s v="TX - Ector"/>
    <n v="79761"/>
    <s v="Odessa Regional Medical Center South Campus (FKA Basin Healthcare Center - Closed)"/>
    <s v="Short Term Acute Care Hospital"/>
    <s v="Odessa"/>
    <n v="0.8"/>
    <n v="2.5"/>
    <m/>
    <m/>
    <m/>
    <n v="0.48"/>
    <m/>
    <m/>
    <n v="550001"/>
    <n v="110"/>
  </r>
  <r>
    <x v="2306"/>
    <s v="450661*"/>
    <s v="TX"/>
    <s v="TX - Ector"/>
    <n v="79761"/>
    <s v="Odessa Regional Medical Center - East Campus"/>
    <s v="Short Term Acute Care Hospital"/>
    <s v="Odessa"/>
    <m/>
    <m/>
    <m/>
    <m/>
    <m/>
    <m/>
    <n v="50"/>
    <m/>
    <n v="579923"/>
    <m/>
  </r>
  <r>
    <x v="2306"/>
    <n v="670111"/>
    <s v="TX"/>
    <s v="TX - Ector"/>
    <n v="79761"/>
    <s v="ContinueCARE Hospital at Medical Center"/>
    <s v="Short Term Acute Care Hospital"/>
    <s v="Odessa"/>
    <n v="16.8"/>
    <n v="28.4"/>
    <n v="2"/>
    <m/>
    <m/>
    <n v="0.48"/>
    <n v="25"/>
    <n v="3.27"/>
    <n v="829049"/>
    <n v="216"/>
  </r>
  <r>
    <x v="2307"/>
    <n v="450833"/>
    <s v="TX"/>
    <s v="TX - Ellis"/>
    <n v="75119"/>
    <s v="Ennis Regional Medical Center"/>
    <s v="Short Term Acute Care Hospital"/>
    <s v="Ennis"/>
    <n v="6.3"/>
    <n v="3"/>
    <n v="50"/>
    <n v="60"/>
    <n v="6"/>
    <n v="0.03"/>
    <n v="60"/>
    <n v="1.37"/>
    <n v="3950"/>
    <n v="646"/>
  </r>
  <r>
    <x v="2307"/>
    <n v="450372"/>
    <s v="TX"/>
    <s v="TX - Ellis"/>
    <n v="75165"/>
    <s v="Baylor Scott &amp; White Medical Center - Waxahachie (FKA Baylor Scott &amp; White Health - North Texas)"/>
    <s v="Short Term Acute Care Hospital"/>
    <s v="Waxahachie"/>
    <n v="71.2"/>
    <n v="3.8"/>
    <n v="224"/>
    <n v="106"/>
    <n v="12"/>
    <n v="0.03"/>
    <n v="106"/>
    <n v="1.43"/>
    <n v="3951"/>
    <n v="7341"/>
  </r>
  <r>
    <x v="2308"/>
    <n v="450107"/>
    <s v="TX"/>
    <s v="TX - El Paso"/>
    <n v="79902"/>
    <s v="Las Palmas Medical Center"/>
    <s v="Short Term Acute Care Hospital"/>
    <s v="El Paso"/>
    <n v="329.7"/>
    <n v="4.8"/>
    <n v="281"/>
    <n v="514"/>
    <n v="64"/>
    <n v="0.17"/>
    <n v="287"/>
    <n v="1.82"/>
    <n v="3952"/>
    <n v="25527"/>
  </r>
  <r>
    <x v="2308"/>
    <n v="450002"/>
    <s v="TX"/>
    <s v="TX - El Paso"/>
    <n v="79902"/>
    <s v="THOP Memorial Campus (FKA Providence Memorial Hospital)"/>
    <s v="Short Term Acute Care Hospital"/>
    <s v="El Paso"/>
    <n v="163.80000000000001"/>
    <n v="4.2"/>
    <n v="274"/>
    <n v="308"/>
    <n v="20"/>
    <n v="0.17"/>
    <n v="308"/>
    <n v="1.54"/>
    <n v="3953"/>
    <n v="15171"/>
  </r>
  <r>
    <x v="2308"/>
    <n v="450024"/>
    <s v="TX"/>
    <s v="TX - El Paso"/>
    <n v="79905"/>
    <s v="University Medical Center of El Paso"/>
    <s v="Short Term Acute Care Hospital"/>
    <s v="El Paso"/>
    <n v="202.8"/>
    <n v="4.9000000000000004"/>
    <n v="732"/>
    <n v="290"/>
    <n v="60"/>
    <n v="0.17"/>
    <n v="290"/>
    <n v="1.64"/>
    <n v="3954"/>
    <n v="15825"/>
  </r>
  <r>
    <x v="2308"/>
    <n v="450877"/>
    <s v="TX"/>
    <s v="TX - El Paso"/>
    <n v="79936"/>
    <s v="Legent Hospital (FKA Foundation Surgical Hospital of El Paso)"/>
    <s v="Short Term Acute Care Hospital"/>
    <s v="El Paso"/>
    <n v="3.6"/>
    <n v="2.2999999999999998"/>
    <n v="41"/>
    <n v="40"/>
    <m/>
    <n v="0.17"/>
    <n v="40"/>
    <n v="2.65"/>
    <n v="3956"/>
    <n v="567"/>
  </r>
  <r>
    <x v="2308"/>
    <n v="450668"/>
    <s v="TX"/>
    <s v="TX - El Paso"/>
    <n v="79902"/>
    <s v="THOP Sierra Campus (FKA Sierra Medical Center)"/>
    <s v="Short Term Acute Care Hospital"/>
    <s v="El Paso"/>
    <n v="95.6"/>
    <n v="4.7"/>
    <n v="230"/>
    <n v="234"/>
    <n v="23"/>
    <n v="0.17"/>
    <n v="234"/>
    <n v="1.67"/>
    <n v="3957"/>
    <n v="7477"/>
  </r>
  <r>
    <x v="2308"/>
    <n v="670047"/>
    <s v="TX"/>
    <s v="TX - El Paso"/>
    <n v="79938"/>
    <s v="THOP East Campus (FKA Sierra Providence East Medical Center)"/>
    <s v="Short Term Acute Care Hospital"/>
    <s v="El Paso"/>
    <n v="151.4"/>
    <n v="4.5"/>
    <n v="154"/>
    <n v="182"/>
    <n v="24"/>
    <n v="0.17"/>
    <n v="182"/>
    <n v="1.63"/>
    <n v="3958"/>
    <n v="12879"/>
  </r>
  <r>
    <x v="2308"/>
    <s v="450107*"/>
    <s v="TX"/>
    <s v="TX - El Paso"/>
    <n v="79925"/>
    <s v="Del Sol Medical Center"/>
    <s v="Short Term Acute Care Hospital"/>
    <s v="El Paso"/>
    <m/>
    <m/>
    <m/>
    <m/>
    <m/>
    <m/>
    <m/>
    <m/>
    <n v="4848"/>
    <m/>
  </r>
  <r>
    <x v="2308"/>
    <n v="670120"/>
    <s v="TX"/>
    <s v="TX - El Paso"/>
    <n v="79911"/>
    <s v="THOP Transmountain Campus"/>
    <s v="Short Term Acute Care Hospital"/>
    <s v="El Paso"/>
    <n v="46.2"/>
    <n v="4"/>
    <n v="70"/>
    <n v="106"/>
    <n v="12"/>
    <n v="0.17"/>
    <n v="106"/>
    <n v="1.5"/>
    <n v="833190"/>
    <n v="4389"/>
  </r>
  <r>
    <x v="2308"/>
    <n v="670124"/>
    <s v="TX"/>
    <s v="TX - El Paso"/>
    <n v="79928"/>
    <s v="THOP Horizon City Campus"/>
    <s v="Short Term Acute Care Hospital"/>
    <s v="Horizon City"/>
    <n v="1"/>
    <n v="1.8"/>
    <n v="24"/>
    <n v="9"/>
    <m/>
    <n v="0.17"/>
    <n v="8"/>
    <n v="0.95"/>
    <n v="867140"/>
    <n v="234"/>
  </r>
  <r>
    <x v="2308"/>
    <m/>
    <s v="TX"/>
    <s v="TX - El Paso"/>
    <n v="79912"/>
    <s v="Complete Care Community Hospital El Paso (Closed)"/>
    <s v="Short Term Acute Care Hospital"/>
    <s v="El Paso"/>
    <m/>
    <m/>
    <m/>
    <m/>
    <m/>
    <m/>
    <m/>
    <m/>
    <n v="968479"/>
    <m/>
  </r>
  <r>
    <x v="2308"/>
    <n v="670127"/>
    <s v="TX"/>
    <s v="TX - El Paso"/>
    <n v="79902"/>
    <s v="El Paso LTAC Hospital"/>
    <s v="Short Term Acute Care Hospital"/>
    <s v="El Paso"/>
    <n v="5.0999999999999996"/>
    <n v="16.3"/>
    <n v="1"/>
    <n v="33"/>
    <m/>
    <n v="0.17"/>
    <n v="33"/>
    <n v="1.89"/>
    <n v="5970"/>
    <n v="231"/>
  </r>
  <r>
    <x v="2308"/>
    <s v="450845 (Closed)"/>
    <s v="TX"/>
    <s v="TX - El Paso"/>
    <n v="79902"/>
    <s v="El Paso Specialty Hospital (Closed)"/>
    <s v="Short Term Acute Care Hospital"/>
    <s v="El Paso"/>
    <n v="2.9"/>
    <n v="2.1"/>
    <m/>
    <m/>
    <m/>
    <n v="0.17"/>
    <m/>
    <n v="2.08"/>
    <n v="3955"/>
    <n v="507"/>
  </r>
  <r>
    <x v="2309"/>
    <n v="450351"/>
    <s v="TX"/>
    <s v="TX - Erath"/>
    <n v="76401"/>
    <s v="Texas Health Stephenville (FKA Texas Health Harris Methodist Hospital Stephenville)"/>
    <s v="Short Term Acute Care Hospital"/>
    <s v="Stephenville"/>
    <n v="9.6999999999999993"/>
    <n v="2.7"/>
    <n v="50"/>
    <n v="50"/>
    <n v="5"/>
    <n v="1"/>
    <n v="50"/>
    <n v="1.3"/>
    <n v="3959"/>
    <n v="1468"/>
  </r>
  <r>
    <x v="2310"/>
    <n v="450348"/>
    <s v="TX"/>
    <s v="TX - Falls"/>
    <n v="76661"/>
    <s v="Falls Community Hospital and Clinic"/>
    <s v="Short Term Acute Care Hospital"/>
    <s v="Marlin"/>
    <n v="1.2"/>
    <n v="3.2"/>
    <n v="22"/>
    <n v="36"/>
    <m/>
    <n v="0.49"/>
    <n v="36"/>
    <n v="0.94"/>
    <n v="3960"/>
    <n v="138"/>
  </r>
  <r>
    <x v="2311"/>
    <n v="670004"/>
    <s v="TX"/>
    <s v="TX - Fayette"/>
    <n v="78945"/>
    <s v="St Marks Medical Center"/>
    <s v="Short Term Acute Care Hospital"/>
    <s v="La Grange"/>
    <n v="10.1"/>
    <n v="3.8"/>
    <n v="94"/>
    <n v="38"/>
    <m/>
    <m/>
    <n v="38"/>
    <n v="1.48"/>
    <n v="3962"/>
    <n v="967"/>
  </r>
  <r>
    <x v="2312"/>
    <n v="450848"/>
    <s v="TX"/>
    <s v="TX - Fort Bend"/>
    <n v="77479"/>
    <s v="Memorial Hermann Sugar Land Hospital"/>
    <s v="Short Term Acute Care Hospital"/>
    <s v="Sugar Land"/>
    <n v="76.3"/>
    <n v="3"/>
    <n v="260"/>
    <n v="145"/>
    <n v="14"/>
    <n v="7.0000000000000007E-2"/>
    <n v="145"/>
    <n v="1.75"/>
    <n v="3965"/>
    <n v="10467"/>
  </r>
  <r>
    <x v="2312"/>
    <n v="450860"/>
    <s v="TX"/>
    <s v="TX - Fort Bend"/>
    <n v="77479"/>
    <s v="Memorial Hermann Surgical Hospital First Colony (FKA Sugar Land Surgical Hospital)"/>
    <s v="Short Term Acute Care Hospital"/>
    <s v="Sugar Land"/>
    <n v="2.2999999999999998"/>
    <n v="1.8"/>
    <n v="52"/>
    <n v="6"/>
    <m/>
    <n v="7.0000000000000007E-2"/>
    <n v="6"/>
    <n v="2.16"/>
    <n v="3966"/>
    <n v="475"/>
  </r>
  <r>
    <x v="2312"/>
    <n v="450820"/>
    <s v="TX"/>
    <s v="TX - Fort Bend"/>
    <n v="77479"/>
    <s v="Houston Methodist Sugar Land Hospital (FKA Methodist Sugar Land Hospital)"/>
    <s v="Short Term Acute Care Hospital"/>
    <s v="Sugar Land"/>
    <n v="203.8"/>
    <n v="4.8"/>
    <n v="463"/>
    <n v="347"/>
    <n v="48"/>
    <n v="7.0000000000000007E-2"/>
    <n v="347"/>
    <n v="1.85"/>
    <n v="3967"/>
    <n v="16995"/>
  </r>
  <r>
    <x v="2312"/>
    <n v="450330"/>
    <s v="TX"/>
    <s v="TX - Fort Bend"/>
    <n v="77469"/>
    <s v="OakBend Medical Center - Jackson Street Hospital Campus"/>
    <s v="Short Term Acute Care Hospital"/>
    <s v="Richmond"/>
    <n v="53.5"/>
    <n v="4.3"/>
    <n v="205"/>
    <n v="128"/>
    <n v="18"/>
    <n v="7.0000000000000007E-2"/>
    <n v="128"/>
    <n v="1.55"/>
    <n v="3968"/>
    <n v="5421"/>
  </r>
  <r>
    <x v="2312"/>
    <n v="670053"/>
    <s v="TX"/>
    <s v="TX - Fort Bend"/>
    <n v="77478"/>
    <s v="CHI St Lukes Health - Sugar Land Hospital"/>
    <s v="Short Term Acute Care Hospital"/>
    <s v="Sugar Land"/>
    <n v="50.7"/>
    <n v="4.7"/>
    <n v="66"/>
    <n v="100"/>
    <n v="16"/>
    <n v="7.0000000000000007E-2"/>
    <n v="100"/>
    <n v="1.71"/>
    <n v="3969"/>
    <n v="4380"/>
  </r>
  <r>
    <x v="2312"/>
    <n v="450847"/>
    <s v="TX"/>
    <s v="TX - Fort Bend"/>
    <n v="77494"/>
    <s v="Memorial Hermann Katy Hospital"/>
    <s v="Short Term Acute Care Hospital"/>
    <s v="Katy"/>
    <n v="103.9"/>
    <n v="3.3"/>
    <n v="301"/>
    <n v="208"/>
    <n v="32"/>
    <n v="7.0000000000000007E-2"/>
    <n v="208"/>
    <n v="1.77"/>
    <n v="4008"/>
    <n v="12800"/>
  </r>
  <r>
    <x v="2312"/>
    <s v="450330*"/>
    <s v="TX"/>
    <s v="TX - Fort Bend"/>
    <n v="77469"/>
    <s v="OakBend Medical Center - Williams Way Hospital Campus"/>
    <s v="Short Term Acute Care Hospital"/>
    <s v="Richmond"/>
    <m/>
    <m/>
    <m/>
    <m/>
    <m/>
    <m/>
    <n v="57"/>
    <m/>
    <n v="582545"/>
    <m/>
  </r>
  <r>
    <x v="2312"/>
    <m/>
    <s v="TX"/>
    <s v="TX - Fort Bend"/>
    <n v="77479"/>
    <s v="Memorial Hermann First Colony Hospital (Closed)"/>
    <s v="Short Term Acute Care Hospital"/>
    <s v="Sugar Land"/>
    <n v="1.2"/>
    <n v="3.8"/>
    <m/>
    <m/>
    <m/>
    <n v="7.0000000000000007E-2"/>
    <m/>
    <n v="0.99"/>
    <n v="550024"/>
    <n v="116"/>
  </r>
  <r>
    <x v="2312"/>
    <m/>
    <s v="TX"/>
    <s v="TX - Fort Bend"/>
    <n v="77478"/>
    <s v="OakBend Health System - Hospital for Surgical Excellence (Closed)"/>
    <s v="Short Term Acute Care Hospital"/>
    <s v="Sugar Land"/>
    <m/>
    <m/>
    <m/>
    <m/>
    <m/>
    <m/>
    <m/>
    <m/>
    <n v="764489"/>
    <m/>
  </r>
  <r>
    <x v="2313"/>
    <s v="450373 (Closed)"/>
    <s v="TX"/>
    <s v="TX - Franklin"/>
    <n v="75457"/>
    <s v="East Texas Medical Center - Mount Vernon (Closed)"/>
    <s v="Short Term Acute Care Hospital"/>
    <s v="Mount Vernon"/>
    <n v="4.7"/>
    <n v="3.5"/>
    <m/>
    <m/>
    <m/>
    <m/>
    <m/>
    <m/>
    <n v="3970"/>
    <n v="491"/>
  </r>
  <r>
    <x v="2314"/>
    <n v="450658"/>
    <s v="TX"/>
    <s v="TX - Freestone"/>
    <n v="75840"/>
    <s v="Freestone Medical Center (FKA East Texas Medical Center - Fairfield)"/>
    <s v="Short Term Acute Care Hospital"/>
    <s v="Fairfield"/>
    <n v="2.8"/>
    <n v="3.1"/>
    <n v="21"/>
    <n v="37"/>
    <m/>
    <m/>
    <n v="37"/>
    <n v="0.92"/>
    <n v="3971"/>
    <n v="330"/>
  </r>
  <r>
    <x v="2315"/>
    <s v="670089 (Closed)"/>
    <s v="TX"/>
    <s v="TX - Frio"/>
    <n v="78017"/>
    <s v="Nix Community General Hospital (FKA Community General Hospital - Closed)"/>
    <s v="Short Term Acute Care Hospital"/>
    <s v="Dilley"/>
    <n v="0.2"/>
    <n v="2.2999999999999998"/>
    <m/>
    <m/>
    <m/>
    <n v="0.69"/>
    <m/>
    <m/>
    <n v="3972"/>
    <n v="31"/>
  </r>
  <r>
    <x v="2315"/>
    <n v="450293"/>
    <s v="TX"/>
    <s v="TX - Frio"/>
    <n v="78061"/>
    <s v="Frio Regional Hospital"/>
    <s v="Short Term Acute Care Hospital"/>
    <s v="Pearsall"/>
    <n v="4.7"/>
    <n v="6.3"/>
    <n v="26"/>
    <m/>
    <m/>
    <n v="0.69"/>
    <n v="24"/>
    <n v="0.94"/>
    <n v="3973"/>
    <n v="316"/>
  </r>
  <r>
    <x v="2316"/>
    <s v="450617*"/>
    <s v="TX"/>
    <s v="TX - Galveston"/>
    <n v="77591"/>
    <s v="HCA Houston Healthcare Mainland (FKA Mainland Medical Center)"/>
    <s v="Short Term Acute Care Hospital"/>
    <s v="Texas City"/>
    <m/>
    <m/>
    <n v="9"/>
    <m/>
    <m/>
    <m/>
    <m/>
    <m/>
    <n v="3974"/>
    <m/>
  </r>
  <r>
    <x v="2316"/>
    <n v="450018"/>
    <s v="TX"/>
    <s v="TX - Galveston"/>
    <n v="77550"/>
    <s v="John Sealy Hospital"/>
    <s v="Short Term Acute Care Hospital"/>
    <s v="Galveston"/>
    <n v="431.5"/>
    <n v="4.5"/>
    <n v="1148"/>
    <n v="653"/>
    <m/>
    <n v="7.0000000000000007E-2"/>
    <n v="653"/>
    <n v="1.81"/>
    <n v="3975"/>
    <n v="33481"/>
  </r>
  <r>
    <x v="2316"/>
    <s v="450018*"/>
    <s v="TX"/>
    <s v="TX - Galveston"/>
    <n v="77555"/>
    <s v="UTMB Health Jennie Sealy Hospital - Galveston"/>
    <s v="Short Term Acute Care Hospital"/>
    <s v="Galveston"/>
    <m/>
    <m/>
    <m/>
    <m/>
    <m/>
    <m/>
    <n v="310"/>
    <m/>
    <n v="823812"/>
    <m/>
  </r>
  <r>
    <x v="2316"/>
    <s v="450018*"/>
    <s v="TX"/>
    <s v="TX - Galveston"/>
    <n v="77573"/>
    <s v="UTMB Health League City Campus Hospital"/>
    <s v="Short Term Acute Care Hospital"/>
    <s v="League City"/>
    <m/>
    <m/>
    <m/>
    <m/>
    <m/>
    <m/>
    <n v="20"/>
    <m/>
    <n v="847174"/>
    <m/>
  </r>
  <r>
    <x v="2317"/>
    <n v="450604"/>
    <s v="TX"/>
    <s v="TX - Gillespie"/>
    <n v="78624"/>
    <s v="Hill Country Memorial Hospital"/>
    <s v="Short Term Acute Care Hospital"/>
    <s v="Fredericksburg"/>
    <n v="18.899999999999999"/>
    <n v="3.5"/>
    <n v="140"/>
    <n v="57"/>
    <n v="10"/>
    <n v="1"/>
    <n v="57"/>
    <n v="1.71"/>
    <n v="3976"/>
    <n v="2186"/>
  </r>
  <r>
    <x v="2318"/>
    <n v="450235"/>
    <s v="TX"/>
    <s v="TX - Gonzales"/>
    <n v="78629"/>
    <s v="Gonzales Memorial Hospital"/>
    <s v="Short Term Acute Care Hospital"/>
    <s v="Gonzales"/>
    <n v="5.6"/>
    <n v="3"/>
    <n v="36"/>
    <n v="34"/>
    <m/>
    <m/>
    <n v="34"/>
    <n v="1.41"/>
    <n v="3977"/>
    <n v="756"/>
  </r>
  <r>
    <x v="2319"/>
    <n v="450099"/>
    <s v="TX"/>
    <s v="TX - Gray"/>
    <n v="79065"/>
    <s v="Pampa Regional Medical Center"/>
    <s v="Short Term Acute Care Hospital"/>
    <s v="Pampa"/>
    <n v="12.6"/>
    <n v="3.2"/>
    <n v="50"/>
    <n v="97"/>
    <n v="8"/>
    <n v="1"/>
    <n v="97"/>
    <n v="1.56"/>
    <n v="3978"/>
    <n v="1514"/>
  </r>
  <r>
    <x v="2320"/>
    <n v="450324"/>
    <s v="TX"/>
    <s v="TX - Grayson"/>
    <n v="75020"/>
    <s v="Texoma Medical Center"/>
    <s v="Short Term Acute Care Hospital"/>
    <s v="Denison"/>
    <n v="249.6"/>
    <n v="4.5999999999999996"/>
    <n v="294"/>
    <n v="329"/>
    <n v="52"/>
    <n v="0.56000000000000005"/>
    <n v="329"/>
    <n v="1.6"/>
    <n v="3979"/>
    <n v="19430"/>
  </r>
  <r>
    <x v="2320"/>
    <n v="450469"/>
    <s v="TX"/>
    <s v="TX - Grayson"/>
    <n v="75092"/>
    <s v="Wilson N Jones Regional Medical Center (FKA Texas Health Presbyterian Hospital - WNJ)"/>
    <s v="Short Term Acute Care Hospital"/>
    <s v="Sherman"/>
    <n v="59.9"/>
    <n v="4.4000000000000004"/>
    <n v="92"/>
    <n v="214"/>
    <n v="10"/>
    <n v="0.56000000000000005"/>
    <n v="214"/>
    <n v="1.61"/>
    <n v="3980"/>
    <n v="4958"/>
  </r>
  <r>
    <x v="2320"/>
    <s v="450393 (Closed)"/>
    <s v="TX"/>
    <s v="TX - Grayson"/>
    <n v="75090"/>
    <s v="Community Specialty Hospital (Closed)"/>
    <s v="Short Term Acute Care Hospital"/>
    <s v="Sherman"/>
    <n v="0.2"/>
    <n v="6.8"/>
    <m/>
    <m/>
    <m/>
    <n v="0.56000000000000005"/>
    <m/>
    <m/>
    <n v="5861"/>
    <n v="10"/>
  </r>
  <r>
    <x v="2320"/>
    <n v="670076"/>
    <s v="TX"/>
    <s v="TX - Grayson"/>
    <n v="75090"/>
    <s v="Baylor Scott &amp; White Surgical Hospital - Sherman (FKA Heritage Park Surgical Hospital)"/>
    <s v="Short Term Acute Care Hospital"/>
    <s v="Sherman"/>
    <n v="3.1"/>
    <n v="2.2999999999999998"/>
    <n v="49"/>
    <n v="12"/>
    <m/>
    <n v="0.56000000000000005"/>
    <n v="12"/>
    <n v="2.1"/>
    <n v="553370"/>
    <n v="492"/>
  </r>
  <r>
    <x v="2321"/>
    <s v="450488 (Closed)"/>
    <s v="TX"/>
    <s v="TX - Gregg"/>
    <n v="75662"/>
    <s v="Allegiance Specialty Hospital of Kilgore (Closed)"/>
    <s v="Short Term Acute Care Hospital"/>
    <s v="Kilgore"/>
    <n v="0"/>
    <n v="2.8"/>
    <m/>
    <m/>
    <m/>
    <n v="0.31"/>
    <m/>
    <m/>
    <n v="3981"/>
    <n v="5"/>
  </r>
  <r>
    <x v="2321"/>
    <n v="450037"/>
    <s v="TX"/>
    <s v="TX - Gregg"/>
    <n v="75601"/>
    <s v="CHRISTUS Good Shepherd Medical Center - Longview"/>
    <s v="Short Term Acute Care Hospital"/>
    <s v="Longview"/>
    <n v="147.6"/>
    <n v="3.7"/>
    <n v="50"/>
    <n v="328"/>
    <n v="33"/>
    <n v="0.31"/>
    <n v="328"/>
    <m/>
    <n v="3982"/>
    <n v="14644"/>
  </r>
  <r>
    <x v="2321"/>
    <n v="450702"/>
    <s v="TX"/>
    <s v="TX - Gregg"/>
    <n v="75605"/>
    <s v="Longview Regional Medical Center"/>
    <s v="Short Term Acute Care Hospital"/>
    <s v="Longview"/>
    <n v="131"/>
    <n v="4.5999999999999996"/>
    <n v="216"/>
    <n v="224"/>
    <n v="24"/>
    <n v="0.31"/>
    <n v="224"/>
    <n v="1.91"/>
    <n v="3983"/>
    <n v="11078"/>
  </r>
  <r>
    <x v="2322"/>
    <n v="450104"/>
    <s v="TX"/>
    <s v="TX - Guadalupe"/>
    <n v="78155"/>
    <s v="Guadalupe Regional Medical Center"/>
    <s v="Short Term Acute Care Hospital"/>
    <s v="Seguin"/>
    <n v="30"/>
    <n v="3.6"/>
    <n v="189"/>
    <n v="117"/>
    <n v="9"/>
    <n v="0.19"/>
    <n v="117"/>
    <n v="1.58"/>
    <n v="3985"/>
    <n v="3420"/>
  </r>
  <r>
    <x v="2322"/>
    <s v="670078*"/>
    <s v="TX"/>
    <s v="TX - Guadalupe"/>
    <n v="78154"/>
    <s v="Baptist Emergency Hospital - Schertz"/>
    <s v="Short Term Acute Care Hospital"/>
    <s v="Schertz"/>
    <m/>
    <m/>
    <n v="5"/>
    <m/>
    <m/>
    <m/>
    <n v="6"/>
    <m/>
    <n v="833110"/>
    <m/>
  </r>
  <r>
    <x v="2323"/>
    <n v="450539"/>
    <s v="TX"/>
    <s v="TX - Hale"/>
    <n v="79072"/>
    <s v="Covenant Health Plainview"/>
    <s v="Short Term Acute Care Hospital"/>
    <s v="Plainview"/>
    <n v="15.1"/>
    <n v="3.7"/>
    <n v="72"/>
    <n v="49"/>
    <n v="5"/>
    <n v="1"/>
    <n v="49"/>
    <n v="1.57"/>
    <n v="3986"/>
    <n v="1716"/>
  </r>
  <r>
    <x v="2324"/>
    <m/>
    <s v="TX"/>
    <s v="TX - Hardin"/>
    <n v="77657"/>
    <s v="Altus Lumberton ER Hospital"/>
    <s v="Short Term Acute Care Hospital"/>
    <s v="Lumberton"/>
    <m/>
    <m/>
    <m/>
    <m/>
    <m/>
    <m/>
    <m/>
    <m/>
    <n v="1011476"/>
    <m/>
  </r>
  <r>
    <x v="2325"/>
    <n v="450774"/>
    <s v="TX"/>
    <s v="TX - Harris"/>
    <n v="77090"/>
    <s v="TOPS Surgical Specialty Hospital"/>
    <s v="Short Term Acute Care Hospital"/>
    <s v="Houston"/>
    <n v="3.5"/>
    <n v="2"/>
    <n v="71"/>
    <n v="16"/>
    <m/>
    <n v="7.0000000000000007E-2"/>
    <n v="16"/>
    <n v="2.08"/>
    <n v="3989"/>
    <n v="640"/>
  </r>
  <r>
    <x v="2325"/>
    <n v="450775"/>
    <s v="TX"/>
    <s v="TX - Harris"/>
    <n v="77339"/>
    <s v="HCA Houston Healthcare Kingwood (FKA Kingwood Medical Center)"/>
    <s v="Short Term Acute Care Hospital"/>
    <s v="Kingwood"/>
    <n v="372.4"/>
    <n v="4.7"/>
    <n v="543"/>
    <n v="528"/>
    <n v="66"/>
    <n v="7.0000000000000007E-2"/>
    <n v="528"/>
    <n v="1.69"/>
    <n v="3990"/>
    <n v="29828"/>
  </r>
  <r>
    <x v="2325"/>
    <n v="450709"/>
    <s v="TX"/>
    <s v="TX - Harris"/>
    <n v="77058"/>
    <s v="Houston Methodist Clear Lake Hospital (FKA Houston Methodist St John Hospital)"/>
    <s v="Short Term Acute Care Hospital"/>
    <s v="Houston"/>
    <n v="67.099999999999994"/>
    <n v="4"/>
    <n v="167"/>
    <n v="178"/>
    <n v="14"/>
    <n v="7.0000000000000007E-2"/>
    <n v="178"/>
    <n v="1.58"/>
    <n v="3992"/>
    <n v="6672"/>
  </r>
  <r>
    <x v="2325"/>
    <s v="450716 (Closed)"/>
    <s v="TX"/>
    <s v="TX - Harris"/>
    <n v="77065"/>
    <s v="Cypress Fairbanks Medical Center Hospital (Closed - No Longer Offers Inpatient Services)"/>
    <s v="Short Term Acute Care Hospital"/>
    <s v="Houston"/>
    <n v="59.9"/>
    <n v="4.2"/>
    <m/>
    <m/>
    <m/>
    <n v="7.0000000000000007E-2"/>
    <m/>
    <n v="1.63"/>
    <n v="3993"/>
    <n v="6047"/>
  </r>
  <r>
    <x v="2325"/>
    <n v="450684"/>
    <s v="TX"/>
    <s v="TX - Harris"/>
    <n v="77338"/>
    <s v="Memorial Hermann Northeast Hospital"/>
    <s v="Short Term Acute Care Hospital"/>
    <s v="Humble"/>
    <n v="146.69999999999999"/>
    <n v="4.0999999999999996"/>
    <n v="229"/>
    <n v="255"/>
    <n v="24"/>
    <n v="7.0000000000000007E-2"/>
    <n v="255"/>
    <n v="1.75"/>
    <n v="3994"/>
    <n v="13644"/>
  </r>
  <r>
    <x v="2325"/>
    <n v="450674"/>
    <s v="TX"/>
    <s v="TX - Harris"/>
    <n v="77054"/>
    <s v="The Womans Hospital of Texas"/>
    <s v="Short Term Acute Care Hospital"/>
    <s v="Houston"/>
    <n v="128.69999999999999"/>
    <n v="8"/>
    <n v="293"/>
    <n v="257"/>
    <n v="4"/>
    <n v="7.0000000000000007E-2"/>
    <n v="257"/>
    <n v="1.22"/>
    <n v="3995"/>
    <n v="14055"/>
  </r>
  <r>
    <x v="2325"/>
    <n v="450610"/>
    <s v="TX"/>
    <s v="TX - Harris"/>
    <n v="77024"/>
    <s v="Memorial Hermann Memorial City Medical Center"/>
    <s v="Short Term Acute Care Hospital"/>
    <s v="Houston"/>
    <n v="228"/>
    <n v="3.9"/>
    <n v="605"/>
    <n v="444"/>
    <n v="60"/>
    <n v="7.0000000000000007E-2"/>
    <n v="444"/>
    <n v="1.9"/>
    <n v="3996"/>
    <n v="23043"/>
  </r>
  <r>
    <x v="2325"/>
    <s v="450630 (Closed)"/>
    <s v="TX"/>
    <s v="TX - Harris"/>
    <n v="77055"/>
    <s v="Spring Branch Medical Center (Closed May 2012)"/>
    <s v="Short Term Acute Care Hospital"/>
    <s v="Houston"/>
    <n v="9.6999999999999993"/>
    <n v="3.5"/>
    <m/>
    <m/>
    <m/>
    <n v="7.0000000000000007E-2"/>
    <m/>
    <m/>
    <n v="3997"/>
    <n v="1121"/>
  </r>
  <r>
    <x v="2325"/>
    <n v="450617"/>
    <s v="TX"/>
    <s v="TX - Harris"/>
    <n v="77598"/>
    <s v="HCA Houston Healthcare Clear Lake (FKA Clear Lake Regional Medical Center)"/>
    <s v="Short Term Acute Care Hospital"/>
    <s v="Webster"/>
    <n v="384.1"/>
    <n v="5.0999999999999996"/>
    <n v="541"/>
    <n v="532"/>
    <n v="86"/>
    <n v="7.0000000000000007E-2"/>
    <n v="532"/>
    <n v="1.63"/>
    <n v="3998"/>
    <n v="29895"/>
  </r>
  <r>
    <x v="2325"/>
    <n v="450659"/>
    <s v="TX"/>
    <s v="TX - Harris"/>
    <n v="77004"/>
    <s v="HCA Houston Healthcare Medical Center (FKA Park Plaza Hospital)"/>
    <s v="Short Term Acute Care Hospital"/>
    <s v="Houston"/>
    <n v="49.6"/>
    <n v="5.7"/>
    <n v="107"/>
    <n v="133"/>
    <n v="14"/>
    <n v="7.0000000000000007E-2"/>
    <n v="133"/>
    <n v="1.75"/>
    <n v="3999"/>
    <n v="3166"/>
  </r>
  <r>
    <x v="2325"/>
    <n v="450670"/>
    <s v="TX"/>
    <s v="TX - Harris"/>
    <n v="77375"/>
    <s v="HCA Houston Healthcare Tomball (FKA Tomball Regional Medical Center)"/>
    <s v="Short Term Acute Care Hospital"/>
    <s v="Tomball"/>
    <n v="107"/>
    <n v="4.8"/>
    <n v="218"/>
    <n v="194"/>
    <n v="20"/>
    <n v="7.0000000000000007E-2"/>
    <n v="194"/>
    <n v="1.63"/>
    <n v="4000"/>
    <n v="8438"/>
  </r>
  <r>
    <x v="2325"/>
    <n v="450638"/>
    <s v="TX"/>
    <s v="TX - Harris"/>
    <n v="77090"/>
    <s v="HCA Houston Healthcare Northwest (FKA Houston Northwest Medical Center)"/>
    <s v="Short Term Acute Care Hospital"/>
    <s v="Houston"/>
    <n v="169.3"/>
    <n v="4.5"/>
    <n v="279"/>
    <n v="288"/>
    <n v="38"/>
    <n v="7.0000000000000007E-2"/>
    <n v="288"/>
    <n v="1.68"/>
    <n v="4001"/>
    <n v="15465"/>
  </r>
  <r>
    <x v="2325"/>
    <n v="450644"/>
    <s v="TX"/>
    <s v="TX - Harris"/>
    <n v="77082"/>
    <s v="HCA Houston Healthcare West (FKA West Houston Medical Center)"/>
    <s v="Short Term Acute Care Hospital"/>
    <s v="Houston"/>
    <n v="147.1"/>
    <n v="5.2"/>
    <n v="266"/>
    <n v="230"/>
    <n v="28"/>
    <n v="7.0000000000000007E-2"/>
    <n v="230"/>
    <n v="1.76"/>
    <n v="4002"/>
    <n v="11650"/>
  </r>
  <r>
    <x v="2325"/>
    <s v="450797 (Closed)"/>
    <s v="TX"/>
    <s v="TX - Harris"/>
    <n v="77004"/>
    <s v="US Pain &amp; Spine Hospital (Closed - No Longer Offers Inpatient Services)"/>
    <s v="Short Term Acute Care Hospital"/>
    <s v="Houston"/>
    <n v="1.6"/>
    <n v="2.6"/>
    <m/>
    <m/>
    <m/>
    <n v="7.0000000000000007E-2"/>
    <m/>
    <n v="3.41"/>
    <n v="4003"/>
    <n v="218"/>
  </r>
  <r>
    <x v="2325"/>
    <n v="450803"/>
    <s v="TX"/>
    <s v="TX - Harris"/>
    <n v="77091"/>
    <s v="United Memorial Medical Center (FKA Doctors Hospital)"/>
    <s v="Short Term Acute Care Hospital"/>
    <s v="Houston"/>
    <n v="19.8"/>
    <n v="8.1999999999999993"/>
    <n v="103"/>
    <n v="97"/>
    <m/>
    <n v="7.0000000000000007E-2"/>
    <n v="97"/>
    <n v="1.78"/>
    <n v="4004"/>
    <n v="982"/>
  </r>
  <r>
    <x v="2325"/>
    <n v="450804"/>
    <s v="TX"/>
    <s v="TX - Harris"/>
    <n v="77030"/>
    <s v="Texas Orthopedic Hospital"/>
    <s v="Short Term Acute Care Hospital"/>
    <s v="Houston"/>
    <n v="20.399999999999999"/>
    <n v="2"/>
    <n v="92"/>
    <n v="49"/>
    <m/>
    <n v="7.0000000000000007E-2"/>
    <n v="49"/>
    <n v="2.5099999999999998"/>
    <n v="4005"/>
    <n v="3717"/>
  </r>
  <r>
    <x v="2325"/>
    <s v="450795 (Closed)"/>
    <s v="TX"/>
    <s v="TX - Harris"/>
    <n v="77093"/>
    <s v="St Anthonys Hospital (Closed August 2014)"/>
    <s v="Short Term Acute Care Hospital"/>
    <s v="Houston"/>
    <n v="10.8"/>
    <n v="4"/>
    <m/>
    <m/>
    <m/>
    <n v="7.0000000000000007E-2"/>
    <m/>
    <m/>
    <n v="4006"/>
    <n v="990"/>
  </r>
  <r>
    <x v="2325"/>
    <n v="450844"/>
    <s v="TX"/>
    <s v="TX - Harris"/>
    <n v="77070"/>
    <s v="Houston Methodist Willowbrook Hospital (FKA Methodist Willowbrook Hospital)"/>
    <s v="Short Term Acute Care Hospital"/>
    <s v="Houston"/>
    <n v="198.8"/>
    <n v="4.5999999999999996"/>
    <n v="381"/>
    <n v="313"/>
    <n v="32"/>
    <n v="7.0000000000000007E-2"/>
    <n v="313"/>
    <n v="1.78"/>
    <n v="4009"/>
    <n v="18255"/>
  </r>
  <r>
    <x v="2325"/>
    <n v="450831"/>
    <s v="TX"/>
    <s v="TX - Harris"/>
    <n v="77504"/>
    <s v="Surgery Specialty Hospitals of America"/>
    <s v="Short Term Acute Care Hospital"/>
    <s v="Pasadena"/>
    <n v="1.1000000000000001"/>
    <n v="2.2000000000000002"/>
    <n v="8"/>
    <n v="37"/>
    <m/>
    <n v="7.0000000000000007E-2"/>
    <n v="37"/>
    <n v="2.94"/>
    <n v="4010"/>
    <n v="184"/>
  </r>
  <r>
    <x v="2325"/>
    <n v="450358"/>
    <s v="TX"/>
    <s v="TX - Harris"/>
    <n v="77030"/>
    <s v="Houston Methodist Hospital (FKA the Methodist Hospital)"/>
    <s v="Short Term Acute Care Hospital"/>
    <s v="Houston"/>
    <n v="651.29999999999995"/>
    <n v="6.5"/>
    <n v="1433"/>
    <n v="956"/>
    <n v="37"/>
    <n v="7.0000000000000007E-2"/>
    <n v="956"/>
    <n v="2.31"/>
    <n v="4012"/>
    <n v="36931"/>
  </r>
  <r>
    <x v="2325"/>
    <n v="450424"/>
    <s v="TX"/>
    <s v="TX - Harris"/>
    <n v="77521"/>
    <s v="Houston Methodist Baytown Hospital (FKA Houston Methodist San Jacinto Hospital)"/>
    <s v="Short Term Acute Care Hospital"/>
    <s v="Baytown"/>
    <n v="144"/>
    <n v="4.5"/>
    <n v="246"/>
    <n v="190"/>
    <n v="24"/>
    <n v="7.0000000000000007E-2"/>
    <n v="190"/>
    <n v="1.75"/>
    <n v="4013"/>
    <n v="12906"/>
  </r>
  <r>
    <x v="2325"/>
    <s v="450446 (Closed)"/>
    <s v="TX"/>
    <s v="TX - Harris"/>
    <n v="77004"/>
    <s v="Riverside General Hospital (Closed)"/>
    <s v="Short Term Acute Care Hospital"/>
    <s v="Houston"/>
    <n v="4.4000000000000004"/>
    <n v="13.7"/>
    <m/>
    <m/>
    <m/>
    <n v="7.0000000000000007E-2"/>
    <m/>
    <m/>
    <n v="4014"/>
    <n v="117"/>
  </r>
  <r>
    <x v="2325"/>
    <n v="450097"/>
    <s v="TX"/>
    <s v="TX - Harris"/>
    <n v="77504"/>
    <s v="HCA Houston Healthcare Southeast (FKA Bayshore Medical Center)"/>
    <s v="Short Term Acute Care Hospital"/>
    <s v="Pasadena"/>
    <n v="172.6"/>
    <n v="5.5"/>
    <n v="235"/>
    <n v="236"/>
    <n v="24"/>
    <n v="7.0000000000000007E-2"/>
    <n v="236"/>
    <n v="1.7"/>
    <n v="4016"/>
    <n v="11980"/>
  </r>
  <r>
    <x v="2325"/>
    <n v="450076"/>
    <s v="TX"/>
    <s v="TX - Harris"/>
    <n v="77030"/>
    <s v="University of Texas MD Anderson Cancer Center"/>
    <s v="Short Term Acute Care Hospital"/>
    <s v="Houston"/>
    <n v="596.9"/>
    <n v="7.2"/>
    <n v="2132"/>
    <n v="670"/>
    <n v="52"/>
    <n v="7.0000000000000007E-2"/>
    <n v="670"/>
    <n v="2.1800000000000002"/>
    <n v="4017"/>
    <n v="30374"/>
  </r>
  <r>
    <x v="2325"/>
    <n v="450068"/>
    <s v="TX"/>
    <s v="TX - Harris"/>
    <n v="77030"/>
    <s v="Memorial Hermann - Texas Medical Center"/>
    <s v="Short Term Acute Care Hospital"/>
    <s v="Houston"/>
    <n v="695.6"/>
    <n v="5.8"/>
    <n v="1342"/>
    <n v="994"/>
    <n v="38"/>
    <n v="7.0000000000000007E-2"/>
    <n v="994"/>
    <n v="2.73"/>
    <n v="4018"/>
    <n v="45540"/>
  </r>
  <r>
    <x v="2325"/>
    <n v="450035"/>
    <s v="TX"/>
    <s v="TX - Harris"/>
    <n v="77002"/>
    <s v="St Joseph Medical Center"/>
    <s v="Short Term Acute Care Hospital"/>
    <s v="Houston"/>
    <n v="113.7"/>
    <n v="4.7"/>
    <n v="204"/>
    <n v="248"/>
    <n v="24"/>
    <n v="7.0000000000000007E-2"/>
    <n v="248"/>
    <n v="1.63"/>
    <n v="4019"/>
    <n v="11587"/>
  </r>
  <r>
    <x v="2325"/>
    <s v="450184*"/>
    <s v="TX"/>
    <s v="TX - Harris"/>
    <n v="77008"/>
    <s v="Memorial Hermann Greater Heights Hospital (FKA Memorial Hermann Northwest Hospital)"/>
    <s v="Short Term Acute Care Hospital"/>
    <s v="Houston"/>
    <m/>
    <m/>
    <m/>
    <m/>
    <m/>
    <m/>
    <n v="238"/>
    <m/>
    <n v="4020"/>
    <m/>
  </r>
  <r>
    <x v="2325"/>
    <n v="450193"/>
    <s v="TX"/>
    <s v="TX - Harris"/>
    <n v="77030"/>
    <s v="CHI St Lukes Health - Baylor St Lukes Medical Center"/>
    <s v="Short Term Acute Care Hospital"/>
    <s v="Houston"/>
    <n v="406.9"/>
    <n v="6.4"/>
    <n v="850"/>
    <n v="637"/>
    <n v="144"/>
    <n v="7.0000000000000007E-2"/>
    <n v="637"/>
    <n v="2.76"/>
    <n v="4021"/>
    <n v="23114"/>
  </r>
  <r>
    <x v="2325"/>
    <s v="450775*"/>
    <s v="TX"/>
    <s v="TX - Harris"/>
    <n v="77429"/>
    <s v="HCA Houston Healthcare North Cypress (FKA North Cypress Medical Center)"/>
    <s v="Short Term Acute Care Hospital"/>
    <s v="Cypress"/>
    <m/>
    <m/>
    <n v="71"/>
    <m/>
    <m/>
    <m/>
    <n v="139"/>
    <n v="1.72"/>
    <n v="4022"/>
    <m/>
  </r>
  <r>
    <x v="2325"/>
    <m/>
    <s v="TX"/>
    <s v="TX - Harris"/>
    <n v="77401"/>
    <s v="First Surgical Hospital"/>
    <s v="Short Term Acute Care Hospital"/>
    <s v="Bellaire"/>
    <n v="2.8"/>
    <n v="2.2000000000000002"/>
    <n v="18"/>
    <n v="19"/>
    <m/>
    <n v="7.0000000000000007E-2"/>
    <n v="19"/>
    <m/>
    <n v="4023"/>
    <n v="477"/>
  </r>
  <r>
    <x v="2325"/>
    <n v="670031"/>
    <s v="TX"/>
    <s v="TX - Harris"/>
    <n v="77505"/>
    <s v="CHI St Lukes Health - Patients Medical Center"/>
    <s v="Short Term Acute Care Hospital"/>
    <s v="Pasadena"/>
    <n v="50.8"/>
    <n v="4.8"/>
    <n v="87"/>
    <n v="61"/>
    <n v="8"/>
    <n v="7.0000000000000007E-2"/>
    <n v="61"/>
    <n v="1.73"/>
    <n v="4024"/>
    <n v="3880"/>
  </r>
  <r>
    <x v="2325"/>
    <s v="450184*"/>
    <s v="TX"/>
    <s v="TX - Harris"/>
    <n v="77401"/>
    <s v="Memorial Hermann Orthopedic &amp; Spine Hospital"/>
    <s v="Short Term Acute Care Hospital"/>
    <s v="Bellaire"/>
    <m/>
    <m/>
    <n v="2"/>
    <m/>
    <m/>
    <m/>
    <n v="64"/>
    <m/>
    <n v="4025"/>
    <m/>
  </r>
  <r>
    <x v="2325"/>
    <s v="670019 (Closed)"/>
    <s v="TX"/>
    <s v="TX - Harris"/>
    <n v="77054"/>
    <s v="Foundation Surgical Hospital of Houston (FKA University General Hospital - Closed)"/>
    <s v="Short Term Acute Care Hospital"/>
    <s v="Houston"/>
    <n v="34"/>
    <n v="4.3"/>
    <m/>
    <m/>
    <m/>
    <n v="7.0000000000000007E-2"/>
    <m/>
    <m/>
    <n v="4026"/>
    <n v="2862"/>
  </r>
  <r>
    <x v="2325"/>
    <n v="670005"/>
    <s v="TX"/>
    <s v="TX - Harris"/>
    <n v="77339"/>
    <s v="Memorial Hermann Surgical Hospital Kingwood"/>
    <s v="Short Term Acute Care Hospital"/>
    <s v="Kingwood"/>
    <n v="2.1"/>
    <n v="2.2000000000000002"/>
    <n v="32"/>
    <n v="10"/>
    <m/>
    <n v="7.0000000000000007E-2"/>
    <n v="10"/>
    <n v="2.15"/>
    <n v="4027"/>
    <n v="354"/>
  </r>
  <r>
    <x v="2325"/>
    <s v="670027 (Closed)"/>
    <s v="TX"/>
    <s v="TX - Harris"/>
    <n v="77004"/>
    <s v="Acuity Hospital of Houston (Closed 2011)"/>
    <s v="Short Term Acute Care Hospital"/>
    <s v="Houston"/>
    <n v="29.3"/>
    <n v="25.2"/>
    <m/>
    <m/>
    <m/>
    <n v="7.0000000000000007E-2"/>
    <m/>
    <m/>
    <n v="4858"/>
    <n v="424"/>
  </r>
  <r>
    <x v="2325"/>
    <s v="450097* (Closed)"/>
    <s v="TX"/>
    <s v="TX - Harris"/>
    <n v="77015"/>
    <s v="East Houston Regional Medical Center (Closed)"/>
    <s v="Short Term Acute Care Hospital"/>
    <s v="Houston"/>
    <m/>
    <m/>
    <m/>
    <m/>
    <m/>
    <m/>
    <m/>
    <m/>
    <n v="4996"/>
    <m/>
  </r>
  <r>
    <x v="2325"/>
    <s v="670113 (Closed)"/>
    <s v="TX"/>
    <s v="TX - Harris"/>
    <n v="77338"/>
    <s v="Humble Surgical Hospital (Closed - Declared Bankruptcy 2/24/17)"/>
    <s v="Short Term Acute Care Hospital"/>
    <s v="Humble"/>
    <n v="0.5"/>
    <n v="2.5"/>
    <m/>
    <m/>
    <m/>
    <n v="7.0000000000000007E-2"/>
    <m/>
    <m/>
    <n v="7173"/>
    <n v="68"/>
  </r>
  <r>
    <x v="2325"/>
    <n v="670075"/>
    <s v="TX"/>
    <s v="TX - Harris"/>
    <n v="77070"/>
    <s v="CHI St Lukes Health - The Vintage Hospital"/>
    <s v="Short Term Acute Care Hospital"/>
    <s v="Houston"/>
    <n v="40.5"/>
    <n v="4"/>
    <n v="75"/>
    <n v="86"/>
    <n v="12"/>
    <n v="7.0000000000000007E-2"/>
    <n v="86"/>
    <n v="1.69"/>
    <n v="274130"/>
    <n v="4069"/>
  </r>
  <r>
    <x v="2325"/>
    <n v="450184"/>
    <s v="TX"/>
    <s v="TX - Harris"/>
    <n v="77074"/>
    <s v="Memorial Hermann Southwest Hospital"/>
    <s v="Short Term Acute Care Hospital"/>
    <s v="Houston"/>
    <n v="855.5"/>
    <n v="4.0999999999999996"/>
    <n v="1981"/>
    <n v="1310"/>
    <n v="157"/>
    <n v="7.0000000000000007E-2"/>
    <n v="547"/>
    <n v="1.89"/>
    <n v="274147"/>
    <n v="80012"/>
  </r>
  <r>
    <x v="2325"/>
    <s v="450184*"/>
    <s v="TX"/>
    <s v="TX - Harris"/>
    <n v="77089"/>
    <s v="Memorial Hermann Southeast Hospital"/>
    <s v="Short Term Acute Care Hospital"/>
    <s v="Houston"/>
    <m/>
    <m/>
    <n v="1"/>
    <m/>
    <m/>
    <m/>
    <n v="250"/>
    <m/>
    <n v="274148"/>
    <m/>
  </r>
  <r>
    <x v="2325"/>
    <n v="450289"/>
    <s v="TX"/>
    <s v="TX - Harris"/>
    <n v="77030"/>
    <s v="Ben Taub Hospital"/>
    <s v="Short Term Acute Care Hospital"/>
    <s v="Houston"/>
    <n v="420.1"/>
    <n v="5.8"/>
    <n v="1345"/>
    <n v="615"/>
    <n v="30"/>
    <n v="7.0000000000000007E-2"/>
    <n v="444"/>
    <n v="1.75"/>
    <n v="274186"/>
    <n v="28163"/>
  </r>
  <r>
    <x v="2325"/>
    <s v="450289*"/>
    <s v="TX"/>
    <s v="TX - Harris"/>
    <n v="77026"/>
    <s v="Lyndon B Johnson Hospital"/>
    <s v="Short Term Acute Care Hospital"/>
    <s v="Houston"/>
    <m/>
    <m/>
    <m/>
    <m/>
    <m/>
    <m/>
    <n v="207"/>
    <m/>
    <n v="274187"/>
    <m/>
  </r>
  <r>
    <x v="2325"/>
    <s v="450289* (Closed)"/>
    <s v="TX"/>
    <s v="TX - Harris"/>
    <n v="77004"/>
    <s v="Quentin Mease Community Hospital (Closed - No Longer Offers Inpatient Services)"/>
    <s v="Short Term Acute Care Hospital"/>
    <s v="Houston"/>
    <m/>
    <m/>
    <m/>
    <m/>
    <m/>
    <m/>
    <m/>
    <m/>
    <n v="274188"/>
    <m/>
  </r>
  <r>
    <x v="2325"/>
    <n v="670077"/>
    <s v="TX"/>
    <s v="TX - Harris"/>
    <n v="77094"/>
    <s v="Houston Methodist West Hospital (FKA Methodist West Houston Hospital)"/>
    <s v="Short Term Acute Care Hospital"/>
    <s v="Houston"/>
    <n v="111.1"/>
    <n v="4.0999999999999996"/>
    <n v="269"/>
    <n v="193"/>
    <n v="25"/>
    <n v="7.0000000000000007E-2"/>
    <n v="193"/>
    <n v="1.79"/>
    <n v="274206"/>
    <n v="11827"/>
  </r>
  <r>
    <x v="2325"/>
    <s v="670072 (Closed)"/>
    <s v="TX"/>
    <s v="TX - Harris"/>
    <n v="77035"/>
    <s v="Hopebridge Hospital (FKA Westbury Community Hospital - Closed)"/>
    <s v="Short Term Acute Care Hospital"/>
    <s v="Houston"/>
    <n v="20.5"/>
    <n v="10.1"/>
    <m/>
    <m/>
    <m/>
    <n v="7.0000000000000007E-2"/>
    <m/>
    <m/>
    <n v="541793"/>
    <n v="744"/>
  </r>
  <r>
    <x v="2325"/>
    <m/>
    <s v="TX"/>
    <s v="TX - Harris"/>
    <n v="77027"/>
    <s v="Westside Surgical Hospital &amp; Breast Center (Closed)"/>
    <s v="Short Term Acute Care Hospital"/>
    <s v="Houston"/>
    <m/>
    <m/>
    <m/>
    <m/>
    <m/>
    <m/>
    <m/>
    <m/>
    <n v="579949"/>
    <m/>
  </r>
  <r>
    <x v="2325"/>
    <s v="670096 (Closed)"/>
    <s v="TX"/>
    <s v="TX - Harris"/>
    <n v="77598"/>
    <s v="Bay Area Regional Medical Center (Closed)"/>
    <s v="Short Term Acute Care Hospital"/>
    <s v="Webster"/>
    <n v="63.4"/>
    <n v="3.9"/>
    <m/>
    <m/>
    <m/>
    <n v="7.0000000000000007E-2"/>
    <m/>
    <n v="1.65"/>
    <n v="577678"/>
    <n v="5328"/>
  </r>
  <r>
    <x v="2325"/>
    <m/>
    <s v="TX"/>
    <s v="TX - Harris"/>
    <n v="77030"/>
    <s v="Texas Heart Institute at Baylor St Lukes Medical Center"/>
    <s v="Short Term Acute Care Hospital"/>
    <s v="Houston"/>
    <m/>
    <m/>
    <n v="16"/>
    <m/>
    <m/>
    <m/>
    <n v="850"/>
    <m/>
    <n v="581748"/>
    <m/>
  </r>
  <r>
    <x v="2325"/>
    <s v="670084 (Closed)"/>
    <s v="TX"/>
    <s v="TX - Harris"/>
    <n v="77506"/>
    <s v="Pristine Hospital of Pasadena (Closed)"/>
    <s v="Short Term Acute Care Hospital"/>
    <s v="Pasadena"/>
    <m/>
    <m/>
    <m/>
    <m/>
    <m/>
    <m/>
    <m/>
    <m/>
    <n v="581816"/>
    <m/>
  </r>
  <r>
    <x v="2325"/>
    <s v="670095 (Closed)"/>
    <s v="TX"/>
    <s v="TX - Harris"/>
    <n v="77375"/>
    <s v="Memorial Hermann Tomball Hospital (Closed)"/>
    <s v="Short Term Acute Care Hospital"/>
    <s v="Tomball"/>
    <n v="1.8"/>
    <n v="3.5"/>
    <m/>
    <m/>
    <m/>
    <n v="7.0000000000000007E-2"/>
    <m/>
    <n v="0.86"/>
    <n v="585416"/>
    <n v="149"/>
  </r>
  <r>
    <x v="2325"/>
    <m/>
    <s v="TX"/>
    <s v="TX - Harris"/>
    <n v="77090"/>
    <s v="Red Oak Hospital (Closed)"/>
    <s v="Short Term Acute Care Hospital"/>
    <s v="Houston"/>
    <m/>
    <m/>
    <m/>
    <m/>
    <m/>
    <m/>
    <m/>
    <m/>
    <n v="794514"/>
    <m/>
  </r>
  <r>
    <x v="2325"/>
    <n v="670109"/>
    <s v="TX"/>
    <s v="TX - Harris"/>
    <n v="77521"/>
    <s v="Altus Baytown Hospital"/>
    <s v="Short Term Acute Care Hospital"/>
    <s v="Baytown"/>
    <n v="2.2000000000000002"/>
    <n v="1"/>
    <n v="39"/>
    <n v="14"/>
    <m/>
    <n v="7.0000000000000007E-2"/>
    <n v="14"/>
    <n v="1.08"/>
    <n v="835814"/>
    <n v="786"/>
  </r>
  <r>
    <x v="2325"/>
    <m/>
    <s v="TX"/>
    <s v="TX - Harris"/>
    <n v="77433"/>
    <s v="Memorial Hermann Cypress Hospital"/>
    <s v="Short Term Acute Care Hospital"/>
    <s v="Cypress"/>
    <m/>
    <m/>
    <m/>
    <m/>
    <m/>
    <m/>
    <n v="81"/>
    <m/>
    <n v="840562"/>
    <m/>
  </r>
  <r>
    <x v="2325"/>
    <m/>
    <s v="TX"/>
    <s v="TX - Harris"/>
    <n v="77379"/>
    <s v="Spring Central Hospital (Closed)"/>
    <s v="Short Term Acute Care Hospital"/>
    <s v="Spring"/>
    <m/>
    <m/>
    <m/>
    <m/>
    <m/>
    <m/>
    <m/>
    <m/>
    <n v="840508"/>
    <m/>
  </r>
  <r>
    <x v="2325"/>
    <n v="670118"/>
    <s v="TX"/>
    <s v="TX - Harris"/>
    <n v="77070"/>
    <s v="First Texas Hospital (AKA Adeptus Health)"/>
    <s v="Short Term Acute Care Hospital"/>
    <s v="Houston"/>
    <n v="1.8"/>
    <n v="2.8"/>
    <n v="92"/>
    <n v="12"/>
    <m/>
    <n v="7.0000000000000007E-2"/>
    <n v="12"/>
    <n v="1.21"/>
    <n v="873540"/>
    <n v="232"/>
  </r>
  <r>
    <x v="2325"/>
    <n v="670119"/>
    <s v="TX"/>
    <s v="TX - Harris"/>
    <n v="77090"/>
    <s v="Providence Hospital of North Houston"/>
    <s v="Short Term Acute Care Hospital"/>
    <s v="Houston"/>
    <n v="2.6"/>
    <n v="3.5"/>
    <n v="40"/>
    <n v="16"/>
    <m/>
    <n v="7.0000000000000007E-2"/>
    <n v="16"/>
    <n v="1.82"/>
    <n v="916951"/>
    <n v="274"/>
  </r>
  <r>
    <x v="2325"/>
    <m/>
    <s v="TX"/>
    <s v="TX - Harris"/>
    <n v="77379"/>
    <s v="UMMC - Spring (FKA Spring Excellence Surgical Hospital)"/>
    <s v="Short Term Acute Care Hospital"/>
    <s v="Spring"/>
    <m/>
    <m/>
    <n v="10"/>
    <m/>
    <m/>
    <m/>
    <n v="12"/>
    <m/>
    <n v="936072"/>
    <m/>
  </r>
  <r>
    <x v="2325"/>
    <m/>
    <s v="TX"/>
    <s v="TX - Harris"/>
    <n v="77072"/>
    <s v="Altus Houston Hospital"/>
    <s v="Short Term Acute Care Hospital"/>
    <s v="Houston"/>
    <m/>
    <m/>
    <n v="23"/>
    <m/>
    <m/>
    <m/>
    <n v="14"/>
    <m/>
    <n v="955051"/>
    <m/>
  </r>
  <r>
    <x v="2325"/>
    <s v="450610* (Closed)"/>
    <s v="TX"/>
    <s v="TX - Harris"/>
    <n v="77024"/>
    <s v="Memorial Hermann Heart &amp; Vascular Institute - Memorial City (Closed - No Longer Offers Inpatient Services)"/>
    <s v="Short Term Acute Care Hospital"/>
    <s v="Houston"/>
    <m/>
    <m/>
    <m/>
    <m/>
    <m/>
    <m/>
    <m/>
    <m/>
    <n v="957628"/>
    <m/>
  </r>
  <r>
    <x v="2325"/>
    <s v="450184*"/>
    <s v="TX"/>
    <s v="TX - Harris"/>
    <n v="77074"/>
    <s v="Memorial Hermann Heart &amp; Vascular Institute - Southwest"/>
    <s v="Short Term Acute Care Hospital"/>
    <s v="Houston"/>
    <m/>
    <m/>
    <m/>
    <m/>
    <m/>
    <m/>
    <n v="45"/>
    <m/>
    <n v="957629"/>
    <m/>
  </r>
  <r>
    <x v="2325"/>
    <s v="450068*"/>
    <s v="TX"/>
    <s v="TX - Harris"/>
    <n v="77030"/>
    <s v="Memorial Hermann Heart &amp; Vascular Institute - Texas Medical Center"/>
    <s v="Short Term Acute Care Hospital"/>
    <s v="Houston"/>
    <m/>
    <m/>
    <m/>
    <m/>
    <m/>
    <m/>
    <n v="147"/>
    <m/>
    <n v="957630"/>
    <m/>
  </r>
  <r>
    <x v="2325"/>
    <s v="450424* (Closed)"/>
    <s v="TX"/>
    <s v="TX - Harris"/>
    <n v="77520"/>
    <s v="Houston Methodist San Jacinto Hospital - Alexander Campus (Closed)"/>
    <s v="Short Term Acute Care Hospital"/>
    <s v="Baytown"/>
    <m/>
    <m/>
    <m/>
    <m/>
    <m/>
    <m/>
    <m/>
    <m/>
    <n v="957738"/>
    <m/>
  </r>
  <r>
    <x v="2325"/>
    <m/>
    <s v="TX"/>
    <s v="TX - Harris"/>
    <n v="77090"/>
    <s v="New Life Hospital (Closed)"/>
    <s v="Short Term Acute Care Hospital"/>
    <s v="Houston"/>
    <m/>
    <m/>
    <m/>
    <m/>
    <m/>
    <m/>
    <m/>
    <m/>
    <n v="963470"/>
    <m/>
  </r>
  <r>
    <x v="2325"/>
    <m/>
    <s v="TX"/>
    <s v="TX - Harris"/>
    <n v="77338"/>
    <s v="Townsen Memorial Hospital"/>
    <s v="Short Term Acute Care Hospital"/>
    <s v="Humble"/>
    <m/>
    <m/>
    <m/>
    <m/>
    <m/>
    <m/>
    <m/>
    <m/>
    <n v="975307"/>
    <m/>
  </r>
  <r>
    <x v="2325"/>
    <s v="450018*"/>
    <s v="TX"/>
    <s v="TX - Harris"/>
    <n v="77598"/>
    <s v="UTMB Health Clear Lake Campus Hospital"/>
    <s v="Short Term Acute Care Hospital"/>
    <s v="Webster"/>
    <m/>
    <m/>
    <m/>
    <m/>
    <m/>
    <m/>
    <n v="91"/>
    <m/>
    <n v="994557"/>
    <m/>
  </r>
  <r>
    <x v="2325"/>
    <m/>
    <s v="TX"/>
    <s v="TX - Harris"/>
    <n v="77339"/>
    <s v="Kingwood Emergency Hospital"/>
    <s v="Short Term Acute Care Hospital"/>
    <s v="Kingwood"/>
    <m/>
    <m/>
    <n v="9"/>
    <m/>
    <m/>
    <m/>
    <m/>
    <m/>
    <n v="994606"/>
    <m/>
  </r>
  <r>
    <x v="2325"/>
    <m/>
    <s v="TX"/>
    <s v="TX - Harris"/>
    <n v="77338"/>
    <s v="SE Texas ER &amp; Hospital"/>
    <s v="Short Term Acute Care Hospital"/>
    <s v="Humble"/>
    <m/>
    <m/>
    <m/>
    <m/>
    <m/>
    <m/>
    <m/>
    <m/>
    <n v="1012088"/>
    <m/>
  </r>
  <r>
    <x v="2325"/>
    <m/>
    <s v="TX"/>
    <s v="TX - Harris"/>
    <n v="77027"/>
    <s v="River Oaks Hospital &amp; Clinics"/>
    <s v="Short Term Acute Care Hospital"/>
    <s v="Houston"/>
    <m/>
    <m/>
    <m/>
    <m/>
    <m/>
    <m/>
    <m/>
    <m/>
    <n v="1012365"/>
    <m/>
  </r>
  <r>
    <x v="2325"/>
    <m/>
    <s v="TX"/>
    <s v="TX - Harris"/>
    <n v="77505"/>
    <s v="Assurance Health Pasadena"/>
    <s v="Short Term Acute Care Hospital"/>
    <s v="Pasadena"/>
    <m/>
    <m/>
    <m/>
    <m/>
    <m/>
    <m/>
    <n v="23"/>
    <m/>
    <n v="976110"/>
    <m/>
  </r>
  <r>
    <x v="2325"/>
    <n v="670129"/>
    <s v="TX"/>
    <s v="TX - Harris"/>
    <n v="77008"/>
    <s v="Cobalt Rehabilitation Hospital Houston Heights"/>
    <s v="Short Term Acute Care Hospital"/>
    <s v="Houston"/>
    <m/>
    <m/>
    <n v="1"/>
    <m/>
    <m/>
    <m/>
    <m/>
    <m/>
    <n v="1010557"/>
    <m/>
  </r>
  <r>
    <x v="2325"/>
    <s v="670065 (Closed)"/>
    <s v="TX"/>
    <s v="TX - Harris"/>
    <n v="77077"/>
    <s v="Saint Michaels Hospital (Closed)"/>
    <s v="Short Term Acute Care Hospital"/>
    <s v="Houston"/>
    <n v="7.6"/>
    <n v="24.5"/>
    <m/>
    <m/>
    <m/>
    <n v="7.0000000000000007E-2"/>
    <m/>
    <m/>
    <n v="552495"/>
    <n v="113"/>
  </r>
  <r>
    <x v="2325"/>
    <n v="670102"/>
    <s v="TX"/>
    <s v="TX - Harris"/>
    <n v="77015"/>
    <s v="Advanced Diagnostics Hospital East (FKA Victory Surgical Hospital East Houston)"/>
    <s v="Short Term Acute Care Hospital"/>
    <s v="Houston"/>
    <n v="3.4"/>
    <n v="2.7"/>
    <n v="63"/>
    <n v="4"/>
    <m/>
    <n v="7.0000000000000007E-2"/>
    <n v="4"/>
    <n v="1.66"/>
    <n v="575811"/>
    <n v="468"/>
  </r>
  <r>
    <x v="2325"/>
    <s v="670105 (Closed)"/>
    <s v="TX"/>
    <s v="TX - Harris"/>
    <n v="77004"/>
    <s v="Hermann Drive Surgical Hospital (FKA Victory Medical Center Houston) (Closed)"/>
    <s v="Short Term Acute Care Hospital"/>
    <s v="Houston"/>
    <n v="2.5"/>
    <n v="2"/>
    <m/>
    <m/>
    <m/>
    <n v="7.0000000000000007E-2"/>
    <m/>
    <m/>
    <n v="575804"/>
    <n v="459"/>
  </r>
  <r>
    <x v="2325"/>
    <m/>
    <s v="TX"/>
    <s v="TX - Harris"/>
    <n v="77055"/>
    <s v="Trinity Hospital"/>
    <s v="Short Term Acute Care Hospital"/>
    <s v="Houston"/>
    <m/>
    <m/>
    <n v="2"/>
    <m/>
    <m/>
    <m/>
    <m/>
    <m/>
    <n v="973028"/>
    <m/>
  </r>
  <r>
    <x v="2325"/>
    <n v="670008"/>
    <s v="TX"/>
    <s v="TX - Harris"/>
    <n v="77598"/>
    <s v="Houston Physicians Hospital"/>
    <s v="Short Term Acute Care Hospital"/>
    <s v="Webster"/>
    <n v="4.3"/>
    <n v="2.2000000000000002"/>
    <n v="90"/>
    <n v="21"/>
    <m/>
    <n v="7.0000000000000007E-2"/>
    <n v="21"/>
    <n v="2.31"/>
    <n v="4028"/>
    <n v="701"/>
  </r>
  <r>
    <x v="2326"/>
    <n v="450032"/>
    <s v="TX"/>
    <s v="TX - Harrison"/>
    <n v="75670"/>
    <s v="CHRISTUS Good Shepherd Medical Center - Marshall"/>
    <s v="Short Term Acute Care Hospital"/>
    <s v="Marshall"/>
    <n v="181.3"/>
    <n v="3.6"/>
    <n v="307"/>
    <n v="336"/>
    <n v="42"/>
    <n v="0.31"/>
    <n v="149"/>
    <n v="1.66"/>
    <n v="4029"/>
    <n v="18634"/>
  </r>
  <r>
    <x v="2327"/>
    <n v="450272"/>
    <s v="TX"/>
    <s v="TX - Hays"/>
    <n v="78666"/>
    <s v="CHRISTUS Health Santa Rosa Hospital - San Marcos (FKA Central Texas Medical Center)"/>
    <s v="Short Term Acute Care Hospital"/>
    <s v="San Marcos"/>
    <n v="31.1"/>
    <n v="3.6"/>
    <n v="155"/>
    <n v="157"/>
    <n v="10"/>
    <n v="0.09"/>
    <n v="157"/>
    <n v="1.41"/>
    <n v="4030"/>
    <n v="3636"/>
  </r>
  <r>
    <x v="2327"/>
    <n v="670056"/>
    <s v="TX"/>
    <s v="TX - Hays"/>
    <n v="78640"/>
    <s v="Ascension Seton Hays (FKA Seton Medical Center Hays)"/>
    <s v="Short Term Acute Care Hospital"/>
    <s v="Kyle"/>
    <n v="89.8"/>
    <n v="4.4000000000000004"/>
    <n v="138"/>
    <n v="142"/>
    <n v="32"/>
    <n v="0.09"/>
    <n v="142"/>
    <n v="1.81"/>
    <n v="4031"/>
    <n v="7947"/>
  </r>
  <r>
    <x v="2327"/>
    <n v="450865"/>
    <s v="TX"/>
    <s v="TX - Hays"/>
    <n v="78737"/>
    <s v="Ascension Seton Southwest (FKA Seton Southwest Hospital)"/>
    <s v="Short Term Acute Care Hospital"/>
    <s v="Austin"/>
    <n v="1.6"/>
    <n v="2.7"/>
    <n v="23"/>
    <n v="28"/>
    <m/>
    <n v="0.09"/>
    <n v="28"/>
    <n v="2.12"/>
    <n v="4162"/>
    <n v="241"/>
  </r>
  <r>
    <x v="2327"/>
    <m/>
    <s v="TX"/>
    <s v="TX - Hays"/>
    <n v="78640"/>
    <s v="Kyle ER &amp; Hospital"/>
    <s v="Short Term Acute Care Hospital"/>
    <s v="Kyle"/>
    <m/>
    <m/>
    <m/>
    <m/>
    <m/>
    <m/>
    <m/>
    <m/>
    <n v="1011460"/>
    <m/>
  </r>
  <r>
    <x v="2327"/>
    <n v="670131"/>
    <s v="TX"/>
    <s v="TX - Hays"/>
    <n v="78610"/>
    <s v="Baylor Scott &amp; White - Buda Medical Center"/>
    <s v="Short Term Acute Care Hospital"/>
    <s v="Buda"/>
    <m/>
    <m/>
    <n v="3"/>
    <m/>
    <m/>
    <m/>
    <m/>
    <m/>
    <n v="963800"/>
    <m/>
  </r>
  <r>
    <x v="2328"/>
    <n v="450578"/>
    <s v="TX"/>
    <s v="TX - Hemphill"/>
    <n v="79014"/>
    <s v="Hemphill County Hospital"/>
    <s v="Short Term Acute Care Hospital"/>
    <s v="Canadian"/>
    <n v="2.9"/>
    <n v="5.3"/>
    <n v="10"/>
    <n v="15"/>
    <m/>
    <m/>
    <n v="15"/>
    <n v="0.9"/>
    <n v="4032"/>
    <n v="200"/>
  </r>
  <r>
    <x v="2329"/>
    <n v="450389"/>
    <s v="TX"/>
    <s v="TX - Henderson"/>
    <n v="75751"/>
    <s v="UT Health Athens (FKA East Texas Medical Center - Athens)"/>
    <s v="Short Term Acute Care Hospital"/>
    <s v="Athens"/>
    <n v="45.4"/>
    <n v="3.1"/>
    <n v="126"/>
    <n v="127"/>
    <n v="10"/>
    <n v="1"/>
    <n v="127"/>
    <n v="1.27"/>
    <n v="4033"/>
    <n v="5862"/>
  </r>
  <r>
    <x v="2330"/>
    <n v="450176"/>
    <s v="TX"/>
    <s v="TX - Hidalgo"/>
    <n v="78572"/>
    <s v="Mission Regional Medical Center"/>
    <s v="Short Term Acute Care Hospital"/>
    <s v="Mission"/>
    <n v="100.4"/>
    <n v="4.5"/>
    <n v="77"/>
    <n v="270"/>
    <n v="16"/>
    <n v="0.28999999999999998"/>
    <n v="270"/>
    <n v="1.67"/>
    <n v="4034"/>
    <n v="8654"/>
  </r>
  <r>
    <x v="2330"/>
    <n v="450128"/>
    <s v="TX"/>
    <s v="TX - Hidalgo"/>
    <n v="78596"/>
    <s v="Knapp Medical Center"/>
    <s v="Short Term Acute Care Hospital"/>
    <s v="Weslaco"/>
    <n v="89.4"/>
    <n v="4.2"/>
    <n v="104"/>
    <n v="186"/>
    <n v="16"/>
    <n v="0.28999999999999998"/>
    <n v="186"/>
    <n v="1.59"/>
    <n v="4035"/>
    <n v="8523"/>
  </r>
  <r>
    <x v="2330"/>
    <n v="450119"/>
    <s v="TX"/>
    <s v="TX - Hidalgo"/>
    <n v="78539"/>
    <s v="South Texas Health System Edinburg (FKA Edinburg Regional Medical Center)"/>
    <s v="Short Term Acute Care Hospital"/>
    <s v="Edinburg"/>
    <n v="353.4"/>
    <n v="4.8"/>
    <n v="403"/>
    <n v="788"/>
    <n v="81"/>
    <n v="0.28999999999999998"/>
    <n v="76"/>
    <n v="1.64"/>
    <n v="4036"/>
    <n v="25903"/>
  </r>
  <r>
    <x v="2330"/>
    <n v="450711"/>
    <s v="TX"/>
    <s v="TX - Hidalgo"/>
    <n v="78503"/>
    <s v="Rio Grande Regional Hospital"/>
    <s v="Short Term Acute Care Hospital"/>
    <s v="McAllen"/>
    <n v="180.7"/>
    <n v="4.5"/>
    <n v="212"/>
    <n v="320"/>
    <n v="40"/>
    <n v="0.28999999999999998"/>
    <n v="320"/>
    <n v="1.63"/>
    <n v="4037"/>
    <n v="15201"/>
  </r>
  <r>
    <x v="2330"/>
    <n v="450825"/>
    <s v="TX"/>
    <s v="TX - Hidalgo"/>
    <n v="78539"/>
    <s v="Cornerstone Regional Hospital"/>
    <s v="Short Term Acute Care Hospital"/>
    <s v="Edinburg"/>
    <n v="2.7"/>
    <n v="2"/>
    <n v="12"/>
    <n v="14"/>
    <m/>
    <n v="0.28999999999999998"/>
    <n v="14"/>
    <n v="2.2000000000000002"/>
    <n v="4038"/>
    <n v="490"/>
  </r>
  <r>
    <x v="2330"/>
    <n v="450869"/>
    <s v="TX"/>
    <s v="TX - Hidalgo"/>
    <n v="78539"/>
    <s v="Doctors Hospital at Renaissance Health (AKA DHR Health)"/>
    <s v="Short Term Acute Care Hospital"/>
    <s v="Edinburg"/>
    <n v="300.2"/>
    <n v="4.7"/>
    <n v="773"/>
    <n v="394"/>
    <n v="58"/>
    <n v="0.28999999999999998"/>
    <n v="235"/>
    <n v="2.0499999999999998"/>
    <n v="4039"/>
    <n v="25921"/>
  </r>
  <r>
    <x v="2330"/>
    <s v="450119*"/>
    <s v="TX"/>
    <s v="TX - Hidalgo"/>
    <n v="78503"/>
    <s v="South Texas Health System McAllen (FKA McAllen Medical Center)"/>
    <s v="Short Term Acute Care Hospital"/>
    <s v="McAllen"/>
    <m/>
    <m/>
    <n v="5"/>
    <m/>
    <m/>
    <m/>
    <n v="441"/>
    <m/>
    <n v="550006"/>
    <m/>
  </r>
  <r>
    <x v="2330"/>
    <s v="450119*"/>
    <s v="TX"/>
    <s v="TX - Hidalgo"/>
    <n v="78503"/>
    <s v="South Texas Health System Heart (FKA McAllen Heart Hospital)"/>
    <s v="Short Term Acute Care Hospital"/>
    <s v="McAllen"/>
    <m/>
    <m/>
    <m/>
    <m/>
    <m/>
    <m/>
    <n v="60"/>
    <m/>
    <n v="550007"/>
    <m/>
  </r>
  <r>
    <x v="2330"/>
    <s v="450869*"/>
    <s v="TX"/>
    <s v="TX - Hidalgo"/>
    <n v="78539"/>
    <s v="DHR Health Womens Hospital"/>
    <s v="Short Term Acute Care Hospital"/>
    <s v="Edinburg"/>
    <m/>
    <m/>
    <n v="24"/>
    <m/>
    <m/>
    <m/>
    <n v="151"/>
    <m/>
    <n v="841703"/>
    <m/>
  </r>
  <r>
    <x v="2330"/>
    <m/>
    <s v="TX"/>
    <s v="TX - Hidalgo"/>
    <n v="78596"/>
    <s v="Valley Baptist Micro-Hospital - Weslaco"/>
    <s v="Short Term Acute Care Hospital"/>
    <s v="Weslaco"/>
    <m/>
    <m/>
    <m/>
    <m/>
    <m/>
    <m/>
    <m/>
    <m/>
    <n v="1009803"/>
    <m/>
  </r>
  <r>
    <x v="1013"/>
    <s v="450270 (Closed)"/>
    <s v="TX"/>
    <s v="TX - Hill"/>
    <n v="76692"/>
    <s v="Lake Whitney Medical Center (Closed April 2014)"/>
    <s v="Short Term Acute Care Hospital"/>
    <s v="Whitney"/>
    <n v="6.8"/>
    <n v="3.1"/>
    <m/>
    <m/>
    <m/>
    <m/>
    <m/>
    <m/>
    <n v="4041"/>
    <n v="800"/>
  </r>
  <r>
    <x v="2331"/>
    <n v="450755"/>
    <s v="TX"/>
    <s v="TX - Hockley"/>
    <n v="79336"/>
    <s v="Covenant Health Levelland (FKA Cook Memorial Hospital)"/>
    <s v="Short Term Acute Care Hospital"/>
    <s v="Levelland"/>
    <n v="5.8"/>
    <n v="3.4"/>
    <n v="25"/>
    <n v="48"/>
    <m/>
    <n v="1"/>
    <n v="48"/>
    <n v="1.22"/>
    <n v="4042"/>
    <n v="751"/>
  </r>
  <r>
    <x v="2332"/>
    <n v="450596"/>
    <s v="TX"/>
    <s v="TX - Hood"/>
    <n v="76048"/>
    <s v="Lake Granbury Medical Center"/>
    <s v="Short Term Acute Care Hospital"/>
    <s v="Granbury"/>
    <n v="30"/>
    <n v="3.6"/>
    <n v="121"/>
    <n v="48"/>
    <n v="12"/>
    <n v="1"/>
    <n v="48"/>
    <n v="1.57"/>
    <n v="4043"/>
    <n v="3245"/>
  </r>
  <r>
    <x v="2333"/>
    <n v="450236"/>
    <s v="TX"/>
    <s v="TX - Hopkins"/>
    <n v="75482"/>
    <s v="CHRISTUS Mother Frances Hospital - Sulphur Springs (FKA Hopkins County Memorial Hospital)"/>
    <s v="Short Term Acute Care Hospital"/>
    <s v="Sulphur Springs"/>
    <n v="24.3"/>
    <n v="3.6"/>
    <n v="87"/>
    <n v="56"/>
    <n v="14"/>
    <n v="1"/>
    <n v="56"/>
    <n v="1.48"/>
    <n v="4044"/>
    <n v="2825"/>
  </r>
  <r>
    <x v="1014"/>
    <s v="450580 (Closed)"/>
    <s v="TX"/>
    <s v="TX - Houston"/>
    <n v="75835"/>
    <s v="Timberlands Hospital (FKA Houston County Medical Center - Closed)"/>
    <s v="Short Term Acute Care Hospital"/>
    <s v="Crockett"/>
    <n v="4.9000000000000004"/>
    <n v="2.7"/>
    <m/>
    <m/>
    <m/>
    <m/>
    <m/>
    <m/>
    <n v="4045"/>
    <n v="763"/>
  </r>
  <r>
    <x v="2334"/>
    <n v="450653"/>
    <s v="TX"/>
    <s v="TX - Howard"/>
    <n v="79720"/>
    <s v="Scenic Mountain Medical Center"/>
    <s v="Short Term Acute Care Hospital"/>
    <s v="Big Spring"/>
    <n v="17.3"/>
    <n v="2.7"/>
    <n v="50"/>
    <n v="75"/>
    <n v="8"/>
    <n v="1"/>
    <n v="75"/>
    <n v="1.25"/>
    <n v="4046"/>
    <n v="2469"/>
  </r>
  <r>
    <x v="1015"/>
    <n v="450352"/>
    <s v="TX"/>
    <s v="TX - Hunt"/>
    <n v="75401"/>
    <s v="Hunt Regional Medical Center"/>
    <s v="Short Term Acute Care Hospital"/>
    <s v="Greenville"/>
    <n v="69.599999999999994"/>
    <n v="4.9000000000000004"/>
    <n v="305"/>
    <n v="122"/>
    <n v="16"/>
    <n v="0.03"/>
    <n v="122"/>
    <n v="1.39"/>
    <n v="4049"/>
    <n v="5624"/>
  </r>
  <r>
    <x v="2335"/>
    <n v="450241"/>
    <s v="TX"/>
    <s v="TX - Jack"/>
    <n v="76458"/>
    <s v="Faith Community Hospital"/>
    <s v="Short Term Acute Care Hospital"/>
    <s v="Jacksboro"/>
    <n v="3.4"/>
    <n v="5.7"/>
    <n v="27"/>
    <n v="17"/>
    <m/>
    <m/>
    <n v="17"/>
    <n v="1.08"/>
    <n v="4051"/>
    <n v="239"/>
  </r>
  <r>
    <x v="2336"/>
    <n v="450573"/>
    <s v="TX"/>
    <s v="TX - Jasper"/>
    <n v="75951"/>
    <s v="CHRISTUS Southeast Texas Jasper Memorial"/>
    <s v="Short Term Acute Care Hospital"/>
    <s v="Jasper"/>
    <n v="4.8"/>
    <n v="3.1"/>
    <n v="53"/>
    <n v="40"/>
    <n v="6"/>
    <m/>
    <n v="40"/>
    <n v="1.08"/>
    <n v="4052"/>
    <n v="726"/>
  </r>
  <r>
    <x v="2337"/>
    <n v="450346"/>
    <s v="TX"/>
    <s v="TX - Jefferson"/>
    <n v="77701"/>
    <s v="Baptist Hospitals of Southeast Texas - Beaumont"/>
    <s v="Short Term Acute Care Hospital"/>
    <s v="Beaumont"/>
    <n v="170.9"/>
    <n v="4.5"/>
    <n v="248"/>
    <n v="370"/>
    <n v="25"/>
    <n v="0.34"/>
    <n v="370"/>
    <n v="1.6"/>
    <n v="4053"/>
    <n v="14360"/>
  </r>
  <r>
    <x v="2337"/>
    <n v="450518"/>
    <s v="TX"/>
    <s v="TX - Jefferson"/>
    <n v="77640"/>
    <s v="The Medical Center of Southeast Texas"/>
    <s v="Short Term Acute Care Hospital"/>
    <s v="Port Arthur"/>
    <n v="83.5"/>
    <n v="4.4000000000000004"/>
    <n v="183"/>
    <n v="185"/>
    <n v="24"/>
    <n v="0.34"/>
    <n v="185"/>
    <n v="1.59"/>
    <n v="4054"/>
    <n v="7687"/>
  </r>
  <r>
    <x v="2337"/>
    <s v="450123 (Closed)"/>
    <s v="TX"/>
    <s v="TX - Jefferson"/>
    <n v="77619"/>
    <s v="Renaissance Hospital Groves (Closed April 2013)"/>
    <s v="Short Term Acute Care Hospital"/>
    <s v="Groves"/>
    <n v="11"/>
    <n v="5.2"/>
    <m/>
    <m/>
    <m/>
    <n v="0.34"/>
    <m/>
    <m/>
    <n v="4055"/>
    <n v="771"/>
  </r>
  <r>
    <x v="2337"/>
    <n v="450034"/>
    <s v="TX"/>
    <s v="TX - Jefferson"/>
    <n v="77702"/>
    <s v="CHRISTUS Southeast Texas - St Elizabeth"/>
    <s v="Short Term Acute Care Hospital"/>
    <s v="Beaumont"/>
    <n v="182.8"/>
    <n v="4.3"/>
    <n v="305"/>
    <n v="370"/>
    <n v="39"/>
    <n v="0.34"/>
    <n v="370"/>
    <n v="1.69"/>
    <n v="4056"/>
    <n v="16212"/>
  </r>
  <r>
    <x v="2337"/>
    <s v="450034* (Closed)"/>
    <s v="TX"/>
    <s v="TX - Jefferson"/>
    <n v="77707"/>
    <s v="CHRISTUS Southeast Texas Orthopedic Institute - Beaumont (FKA Beaumont Bone and Joint Hospital - Closed No Longer Offers Inpatient Services)"/>
    <s v="Short Term Acute Care Hospital"/>
    <s v="Beaumont"/>
    <m/>
    <m/>
    <m/>
    <m/>
    <m/>
    <m/>
    <m/>
    <m/>
    <n v="6336"/>
    <m/>
  </r>
  <r>
    <x v="2337"/>
    <s v="450034* (Closed)"/>
    <s v="TX"/>
    <s v="TX - Jefferson"/>
    <n v="77642"/>
    <s v="CHRISTUS Southeast Texas St Mary (Closed)"/>
    <s v="Short Term Acute Care Hospital"/>
    <s v="Port Arthur"/>
    <m/>
    <m/>
    <m/>
    <m/>
    <m/>
    <m/>
    <m/>
    <m/>
    <n v="553419"/>
    <m/>
  </r>
  <r>
    <x v="2337"/>
    <m/>
    <s v="TX"/>
    <s v="TX - Jefferson"/>
    <n v="77706"/>
    <s v="The Medical Center of Southeast Texas Beaumont Campus"/>
    <s v="Short Term Acute Care Hospital"/>
    <s v="Beaumont"/>
    <m/>
    <m/>
    <n v="3"/>
    <m/>
    <m/>
    <m/>
    <m/>
    <m/>
    <n v="575802"/>
    <m/>
  </r>
  <r>
    <x v="2338"/>
    <n v="450828"/>
    <s v="TX"/>
    <s v="TX - Jim Wells"/>
    <n v="78332"/>
    <s v="CHRISTUS Spohn Hospital Alice"/>
    <s v="Short Term Acute Care Hospital"/>
    <s v="Alice"/>
    <n v="20.7"/>
    <n v="3.4"/>
    <n v="46"/>
    <n v="72"/>
    <n v="8"/>
    <n v="1"/>
    <n v="72"/>
    <n v="1.26"/>
    <n v="4057"/>
    <n v="2255"/>
  </r>
  <r>
    <x v="2339"/>
    <n v="450148"/>
    <s v="TX"/>
    <s v="TX - Johnson"/>
    <n v="76033"/>
    <s v="Texas Health Cleburne (FKA Texas Health Harris Methodist Hospital Cleburne)"/>
    <s v="Short Term Acute Care Hospital"/>
    <s v="Cleburne"/>
    <n v="23.6"/>
    <n v="2.5"/>
    <n v="87"/>
    <n v="92"/>
    <n v="7"/>
    <n v="0.03"/>
    <n v="92"/>
    <n v="1.38"/>
    <n v="4058"/>
    <n v="3680"/>
  </r>
  <r>
    <x v="2339"/>
    <n v="450677"/>
    <s v="TX"/>
    <s v="TX - Johnson"/>
    <n v="76028"/>
    <s v="Texas Health Huguley Hospital Fort Worth South (FKA Huguley Memorial Medical Center)"/>
    <s v="Short Term Acute Care Hospital"/>
    <s v="Burleson"/>
    <n v="125.8"/>
    <n v="4.5999999999999996"/>
    <n v="180"/>
    <n v="213"/>
    <n v="28"/>
    <n v="0.03"/>
    <n v="213"/>
    <n v="1.66"/>
    <n v="4138"/>
    <n v="10669"/>
  </r>
  <r>
    <x v="2339"/>
    <n v="670107"/>
    <s v="TX"/>
    <s v="TX - Johnson"/>
    <n v="76028"/>
    <s v="Baylor Scott &amp; White Emergency Hospital - Burleson"/>
    <s v="Short Term Acute Care Hospital"/>
    <s v="Burleson"/>
    <n v="2"/>
    <n v="1.8"/>
    <n v="21"/>
    <n v="24"/>
    <m/>
    <n v="0.03"/>
    <n v="24"/>
    <n v="0.9"/>
    <n v="764508"/>
    <n v="423"/>
  </r>
  <r>
    <x v="2340"/>
    <n v="450078"/>
    <s v="TX"/>
    <s v="TX - Jones"/>
    <n v="79501"/>
    <s v="Anson General Hospital"/>
    <s v="Short Term Acute Care Hospital"/>
    <s v="Anson"/>
    <n v="5"/>
    <n v="6.1"/>
    <n v="7"/>
    <n v="7"/>
    <m/>
    <n v="0.51"/>
    <n v="7"/>
    <n v="0.94"/>
    <n v="4059"/>
    <n v="302"/>
  </r>
  <r>
    <x v="2340"/>
    <s v="450306 (Closed)"/>
    <s v="TX"/>
    <s v="TX - Jones"/>
    <n v="79553"/>
    <s v="Stamford Memorial Hospital (Closed - No Longer Offers Inpatient Services)"/>
    <s v="Short Term Acute Care Hospital"/>
    <s v="Stamford"/>
    <n v="0.6"/>
    <n v="3"/>
    <m/>
    <m/>
    <m/>
    <m/>
    <m/>
    <n v="0.93"/>
    <n v="4060"/>
    <n v="69"/>
  </r>
  <r>
    <x v="2340"/>
    <s v="450243 (Closed)"/>
    <s v="TX"/>
    <s v="TX - Jones"/>
    <n v="79520"/>
    <s v="Hamlin Memorial Hospital (Closed)"/>
    <s v="Short Term Acute Care Hospital"/>
    <s v="Hamlin"/>
    <n v="1.1000000000000001"/>
    <n v="4.8"/>
    <m/>
    <m/>
    <m/>
    <n v="0.51"/>
    <m/>
    <n v="0.89"/>
    <n v="4061"/>
    <n v="88"/>
  </r>
  <r>
    <x v="2341"/>
    <s v="450683 (Closed)"/>
    <s v="TX"/>
    <s v="TX - Kaufman"/>
    <n v="75160"/>
    <s v="Renaissance Hospital Terrell (Closed February 2013)"/>
    <s v="Short Term Acute Care Hospital"/>
    <s v="Terrell"/>
    <n v="9.9"/>
    <n v="3"/>
    <m/>
    <m/>
    <m/>
    <n v="0.03"/>
    <m/>
    <m/>
    <n v="4063"/>
    <n v="1240"/>
  </r>
  <r>
    <x v="2341"/>
    <n v="450292"/>
    <s v="TX"/>
    <s v="TX - Kaufman"/>
    <n v="75142"/>
    <s v="Texas Health Kaufman (FKA Texas Health Presbyterian Hospital Kaufman)"/>
    <s v="Short Term Acute Care Hospital"/>
    <s v="Kaufman"/>
    <n v="10"/>
    <n v="2.7"/>
    <n v="41"/>
    <n v="63"/>
    <n v="8"/>
    <n v="0.03"/>
    <n v="63"/>
    <n v="1.22"/>
    <n v="4064"/>
    <n v="1343"/>
  </r>
  <r>
    <x v="2342"/>
    <n v="450007"/>
    <s v="TX"/>
    <s v="TX - Kerr"/>
    <n v="78028"/>
    <s v="Peterson Regional Medical Center"/>
    <s v="Short Term Acute Care Hospital"/>
    <s v="Kerrville"/>
    <n v="29.1"/>
    <n v="3.2"/>
    <n v="234"/>
    <n v="84"/>
    <n v="12"/>
    <n v="1"/>
    <n v="84"/>
    <n v="1.53"/>
    <n v="4065"/>
    <n v="3497"/>
  </r>
  <r>
    <x v="2343"/>
    <n v="450163"/>
    <s v="TX"/>
    <s v="TX - Kleberg"/>
    <n v="78363"/>
    <s v="CHRISTUS Spohn Hospital Kleberg"/>
    <s v="Short Term Acute Care Hospital"/>
    <s v="Kingsville"/>
    <n v="26.8"/>
    <n v="3.9"/>
    <n v="44"/>
    <n v="50"/>
    <n v="10"/>
    <n v="1"/>
    <n v="50"/>
    <n v="1.18"/>
    <n v="4066"/>
    <n v="2625"/>
  </r>
  <r>
    <x v="2344"/>
    <n v="450746"/>
    <s v="TX"/>
    <s v="TX - Knox"/>
    <n v="79529"/>
    <s v="Knox County Hospital"/>
    <s v="Short Term Acute Care Hospital"/>
    <s v="Knox City"/>
    <n v="1.1000000000000001"/>
    <n v="4.2"/>
    <n v="26"/>
    <n v="28"/>
    <m/>
    <m/>
    <n v="28"/>
    <n v="0.99"/>
    <n v="4067"/>
    <n v="97"/>
  </r>
  <r>
    <x v="2345"/>
    <n v="450196"/>
    <s v="TX"/>
    <s v="TX - Lamar"/>
    <n v="75460"/>
    <s v="Paris Regional Medical Center"/>
    <s v="Short Term Acute Care Hospital"/>
    <s v="Paris"/>
    <n v="55"/>
    <n v="3.2"/>
    <n v="157"/>
    <n v="230"/>
    <n v="20"/>
    <n v="1"/>
    <n v="154"/>
    <n v="1.56"/>
    <n v="4068"/>
    <n v="6611"/>
  </r>
  <r>
    <x v="2345"/>
    <s v="450196* (Closed)"/>
    <s v="TX"/>
    <s v="TX - Lamar"/>
    <n v="75460"/>
    <s v="Paris Regional Medical Center - South Campus (Closed)"/>
    <s v="Short Term Acute Care Hospital"/>
    <s v="Paris"/>
    <m/>
    <m/>
    <m/>
    <m/>
    <m/>
    <m/>
    <m/>
    <m/>
    <n v="577623"/>
    <m/>
  </r>
  <r>
    <x v="2346"/>
    <n v="450698"/>
    <s v="TX"/>
    <s v="TX - Lamb"/>
    <n v="79339"/>
    <s v="Lamb Healthcare Center"/>
    <s v="Short Term Acute Care Hospital"/>
    <s v="Littlefield"/>
    <n v="2.2000000000000002"/>
    <n v="3.6"/>
    <n v="14"/>
    <n v="42"/>
    <m/>
    <m/>
    <n v="42"/>
    <n v="0.92"/>
    <n v="4069"/>
    <n v="269"/>
  </r>
  <r>
    <x v="1022"/>
    <s v="450296 (Closed)"/>
    <s v="TX"/>
    <s v="TX - Liberty"/>
    <n v="77327"/>
    <s v="Cleveland Regional Medical Center (Closed August 2014)"/>
    <s v="Short Term Acute Care Hospital"/>
    <s v="Cleveland"/>
    <n v="47.6"/>
    <n v="1"/>
    <m/>
    <m/>
    <m/>
    <n v="7.0000000000000007E-2"/>
    <m/>
    <m/>
    <n v="4072"/>
    <n v="17128"/>
  </r>
  <r>
    <x v="1022"/>
    <s v="670018 (Closed)"/>
    <s v="TX"/>
    <s v="TX - Liberty"/>
    <n v="77327"/>
    <s v="Doctors Diagnostic Hospital (Closed Aug 2014)"/>
    <s v="Short Term Acute Care Hospital"/>
    <s v="Cleveland"/>
    <n v="3.2"/>
    <n v="4.0999999999999996"/>
    <m/>
    <m/>
    <m/>
    <n v="7.0000000000000007E-2"/>
    <m/>
    <m/>
    <n v="4073"/>
    <n v="280"/>
  </r>
  <r>
    <x v="1022"/>
    <n v="670115"/>
    <s v="TX"/>
    <s v="TX - Liberty"/>
    <n v="77327"/>
    <s v="Cleveland Emergency Hospital"/>
    <s v="Short Term Acute Care Hospital"/>
    <s v="Cleveland"/>
    <n v="1.5"/>
    <n v="4"/>
    <n v="34"/>
    <n v="16"/>
    <m/>
    <n v="7.0000000000000007E-2"/>
    <n v="16"/>
    <n v="1.26"/>
    <n v="868530"/>
    <n v="67"/>
  </r>
  <r>
    <x v="1022"/>
    <m/>
    <s v="TX"/>
    <s v="TX - Liberty"/>
    <n v="77327"/>
    <s v="Texas Emergency Hospital"/>
    <s v="Short Term Acute Care Hospital"/>
    <s v="Cleveland"/>
    <m/>
    <m/>
    <m/>
    <m/>
    <m/>
    <m/>
    <m/>
    <m/>
    <n v="941228"/>
    <m/>
  </r>
  <r>
    <x v="1023"/>
    <n v="450400"/>
    <s v="TX"/>
    <s v="TX - Limestone"/>
    <n v="76667"/>
    <s v="Parkview Regional Hospital"/>
    <s v="Short Term Acute Care Hospital"/>
    <s v="Mexia"/>
    <n v="4.7"/>
    <n v="3.3"/>
    <n v="29"/>
    <n v="49"/>
    <n v="6"/>
    <m/>
    <n v="49"/>
    <n v="1.38"/>
    <n v="4074"/>
    <n v="523"/>
  </r>
  <r>
    <x v="2347"/>
    <n v="450219"/>
    <s v="TX"/>
    <s v="TX - Llano"/>
    <n v="78643"/>
    <s v="Baylor Scott &amp; White Medical Center - Llano"/>
    <s v="Short Term Acute Care Hospital"/>
    <s v="Llano"/>
    <n v="1.4"/>
    <n v="2.9"/>
    <n v="9"/>
    <n v="25"/>
    <m/>
    <m/>
    <n v="25"/>
    <n v="1.06"/>
    <n v="4076"/>
    <n v="181"/>
  </r>
  <r>
    <x v="2348"/>
    <n v="450162"/>
    <s v="TX"/>
    <s v="TX - Lubbock"/>
    <n v="79412"/>
    <s v="Grace Medical Center (AKA Grace Health System)"/>
    <s v="Short Term Acute Care Hospital"/>
    <s v="Lubbock"/>
    <n v="7.7"/>
    <n v="2.6"/>
    <n v="82"/>
    <n v="92"/>
    <n v="7"/>
    <n v="0.28000000000000003"/>
    <n v="92"/>
    <n v="2.59"/>
    <n v="4077"/>
    <n v="1064"/>
  </r>
  <r>
    <x v="2348"/>
    <n v="450040"/>
    <s v="TX"/>
    <s v="TX - Lubbock"/>
    <n v="79410"/>
    <s v="Covenant Medical Center"/>
    <s v="Short Term Acute Care Hospital"/>
    <s v="Lubbock"/>
    <n v="273.2"/>
    <n v="5.5"/>
    <n v="413"/>
    <n v="380"/>
    <n v="48"/>
    <n v="0.28000000000000003"/>
    <n v="380"/>
    <n v="2.0299999999999998"/>
    <n v="4078"/>
    <n v="18153"/>
  </r>
  <r>
    <x v="2348"/>
    <n v="450876"/>
    <s v="TX"/>
    <s v="TX - Lubbock"/>
    <n v="79416"/>
    <s v="Lubbock Heart &amp; Surgical Hospital"/>
    <s v="Short Term Acute Care Hospital"/>
    <s v="Lubbock"/>
    <n v="24.1"/>
    <n v="3.4"/>
    <n v="61"/>
    <n v="73"/>
    <n v="15"/>
    <n v="0.28000000000000003"/>
    <n v="73"/>
    <n v="2.02"/>
    <n v="4079"/>
    <n v="2595"/>
  </r>
  <r>
    <x v="2348"/>
    <n v="450686"/>
    <s v="TX"/>
    <s v="TX - Lubbock"/>
    <n v="79415"/>
    <s v="University Medical Center (AKA UMC)"/>
    <s v="Short Term Acute Care Hospital"/>
    <s v="Lubbock"/>
    <n v="323.7"/>
    <n v="5.8"/>
    <n v="498"/>
    <n v="476"/>
    <n v="104"/>
    <n v="0.28000000000000003"/>
    <n v="476"/>
    <n v="2.15"/>
    <n v="4080"/>
    <n v="20784"/>
  </r>
  <r>
    <x v="2348"/>
    <s v="450040*"/>
    <s v="TX"/>
    <s v="TX - Lubbock"/>
    <n v="79410"/>
    <s v="Covenant Medical Center - Lakeside Campus (AKA Covenant Womens Hospital)"/>
    <s v="Short Term Acute Care Hospital"/>
    <s v="Lubbock"/>
    <m/>
    <m/>
    <m/>
    <m/>
    <m/>
    <m/>
    <n v="275"/>
    <m/>
    <n v="553401"/>
    <m/>
  </r>
  <r>
    <x v="2348"/>
    <m/>
    <s v="TX"/>
    <s v="TX - Lubbock"/>
    <n v="79404"/>
    <s v="Western Regional Medical Facility - John Montford Unit"/>
    <s v="Short Term Acute Care Hospital"/>
    <s v="Lubbock"/>
    <m/>
    <m/>
    <m/>
    <m/>
    <m/>
    <m/>
    <n v="550"/>
    <m/>
    <n v="581777"/>
    <m/>
  </r>
  <r>
    <x v="2349"/>
    <n v="450042"/>
    <s v="TX"/>
    <s v="TX - Mclennan"/>
    <n v="76712"/>
    <s v="Ascension Providence"/>
    <s v="Short Term Acute Care Hospital"/>
    <s v="Waco"/>
    <n v="161.4"/>
    <n v="4.0999999999999996"/>
    <n v="385"/>
    <n v="225"/>
    <n v="30"/>
    <n v="0.49"/>
    <n v="225"/>
    <n v="1.71"/>
    <n v="4082"/>
    <n v="14985"/>
  </r>
  <r>
    <x v="2349"/>
    <n v="450101"/>
    <s v="TX"/>
    <s v="TX - Mclennan"/>
    <n v="76712"/>
    <s v="Baylor Scott &amp; White Medical Center - Hillcrest (FKA Hillcrest Baptist Medical Center)"/>
    <s v="Short Term Acute Care Hospital"/>
    <s v="Waco"/>
    <n v="144.1"/>
    <n v="4.2"/>
    <n v="284"/>
    <n v="212"/>
    <n v="12"/>
    <n v="0.49"/>
    <n v="212"/>
    <n v="1.69"/>
    <n v="4083"/>
    <n v="13605"/>
  </r>
  <r>
    <x v="2349"/>
    <s v="450042*"/>
    <s v="TX"/>
    <s v="TX - Mclennan"/>
    <n v="76712"/>
    <s v="The Providence Heart Hospital at Ascension Providence"/>
    <s v="Short Term Acute Care Hospital"/>
    <s v="Waco"/>
    <m/>
    <m/>
    <n v="19"/>
    <m/>
    <m/>
    <m/>
    <n v="237"/>
    <m/>
    <n v="274331"/>
    <m/>
  </r>
  <r>
    <x v="2349"/>
    <s v="450042*"/>
    <s v="TX"/>
    <s v="TX - Mclennan"/>
    <n v="76712"/>
    <s v="Ascension Providence DePaul Center"/>
    <s v="Short Term Acute Care Hospital"/>
    <s v="Waco"/>
    <m/>
    <m/>
    <n v="1"/>
    <m/>
    <m/>
    <m/>
    <m/>
    <m/>
    <n v="841670"/>
    <m/>
  </r>
  <r>
    <x v="2349"/>
    <m/>
    <s v="TX"/>
    <s v="TX - Mclennan"/>
    <n v="76705"/>
    <s v="Encompass Health Hospital - Waco (Opening Summer 2021)"/>
    <s v="Short Term Acute Care Hospital"/>
    <s v="Lacy Lakeview"/>
    <m/>
    <m/>
    <m/>
    <m/>
    <m/>
    <m/>
    <m/>
    <m/>
    <n v="1011379"/>
    <m/>
  </r>
  <r>
    <x v="1028"/>
    <n v="450465"/>
    <s v="TX"/>
    <s v="TX - Matagorda"/>
    <n v="77414"/>
    <s v="Matagorda Regional Medical Center"/>
    <s v="Short Term Acute Care Hospital"/>
    <s v="Bay City"/>
    <n v="15"/>
    <n v="4.5"/>
    <n v="82"/>
    <n v="46"/>
    <n v="6"/>
    <n v="0.88"/>
    <n v="46"/>
    <n v="1.35"/>
    <n v="4085"/>
    <n v="1352"/>
  </r>
  <r>
    <x v="2350"/>
    <n v="450092"/>
    <s v="TX"/>
    <s v="TX - Maverick"/>
    <n v="78852"/>
    <s v="Fort Duncan Regional Medical Center"/>
    <s v="Short Term Acute Care Hospital"/>
    <s v="Eagle Pass"/>
    <n v="38.5"/>
    <n v="3.8"/>
    <n v="98"/>
    <n v="86"/>
    <n v="10"/>
    <n v="1"/>
    <n v="86"/>
    <n v="1.4"/>
    <n v="4086"/>
    <n v="4130"/>
  </r>
  <r>
    <x v="2351"/>
    <n v="450133"/>
    <s v="TX"/>
    <s v="TX - Midland"/>
    <n v="79701"/>
    <s v="Midland Memorial Hospital"/>
    <s v="Short Term Acute Care Hospital"/>
    <s v="Midland"/>
    <n v="128.80000000000001"/>
    <n v="5.2"/>
    <n v="315"/>
    <n v="226"/>
    <m/>
    <n v="0.9"/>
    <n v="226"/>
    <n v="1.71"/>
    <n v="4088"/>
    <n v="10400"/>
  </r>
  <r>
    <x v="2351"/>
    <s v="450133*"/>
    <s v="TX"/>
    <s v="TX - Midland"/>
    <n v="79703"/>
    <s v="Midland Memorial Hospital West Campus"/>
    <s v="Short Term Acute Care Hospital"/>
    <s v="Midland"/>
    <m/>
    <m/>
    <m/>
    <m/>
    <m/>
    <m/>
    <n v="256"/>
    <m/>
    <n v="577559"/>
    <m/>
  </r>
  <r>
    <x v="1030"/>
    <s v="450770 (Closed)"/>
    <s v="TX"/>
    <s v="TX - Milam"/>
    <n v="76520"/>
    <s v="Central Texas Hospital (Closed in July 2013)"/>
    <s v="Short Term Acute Care Hospital"/>
    <s v="Cameron"/>
    <n v="7"/>
    <n v="3.5"/>
    <m/>
    <m/>
    <m/>
    <m/>
    <m/>
    <m/>
    <n v="4090"/>
    <n v="722"/>
  </r>
  <r>
    <x v="1030"/>
    <s v="670094 (Closed)"/>
    <s v="TX"/>
    <s v="TX - Milam"/>
    <n v="76520"/>
    <s v="Little River Healthcare - Cameron Hospital (Closed)"/>
    <s v="Short Term Acute Care Hospital"/>
    <s v="Cameron"/>
    <n v="0.2"/>
    <n v="2.6"/>
    <m/>
    <m/>
    <m/>
    <m/>
    <m/>
    <n v="1.1000000000000001"/>
    <n v="780808"/>
    <n v="28"/>
  </r>
  <r>
    <x v="2352"/>
    <n v="450641"/>
    <s v="TX"/>
    <s v="TX - Montague"/>
    <n v="76255"/>
    <s v="Nocona General Hospital"/>
    <s v="Short Term Acute Care Hospital"/>
    <s v="Nocona"/>
    <n v="3.9"/>
    <n v="4.0999999999999996"/>
    <n v="11"/>
    <n v="18"/>
    <m/>
    <m/>
    <n v="18"/>
    <n v="1.21"/>
    <n v="4092"/>
    <n v="353"/>
  </r>
  <r>
    <x v="2352"/>
    <s v="450497 (Closed)"/>
    <s v="TX"/>
    <s v="TX - Montague"/>
    <n v="76230"/>
    <s v="Central Hospital of Bowie (Closed)"/>
    <s v="Short Term Acute Care Hospital"/>
    <s v="Bowie"/>
    <n v="9.1"/>
    <n v="7"/>
    <n v="5"/>
    <n v="37"/>
    <m/>
    <m/>
    <m/>
    <n v="0.79"/>
    <n v="4093"/>
    <n v="477"/>
  </r>
  <r>
    <x v="2353"/>
    <n v="450862"/>
    <s v="TX"/>
    <s v="TX - Montgomery"/>
    <n v="77384"/>
    <s v="CHI St Lukes Health - The Woodlands Hospital"/>
    <s v="Short Term Acute Care Hospital"/>
    <s v="The Woodlands"/>
    <n v="125.7"/>
    <n v="4.4000000000000004"/>
    <n v="314"/>
    <n v="216"/>
    <n v="43"/>
    <n v="7.0000000000000007E-2"/>
    <n v="216"/>
    <n v="1.73"/>
    <n v="4007"/>
    <n v="11026"/>
  </r>
  <r>
    <x v="2353"/>
    <n v="450222"/>
    <s v="TX"/>
    <s v="TX - Montgomery"/>
    <n v="77304"/>
    <s v="HCA Houston Healthcare Conroe (FKA Conroe Regional Medical Center)"/>
    <s v="Short Term Acute Care Hospital"/>
    <s v="Conroe"/>
    <n v="167.3"/>
    <n v="4.4000000000000004"/>
    <n v="250"/>
    <n v="276"/>
    <n v="38"/>
    <n v="7.0000000000000007E-2"/>
    <n v="276"/>
    <n v="1.64"/>
    <n v="4094"/>
    <n v="14401"/>
  </r>
  <r>
    <x v="2353"/>
    <n v="670059"/>
    <s v="TX"/>
    <s v="TX - Montgomery"/>
    <n v="77384"/>
    <s v="CHI St Lukes Health - Lakeside Hospital"/>
    <s v="Short Term Acute Care Hospital"/>
    <s v="The Woodlands"/>
    <n v="4.5"/>
    <n v="2"/>
    <n v="29"/>
    <n v="30"/>
    <m/>
    <n v="7.0000000000000007E-2"/>
    <n v="30"/>
    <n v="2.4700000000000002"/>
    <n v="4095"/>
    <n v="796"/>
  </r>
  <r>
    <x v="2353"/>
    <s v="450184*"/>
    <s v="TX"/>
    <s v="TX - Montgomery"/>
    <n v="77380"/>
    <s v="Memorial Hermann the Woodlands"/>
    <s v="Short Term Acute Care Hospital"/>
    <s v="The Woodlands"/>
    <m/>
    <m/>
    <n v="2"/>
    <m/>
    <m/>
    <m/>
    <n v="265"/>
    <m/>
    <n v="274146"/>
    <m/>
  </r>
  <r>
    <x v="2353"/>
    <m/>
    <s v="TX"/>
    <s v="TX - Montgomery"/>
    <n v="77384"/>
    <s v="Nexus Specialty Hospital - Shenandoah Campus"/>
    <s v="Short Term Acute Care Hospital"/>
    <s v="Shenandoah"/>
    <m/>
    <m/>
    <m/>
    <m/>
    <m/>
    <m/>
    <n v="54"/>
    <m/>
    <n v="577652"/>
    <m/>
  </r>
  <r>
    <x v="2353"/>
    <n v="670122"/>
    <s v="TX"/>
    <s v="TX - Montgomery"/>
    <n v="77385"/>
    <s v="Houston Methodist the Woodlands Hospital"/>
    <s v="Short Term Acute Care Hospital"/>
    <s v="The Woodlands"/>
    <n v="59.7"/>
    <n v="3.4"/>
    <n v="213"/>
    <n v="146"/>
    <n v="16"/>
    <n v="7.0000000000000007E-2"/>
    <n v="146"/>
    <n v="1.81"/>
    <n v="770810"/>
    <n v="7808"/>
  </r>
  <r>
    <x v="2353"/>
    <s v="670099 (Closed)"/>
    <s v="TX"/>
    <s v="TX - Montgomery"/>
    <n v="77380"/>
    <s v="CHI St Lukes Health - Pinecroft Hospital (FKA Apollo Hospital - Closed)"/>
    <s v="Short Term Acute Care Hospital"/>
    <s v="The Woodlands"/>
    <n v="1.5"/>
    <n v="2.9"/>
    <m/>
    <m/>
    <m/>
    <n v="7.0000000000000007E-2"/>
    <m/>
    <m/>
    <n v="794517"/>
    <n v="191"/>
  </r>
  <r>
    <x v="2353"/>
    <m/>
    <s v="TX"/>
    <s v="TX - Montgomery"/>
    <n v="77386"/>
    <s v="The Woodlands Specialty Hospital"/>
    <s v="Short Term Acute Care Hospital"/>
    <s v="The Woodlands"/>
    <m/>
    <m/>
    <n v="5"/>
    <m/>
    <m/>
    <m/>
    <m/>
    <m/>
    <n v="968471"/>
    <m/>
  </r>
  <r>
    <x v="2353"/>
    <m/>
    <s v="TX"/>
    <s v="TX - Montgomery"/>
    <n v="77384"/>
    <s v="The Woodlands Integrative Care Hospital (AKA the Woodlands Psychiatry &amp; Counseling)"/>
    <s v="Short Term Acute Care Hospital"/>
    <s v="Conroe"/>
    <m/>
    <m/>
    <m/>
    <m/>
    <m/>
    <m/>
    <m/>
    <m/>
    <n v="1011358"/>
    <m/>
  </r>
  <r>
    <x v="2353"/>
    <n v="670093"/>
    <s v="TX"/>
    <s v="TX - Montgomery"/>
    <n v="77304"/>
    <s v="Aspire Behavioral Health of Conroe (AKA Aspire Hospital Behavioral Health)"/>
    <s v="Short Term Acute Care Hospital"/>
    <s v="Conroe"/>
    <n v="0.5"/>
    <n v="6.1"/>
    <n v="18"/>
    <n v="6"/>
    <m/>
    <n v="7.0000000000000007E-2"/>
    <n v="6"/>
    <n v="1.1299999999999999"/>
    <n v="552493"/>
    <n v="32"/>
  </r>
  <r>
    <x v="2354"/>
    <n v="450508"/>
    <s v="TX"/>
    <s v="TX - Nacogdoches"/>
    <n v="75961"/>
    <s v="Nacogdoches Memorial Hospital"/>
    <s v="Short Term Acute Care Hospital"/>
    <s v="Nacogdoches"/>
    <n v="36.200000000000003"/>
    <n v="3.6"/>
    <n v="93"/>
    <n v="121"/>
    <n v="16"/>
    <n v="0.53"/>
    <n v="121"/>
    <n v="1.41"/>
    <n v="4097"/>
    <n v="3973"/>
  </r>
  <r>
    <x v="2354"/>
    <n v="450656"/>
    <s v="TX"/>
    <s v="TX - Nacogdoches"/>
    <n v="75965"/>
    <s v="Nacogdoches Medical Center (AKA NMC Health Network)"/>
    <s v="Short Term Acute Care Hospital"/>
    <s v="Nacogdoches"/>
    <n v="41.2"/>
    <n v="3.7"/>
    <n v="136"/>
    <n v="155"/>
    <n v="11"/>
    <n v="0.53"/>
    <n v="155"/>
    <n v="1.65"/>
    <n v="4098"/>
    <n v="4294"/>
  </r>
  <r>
    <x v="2355"/>
    <n v="450447"/>
    <s v="TX"/>
    <s v="TX - Navarro"/>
    <n v="75110"/>
    <s v="Navarro Regional Hospital"/>
    <s v="Short Term Acute Care Hospital"/>
    <s v="Corsicana"/>
    <n v="15.8"/>
    <n v="2.9"/>
    <n v="74"/>
    <n v="49"/>
    <n v="9"/>
    <n v="1"/>
    <n v="49"/>
    <n v="1.54"/>
    <n v="4099"/>
    <n v="2309"/>
  </r>
  <r>
    <x v="2356"/>
    <n v="450055"/>
    <s v="TX"/>
    <s v="TX - Nolan"/>
    <n v="79556"/>
    <s v="Rolling Plains Memorial Hospital"/>
    <s v="Short Term Acute Care Hospital"/>
    <s v="Sweetwater"/>
    <n v="10.6"/>
    <n v="4.7"/>
    <n v="36"/>
    <n v="39"/>
    <n v="5"/>
    <n v="1"/>
    <n v="39"/>
    <n v="1.17"/>
    <n v="4100"/>
    <n v="917"/>
  </r>
  <r>
    <x v="2357"/>
    <n v="450046"/>
    <s v="TX"/>
    <s v="TX - Nueces"/>
    <n v="78404"/>
    <s v="CHRISTUS Spohn Hospital Corpus Christi - Shoreline"/>
    <s v="Short Term Acute Care Hospital"/>
    <s v="Corpus Christi"/>
    <n v="368.7"/>
    <n v="5.4"/>
    <n v="406"/>
    <n v="484"/>
    <n v="52"/>
    <n v="0.33"/>
    <n v="484"/>
    <n v="1.94"/>
    <n v="4101"/>
    <n v="25594"/>
  </r>
  <r>
    <x v="2357"/>
    <n v="450788"/>
    <s v="TX"/>
    <s v="TX - Nueces"/>
    <n v="78411"/>
    <s v="Corpus Christi Medical Center - Doctors Regional"/>
    <s v="Short Term Acute Care Hospital"/>
    <s v="Corpus Christi"/>
    <n v="268.39999999999998"/>
    <n v="5"/>
    <n v="316"/>
    <n v="395"/>
    <n v="45"/>
    <n v="0.33"/>
    <n v="250"/>
    <n v="1.69"/>
    <n v="4102"/>
    <n v="21942"/>
  </r>
  <r>
    <x v="2357"/>
    <n v="670061"/>
    <s v="TX"/>
    <s v="TX - Nueces"/>
    <n v="78414"/>
    <s v="South Texas Surgical Hospital"/>
    <s v="Short Term Acute Care Hospital"/>
    <s v="Corpus Christi"/>
    <n v="5.4"/>
    <n v="2.2999999999999998"/>
    <n v="68"/>
    <n v="33"/>
    <m/>
    <n v="0.33"/>
    <n v="33"/>
    <n v="2.0499999999999998"/>
    <n v="4104"/>
    <n v="849"/>
  </r>
  <r>
    <x v="2357"/>
    <s v="450046*"/>
    <s v="TX"/>
    <s v="TX - Nueces"/>
    <n v="78405"/>
    <s v="CHRISTUS Spohn Hospital Corpus Christi - Memorial"/>
    <s v="Short Term Acute Care Hospital"/>
    <s v="Corpus Christi"/>
    <m/>
    <m/>
    <m/>
    <m/>
    <m/>
    <m/>
    <n v="341"/>
    <m/>
    <n v="550782"/>
    <m/>
  </r>
  <r>
    <x v="2357"/>
    <s v="450046*"/>
    <s v="TX"/>
    <s v="TX - Nueces"/>
    <n v="78414"/>
    <s v="CHRISTUS Spohn Hospital Corpus Christi - South"/>
    <s v="Short Term Acute Care Hospital"/>
    <s v="Corpus Christi"/>
    <m/>
    <m/>
    <m/>
    <m/>
    <m/>
    <m/>
    <n v="151"/>
    <m/>
    <n v="551811"/>
    <m/>
  </r>
  <r>
    <x v="2357"/>
    <s v="450788*"/>
    <s v="TX"/>
    <s v="TX - Nueces"/>
    <n v="78412"/>
    <s v="Corpus Christi Medical Center - Bay Area"/>
    <s v="Short Term Acute Care Hospital"/>
    <s v="Corpus Christi"/>
    <m/>
    <m/>
    <m/>
    <m/>
    <m/>
    <m/>
    <n v="152"/>
    <m/>
    <n v="553376"/>
    <m/>
  </r>
  <r>
    <x v="2357"/>
    <s v="450788*"/>
    <s v="TX"/>
    <s v="TX - Nueces"/>
    <n v="78412"/>
    <s v="Corpus Christi Medical Center - The Heart Hospital"/>
    <s v="Short Term Acute Care Hospital"/>
    <s v="Corpus Christi"/>
    <m/>
    <m/>
    <m/>
    <m/>
    <m/>
    <m/>
    <n v="72"/>
    <m/>
    <n v="553377"/>
    <m/>
  </r>
  <r>
    <x v="2358"/>
    <s v="450005 (Closed)"/>
    <s v="TX"/>
    <s v="TX - Orange"/>
    <n v="77630"/>
    <s v="Baptist Hospitals of Southeast Texas - Orange (Closed - No Longer Offers Inpatient Services)"/>
    <s v="Short Term Acute Care Hospital"/>
    <s v="Orange"/>
    <n v="6.8"/>
    <n v="3.7"/>
    <m/>
    <m/>
    <m/>
    <n v="0.34"/>
    <m/>
    <m/>
    <n v="4105"/>
    <n v="675"/>
  </r>
  <r>
    <x v="2359"/>
    <n v="450565"/>
    <s v="TX"/>
    <s v="TX - Palo Pinto"/>
    <n v="76067"/>
    <s v="Palo Pinto General Hospital"/>
    <s v="Short Term Acute Care Hospital"/>
    <s v="Mineral Wells"/>
    <n v="16.2"/>
    <n v="4.3"/>
    <n v="63"/>
    <n v="48"/>
    <n v="8"/>
    <n v="1"/>
    <n v="48"/>
    <n v="1.21"/>
    <n v="4106"/>
    <n v="1481"/>
  </r>
  <r>
    <x v="2360"/>
    <n v="450210"/>
    <s v="TX"/>
    <s v="TX - Panola"/>
    <n v="75633"/>
    <s v="UT Health Carthage (FKA East Texas Medical Center - Carthage)"/>
    <s v="Short Term Acute Care Hospital"/>
    <s v="Carthage"/>
    <n v="5.8"/>
    <n v="3.1"/>
    <n v="23"/>
    <n v="42"/>
    <m/>
    <m/>
    <n v="42"/>
    <n v="1"/>
    <n v="4107"/>
    <n v="695"/>
  </r>
  <r>
    <x v="2361"/>
    <n v="450203"/>
    <s v="TX"/>
    <s v="TX - Parker"/>
    <n v="76086"/>
    <s v="Medical City Weatherford (FKA Weatherford Regional Medical Center)"/>
    <s v="Short Term Acute Care Hospital"/>
    <s v="Weatherford"/>
    <n v="48"/>
    <n v="3.7"/>
    <n v="187"/>
    <n v="82"/>
    <n v="20"/>
    <n v="0.03"/>
    <n v="82"/>
    <n v="1.5"/>
    <n v="4108"/>
    <n v="5086"/>
  </r>
  <r>
    <x v="2362"/>
    <n v="450395"/>
    <s v="TX"/>
    <s v="TX - Polk"/>
    <n v="77351"/>
    <s v="CHI St Lukes Health-Memorial Livingston (FKA Memorial Medical Center Livingston)"/>
    <s v="Short Term Acute Care Hospital"/>
    <s v="Livingston"/>
    <n v="16.8"/>
    <n v="3.4"/>
    <n v="81"/>
    <n v="52"/>
    <n v="8"/>
    <m/>
    <n v="52"/>
    <n v="1.38"/>
    <n v="4110"/>
    <n v="2008"/>
  </r>
  <r>
    <x v="2363"/>
    <n v="450231"/>
    <s v="TX"/>
    <s v="TX - Potter"/>
    <n v="79106"/>
    <s v="BSA Hospital"/>
    <s v="Short Term Acute Care Hospital"/>
    <s v="Amarillo"/>
    <n v="223.1"/>
    <n v="4.4000000000000004"/>
    <n v="646"/>
    <n v="354"/>
    <m/>
    <n v="0.42"/>
    <n v="354"/>
    <n v="1.67"/>
    <n v="4111"/>
    <n v="19290"/>
  </r>
  <r>
    <x v="2363"/>
    <n v="450209"/>
    <s v="TX"/>
    <s v="TX - Potter"/>
    <n v="79106"/>
    <s v="Northwest Texas Hospital"/>
    <s v="Short Term Acute Care Hospital"/>
    <s v="Amarillo"/>
    <n v="186.3"/>
    <n v="4.5999999999999996"/>
    <n v="201"/>
    <n v="347"/>
    <n v="51"/>
    <n v="0.42"/>
    <n v="347"/>
    <n v="1.76"/>
    <n v="4112"/>
    <n v="15488"/>
  </r>
  <r>
    <x v="2363"/>
    <n v="450875"/>
    <s v="TX"/>
    <s v="TX - Potter"/>
    <n v="79124"/>
    <s v="Quail Creek Surgical Hospital"/>
    <s v="Short Term Acute Care Hospital"/>
    <s v="Amarillo"/>
    <n v="11.2"/>
    <n v="1.8"/>
    <n v="48"/>
    <n v="32"/>
    <m/>
    <n v="0.42"/>
    <n v="1"/>
    <n v="2.27"/>
    <n v="4113"/>
    <n v="2251"/>
  </r>
  <r>
    <x v="2363"/>
    <s v="450875*"/>
    <s v="TX"/>
    <s v="TX - Potter"/>
    <n v="79106"/>
    <s v="Panhandle Surgical Hospital"/>
    <s v="Short Term Acute Care Hospital"/>
    <s v="Amarillo"/>
    <m/>
    <m/>
    <m/>
    <m/>
    <m/>
    <m/>
    <m/>
    <m/>
    <n v="550010"/>
    <m/>
  </r>
  <r>
    <x v="2364"/>
    <s v="450796 (Closed)"/>
    <s v="TX"/>
    <s v="TX - Randall"/>
    <n v="79109"/>
    <s v="Northwest Texas Surgery Center (Closed Inpatient Services)"/>
    <s v="Short Term Acute Care Hospital"/>
    <s v="Amarillo"/>
    <n v="0.7"/>
    <n v="1.4"/>
    <m/>
    <m/>
    <m/>
    <n v="0.42"/>
    <m/>
    <m/>
    <n v="4115"/>
    <n v="176"/>
  </r>
  <r>
    <x v="2365"/>
    <s v="450188 (Closed)"/>
    <s v="TX"/>
    <s v="TX - Red River"/>
    <n v="75426"/>
    <s v="East Texas Medical Center - Clarksville (Closed)"/>
    <s v="Short Term Acute Care Hospital"/>
    <s v="Clarksville"/>
    <n v="6.7"/>
    <n v="4"/>
    <m/>
    <m/>
    <m/>
    <m/>
    <m/>
    <m/>
    <n v="4117"/>
    <n v="618"/>
  </r>
  <r>
    <x v="2366"/>
    <n v="670044"/>
    <s v="TX"/>
    <s v="TX - Rockwall"/>
    <n v="75032"/>
    <s v="Texas Health Hospital Rockwall"/>
    <s v="Short Term Acute Care Hospital"/>
    <s v="Rockwall"/>
    <n v="30.4"/>
    <n v="4.5999999999999996"/>
    <n v="158"/>
    <n v="53"/>
    <n v="6"/>
    <n v="0.03"/>
    <n v="53"/>
    <n v="1.57"/>
    <n v="4119"/>
    <n v="2741"/>
  </r>
  <r>
    <x v="2366"/>
    <m/>
    <s v="TX"/>
    <s v="TX - Rockwall"/>
    <n v="75087"/>
    <s v="Baylor Scott &amp; White Emergency Hospital - Rockwall"/>
    <s v="Short Term Acute Care Hospital"/>
    <s v="Rockwall"/>
    <n v="1.4"/>
    <n v="2.5"/>
    <n v="4"/>
    <n v="8"/>
    <m/>
    <n v="0.03"/>
    <n v="8"/>
    <n v="0.9"/>
    <n v="764505"/>
    <n v="199"/>
  </r>
  <r>
    <x v="2367"/>
    <n v="450475"/>
    <s v="TX"/>
    <s v="TX - Rusk"/>
    <n v="75652"/>
    <s v="UT Health Henderson (FKA East Texas Medical Center - Henderson)"/>
    <s v="Short Term Acute Care Hospital"/>
    <s v="Henderson"/>
    <n v="8.6"/>
    <n v="3.1"/>
    <n v="40"/>
    <n v="41"/>
    <m/>
    <n v="0.31"/>
    <n v="41"/>
    <n v="1.05"/>
    <n v="4121"/>
    <n v="1154"/>
  </r>
  <r>
    <x v="2368"/>
    <s v="450605 (Closed)"/>
    <s v="TX"/>
    <s v="TX - San Patricio"/>
    <n v="78336"/>
    <s v="Care Regional Medical Center (Closed)"/>
    <s v="Short Term Acute Care Hospital"/>
    <s v="Aransas Pass"/>
    <n v="7.5"/>
    <n v="4.9000000000000004"/>
    <m/>
    <m/>
    <m/>
    <n v="0.33"/>
    <m/>
    <m/>
    <n v="4122"/>
    <n v="553"/>
  </r>
  <r>
    <x v="2369"/>
    <s v="450839 (Closed)"/>
    <s v="TX"/>
    <s v="TX - Shelby"/>
    <n v="75935"/>
    <s v="Shelby Regional Medical Center (Closed July 2013)"/>
    <s v="Short Term Acute Care Hospital"/>
    <s v="Center"/>
    <n v="7.2"/>
    <n v="2.9"/>
    <m/>
    <m/>
    <m/>
    <m/>
    <m/>
    <m/>
    <n v="4124"/>
    <n v="916"/>
  </r>
  <r>
    <x v="2370"/>
    <n v="450864"/>
    <s v="TX"/>
    <s v="TX - Smith"/>
    <n v="75701"/>
    <s v="Baylor Scott &amp; White Texas Spine &amp; Joint Hospital"/>
    <s v="Short Term Acute Care Hospital"/>
    <s v="Tyler"/>
    <n v="14.1"/>
    <n v="2.4"/>
    <n v="106"/>
    <n v="20"/>
    <m/>
    <n v="0.4"/>
    <n v="20"/>
    <n v="2.9"/>
    <n v="4125"/>
    <n v="2144"/>
  </r>
  <r>
    <x v="2370"/>
    <n v="450690"/>
    <s v="TX"/>
    <s v="TX - Smith"/>
    <n v="75708"/>
    <s v="UT Health North Campus Tyler (AKA University of Texas Health Science Center at Tyler)"/>
    <s v="Short Term Acute Care Hospital"/>
    <s v="Tyler"/>
    <n v="7.2"/>
    <n v="4.0999999999999996"/>
    <n v="127"/>
    <n v="104"/>
    <m/>
    <n v="0.4"/>
    <n v="104"/>
    <n v="1.22"/>
    <n v="4126"/>
    <n v="637"/>
  </r>
  <r>
    <x v="2370"/>
    <n v="450102"/>
    <s v="TX"/>
    <s v="TX - Smith"/>
    <n v="75701"/>
    <s v="CHRISTUS Mother Frances Hospital - Tyler"/>
    <s v="Short Term Acute Care Hospital"/>
    <s v="Tyler"/>
    <n v="280"/>
    <n v="4.7"/>
    <n v="714"/>
    <n v="433"/>
    <n v="138"/>
    <n v="0.4"/>
    <n v="433"/>
    <n v="1.94"/>
    <n v="4127"/>
    <n v="24434"/>
  </r>
  <r>
    <x v="2370"/>
    <n v="450083"/>
    <s v="TX"/>
    <s v="TX - Smith"/>
    <n v="75701"/>
    <s v="UT Health Tyler (FKA East Texas Medical Center - Tyler)"/>
    <s v="Short Term Acute Care Hospital"/>
    <s v="Tyler"/>
    <n v="306.5"/>
    <n v="5.0999999999999996"/>
    <n v="316"/>
    <n v="339"/>
    <n v="54"/>
    <n v="0.4"/>
    <n v="339"/>
    <n v="1.97"/>
    <n v="4128"/>
    <n v="22144"/>
  </r>
  <r>
    <x v="2370"/>
    <m/>
    <s v="TX"/>
    <s v="TX - Smith"/>
    <n v="75701"/>
    <s v="CHRISTUS Trinity Mother Frances - Louis and Peaches Owen Heart Hospital"/>
    <s v="Short Term Acute Care Hospital"/>
    <s v="Tyler"/>
    <m/>
    <m/>
    <m/>
    <m/>
    <m/>
    <m/>
    <n v="402"/>
    <m/>
    <n v="764521"/>
    <m/>
  </r>
  <r>
    <x v="2370"/>
    <m/>
    <s v="TX"/>
    <s v="TX - Smith"/>
    <n v="75703"/>
    <s v="CHRISTUS Mother Frances Hospital - South Tyler"/>
    <s v="Short Term Acute Care Hospital"/>
    <s v="Tyler"/>
    <m/>
    <m/>
    <m/>
    <m/>
    <m/>
    <m/>
    <m/>
    <m/>
    <n v="847103"/>
    <m/>
  </r>
  <r>
    <x v="2371"/>
    <n v="450451"/>
    <s v="TX"/>
    <s v="TX - Somervell"/>
    <n v="76043"/>
    <s v="Glen Rose Medical Center"/>
    <s v="Short Term Acute Care Hospital"/>
    <s v="Glen Rose"/>
    <n v="2"/>
    <n v="2.9"/>
    <n v="58"/>
    <n v="16"/>
    <m/>
    <m/>
    <n v="16"/>
    <n v="1.07"/>
    <n v="4129"/>
    <n v="261"/>
  </r>
  <r>
    <x v="2372"/>
    <n v="450654"/>
    <s v="TX"/>
    <s v="TX - Starr"/>
    <n v="78582"/>
    <s v="Starr County Memorial Hospital"/>
    <s v="Short Term Acute Care Hospital"/>
    <s v="Rio Grande City"/>
    <n v="8.1999999999999993"/>
    <n v="3.7"/>
    <n v="48"/>
    <n v="48"/>
    <m/>
    <n v="1"/>
    <n v="48"/>
    <n v="1.17"/>
    <n v="4130"/>
    <n v="880"/>
  </r>
  <r>
    <x v="2373"/>
    <n v="450498"/>
    <s v="TX"/>
    <s v="TX - Stephens"/>
    <n v="76424"/>
    <s v="Stephens Memorial Hospital"/>
    <s v="Short Term Acute Care Hospital"/>
    <s v="Breckenridge"/>
    <n v="2.9"/>
    <n v="4.0999999999999996"/>
    <n v="16"/>
    <n v="14"/>
    <m/>
    <m/>
    <n v="14"/>
    <n v="1.02"/>
    <n v="4131"/>
    <n v="260"/>
  </r>
  <r>
    <x v="2374"/>
    <n v="450639"/>
    <s v="TX"/>
    <s v="TX - Tarrant"/>
    <n v="76022"/>
    <s v="Texas Health HEB (FKA Texas Health Harris Methodist Hospital HEB)"/>
    <s v="Short Term Acute Care Hospital"/>
    <s v="Bedford"/>
    <n v="112.6"/>
    <n v="4"/>
    <n v="218"/>
    <n v="201"/>
    <n v="18"/>
    <n v="0.03"/>
    <n v="201"/>
    <n v="1.58"/>
    <n v="4134"/>
    <n v="11440"/>
  </r>
  <r>
    <x v="2374"/>
    <n v="450672"/>
    <s v="TX"/>
    <s v="TX - Tarrant"/>
    <n v="76104"/>
    <s v="Medical City Fort Worth (FKA Plaza Medical Center of Fort Worth)"/>
    <s v="Short Term Acute Care Hospital"/>
    <s v="Fort Worth"/>
    <n v="154.4"/>
    <n v="5.3"/>
    <n v="215"/>
    <n v="200"/>
    <n v="44"/>
    <n v="0.03"/>
    <n v="200"/>
    <n v="2.11"/>
    <n v="4135"/>
    <n v="9488"/>
  </r>
  <r>
    <x v="2374"/>
    <n v="450563"/>
    <s v="TX"/>
    <s v="TX - Tarrant"/>
    <n v="76051"/>
    <s v="Baylor Scott &amp; White Medical Center - Grapevine"/>
    <s v="Short Term Acute Care Hospital"/>
    <s v="Grapevine"/>
    <n v="144.69999999999999"/>
    <n v="4.5"/>
    <n v="310"/>
    <n v="275"/>
    <n v="20"/>
    <n v="0.03"/>
    <n v="275"/>
    <n v="1.52"/>
    <n v="4136"/>
    <n v="12611"/>
  </r>
  <r>
    <x v="2374"/>
    <n v="450675"/>
    <s v="TX"/>
    <s v="TX - Tarrant"/>
    <n v="76015"/>
    <s v="Medical City Arlington (FKA Medical Center of Arlington)"/>
    <s v="Short Term Acute Care Hospital"/>
    <s v="Arlington"/>
    <n v="269.8"/>
    <n v="5.0999999999999996"/>
    <n v="321"/>
    <n v="335"/>
    <n v="45"/>
    <n v="0.03"/>
    <n v="335"/>
    <n v="1.71"/>
    <n v="4137"/>
    <n v="17979"/>
  </r>
  <r>
    <x v="2374"/>
    <n v="450779"/>
    <s v="TX"/>
    <s v="TX - Tarrant"/>
    <n v="76132"/>
    <s v="Texas Health Southwest Fort Worth (FKA Texas Health Harris Methodist Hospital Southwest Fort Worth)"/>
    <s v="Short Term Acute Care Hospital"/>
    <s v="Fort Worth"/>
    <n v="109.6"/>
    <n v="3.4"/>
    <n v="334"/>
    <n v="245"/>
    <n v="18"/>
    <n v="0.03"/>
    <n v="245"/>
    <n v="1.66"/>
    <n v="4139"/>
    <n v="13216"/>
  </r>
  <r>
    <x v="2374"/>
    <n v="450872"/>
    <s v="TX"/>
    <s v="TX - Tarrant"/>
    <n v="76017"/>
    <s v="USMD Hospital at Arlington"/>
    <s v="Short Term Acute Care Hospital"/>
    <s v="Arlington"/>
    <n v="12.2"/>
    <n v="3.3"/>
    <n v="103"/>
    <n v="34"/>
    <n v="4"/>
    <n v="0.03"/>
    <n v="34"/>
    <n v="1.98"/>
    <n v="4140"/>
    <n v="1351"/>
  </r>
  <r>
    <x v="2374"/>
    <n v="450880"/>
    <s v="TX"/>
    <s v="TX - Tarrant"/>
    <n v="76110"/>
    <s v="Baylor Scott &amp; White Surgical Hospital - Fort Worth"/>
    <s v="Short Term Acute Care Hospital"/>
    <s v="Fort Worth"/>
    <n v="10.1"/>
    <n v="2.2000000000000002"/>
    <n v="105"/>
    <n v="30"/>
    <n v="4"/>
    <n v="0.03"/>
    <n v="30"/>
    <n v="2.82"/>
    <n v="4141"/>
    <n v="1669"/>
  </r>
  <r>
    <x v="2374"/>
    <s v="450886 (Closed)"/>
    <s v="TX"/>
    <s v="TX - Tarrant"/>
    <n v="76054"/>
    <s v="Victory Medical Center - Mid-Cities (FKA Southwest Surgical Hospital - Closed)"/>
    <s v="Short Term Acute Care Hospital"/>
    <s v="Hurst"/>
    <n v="2.9"/>
    <n v="2.2999999999999998"/>
    <m/>
    <m/>
    <m/>
    <n v="0.03"/>
    <m/>
    <m/>
    <n v="4142"/>
    <n v="454"/>
  </r>
  <r>
    <x v="2374"/>
    <n v="450888"/>
    <s v="TX"/>
    <s v="TX - Tarrant"/>
    <n v="76092"/>
    <s v="Texas Health Southlake (FKA Texas Health Harris Methodist Hospital Southlake)"/>
    <s v="Short Term Acute Care Hospital"/>
    <s v="Southlake"/>
    <n v="3.7"/>
    <n v="1.7"/>
    <n v="103"/>
    <n v="17"/>
    <m/>
    <n v="0.03"/>
    <n v="17"/>
    <n v="2.4500000000000002"/>
    <n v="4143"/>
    <n v="778"/>
  </r>
  <r>
    <x v="2374"/>
    <n v="450419"/>
    <s v="TX"/>
    <s v="TX - Tarrant"/>
    <n v="76020"/>
    <s v="Texas Health Azle (FKA Texas Health Harris Methodist Hospital Azle)"/>
    <s v="Short Term Acute Care Hospital"/>
    <s v="Azle"/>
    <n v="13"/>
    <n v="3.1"/>
    <n v="41"/>
    <n v="31"/>
    <n v="6"/>
    <n v="0.03"/>
    <n v="31"/>
    <n v="1.24"/>
    <n v="4144"/>
    <n v="1522"/>
  </r>
  <r>
    <x v="2374"/>
    <n v="450087"/>
    <s v="TX"/>
    <s v="TX - Tarrant"/>
    <n v="76180"/>
    <s v="Medical City North Hills (FKA North Hills Hospital)"/>
    <s v="Short Term Acute Care Hospital"/>
    <s v="North Richland Hills"/>
    <n v="78.900000000000006"/>
    <n v="4.5"/>
    <n v="168"/>
    <n v="137"/>
    <n v="20"/>
    <n v="0.03"/>
    <n v="137"/>
    <n v="1.65"/>
    <n v="4145"/>
    <n v="6416"/>
  </r>
  <r>
    <x v="2374"/>
    <n v="450064"/>
    <s v="TX"/>
    <s v="TX - Tarrant"/>
    <n v="76012"/>
    <s v="Texas Health Arlington Memorial"/>
    <s v="Short Term Acute Care Hospital"/>
    <s v="Arlington"/>
    <n v="148.30000000000001"/>
    <n v="5"/>
    <n v="312"/>
    <n v="194"/>
    <n v="18"/>
    <n v="0.03"/>
    <n v="194"/>
    <n v="1.67"/>
    <n v="4146"/>
    <n v="11410"/>
  </r>
  <r>
    <x v="2374"/>
    <n v="450039"/>
    <s v="TX"/>
    <s v="TX - Tarrant"/>
    <n v="76104"/>
    <s v="John Peter Smith Hospital (AKA JPS Health Network)"/>
    <s v="Short Term Acute Care Hospital"/>
    <s v="Fort Worth"/>
    <n v="392.8"/>
    <n v="5.2"/>
    <n v="761"/>
    <n v="422"/>
    <n v="36"/>
    <n v="0.03"/>
    <n v="422"/>
    <n v="1.7"/>
    <n v="4147"/>
    <n v="29141"/>
  </r>
  <r>
    <x v="2374"/>
    <n v="450135"/>
    <s v="TX"/>
    <s v="TX - Tarrant"/>
    <n v="76104"/>
    <s v="Texas Health Fort Worth (FKA Texas Health Harris Methodist Hospital Fort Worth)"/>
    <s v="Short Term Acute Care Hospital"/>
    <s v="Fort Worth"/>
    <n v="512.29999999999995"/>
    <n v="5.2"/>
    <n v="778"/>
    <n v="651"/>
    <n v="22"/>
    <n v="0.03"/>
    <n v="651"/>
    <n v="1.85"/>
    <n v="4148"/>
    <n v="36876"/>
  </r>
  <r>
    <x v="2374"/>
    <n v="450137"/>
    <s v="TX"/>
    <s v="TX - Tarrant"/>
    <n v="76104"/>
    <s v="Baylor Scott &amp; White All Saints Medical Center - Fort Worth"/>
    <s v="Short Term Acute Care Hospital"/>
    <s v="Fort Worth"/>
    <n v="252.9"/>
    <n v="4.8"/>
    <n v="340"/>
    <n v="377"/>
    <n v="39"/>
    <n v="0.03"/>
    <n v="377"/>
    <n v="1.96"/>
    <n v="4149"/>
    <n v="21332"/>
  </r>
  <r>
    <x v="2374"/>
    <s v="670046 (Closed)"/>
    <s v="TX"/>
    <s v="TX - Tarrant"/>
    <n v="76132"/>
    <s v="USMD Hospital at Fort Worth (Closed)"/>
    <s v="Short Term Acute Care Hospital"/>
    <s v="Fort Worth"/>
    <n v="1.1000000000000001"/>
    <n v="2.1"/>
    <m/>
    <m/>
    <m/>
    <n v="0.03"/>
    <m/>
    <n v="3.13"/>
    <n v="4150"/>
    <n v="201"/>
  </r>
  <r>
    <x v="2374"/>
    <n v="670023"/>
    <s v="TX"/>
    <s v="TX - Tarrant"/>
    <n v="76063"/>
    <s v="Methodist Mansfield Medical Center"/>
    <s v="Short Term Acute Care Hospital"/>
    <s v="Mansfield"/>
    <n v="144.69999999999999"/>
    <n v="4.8"/>
    <n v="189"/>
    <n v="254"/>
    <n v="22"/>
    <m/>
    <n v="254"/>
    <n v="1.61"/>
    <n v="4151"/>
    <n v="11807"/>
  </r>
  <r>
    <x v="2374"/>
    <s v="670045 (Closed)"/>
    <s v="TX"/>
    <s v="TX - Tarrant"/>
    <n v="76054"/>
    <s v="Cook Childrens Northeast Hospital (Closed)"/>
    <s v="Short Term Acute Care Hospital"/>
    <s v="Hurst"/>
    <m/>
    <m/>
    <m/>
    <m/>
    <m/>
    <n v="0.03"/>
    <m/>
    <m/>
    <n v="5838"/>
    <m/>
  </r>
  <r>
    <x v="2374"/>
    <n v="670071"/>
    <s v="TX"/>
    <s v="TX - Tarrant"/>
    <n v="76012"/>
    <s v="Texas Health Heart and Vascular Arlington"/>
    <s v="Short Term Acute Care Hospital"/>
    <s v="Arlington"/>
    <n v="13.1"/>
    <n v="4.5999999999999996"/>
    <n v="5"/>
    <n v="47"/>
    <m/>
    <n v="0.03"/>
    <n v="47"/>
    <n v="2.62"/>
    <n v="542208"/>
    <n v="1042"/>
  </r>
  <r>
    <x v="2374"/>
    <n v="670067"/>
    <s v="TX"/>
    <s v="TX - Tarrant"/>
    <n v="76015"/>
    <s v="Baylor Scott &amp; White Orthopedic and Spine Hospital - Arlington"/>
    <s v="Short Term Acute Care Hospital"/>
    <s v="Arlington"/>
    <n v="10.7"/>
    <n v="2.2999999999999998"/>
    <n v="68"/>
    <n v="24"/>
    <m/>
    <n v="0.03"/>
    <n v="24"/>
    <n v="2.4700000000000002"/>
    <n v="552496"/>
    <n v="1704"/>
  </r>
  <r>
    <x v="2374"/>
    <s v="450137*"/>
    <s v="TX"/>
    <s v="TX - Tarrant"/>
    <n v="76104"/>
    <s v="Baylor Scott &amp; White - Fort Worth Andrews Womens Hospital"/>
    <s v="Short Term Acute Care Hospital"/>
    <s v="Fort Worth"/>
    <m/>
    <m/>
    <m/>
    <m/>
    <m/>
    <m/>
    <n v="110"/>
    <m/>
    <n v="553314"/>
    <m/>
  </r>
  <r>
    <x v="2374"/>
    <m/>
    <s v="TX"/>
    <s v="TX - Tarrant"/>
    <n v="76104"/>
    <s v="Victory Medical Center Fort Worth (Closed)"/>
    <s v="Short Term Acute Care Hospital"/>
    <s v="Fort Worth"/>
    <m/>
    <m/>
    <m/>
    <m/>
    <m/>
    <m/>
    <m/>
    <m/>
    <n v="575810"/>
    <m/>
  </r>
  <r>
    <x v="2374"/>
    <n v="670085"/>
    <s v="TX"/>
    <s v="TX - Tarrant"/>
    <n v="76244"/>
    <s v="Texas Health Alliance (FKA Texas Health Harris Methodist Hospital Alliance)"/>
    <s v="Short Term Acute Care Hospital"/>
    <s v="Fort Worth"/>
    <n v="60.5"/>
    <n v="3.9"/>
    <n v="120"/>
    <n v="101"/>
    <n v="12"/>
    <n v="0.03"/>
    <n v="101"/>
    <n v="1.39"/>
    <n v="577519"/>
    <n v="6567"/>
  </r>
  <r>
    <x v="2374"/>
    <n v="670132"/>
    <s v="TX"/>
    <s v="TX - Tarrant"/>
    <n v="76092"/>
    <s v="Methodist Southlake Hospital (FKA Forest Park Medical Center Southlake)"/>
    <s v="Short Term Acute Care Hospital"/>
    <s v="Southlake"/>
    <m/>
    <m/>
    <n v="13"/>
    <m/>
    <m/>
    <m/>
    <n v="54"/>
    <m/>
    <n v="579944"/>
    <m/>
  </r>
  <r>
    <x v="2374"/>
    <n v="676622"/>
    <s v="TX"/>
    <s v="TX - Tarrant"/>
    <n v="76109"/>
    <s v="Texas Health Clearfork"/>
    <s v="Short Term Acute Care Hospital"/>
    <s v="Fort Worth"/>
    <m/>
    <m/>
    <m/>
    <m/>
    <m/>
    <m/>
    <n v="54"/>
    <m/>
    <n v="585399"/>
    <m/>
  </r>
  <r>
    <x v="2374"/>
    <n v="670116"/>
    <s v="TX"/>
    <s v="TX - Tarrant"/>
    <n v="76177"/>
    <s v="Wise Health Surgical Hospital at Parkway"/>
    <s v="Short Term Acute Care Hospital"/>
    <s v="Fort Worth"/>
    <n v="2.8"/>
    <n v="2.8"/>
    <n v="18"/>
    <n v="36"/>
    <m/>
    <n v="0.03"/>
    <n v="36"/>
    <n v="2.87"/>
    <n v="583173"/>
    <n v="370"/>
  </r>
  <r>
    <x v="2374"/>
    <m/>
    <s v="TX"/>
    <s v="TX - Tarrant"/>
    <n v="76034"/>
    <s v="Baylor Scott &amp; White Emergency Hospital - Colleyville"/>
    <s v="Short Term Acute Care Hospital"/>
    <s v="Colleyville"/>
    <m/>
    <m/>
    <n v="5"/>
    <m/>
    <m/>
    <m/>
    <m/>
    <m/>
    <n v="764509"/>
    <m/>
  </r>
  <r>
    <x v="2374"/>
    <n v="670103"/>
    <s v="TX"/>
    <s v="TX - Tarrant"/>
    <n v="76177"/>
    <s v="Medical City Alliance"/>
    <s v="Short Term Acute Care Hospital"/>
    <s v="Fort Worth"/>
    <n v="42.8"/>
    <n v="4.0999999999999996"/>
    <n v="87"/>
    <n v="75"/>
    <n v="8"/>
    <n v="0.03"/>
    <n v="75"/>
    <n v="1.56"/>
    <n v="837763"/>
    <n v="4241"/>
  </r>
  <r>
    <x v="2374"/>
    <m/>
    <s v="TX"/>
    <s v="TX - Tarrant"/>
    <n v="76127"/>
    <s v="FMC Carswell"/>
    <s v="Short Term Acute Care Hospital"/>
    <s v="Fort Worth"/>
    <m/>
    <m/>
    <m/>
    <m/>
    <m/>
    <m/>
    <n v="338"/>
    <m/>
    <n v="840511"/>
    <m/>
  </r>
  <r>
    <x v="2374"/>
    <n v="670121"/>
    <s v="TX"/>
    <s v="TX - Tarrant"/>
    <n v="76054"/>
    <s v="Saint Camillus Medical Center"/>
    <s v="Short Term Acute Care Hospital"/>
    <s v="Hurst"/>
    <n v="0.8"/>
    <n v="2.1"/>
    <n v="4"/>
    <n v="23"/>
    <m/>
    <n v="0.03"/>
    <n v="23"/>
    <n v="3.52"/>
    <n v="923870"/>
    <n v="139"/>
  </r>
  <r>
    <x v="2374"/>
    <m/>
    <s v="TX"/>
    <s v="TX - Tarrant"/>
    <n v="76063"/>
    <s v="Texas Health Mansfield (Opening Winter 2020)"/>
    <s v="Short Term Acute Care Hospital"/>
    <s v="Mansfield"/>
    <m/>
    <m/>
    <m/>
    <m/>
    <m/>
    <m/>
    <m/>
    <m/>
    <n v="1004077"/>
    <m/>
  </r>
  <r>
    <x v="2374"/>
    <n v="670133"/>
    <s v="TX"/>
    <s v="TX - Tarrant"/>
    <n v="76063"/>
    <s v="Trusted Medical Centers - Mansfield"/>
    <s v="Short Term Acute Care Hospital"/>
    <s v="Mansfield"/>
    <m/>
    <m/>
    <m/>
    <m/>
    <m/>
    <m/>
    <m/>
    <m/>
    <n v="1007600"/>
    <m/>
  </r>
  <r>
    <x v="2374"/>
    <m/>
    <s v="TX"/>
    <s v="TX - Tarrant"/>
    <n v="76119"/>
    <s v="FMC Fort Worth"/>
    <s v="Short Term Acute Care Hospital"/>
    <s v="Forest Hill"/>
    <m/>
    <m/>
    <m/>
    <m/>
    <m/>
    <m/>
    <m/>
    <m/>
    <n v="1013609"/>
    <m/>
  </r>
  <r>
    <x v="2374"/>
    <m/>
    <s v="TX"/>
    <s v="TX - Tarrant"/>
    <n v="76063"/>
    <s v="Baylor Scott &amp; White Emergency Hospital - Mansfield"/>
    <s v="Short Term Acute Care Hospital"/>
    <s v="Mansfield"/>
    <m/>
    <m/>
    <n v="3"/>
    <m/>
    <m/>
    <m/>
    <m/>
    <m/>
    <n v="764510"/>
    <m/>
  </r>
  <r>
    <x v="2374"/>
    <s v="670062*"/>
    <s v="TX"/>
    <s v="TX - Tarrant"/>
    <n v="76248"/>
    <s v="Baylor Scott &amp; White Emergency Hospital - Keller"/>
    <s v="Short Term Acute Care Hospital"/>
    <s v="Keller"/>
    <m/>
    <m/>
    <n v="4"/>
    <m/>
    <m/>
    <m/>
    <m/>
    <m/>
    <n v="764506"/>
    <m/>
  </r>
  <r>
    <x v="2375"/>
    <n v="450558"/>
    <s v="TX"/>
    <s v="TX - Taylor"/>
    <n v="79606"/>
    <s v="Abilene Regional Medical Center"/>
    <s v="Short Term Acute Care Hospital"/>
    <s v="Abilene"/>
    <n v="59"/>
    <n v="4.0999999999999996"/>
    <n v="129"/>
    <n v="196"/>
    <n v="20"/>
    <n v="0.51"/>
    <n v="196"/>
    <n v="1.85"/>
    <n v="4152"/>
    <n v="5844"/>
  </r>
  <r>
    <x v="2375"/>
    <n v="450229"/>
    <s v="TX"/>
    <s v="TX - Taylor"/>
    <n v="79601"/>
    <s v="Hendrick Medical Center"/>
    <s v="Short Term Acute Care Hospital"/>
    <s v="Abilene"/>
    <n v="226.2"/>
    <n v="5.2"/>
    <n v="485"/>
    <n v="335"/>
    <n v="46"/>
    <n v="0.51"/>
    <n v="335"/>
    <n v="1.81"/>
    <n v="4153"/>
    <n v="16533"/>
  </r>
  <r>
    <x v="2376"/>
    <n v="450399"/>
    <s v="TX"/>
    <s v="TX - Terry"/>
    <n v="79316"/>
    <s v="Brownfield Regional Medical Center"/>
    <s v="Short Term Acute Care Hospital"/>
    <s v="Brownfield"/>
    <n v="4.0999999999999996"/>
    <n v="3.7"/>
    <n v="12"/>
    <n v="26"/>
    <m/>
    <m/>
    <n v="26"/>
    <n v="0.98"/>
    <n v="4154"/>
    <n v="430"/>
  </r>
  <r>
    <x v="2377"/>
    <n v="450080"/>
    <s v="TX"/>
    <s v="TX - Titus"/>
    <n v="75455"/>
    <s v="Titus Regional Medical Center"/>
    <s v="Short Term Acute Care Hospital"/>
    <s v="Mount Pleasant"/>
    <n v="26.5"/>
    <n v="3.7"/>
    <n v="129"/>
    <n v="49"/>
    <n v="8"/>
    <n v="0.61"/>
    <n v="49"/>
    <n v="1.43"/>
    <n v="4155"/>
    <n v="2971"/>
  </r>
  <r>
    <x v="2378"/>
    <n v="450571"/>
    <s v="TX"/>
    <s v="TX - Tom Green"/>
    <n v="76903"/>
    <s v="Shannon Medical Center"/>
    <s v="Short Term Acute Care Hospital"/>
    <s v="San Angelo"/>
    <n v="182.4"/>
    <n v="4.8"/>
    <n v="312"/>
    <n v="352"/>
    <n v="23"/>
    <n v="0.62"/>
    <n v="352"/>
    <n v="1.62"/>
    <n v="4156"/>
    <n v="14200"/>
  </r>
  <r>
    <x v="2378"/>
    <n v="450340"/>
    <s v="TX"/>
    <s v="TX - Tom Green"/>
    <n v="76904"/>
    <s v="San Angelo Community Medical Center"/>
    <s v="Short Term Acute Care Hospital"/>
    <s v="San Angelo"/>
    <n v="39.700000000000003"/>
    <n v="4.2"/>
    <n v="115"/>
    <n v="131"/>
    <n v="12"/>
    <n v="0.62"/>
    <n v="131"/>
    <n v="1.75"/>
    <n v="4157"/>
    <n v="3820"/>
  </r>
  <r>
    <x v="2379"/>
    <n v="450431"/>
    <s v="TX"/>
    <s v="TX - Travis"/>
    <n v="78705"/>
    <s v="St Davids Medical Center"/>
    <s v="Short Term Acute Care Hospital"/>
    <s v="Austin"/>
    <n v="331.1"/>
    <n v="5"/>
    <n v="723"/>
    <n v="505"/>
    <n v="70"/>
    <n v="0.09"/>
    <n v="350"/>
    <n v="2.08"/>
    <n v="4158"/>
    <n v="26462"/>
  </r>
  <r>
    <x v="2379"/>
    <n v="450056"/>
    <s v="TX"/>
    <s v="TX - Travis"/>
    <n v="78705"/>
    <s v="Ascension Seton Medical Center Austin"/>
    <s v="Short Term Acute Care Hospital"/>
    <s v="Austin"/>
    <n v="261.60000000000002"/>
    <n v="5.7"/>
    <n v="470"/>
    <n v="430"/>
    <n v="83"/>
    <n v="0.09"/>
    <n v="430"/>
    <n v="2.04"/>
    <n v="4159"/>
    <n v="18629"/>
  </r>
  <r>
    <x v="2379"/>
    <m/>
    <s v="TX"/>
    <s v="TX - Travis"/>
    <n v="78701"/>
    <s v="University Medical Center Brackenridge (Closed)"/>
    <s v="Short Term Acute Care Hospital"/>
    <s v="Austin"/>
    <m/>
    <m/>
    <m/>
    <m/>
    <m/>
    <m/>
    <m/>
    <m/>
    <n v="4160"/>
    <m/>
  </r>
  <r>
    <x v="2379"/>
    <n v="450871"/>
    <s v="TX"/>
    <s v="TX - Travis"/>
    <n v="78746"/>
    <s v="Arise Austin Medical Center (FKA Austin Surgical Hospital)"/>
    <s v="Short Term Acute Care Hospital"/>
    <s v="Austin"/>
    <n v="2.7"/>
    <n v="1.8"/>
    <n v="47"/>
    <n v="21"/>
    <m/>
    <n v="0.09"/>
    <n v="21"/>
    <n v="2.4500000000000002"/>
    <n v="4161"/>
    <n v="535"/>
  </r>
  <r>
    <x v="2379"/>
    <n v="450867"/>
    <s v="TX"/>
    <s v="TX - Travis"/>
    <n v="78759"/>
    <s v="Ascension Seton Northwest (FKA Seton Northwest Hospital)"/>
    <s v="Short Term Acute Care Hospital"/>
    <s v="Austin"/>
    <n v="43.2"/>
    <n v="3.8"/>
    <n v="98"/>
    <n v="106"/>
    <n v="16"/>
    <n v="0.09"/>
    <n v="106"/>
    <n v="1.42"/>
    <n v="4163"/>
    <n v="4933"/>
  </r>
  <r>
    <x v="2379"/>
    <n v="450809"/>
    <s v="TX"/>
    <s v="TX - Travis"/>
    <n v="78758"/>
    <s v="St Davids North Austin Medical Center"/>
    <s v="Short Term Acute Care Hospital"/>
    <s v="Austin"/>
    <n v="279.7"/>
    <n v="5.2"/>
    <n v="502"/>
    <n v="377"/>
    <n v="24"/>
    <n v="0.09"/>
    <n v="350"/>
    <n v="1.71"/>
    <n v="4165"/>
    <n v="22544"/>
  </r>
  <r>
    <x v="2379"/>
    <s v="450809*"/>
    <s v="TX"/>
    <s v="TX - Travis"/>
    <n v="78756"/>
    <s v="Heart Hospital of Austin"/>
    <s v="Short Term Acute Care Hospital"/>
    <s v="Austin"/>
    <m/>
    <m/>
    <m/>
    <m/>
    <m/>
    <m/>
    <n v="58"/>
    <m/>
    <n v="4166"/>
    <m/>
  </r>
  <r>
    <x v="2379"/>
    <n v="450713"/>
    <s v="TX"/>
    <s v="TX - Travis"/>
    <n v="78704"/>
    <s v="St Davids South Austin Medical Center"/>
    <s v="Short Term Acute Care Hospital"/>
    <s v="Austin"/>
    <n v="254.2"/>
    <n v="5"/>
    <n v="401"/>
    <n v="299"/>
    <n v="30"/>
    <n v="0.09"/>
    <n v="299"/>
    <n v="1.83"/>
    <n v="4167"/>
    <n v="19649"/>
  </r>
  <r>
    <x v="2379"/>
    <s v="670034*"/>
    <s v="TX"/>
    <s v="TX - Travis"/>
    <n v="78738"/>
    <s v="Baylor Scott &amp; White Medical Center - Lakeway (FKA Lakeway Regional Medical Center)"/>
    <s v="Short Term Acute Care Hospital"/>
    <s v="Lakeway"/>
    <m/>
    <m/>
    <n v="21"/>
    <m/>
    <m/>
    <m/>
    <m/>
    <m/>
    <n v="542250"/>
    <m/>
  </r>
  <r>
    <x v="2379"/>
    <n v="450124"/>
    <s v="TX"/>
    <s v="TX - Travis"/>
    <n v="78701"/>
    <s v="Dell Seton Medical Center at the University of Texas"/>
    <s v="Short Term Acute Care Hospital"/>
    <s v="Austin"/>
    <n v="192"/>
    <n v="5.8"/>
    <n v="326"/>
    <n v="226"/>
    <n v="60"/>
    <n v="0.09"/>
    <n v="211"/>
    <n v="2.0499999999999998"/>
    <n v="585559"/>
    <n v="11484"/>
  </r>
  <r>
    <x v="2379"/>
    <m/>
    <s v="TX"/>
    <s v="TX - Travis"/>
    <n v="78735"/>
    <s v="Baylor Scott &amp; White Clinic - Austin Oak Hill"/>
    <s v="Short Term Acute Care Hospital"/>
    <s v="Austin"/>
    <m/>
    <m/>
    <m/>
    <m/>
    <m/>
    <m/>
    <m/>
    <m/>
    <n v="923847"/>
    <m/>
  </r>
  <r>
    <x v="2379"/>
    <m/>
    <s v="TX"/>
    <s v="TX - Travis"/>
    <n v="78732"/>
    <s v="Family Emergency Hospital at Lake Travis"/>
    <s v="Short Term Acute Care Hospital"/>
    <s v="Austin"/>
    <m/>
    <m/>
    <m/>
    <m/>
    <m/>
    <m/>
    <m/>
    <m/>
    <n v="968472"/>
    <m/>
  </r>
  <r>
    <x v="2379"/>
    <n v="450808"/>
    <s v="TX"/>
    <s v="TX - Travis"/>
    <n v="78731"/>
    <s v="Northwest Hills Surgical Hospital (AKA Austin Surgery Center)"/>
    <s v="Short Term Acute Care Hospital"/>
    <s v="Austin"/>
    <n v="1.7"/>
    <n v="1.2"/>
    <n v="40"/>
    <n v="8"/>
    <m/>
    <n v="0.09"/>
    <n v="8"/>
    <n v="4.2300000000000004"/>
    <n v="4164"/>
    <n v="515"/>
  </r>
  <r>
    <x v="2379"/>
    <n v="670128"/>
    <s v="TX"/>
    <s v="TX - Travis"/>
    <n v="78660"/>
    <s v="Baylor Scott &amp; White Medical Center - Pflugerville (AKA Pflugerville Medical Center)"/>
    <s v="Short Term Acute Care Hospital"/>
    <s v="Pflugerville"/>
    <n v="3.3"/>
    <n v="2.2999999999999998"/>
    <n v="3"/>
    <n v="25"/>
    <n v="6"/>
    <n v="0.09"/>
    <n v="25"/>
    <m/>
    <n v="975984"/>
    <n v="523"/>
  </r>
  <r>
    <x v="2379"/>
    <n v="670006"/>
    <s v="TX"/>
    <s v="TX - Travis"/>
    <n v="78746"/>
    <s v="The Hospital at Westlake Medical Center"/>
    <s v="Short Term Acute Care Hospital"/>
    <s v="Austin"/>
    <n v="5.4"/>
    <n v="2.4"/>
    <n v="55"/>
    <n v="23"/>
    <m/>
    <n v="0.09"/>
    <n v="23"/>
    <n v="2.2999999999999998"/>
    <n v="4168"/>
    <n v="816"/>
  </r>
  <r>
    <x v="2380"/>
    <s v="450749 (Closed)"/>
    <s v="TX"/>
    <s v="TX - Trinity"/>
    <n v="75862"/>
    <s v="East Texas Medical Center - Trinity (Closed)"/>
    <s v="Short Term Acute Care Hospital"/>
    <s v="Trinity"/>
    <n v="0.4"/>
    <n v="3.3"/>
    <m/>
    <m/>
    <m/>
    <m/>
    <m/>
    <m/>
    <n v="4169"/>
    <n v="47"/>
  </r>
  <r>
    <x v="2381"/>
    <n v="450460"/>
    <s v="TX"/>
    <s v="TX - Tyler"/>
    <n v="75979"/>
    <s v="Tyler County Hospital"/>
    <s v="Short Term Acute Care Hospital"/>
    <s v="Woodville"/>
    <n v="2.4"/>
    <n v="2.8"/>
    <n v="21"/>
    <n v="25"/>
    <m/>
    <m/>
    <n v="25"/>
    <n v="0.98"/>
    <n v="4170"/>
    <n v="305"/>
  </r>
  <r>
    <x v="2382"/>
    <s v="450884 (Closed)"/>
    <s v="TX"/>
    <s v="TX - Upshur"/>
    <n v="75644"/>
    <s v="East Texas Medical Center - Gilmer (Closed October 31 2014)"/>
    <s v="Short Term Acute Care Hospital"/>
    <s v="Gilmer"/>
    <n v="4.8"/>
    <n v="3.6"/>
    <m/>
    <m/>
    <m/>
    <n v="0.31"/>
    <m/>
    <m/>
    <n v="4171"/>
    <n v="480"/>
  </r>
  <r>
    <x v="2383"/>
    <n v="450154"/>
    <s v="TX"/>
    <s v="TX - Val Verde"/>
    <n v="78840"/>
    <s v="Val Verde Regional Medical Center"/>
    <s v="Short Term Acute Care Hospital"/>
    <s v="Del Rio"/>
    <n v="17.5"/>
    <n v="6.4"/>
    <n v="117"/>
    <n v="47"/>
    <n v="7"/>
    <n v="1"/>
    <n v="47"/>
    <n v="1.35"/>
    <n v="4174"/>
    <n v="1222"/>
  </r>
  <r>
    <x v="2384"/>
    <s v="450283 (Closed)"/>
    <s v="TX"/>
    <s v="TX - Van Zandt"/>
    <n v="75140"/>
    <s v="Cozby - Germany Hospital (Closed August 2013)"/>
    <s v="Short Term Acute Care Hospital"/>
    <s v="Grand Saline"/>
    <n v="3.1"/>
    <n v="2.2000000000000002"/>
    <m/>
    <m/>
    <m/>
    <m/>
    <m/>
    <m/>
    <n v="4175"/>
    <n v="518"/>
  </r>
  <r>
    <x v="2384"/>
    <s v="670117 (Closed)"/>
    <s v="TX"/>
    <s v="TX - Van Zandt"/>
    <n v="75140"/>
    <s v="Texas General - Grand Saline Hospital (Closed)"/>
    <s v="Short Term Acute Care Hospital"/>
    <s v="Grand Saline"/>
    <m/>
    <m/>
    <m/>
    <m/>
    <m/>
    <m/>
    <m/>
    <n v="0.84"/>
    <n v="841693"/>
    <m/>
  </r>
  <r>
    <x v="2385"/>
    <n v="450147"/>
    <s v="TX"/>
    <s v="TX - Victoria"/>
    <n v="77901"/>
    <s v="DeTar Hospital Navarro"/>
    <s v="Short Term Acute Care Hospital"/>
    <s v="Victoria"/>
    <n v="92.9"/>
    <n v="4.3"/>
    <n v="108"/>
    <n v="206"/>
    <n v="32"/>
    <n v="0.53"/>
    <n v="206"/>
    <n v="1.61"/>
    <n v="4176"/>
    <n v="8017"/>
  </r>
  <r>
    <x v="2385"/>
    <n v="450023"/>
    <s v="TX"/>
    <s v="TX - Victoria"/>
    <n v="77901"/>
    <s v="Citizens Medical Center"/>
    <s v="Short Term Acute Care Hospital"/>
    <s v="Victoria"/>
    <n v="70.900000000000006"/>
    <n v="4.9000000000000004"/>
    <n v="179"/>
    <n v="307"/>
    <n v="14"/>
    <n v="0.53"/>
    <n v="307"/>
    <n v="1.61"/>
    <n v="4177"/>
    <n v="5570"/>
  </r>
  <r>
    <x v="2385"/>
    <s v="450147*"/>
    <s v="TX"/>
    <s v="TX - Victoria"/>
    <n v="77904"/>
    <s v="DeTar Hospital North"/>
    <s v="Short Term Acute Care Hospital"/>
    <s v="Victoria"/>
    <m/>
    <m/>
    <m/>
    <m/>
    <m/>
    <m/>
    <n v="115"/>
    <m/>
    <n v="550003"/>
    <m/>
  </r>
  <r>
    <x v="2385"/>
    <m/>
    <s v="TX"/>
    <s v="TX - Victoria"/>
    <n v="77901"/>
    <s v="PAM Specialty Hospital of Victoria - Southeast"/>
    <s v="Short Term Acute Care Hospital"/>
    <s v="Victoria"/>
    <m/>
    <m/>
    <m/>
    <m/>
    <m/>
    <m/>
    <m/>
    <m/>
    <n v="1005890"/>
    <m/>
  </r>
  <r>
    <x v="2386"/>
    <n v="450347"/>
    <s v="TX"/>
    <s v="TX - Walker"/>
    <n v="77340"/>
    <s v="Huntsville Memorial Hospital"/>
    <s v="Short Term Acute Care Hospital"/>
    <s v="Huntsville"/>
    <n v="55"/>
    <n v="4.5999999999999996"/>
    <n v="107"/>
    <n v="90"/>
    <n v="6"/>
    <n v="1"/>
    <n v="90"/>
    <n v="1.37"/>
    <n v="4178"/>
    <n v="4374"/>
  </r>
  <r>
    <x v="2387"/>
    <n v="450187"/>
    <s v="TX"/>
    <s v="TX - Washington"/>
    <n v="77833"/>
    <s v="Baylor Scott &amp; White Medical Center - Brenham"/>
    <s v="Short Term Acute Care Hospital"/>
    <s v="Brenham"/>
    <n v="11.1"/>
    <n v="2.2999999999999998"/>
    <n v="48"/>
    <n v="50"/>
    <n v="5"/>
    <n v="1"/>
    <n v="50"/>
    <n v="1.32"/>
    <n v="4180"/>
    <n v="1739"/>
  </r>
  <r>
    <x v="2388"/>
    <n v="450029"/>
    <s v="TX"/>
    <s v="TX - Webb"/>
    <n v="78041"/>
    <s v="Laredo Medical Center"/>
    <s v="Short Term Acute Care Hospital"/>
    <s v="Laredo"/>
    <n v="190"/>
    <n v="5.6"/>
    <n v="216"/>
    <n v="294"/>
    <n v="40"/>
    <n v="0.52"/>
    <n v="294"/>
    <n v="1.88"/>
    <n v="4181"/>
    <n v="13264"/>
  </r>
  <r>
    <x v="2388"/>
    <n v="450643"/>
    <s v="TX"/>
    <s v="TX - Webb"/>
    <n v="78045"/>
    <s v="Doctors Hospital of Laredo"/>
    <s v="Short Term Acute Care Hospital"/>
    <s v="Laredo"/>
    <n v="101.1"/>
    <n v="5"/>
    <n v="162"/>
    <n v="171"/>
    <n v="24"/>
    <n v="0.52"/>
    <n v="171"/>
    <n v="1.87"/>
    <n v="4182"/>
    <n v="7894"/>
  </r>
  <r>
    <x v="2389"/>
    <n v="450694"/>
    <s v="TX"/>
    <s v="TX - Wharton"/>
    <n v="77437"/>
    <s v="El Campo Memorial Hospital"/>
    <s v="Short Term Acute Care Hospital"/>
    <s v="El Campo"/>
    <n v="7.5"/>
    <n v="4.3"/>
    <n v="48"/>
    <n v="26"/>
    <n v="4"/>
    <n v="0.51"/>
    <n v="26"/>
    <n v="1.1200000000000001"/>
    <n v="4183"/>
    <n v="638"/>
  </r>
  <r>
    <x v="2389"/>
    <s v="450214 (Closed)"/>
    <s v="TX"/>
    <s v="TX - Wharton"/>
    <n v="77488"/>
    <s v="Gulf Coast Medical Center (Closed)"/>
    <s v="Short Term Acute Care Hospital"/>
    <s v="Wharton"/>
    <n v="9.6"/>
    <n v="5.6"/>
    <m/>
    <m/>
    <m/>
    <n v="0.51"/>
    <m/>
    <m/>
    <n v="4184"/>
    <n v="624"/>
  </r>
  <r>
    <x v="2389"/>
    <m/>
    <s v="TX"/>
    <s v="TX - Wharton"/>
    <n v="77488"/>
    <s v="OakBend Medical Center - Wharton Hospital Campus"/>
    <s v="Short Term Acute Care Hospital"/>
    <s v="Wharton"/>
    <m/>
    <m/>
    <m/>
    <m/>
    <m/>
    <m/>
    <m/>
    <m/>
    <n v="957377"/>
    <m/>
  </r>
  <r>
    <x v="1052"/>
    <n v="450827"/>
    <s v="TX"/>
    <s v="TX - Wichita"/>
    <n v="76310"/>
    <s v="Kell West Regional Hospital"/>
    <s v="Short Term Acute Care Hospital"/>
    <s v="Wichita Falls"/>
    <n v="9.1999999999999993"/>
    <n v="2.9"/>
    <n v="51"/>
    <n v="41"/>
    <m/>
    <n v="0.74"/>
    <n v="41"/>
    <n v="2.2599999999999998"/>
    <n v="4187"/>
    <n v="1169"/>
  </r>
  <r>
    <x v="1052"/>
    <n v="450010"/>
    <s v="TX"/>
    <s v="TX - Wichita"/>
    <n v="76301"/>
    <s v="United Regional Health Care System (FKA United Regional Medical Center)"/>
    <s v="Short Term Acute Care Hospital"/>
    <s v="Wichita Falls"/>
    <n v="162.1"/>
    <n v="4.3"/>
    <n v="345"/>
    <n v="250"/>
    <n v="12"/>
    <n v="0.74"/>
    <n v="250"/>
    <n v="1.67"/>
    <n v="4188"/>
    <n v="14853"/>
  </r>
  <r>
    <x v="2390"/>
    <n v="450584"/>
    <s v="TX"/>
    <s v="TX - Wilbarger"/>
    <n v="76384"/>
    <s v="Wilbarger General Hospital"/>
    <s v="Short Term Acute Care Hospital"/>
    <s v="Vernon"/>
    <n v="7.6"/>
    <n v="3.9"/>
    <n v="47"/>
    <n v="28"/>
    <m/>
    <n v="1"/>
    <n v="28"/>
    <n v="1.1599999999999999"/>
    <n v="4189"/>
    <n v="715"/>
  </r>
  <r>
    <x v="2390"/>
    <m/>
    <s v="TX"/>
    <s v="TX - Wilbarger"/>
    <n v="76384"/>
    <s v="Methodist Midlothian Medical Center (Opening Late 2020)"/>
    <s v="Short Term Acute Care Hospital"/>
    <s v="Vernon"/>
    <m/>
    <m/>
    <m/>
    <m/>
    <m/>
    <m/>
    <m/>
    <m/>
    <n v="1010600"/>
    <m/>
  </r>
  <r>
    <x v="1053"/>
    <n v="450718"/>
    <s v="TX"/>
    <s v="TX - Williamson"/>
    <n v="78681"/>
    <s v="St Davids Round Rock Medical Center"/>
    <s v="Short Term Acute Care Hospital"/>
    <s v="Round Rock"/>
    <n v="111.3"/>
    <n v="4.5"/>
    <n v="228"/>
    <n v="157"/>
    <n v="18"/>
    <n v="0.09"/>
    <n v="157"/>
    <n v="1.84"/>
    <n v="4190"/>
    <n v="9782"/>
  </r>
  <r>
    <x v="1053"/>
    <n v="670034"/>
    <s v="TX"/>
    <s v="TX - Williamson"/>
    <n v="78665"/>
    <s v="Baylor Scott &amp; White Medical Center - Round Rock"/>
    <s v="Short Term Acute Care Hospital"/>
    <s v="Round Rock"/>
    <n v="99.9"/>
    <n v="3.8"/>
    <n v="446"/>
    <n v="167"/>
    <n v="44"/>
    <n v="0.09"/>
    <n v="101"/>
    <n v="1.83"/>
    <n v="4192"/>
    <n v="10117"/>
  </r>
  <r>
    <x v="1053"/>
    <n v="670041"/>
    <s v="TX"/>
    <s v="TX - Williamson"/>
    <n v="78665"/>
    <s v="Ascension Seton Williamson (FKA Seton Medical Center Williamson)"/>
    <s v="Short Term Acute Care Hospital"/>
    <s v="Round Rock"/>
    <n v="92.9"/>
    <n v="4.7"/>
    <n v="132"/>
    <n v="119"/>
    <n v="26"/>
    <n v="0.09"/>
    <n v="119"/>
    <n v="1.78"/>
    <n v="4193"/>
    <n v="7351"/>
  </r>
  <r>
    <x v="1053"/>
    <n v="670043"/>
    <s v="TX"/>
    <s v="TX - Williamson"/>
    <n v="78613"/>
    <s v="Cedar Park Regional Medical Center"/>
    <s v="Short Term Acute Care Hospital"/>
    <s v="Cedar Park"/>
    <n v="47.8"/>
    <n v="3.2"/>
    <n v="188"/>
    <n v="93"/>
    <n v="12"/>
    <n v="0.09"/>
    <n v="93"/>
    <n v="1.61"/>
    <n v="4194"/>
    <n v="5925"/>
  </r>
  <r>
    <x v="1053"/>
    <s v="450431*"/>
    <s v="TX"/>
    <s v="TX - Williamson"/>
    <n v="78626"/>
    <s v="St Davids Georgetown Hospital"/>
    <s v="Short Term Acute Care Hospital"/>
    <s v="Georgetown"/>
    <m/>
    <m/>
    <n v="9"/>
    <m/>
    <m/>
    <m/>
    <n v="111"/>
    <m/>
    <n v="4846"/>
    <m/>
  </r>
  <r>
    <x v="1053"/>
    <m/>
    <s v="TX"/>
    <s v="TX - Williamson"/>
    <n v="78613"/>
    <s v="Baylor Scott &amp; White Emergency Medical Center - Cedar Park"/>
    <s v="Short Term Acute Care Hospital"/>
    <s v="Cedar Park"/>
    <n v="0"/>
    <n v="1.3"/>
    <n v="5"/>
    <n v="8"/>
    <m/>
    <n v="0.09"/>
    <n v="8"/>
    <n v="0.96"/>
    <n v="551505"/>
    <n v="6"/>
  </r>
  <r>
    <x v="1053"/>
    <m/>
    <s v="TX"/>
    <s v="TX - Williamson"/>
    <n v="78665"/>
    <s v="Cornerstone Specialty Hospitals Round Rock"/>
    <s v="Short Term Acute Care Hospital"/>
    <s v="Round Rock"/>
    <m/>
    <m/>
    <m/>
    <m/>
    <m/>
    <m/>
    <n v="54"/>
    <m/>
    <n v="581961"/>
    <m/>
  </r>
  <r>
    <x v="1053"/>
    <m/>
    <s v="TX"/>
    <s v="TX - Williamson"/>
    <n v="78681"/>
    <s v="St Davids Surgical Hospital (FKA Forest Park Medical Center - Austin)"/>
    <s v="Short Term Acute Care Hospital"/>
    <s v="Austin"/>
    <m/>
    <m/>
    <m/>
    <m/>
    <m/>
    <m/>
    <n v="46"/>
    <m/>
    <n v="585472"/>
    <m/>
  </r>
  <r>
    <x v="1053"/>
    <m/>
    <s v="TX"/>
    <s v="TX - Williamson"/>
    <n v="78681"/>
    <s v="Family Emergency Room Surgical Hospital"/>
    <s v="Short Term Acute Care Hospital"/>
    <s v="Austin"/>
    <m/>
    <m/>
    <m/>
    <m/>
    <m/>
    <m/>
    <m/>
    <m/>
    <n v="1006866"/>
    <m/>
  </r>
  <r>
    <x v="1053"/>
    <m/>
    <s v="TX"/>
    <s v="TX - Williamson"/>
    <n v="78681"/>
    <s v="Brushy Creek Family Hospital"/>
    <s v="Short Term Acute Care Hospital"/>
    <s v="Round Rock"/>
    <m/>
    <m/>
    <m/>
    <m/>
    <m/>
    <m/>
    <m/>
    <m/>
    <n v="1011082"/>
    <m/>
  </r>
  <r>
    <x v="2391"/>
    <n v="450108"/>
    <s v="TX"/>
    <s v="TX - Wilson"/>
    <n v="78114"/>
    <s v="Connally Memorial Medical Center"/>
    <s v="Short Term Acute Care Hospital"/>
    <s v="Floresville"/>
    <n v="7.8"/>
    <n v="3.6"/>
    <n v="96"/>
    <n v="44"/>
    <n v="4"/>
    <n v="0.19"/>
    <n v="44"/>
    <n v="1.28"/>
    <n v="4195"/>
    <n v="790"/>
  </r>
  <r>
    <x v="2392"/>
    <n v="450271"/>
    <s v="TX"/>
    <s v="TX - Wise"/>
    <n v="76234"/>
    <s v="Wise Health System - East Campus"/>
    <s v="Short Term Acute Care Hospital"/>
    <s v="Decatur"/>
    <n v="52.9"/>
    <n v="4"/>
    <n v="228"/>
    <n v="81"/>
    <n v="21"/>
    <n v="0.03"/>
    <n v="49"/>
    <n v="1.52"/>
    <n v="4196"/>
    <n v="5148"/>
  </r>
  <r>
    <x v="2392"/>
    <s v="450271* (Closed)"/>
    <s v="TX"/>
    <s v="TX - Wise"/>
    <n v="76426"/>
    <s v="Wise Regional Health System - Bridgeport (FKA North Texas Community Hospital - Inpatient Closed)"/>
    <s v="Short Term Acute Care Hospital"/>
    <s v="Bridgeport"/>
    <m/>
    <m/>
    <m/>
    <m/>
    <m/>
    <m/>
    <m/>
    <m/>
    <n v="4197"/>
    <m/>
  </r>
  <r>
    <x v="2392"/>
    <s v="450271*"/>
    <s v="TX"/>
    <s v="TX - Wise"/>
    <n v="76234"/>
    <s v="Wise Health System - West Campus"/>
    <s v="Short Term Acute Care Hospital"/>
    <s v="Decatur"/>
    <m/>
    <m/>
    <m/>
    <m/>
    <m/>
    <m/>
    <m/>
    <m/>
    <n v="553436"/>
    <m/>
  </r>
  <r>
    <x v="1057"/>
    <n v="450085"/>
    <s v="TX"/>
    <s v="TX - Young"/>
    <n v="76450"/>
    <s v="Graham Regional Medical Center"/>
    <s v="Short Term Acute Care Hospital"/>
    <s v="Graham"/>
    <n v="6.5"/>
    <n v="4"/>
    <n v="37"/>
    <n v="25"/>
    <m/>
    <m/>
    <n v="25"/>
    <n v="1.3"/>
    <n v="4200"/>
    <n v="593"/>
  </r>
  <r>
    <x v="2393"/>
    <n v="460039"/>
    <s v="UT"/>
    <s v="UT - Box Elder"/>
    <n v="84337"/>
    <s v="Bear River Valley Hospital"/>
    <s v="Short Term Acute Care Hospital"/>
    <s v="Tremonton"/>
    <n v="2.2999999999999998"/>
    <n v="2.4"/>
    <n v="24"/>
    <n v="16"/>
    <m/>
    <n v="0.32"/>
    <n v="16"/>
    <n v="1.32"/>
    <n v="4202"/>
    <n v="424"/>
  </r>
  <r>
    <x v="2393"/>
    <n v="460017"/>
    <s v="UT"/>
    <s v="UT - Box Elder"/>
    <n v="84302"/>
    <s v="Brigham City Community Hospital"/>
    <s v="Short Term Acute Care Hospital"/>
    <s v="Brigham City"/>
    <n v="7.1"/>
    <n v="2.9"/>
    <n v="62"/>
    <n v="40"/>
    <m/>
    <n v="0.32"/>
    <n v="40"/>
    <n v="1.33"/>
    <n v="4203"/>
    <n v="1082"/>
  </r>
  <r>
    <x v="2394"/>
    <n v="460015"/>
    <s v="UT"/>
    <s v="UT - Cache"/>
    <n v="84341"/>
    <s v="Logan Regional Hospital"/>
    <s v="Short Term Acute Care Hospital"/>
    <s v="Logan"/>
    <n v="38"/>
    <n v="2.9"/>
    <n v="240"/>
    <n v="130"/>
    <n v="14"/>
    <n v="0.66"/>
    <n v="130"/>
    <n v="1.76"/>
    <n v="4204"/>
    <n v="5834"/>
  </r>
  <r>
    <x v="2394"/>
    <n v="460054"/>
    <s v="UT"/>
    <s v="UT - Cache"/>
    <n v="84341"/>
    <s v="Cache Valley Hospital"/>
    <s v="Short Term Acute Care Hospital"/>
    <s v="North Logan"/>
    <n v="3.8"/>
    <n v="2.2999999999999998"/>
    <n v="35"/>
    <n v="28"/>
    <m/>
    <n v="0.66"/>
    <n v="22"/>
    <n v="2.29"/>
    <n v="4205"/>
    <n v="693"/>
  </r>
  <r>
    <x v="2395"/>
    <n v="460011"/>
    <s v="UT"/>
    <s v="UT - Carbon"/>
    <n v="84501"/>
    <s v="Castleview Hospital"/>
    <s v="Short Term Acute Care Hospital"/>
    <s v="Price"/>
    <n v="11.3"/>
    <n v="3.6"/>
    <n v="96"/>
    <n v="39"/>
    <n v="6"/>
    <n v="1"/>
    <n v="39"/>
    <n v="1.45"/>
    <n v="4206"/>
    <n v="1304"/>
  </r>
  <r>
    <x v="2396"/>
    <n v="460041"/>
    <s v="UT"/>
    <s v="UT - Davis"/>
    <n v="84041"/>
    <s v="Davis Hospital and Medical Center"/>
    <s v="Short Term Acute Care Hospital"/>
    <s v="Layton"/>
    <n v="39.9"/>
    <n v="4"/>
    <n v="332"/>
    <n v="170"/>
    <n v="14"/>
    <n v="0.32"/>
    <n v="170"/>
    <n v="1.76"/>
    <n v="4207"/>
    <n v="4707"/>
  </r>
  <r>
    <x v="2396"/>
    <n v="460042"/>
    <s v="UT"/>
    <s v="UT - Davis"/>
    <n v="84010"/>
    <s v="Lakeview Hospital"/>
    <s v="Short Term Acute Care Hospital"/>
    <s v="Bountiful"/>
    <n v="30.9"/>
    <n v="3.5"/>
    <n v="160"/>
    <n v="82"/>
    <n v="8"/>
    <n v="0.32"/>
    <n v="82"/>
    <n v="1.91"/>
    <n v="4208"/>
    <n v="3606"/>
  </r>
  <r>
    <x v="2396"/>
    <n v="460061"/>
    <s v="UT"/>
    <s v="UT - Davis"/>
    <n v="84041"/>
    <s v="Layton Hospital"/>
    <s v="Short Term Acute Care Hospital"/>
    <s v="Layton"/>
    <m/>
    <m/>
    <n v="25"/>
    <m/>
    <m/>
    <m/>
    <n v="43"/>
    <n v="1.81"/>
    <n v="851005"/>
    <m/>
  </r>
  <r>
    <x v="2396"/>
    <m/>
    <s v="UT"/>
    <s v="UT - Davis"/>
    <n v="84075"/>
    <s v="ViewPoint Center"/>
    <s v="Short Term Acute Care Hospital"/>
    <s v="Syracuse"/>
    <m/>
    <m/>
    <m/>
    <m/>
    <m/>
    <m/>
    <m/>
    <m/>
    <n v="966727"/>
    <m/>
  </r>
  <r>
    <x v="2397"/>
    <n v="460019"/>
    <s v="UT"/>
    <s v="UT - Duchesne"/>
    <n v="84066"/>
    <s v="Uintah Basin Medical Center"/>
    <s v="Short Term Acute Care Hospital"/>
    <s v="Roosevelt"/>
    <n v="10.199999999999999"/>
    <n v="3.4"/>
    <n v="84"/>
    <n v="32"/>
    <n v="4"/>
    <m/>
    <n v="32"/>
    <n v="1.63"/>
    <n v="4209"/>
    <n v="1475"/>
  </r>
  <r>
    <x v="2398"/>
    <n v="460007"/>
    <s v="UT"/>
    <s v="UT - Iron"/>
    <n v="84721"/>
    <s v="Cedar City Hospital (FKA Valley View Medical Center)"/>
    <s v="Short Term Acute Care Hospital"/>
    <s v="Cedar City"/>
    <n v="14.3"/>
    <n v="3.4"/>
    <n v="94"/>
    <n v="48"/>
    <n v="6"/>
    <n v="1"/>
    <n v="48"/>
    <n v="1.54"/>
    <n v="4211"/>
    <n v="1934"/>
  </r>
  <r>
    <x v="2399"/>
    <n v="460058"/>
    <s v="UT"/>
    <s v="UT - Salt Lake"/>
    <n v="84065"/>
    <s v="Riverton Hospital"/>
    <s v="Short Term Acute Care Hospital"/>
    <s v="Riverton"/>
    <n v="34.6"/>
    <n v="3.2"/>
    <n v="264"/>
    <n v="87"/>
    <n v="4"/>
    <n v="0.21"/>
    <n v="87"/>
    <n v="1.45"/>
    <n v="4215"/>
    <n v="5255"/>
  </r>
  <r>
    <x v="2399"/>
    <n v="460044"/>
    <s v="UT"/>
    <s v="UT - Salt Lake"/>
    <n v="84094"/>
    <s v="Alta View Hospital"/>
    <s v="Short Term Acute Care Hospital"/>
    <s v="Sandy"/>
    <n v="17.899999999999999"/>
    <n v="3.2"/>
    <n v="165"/>
    <n v="58"/>
    <n v="4"/>
    <n v="0.21"/>
    <n v="58"/>
    <n v="1.62"/>
    <n v="4218"/>
    <n v="2780"/>
  </r>
  <r>
    <x v="2399"/>
    <n v="460047"/>
    <s v="UT"/>
    <s v="UT - Salt Lake"/>
    <n v="84124"/>
    <s v="St Marks Hospital"/>
    <s v="Short Term Acute Care Hospital"/>
    <s v="Salt Lake City"/>
    <n v="137.69999999999999"/>
    <n v="4.0999999999999996"/>
    <n v="446"/>
    <n v="233"/>
    <n v="18"/>
    <n v="0.21"/>
    <n v="233"/>
    <n v="1.95"/>
    <n v="4219"/>
    <n v="13017"/>
  </r>
  <r>
    <x v="2399"/>
    <n v="460049"/>
    <s v="UT"/>
    <s v="UT - Salt Lake"/>
    <n v="84107"/>
    <s v="The Orthopedic Specialty Hospital (AKA TOSH)"/>
    <s v="Short Term Acute Care Hospital"/>
    <s v="Murray"/>
    <n v="8.1"/>
    <n v="1.7"/>
    <n v="67"/>
    <n v="40"/>
    <m/>
    <n v="0.21"/>
    <n v="40"/>
    <n v="2.52"/>
    <n v="4220"/>
    <n v="1739"/>
  </r>
  <r>
    <x v="2399"/>
    <n v="460051"/>
    <s v="UT"/>
    <s v="UT - Salt Lake"/>
    <n v="84088"/>
    <s v="Jordan Valley Medical Center"/>
    <s v="Short Term Acute Care Hospital"/>
    <s v="West Jordan"/>
    <n v="76"/>
    <n v="3.8"/>
    <n v="275"/>
    <n v="278"/>
    <n v="46"/>
    <n v="0.21"/>
    <n v="171"/>
    <n v="1.75"/>
    <n v="4221"/>
    <n v="9346"/>
  </r>
  <r>
    <x v="2399"/>
    <n v="460009"/>
    <s v="UT"/>
    <s v="UT - Salt Lake"/>
    <n v="84132"/>
    <s v="University of Utah Hospital"/>
    <s v="Short Term Acute Care Hospital"/>
    <s v="Salt Lake City"/>
    <n v="414.8"/>
    <n v="5"/>
    <n v="1563"/>
    <n v="523"/>
    <n v="38"/>
    <n v="0.21"/>
    <n v="472"/>
    <n v="2.3199999999999998"/>
    <n v="4222"/>
    <n v="32440"/>
  </r>
  <r>
    <x v="2399"/>
    <n v="460010"/>
    <s v="UT"/>
    <s v="UT - Salt Lake"/>
    <n v="84107"/>
    <s v="Intermountain Medical Center"/>
    <s v="Short Term Acute Care Hospital"/>
    <s v="Murray"/>
    <n v="304"/>
    <n v="4.5999999999999996"/>
    <n v="988"/>
    <n v="478"/>
    <n v="24"/>
    <n v="0.21"/>
    <n v="478"/>
    <n v="2.17"/>
    <n v="4223"/>
    <n v="25975"/>
  </r>
  <r>
    <x v="2399"/>
    <n v="460006"/>
    <s v="UT"/>
    <s v="UT - Salt Lake"/>
    <n v="84143"/>
    <s v="LDS Hospital"/>
    <s v="Short Term Acute Care Hospital"/>
    <s v="Salt Lake City"/>
    <n v="88.7"/>
    <n v="4"/>
    <n v="207"/>
    <n v="216"/>
    <n v="28"/>
    <n v="0.21"/>
    <n v="216"/>
    <n v="1.81"/>
    <n v="4224"/>
    <n v="8691"/>
  </r>
  <r>
    <x v="2399"/>
    <n v="460003"/>
    <s v="UT"/>
    <s v="UT - Salt Lake"/>
    <n v="84102"/>
    <s v="Salt Lake Regional Medical Center"/>
    <s v="Short Term Acute Care Hospital"/>
    <s v="Salt Lake City"/>
    <n v="22"/>
    <n v="3.3"/>
    <n v="125"/>
    <n v="100"/>
    <n v="20"/>
    <n v="0.21"/>
    <n v="100"/>
    <n v="1.89"/>
    <n v="4225"/>
    <n v="2697"/>
  </r>
  <r>
    <x v="2399"/>
    <s v="460009*"/>
    <s v="UT"/>
    <s v="UT - Salt Lake"/>
    <n v="84112"/>
    <s v="HCI Cancer Hospital (AKA Huntsman Cancer Institute)"/>
    <s v="Short Term Acute Care Hospital"/>
    <s v="Salt Lake City"/>
    <m/>
    <m/>
    <m/>
    <m/>
    <m/>
    <m/>
    <n v="103"/>
    <m/>
    <n v="274260"/>
    <m/>
  </r>
  <r>
    <x v="2399"/>
    <s v="460051*"/>
    <s v="UT"/>
    <s v="UT - Salt Lake"/>
    <n v="84120"/>
    <s v="Jordan Valley Medical Center - West Valley Campus (FKA Pioneer Valley Hospital)"/>
    <s v="Short Term Acute Care Hospital"/>
    <s v="West Valley City"/>
    <m/>
    <m/>
    <n v="47"/>
    <m/>
    <m/>
    <m/>
    <n v="65"/>
    <m/>
    <n v="541913"/>
    <m/>
  </r>
  <r>
    <x v="2399"/>
    <n v="460060"/>
    <s v="UT"/>
    <s v="UT - Salt Lake"/>
    <n v="84020"/>
    <s v="Lone Peak Hospital"/>
    <s v="Short Term Acute Care Hospital"/>
    <s v="Draper"/>
    <n v="11.4"/>
    <n v="3.2"/>
    <n v="62"/>
    <n v="30"/>
    <n v="4"/>
    <n v="0.21"/>
    <n v="30"/>
    <n v="1.71"/>
    <n v="575766"/>
    <n v="1876"/>
  </r>
  <r>
    <x v="2400"/>
    <n v="460026"/>
    <s v="UT"/>
    <s v="UT - Sevier"/>
    <n v="84701"/>
    <s v="Sevier Valley Hospital"/>
    <s v="Short Term Acute Care Hospital"/>
    <s v="Richfield"/>
    <n v="6"/>
    <n v="2.9"/>
    <n v="48"/>
    <n v="24"/>
    <m/>
    <m/>
    <n v="24"/>
    <n v="1.42"/>
    <n v="4230"/>
    <n v="886"/>
  </r>
  <r>
    <x v="2401"/>
    <n v="460057"/>
    <s v="UT"/>
    <s v="UT - Summit"/>
    <n v="84060"/>
    <s v="Park City Hospital (FKA Park City Medical Center)"/>
    <s v="Short Term Acute Care Hospital"/>
    <s v="Park City"/>
    <n v="9.1"/>
    <n v="2.2999999999999998"/>
    <n v="112"/>
    <n v="37"/>
    <n v="4"/>
    <n v="0.63"/>
    <n v="37"/>
    <n v="1.7"/>
    <n v="4231"/>
    <n v="1848"/>
  </r>
  <r>
    <x v="2402"/>
    <n v="460014"/>
    <s v="UT"/>
    <s v="UT - Tooele"/>
    <n v="84074"/>
    <s v="Mountain West Medical Center"/>
    <s v="Short Term Acute Care Hospital"/>
    <s v="Tooele"/>
    <n v="9.6"/>
    <n v="2.7"/>
    <n v="86"/>
    <n v="36"/>
    <n v="4"/>
    <n v="0.21"/>
    <n v="36"/>
    <n v="1.3"/>
    <n v="4232"/>
    <n v="1620"/>
  </r>
  <r>
    <x v="2403"/>
    <n v="460030"/>
    <s v="UT"/>
    <s v="UT - Uintah"/>
    <n v="84078"/>
    <s v="Ashley Regional Medical Center"/>
    <s v="Short Term Acute Care Hospital"/>
    <s v="Vernal"/>
    <n v="8.6999999999999993"/>
    <n v="2.6"/>
    <n v="50"/>
    <n v="39"/>
    <n v="4"/>
    <n v="1"/>
    <n v="39"/>
    <n v="1.33"/>
    <n v="4233"/>
    <n v="1355"/>
  </r>
  <r>
    <x v="2404"/>
    <n v="460023"/>
    <s v="UT"/>
    <s v="UT - Utah"/>
    <n v="84003"/>
    <s v="American Fork Hospital"/>
    <s v="Short Term Acute Care Hospital"/>
    <s v="American Fork"/>
    <n v="36.799999999999997"/>
    <n v="3.5"/>
    <n v="253"/>
    <n v="91"/>
    <n v="18"/>
    <n v="0.38"/>
    <n v="91"/>
    <n v="1.58"/>
    <n v="4234"/>
    <n v="5231"/>
  </r>
  <r>
    <x v="2404"/>
    <n v="460052"/>
    <s v="UT"/>
    <s v="UT - Utah"/>
    <n v="84057"/>
    <s v="Timpanogos Regional Hospital"/>
    <s v="Short Term Acute Care Hospital"/>
    <s v="Orem"/>
    <n v="44.8"/>
    <n v="4.4000000000000004"/>
    <n v="138"/>
    <n v="117"/>
    <n v="20"/>
    <n v="0.38"/>
    <n v="117"/>
    <n v="2.14"/>
    <n v="4235"/>
    <n v="4289"/>
  </r>
  <r>
    <x v="2404"/>
    <n v="460043"/>
    <s v="UT"/>
    <s v="UT - Utah"/>
    <n v="84057"/>
    <s v="Orem Community Hospital"/>
    <s v="Short Term Acute Care Hospital"/>
    <s v="Orem"/>
    <n v="4.5"/>
    <n v="3.9"/>
    <n v="31"/>
    <n v="22"/>
    <m/>
    <n v="0.38"/>
    <n v="22"/>
    <n v="1.97"/>
    <n v="4236"/>
    <n v="901"/>
  </r>
  <r>
    <x v="2404"/>
    <n v="460013"/>
    <s v="UT"/>
    <s v="UT - Utah"/>
    <n v="84651"/>
    <s v="Mountain View Hospital"/>
    <s v="Short Term Acute Care Hospital"/>
    <s v="Payson"/>
    <n v="28.2"/>
    <n v="3.3"/>
    <n v="110"/>
    <n v="124"/>
    <n v="12"/>
    <n v="0.38"/>
    <n v="124"/>
    <n v="1.73"/>
    <n v="4237"/>
    <n v="3374"/>
  </r>
  <r>
    <x v="2404"/>
    <n v="460001"/>
    <s v="UT"/>
    <s v="UT - Utah"/>
    <n v="84604"/>
    <s v="Utah Valley Hospital"/>
    <s v="Short Term Acute Care Hospital"/>
    <s v="Provo"/>
    <n v="190.2"/>
    <n v="4.4000000000000004"/>
    <n v="548"/>
    <n v="315"/>
    <n v="72"/>
    <n v="0.38"/>
    <n v="315"/>
    <n v="2.08"/>
    <n v="4238"/>
    <n v="17489"/>
  </r>
  <r>
    <x v="2404"/>
    <s v="460051*"/>
    <s v="UT"/>
    <s v="UT - Utah"/>
    <n v="84043"/>
    <s v="Mountain Point Medical Center"/>
    <s v="Short Term Acute Care Hospital"/>
    <s v="Lehi"/>
    <m/>
    <m/>
    <n v="76"/>
    <m/>
    <m/>
    <m/>
    <n v="40"/>
    <m/>
    <n v="829115"/>
    <m/>
  </r>
  <r>
    <x v="2404"/>
    <m/>
    <s v="UT"/>
    <s v="UT - Utah"/>
    <n v="84660"/>
    <s v="Intermountain Spanish Fork Hospital (Opening Fall 2020)"/>
    <s v="Short Term Acute Care Hospital"/>
    <s v="Spanish Fork"/>
    <m/>
    <m/>
    <m/>
    <m/>
    <m/>
    <m/>
    <m/>
    <m/>
    <n v="968616"/>
    <m/>
  </r>
  <r>
    <x v="2405"/>
    <n v="460021"/>
    <s v="UT"/>
    <s v="UT - Washington"/>
    <n v="84790"/>
    <s v="Dixie Regional Medical Center - River Road"/>
    <s v="Short Term Acute Care Hospital"/>
    <s v="Saint George"/>
    <n v="155.5"/>
    <n v="3.6"/>
    <n v="567"/>
    <n v="246"/>
    <n v="32"/>
    <n v="1"/>
    <n v="164"/>
    <n v="1.98"/>
    <n v="4240"/>
    <n v="15581"/>
  </r>
  <r>
    <x v="2405"/>
    <s v="460021* (Closed)"/>
    <s v="UT"/>
    <s v="UT - Washington"/>
    <n v="84770"/>
    <s v="Dixie Regional Medical Center - 400 East Campus (Closed)"/>
    <s v="Short Term Acute Care Hospital"/>
    <s v="Saint George"/>
    <m/>
    <m/>
    <m/>
    <m/>
    <m/>
    <m/>
    <m/>
    <m/>
    <n v="579943"/>
    <m/>
  </r>
  <r>
    <x v="2406"/>
    <n v="460004"/>
    <s v="UT"/>
    <s v="UT - Weber"/>
    <n v="84403"/>
    <s v="McKay-Dee Hospital"/>
    <s v="Short Term Acute Care Hospital"/>
    <s v="Ogden"/>
    <n v="130.69999999999999"/>
    <n v="3.4"/>
    <n v="522"/>
    <n v="247"/>
    <n v="50"/>
    <n v="0.32"/>
    <n v="247"/>
    <n v="1.96"/>
    <n v="4241"/>
    <n v="15574"/>
  </r>
  <r>
    <x v="2406"/>
    <n v="460005"/>
    <s v="UT"/>
    <s v="UT - Weber"/>
    <n v="84405"/>
    <s v="Ogden Regional Medical Center"/>
    <s v="Short Term Acute Care Hospital"/>
    <s v="Ogden"/>
    <n v="77.599999999999994"/>
    <n v="4.0999999999999996"/>
    <n v="194"/>
    <n v="170"/>
    <n v="14"/>
    <n v="0.32"/>
    <n v="170"/>
    <n v="1.96"/>
    <n v="4242"/>
    <n v="7639"/>
  </r>
  <r>
    <x v="2407"/>
    <n v="470012"/>
    <s v="VT"/>
    <s v="VT - Bennington"/>
    <s v="05201"/>
    <s v="Southwestern Vermont Medical Center"/>
    <s v="Short Term Acute Care Hospital"/>
    <s v="Bennington"/>
    <n v="31.8"/>
    <n v="3.7"/>
    <n v="170"/>
    <n v="78"/>
    <n v="10"/>
    <n v="1"/>
    <n v="78"/>
    <n v="1.29"/>
    <n v="4244"/>
    <n v="3394"/>
  </r>
  <r>
    <x v="2408"/>
    <n v="470003"/>
    <s v="VT"/>
    <s v="VT - Chittenden"/>
    <s v="05401"/>
    <s v="The University of Vermont Medical Center (FKA Fletcher Allen Health Care Hospital)"/>
    <s v="Short Term Acute Care Hospital"/>
    <s v="Burlington"/>
    <n v="315.10000000000002"/>
    <n v="5.9"/>
    <n v="1473"/>
    <n v="422"/>
    <n v="21"/>
    <n v="0.87"/>
    <n v="422"/>
    <n v="1.9"/>
    <n v="4246"/>
    <n v="20605"/>
  </r>
  <r>
    <x v="2408"/>
    <m/>
    <s v="VT"/>
    <s v="VT - Chittenden"/>
    <s v="05452"/>
    <s v="Champlain Valley Exposition Field Hospital (Temporarily Open due to COVID-19)"/>
    <s v="Short Term Acute Care Hospital"/>
    <s v="Essex Junction"/>
    <m/>
    <m/>
    <m/>
    <m/>
    <m/>
    <m/>
    <m/>
    <m/>
    <n v="1012312"/>
    <m/>
  </r>
  <r>
    <x v="2409"/>
    <n v="470024"/>
    <s v="VT"/>
    <s v="VT - Franklin"/>
    <s v="05478"/>
    <s v="Northwestern Medical Center"/>
    <s v="Short Term Acute Care Hospital"/>
    <s v="Saint Albans"/>
    <n v="19.399999999999999"/>
    <n v="3.4"/>
    <n v="154"/>
    <n v="53"/>
    <m/>
    <n v="0.87"/>
    <n v="53"/>
    <n v="1.34"/>
    <n v="4247"/>
    <n v="2334"/>
  </r>
  <r>
    <x v="2410"/>
    <n v="470005"/>
    <s v="VT"/>
    <s v="VT - Rutland"/>
    <s v="05701"/>
    <s v="Rutland Regional Medical Center"/>
    <s v="Short Term Acute Care Hospital"/>
    <s v="Rutland"/>
    <n v="88.1"/>
    <n v="4.8"/>
    <n v="261"/>
    <n v="124"/>
    <n v="13"/>
    <n v="1"/>
    <n v="124"/>
    <n v="1.4"/>
    <n v="4251"/>
    <n v="6860"/>
  </r>
  <r>
    <x v="2411"/>
    <n v="470001"/>
    <s v="VT"/>
    <s v="VT - Washington"/>
    <s v="05602"/>
    <s v="Central Vermont Medical Center"/>
    <s v="Short Term Acute Care Hospital"/>
    <s v="Berlin"/>
    <n v="54.6"/>
    <n v="5.3"/>
    <n v="243"/>
    <n v="76"/>
    <n v="14"/>
    <n v="1"/>
    <n v="76"/>
    <n v="1.43"/>
    <n v="4252"/>
    <n v="3864"/>
  </r>
  <r>
    <x v="1072"/>
    <n v="470011"/>
    <s v="VT"/>
    <s v="VT - Windham"/>
    <s v="05301"/>
    <s v="Brattleboro Memorial Hospital"/>
    <s v="Short Term Acute Care Hospital"/>
    <s v="Brattleboro"/>
    <n v="14.9"/>
    <n v="4.2"/>
    <n v="134"/>
    <n v="47"/>
    <m/>
    <m/>
    <n v="47"/>
    <n v="1.3"/>
    <n v="4253"/>
    <n v="1483"/>
  </r>
  <r>
    <x v="2412"/>
    <n v="490037"/>
    <s v="VA"/>
    <s v="VA - Accomack"/>
    <n v="23417"/>
    <s v="Riverside Shore Memorial Hospital"/>
    <s v="Short Term Acute Care Hospital"/>
    <s v="Onancock"/>
    <n v="22.3"/>
    <n v="3.4"/>
    <n v="116"/>
    <n v="46"/>
    <n v="10"/>
    <m/>
    <n v="46"/>
    <n v="1.37"/>
    <n v="4289"/>
    <n v="2622"/>
  </r>
  <r>
    <x v="2413"/>
    <n v="490077"/>
    <s v="VA"/>
    <s v="VA - Albemarle"/>
    <n v="22911"/>
    <s v="Sentara Martha Jefferson Hospital"/>
    <s v="Short Term Acute Care Hospital"/>
    <s v="Charlottesville"/>
    <n v="92.3"/>
    <n v="3.8"/>
    <n v="449"/>
    <n v="150"/>
    <n v="12"/>
    <n v="0.77"/>
    <n v="150"/>
    <n v="1.55"/>
    <n v="4258"/>
    <n v="9789"/>
  </r>
  <r>
    <x v="2414"/>
    <n v="490126"/>
    <s v="VA"/>
    <s v="VA - Alleghany"/>
    <n v="24457"/>
    <s v="LewisGale Hospital Alleghany"/>
    <s v="Short Term Acute Care Hospital"/>
    <s v="Low Moor"/>
    <n v="15.2"/>
    <n v="3.7"/>
    <n v="70"/>
    <n v="95"/>
    <n v="10"/>
    <m/>
    <n v="95"/>
    <n v="1.33"/>
    <n v="4259"/>
    <n v="1494"/>
  </r>
  <r>
    <x v="2415"/>
    <m/>
    <s v="VA"/>
    <s v="VA - Amherst"/>
    <n v="24572"/>
    <s v="Central Virginia Training Center (Closed)"/>
    <s v="Short Term Acute Care Hospital"/>
    <s v="Madison Heights"/>
    <m/>
    <m/>
    <m/>
    <m/>
    <m/>
    <n v="0.76"/>
    <m/>
    <m/>
    <n v="4323"/>
    <m/>
  </r>
  <r>
    <x v="2416"/>
    <n v="490050"/>
    <s v="VA"/>
    <s v="VA - Arlington"/>
    <n v="22205"/>
    <s v="Virginia Hospital Center - Arlington"/>
    <s v="Short Term Acute Care Hospital"/>
    <s v="Arlington"/>
    <n v="243.4"/>
    <n v="4.4000000000000004"/>
    <n v="1261"/>
    <n v="305"/>
    <n v="32"/>
    <n v="0.05"/>
    <n v="305"/>
    <n v="1.81"/>
    <n v="4260"/>
    <n v="22172"/>
  </r>
  <r>
    <x v="2417"/>
    <n v="490018"/>
    <s v="VA"/>
    <s v="VA - Augusta"/>
    <n v="22939"/>
    <s v="Augusta Health"/>
    <s v="Short Term Acute Care Hospital"/>
    <s v="Fishersville"/>
    <n v="97.2"/>
    <n v="3.6"/>
    <n v="405"/>
    <n v="209"/>
    <n v="8"/>
    <n v="1"/>
    <n v="209"/>
    <n v="1.54"/>
    <n v="4261"/>
    <n v="10439"/>
  </r>
  <r>
    <x v="2418"/>
    <n v="490088"/>
    <s v="VA"/>
    <s v="VA - Bedford"/>
    <n v="24523"/>
    <s v="Centra Bedford Memorial Hospital"/>
    <s v="Short Term Acute Care Hospital"/>
    <s v="Bedford"/>
    <n v="13.9"/>
    <n v="3"/>
    <n v="44"/>
    <n v="34"/>
    <n v="6"/>
    <n v="0.76"/>
    <n v="34"/>
    <n v="1.17"/>
    <n v="4309"/>
    <n v="1701"/>
  </r>
  <r>
    <x v="2419"/>
    <n v="490127"/>
    <s v="VA"/>
    <s v="VA - Buchanan"/>
    <n v="24614"/>
    <s v="Buchanan General Hospital"/>
    <s v="Short Term Acute Care Hospital"/>
    <s v="Grundy"/>
    <n v="14.2"/>
    <n v="4.9000000000000004"/>
    <n v="30"/>
    <n v="49"/>
    <n v="12"/>
    <m/>
    <n v="49"/>
    <n v="1.1499999999999999"/>
    <n v="4263"/>
    <n v="1055"/>
  </r>
  <r>
    <x v="2420"/>
    <n v="490112"/>
    <s v="VA"/>
    <s v="VA - Chesterfield"/>
    <n v="23235"/>
    <s v="Johnston-Willis Hospital"/>
    <s v="Short Term Acute Care Hospital"/>
    <s v="Richmond"/>
    <n v="404.4"/>
    <n v="5.0999999999999996"/>
    <n v="676"/>
    <n v="612"/>
    <n v="79"/>
    <n v="0.19"/>
    <n v="292"/>
    <n v="1.7"/>
    <n v="4264"/>
    <n v="30197"/>
  </r>
  <r>
    <x v="2420"/>
    <n v="490136"/>
    <s v="VA"/>
    <s v="VA - Chesterfield"/>
    <n v="23114"/>
    <s v="St Francis Medical Center"/>
    <s v="Short Term Acute Care Hospital"/>
    <s v="Midlothian"/>
    <n v="101.1"/>
    <n v="4.4000000000000004"/>
    <n v="310"/>
    <n v="130"/>
    <n v="16"/>
    <n v="0.19"/>
    <n v="130"/>
    <n v="1.72"/>
    <n v="4265"/>
    <n v="9571"/>
  </r>
  <r>
    <x v="2421"/>
    <n v="490019"/>
    <s v="VA"/>
    <s v="VA - Culpeper"/>
    <n v="22701"/>
    <s v="Novant Health UVA Health System Culpeper Medical Center"/>
    <s v="Short Term Acute Care Hospital"/>
    <s v="Culpeper"/>
    <n v="30.9"/>
    <n v="3.7"/>
    <n v="192"/>
    <n v="70"/>
    <n v="6"/>
    <n v="0.05"/>
    <n v="70"/>
    <n v="1.46"/>
    <n v="4266"/>
    <n v="3274"/>
  </r>
  <r>
    <x v="2422"/>
    <n v="490084"/>
    <s v="VA"/>
    <s v="VA - Essex"/>
    <n v="22560"/>
    <s v="Riverside Tappahannock Hospital"/>
    <s v="Short Term Acute Care Hospital"/>
    <s v="Tappahannock"/>
    <n v="14.9"/>
    <n v="3.6"/>
    <n v="79"/>
    <n v="67"/>
    <n v="7"/>
    <m/>
    <n v="67"/>
    <n v="1.47"/>
    <n v="4268"/>
    <n v="1514"/>
  </r>
  <r>
    <x v="2423"/>
    <n v="490101"/>
    <s v="VA"/>
    <s v="VA - Fairfax"/>
    <n v="22033"/>
    <s v="Inova Fair Oaks Hospital4271"/>
    <s v="Short Term Acute Care Hospital"/>
    <s v="Fairfax"/>
    <n v="95.9"/>
    <n v="4.0999999999999996"/>
    <n v="528"/>
    <n v="182"/>
    <m/>
    <n v="0.05"/>
    <n v="182"/>
    <n v="1.7"/>
    <n v="4269"/>
    <n v="10841"/>
  </r>
  <r>
    <x v="2423"/>
    <n v="490107"/>
    <s v="VA"/>
    <s v="VA - Fairfax"/>
    <n v="20190"/>
    <s v="Reston Hospital Center"/>
    <s v="Short Term Acute Care Hospital"/>
    <s v="Reston"/>
    <n v="137.80000000000001"/>
    <n v="4.2"/>
    <n v="477"/>
    <n v="203"/>
    <n v="16"/>
    <n v="0.05"/>
    <n v="203"/>
    <n v="1.83"/>
    <n v="4270"/>
    <n v="13482"/>
  </r>
  <r>
    <x v="2423"/>
    <n v="490063"/>
    <s v="VA"/>
    <s v="VA - Fairfax"/>
    <n v="22042"/>
    <s v="Inova Fairfax Hospital (AKA Inova Fairfax Medical Campus)"/>
    <s v="Short Term Acute Care Hospital"/>
    <s v="Falls Church"/>
    <n v="611.5"/>
    <n v="5.5"/>
    <n v="1692"/>
    <n v="803"/>
    <n v="106"/>
    <n v="0.05"/>
    <n v="803"/>
    <n v="2.2000000000000002"/>
    <n v="4271"/>
    <n v="44246"/>
  </r>
  <r>
    <x v="2423"/>
    <n v="490122"/>
    <s v="VA"/>
    <s v="VA - Fairfax"/>
    <n v="22306"/>
    <s v="Inova Mount Vernon Hospital"/>
    <s v="Short Term Acute Care Hospital"/>
    <s v="Alexandria"/>
    <n v="59.3"/>
    <n v="3.9"/>
    <n v="301"/>
    <n v="140"/>
    <n v="20"/>
    <n v="0.05"/>
    <n v="140"/>
    <n v="1.57"/>
    <n v="4272"/>
    <n v="5556"/>
  </r>
  <r>
    <x v="2423"/>
    <s v="490129(Closed)"/>
    <s v="VA"/>
    <s v="VA - Fairfax"/>
    <n v="22042"/>
    <s v="Capital Hospice (Closed)"/>
    <s v="Short Term Acute Care Hospital"/>
    <s v="Falls Church"/>
    <m/>
    <m/>
    <m/>
    <m/>
    <m/>
    <n v="0.05"/>
    <m/>
    <m/>
    <n v="5950"/>
    <m/>
  </r>
  <r>
    <x v="2423"/>
    <m/>
    <s v="VA"/>
    <s v="VA - Fairfax"/>
    <n v="22042"/>
    <s v="Inova Womens Hospital"/>
    <s v="Short Term Acute Care Hospital"/>
    <s v="Falls Church"/>
    <m/>
    <m/>
    <m/>
    <m/>
    <m/>
    <m/>
    <n v="923"/>
    <m/>
    <n v="843023"/>
    <m/>
  </r>
  <r>
    <x v="2424"/>
    <n v="490023"/>
    <s v="VA"/>
    <s v="VA - Fauquier"/>
    <n v="20186"/>
    <s v="Fauquier Hospital (AKA Fauquier Health System)"/>
    <s v="Short Term Acute Care Hospital"/>
    <s v="Warrenton"/>
    <n v="42.5"/>
    <n v="3.8"/>
    <n v="196"/>
    <n v="97"/>
    <n v="8"/>
    <n v="0.05"/>
    <n v="97"/>
    <n v="1.42"/>
    <n v="4273"/>
    <n v="4674"/>
  </r>
  <r>
    <x v="2425"/>
    <n v="490089"/>
    <s v="VA"/>
    <s v="VA - Franklin"/>
    <n v="24151"/>
    <s v="Carilion Franklin Memorial Hospital"/>
    <s v="Short Term Acute Care Hospital"/>
    <s v="Rocky Mount"/>
    <n v="13.5"/>
    <n v="3.6"/>
    <n v="55"/>
    <n v="37"/>
    <n v="4"/>
    <n v="0.65"/>
    <n v="37"/>
    <n v="1.22"/>
    <n v="4274"/>
    <n v="1353"/>
  </r>
  <r>
    <x v="2426"/>
    <n v="490130"/>
    <s v="VA"/>
    <s v="VA - Gloucester"/>
    <n v="23061"/>
    <s v="Riverside Walter Reed Hospital"/>
    <s v="Short Term Acute Care Hospital"/>
    <s v="Gloucester"/>
    <n v="28.3"/>
    <n v="3.8"/>
    <n v="112"/>
    <n v="67"/>
    <n v="7"/>
    <n v="0.1"/>
    <n v="67"/>
    <n v="1.45"/>
    <n v="4276"/>
    <n v="2701"/>
  </r>
  <r>
    <x v="2427"/>
    <n v="490013"/>
    <s v="VA"/>
    <s v="VA - Halifax"/>
    <n v="24592"/>
    <s v="Sentara Halifax Regional Hospital"/>
    <s v="Short Term Acute Care Hospital"/>
    <s v="South Boston"/>
    <n v="39.9"/>
    <n v="4.2"/>
    <n v="122"/>
    <n v="107"/>
    <n v="12"/>
    <m/>
    <n v="107"/>
    <n v="1.5"/>
    <n v="4277"/>
    <n v="3644"/>
  </r>
  <r>
    <x v="2428"/>
    <n v="490069"/>
    <s v="VA"/>
    <s v="VA - Hanover"/>
    <n v="23116"/>
    <s v="Memorial Regional Medical Center"/>
    <s v="Short Term Acute Care Hospital"/>
    <s v="Mechanicsville"/>
    <n v="174.1"/>
    <n v="5.2"/>
    <n v="366"/>
    <n v="225"/>
    <n v="24"/>
    <n v="0.19"/>
    <n v="225"/>
    <n v="1.84"/>
    <n v="4278"/>
    <n v="12958"/>
  </r>
  <r>
    <x v="2429"/>
    <n v="490059"/>
    <s v="VA"/>
    <s v="VA - Henrico"/>
    <n v="23226"/>
    <s v="St Marys Hospital"/>
    <s v="Short Term Acute Care Hospital"/>
    <s v="Richmond"/>
    <n v="258.7"/>
    <n v="4.9000000000000004"/>
    <n v="630"/>
    <n v="378"/>
    <n v="64"/>
    <n v="0.19"/>
    <n v="378"/>
    <n v="2.02"/>
    <n v="4279"/>
    <n v="20006"/>
  </r>
  <r>
    <x v="2429"/>
    <n v="490118"/>
    <s v="VA"/>
    <s v="VA - Henrico"/>
    <n v="23229"/>
    <s v="Henrico Doctors Hospital"/>
    <s v="Short Term Acute Care Hospital"/>
    <s v="Richmond"/>
    <n v="279.39999999999998"/>
    <n v="5.2"/>
    <n v="665"/>
    <n v="685"/>
    <n v="17"/>
    <n v="0.19"/>
    <n v="340"/>
    <n v="1.77"/>
    <n v="4280"/>
    <n v="21157"/>
  </r>
  <r>
    <x v="2429"/>
    <s v="490118*"/>
    <s v="VA"/>
    <s v="VA - Henrico"/>
    <n v="23294"/>
    <s v="Parham Doctors Hospital"/>
    <s v="Short Term Acute Care Hospital"/>
    <s v="Richmond"/>
    <m/>
    <m/>
    <n v="8"/>
    <m/>
    <m/>
    <m/>
    <n v="200"/>
    <m/>
    <n v="551537"/>
    <m/>
  </r>
  <r>
    <x v="2430"/>
    <n v="490066"/>
    <s v="VA"/>
    <s v="VA - York"/>
    <n v="23188"/>
    <s v="Sentara Williamsburg Regional Medical Center"/>
    <s v="Short Term Acute Care Hospital"/>
    <s v="Williamsburg"/>
    <n v="85.7"/>
    <n v="4.4000000000000004"/>
    <n v="246"/>
    <n v="139"/>
    <n v="16"/>
    <n v="0.1"/>
    <n v="139"/>
    <n v="1.52"/>
    <n v="4281"/>
    <n v="7643"/>
  </r>
  <r>
    <x v="2430"/>
    <n v="490109"/>
    <s v="VA"/>
    <s v="VA - James City"/>
    <n v="23188"/>
    <s v="Eastern State Hospital"/>
    <s v="Short Term Acute Care Hospital"/>
    <s v="Williamsburg"/>
    <n v="35"/>
    <n v="44"/>
    <n v="2"/>
    <m/>
    <m/>
    <n v="0.1"/>
    <n v="40"/>
    <m/>
    <n v="4282"/>
    <n v="290"/>
  </r>
  <r>
    <x v="2430"/>
    <n v="490143"/>
    <s v="VA"/>
    <s v="VA - James City"/>
    <n v="23185"/>
    <s v="Riverside Doctors Hospital Williamsburg"/>
    <s v="Short Term Acute Care Hospital"/>
    <s v="Williamsburg"/>
    <n v="13.5"/>
    <n v="3.1"/>
    <n v="49"/>
    <n v="40"/>
    <n v="10"/>
    <n v="0.1"/>
    <n v="40"/>
    <n v="1.43"/>
    <n v="550126"/>
    <n v="1583"/>
  </r>
  <r>
    <x v="2431"/>
    <s v="490012 (Closed)"/>
    <s v="VA"/>
    <s v="VA - Lee"/>
    <n v="24277"/>
    <s v="Lee Regional Medical Center (Closed October 1 2013)"/>
    <s v="Short Term Acute Care Hospital"/>
    <s v="Pennington Gap"/>
    <n v="13.5"/>
    <n v="3.6"/>
    <m/>
    <m/>
    <m/>
    <m/>
    <m/>
    <m/>
    <n v="4284"/>
    <n v="1367"/>
  </r>
  <r>
    <x v="2431"/>
    <m/>
    <s v="VA"/>
    <s v="VA - Lee"/>
    <n v="24277"/>
    <s v="Lee County Medical Center (Closed)"/>
    <s v="Short Term Acute Care Hospital"/>
    <s v="Pennington Gap"/>
    <m/>
    <m/>
    <m/>
    <m/>
    <m/>
    <m/>
    <m/>
    <m/>
    <n v="971296"/>
    <m/>
  </r>
  <r>
    <x v="2432"/>
    <n v="490043"/>
    <s v="VA"/>
    <s v="VA - Loudoun"/>
    <n v="20176"/>
    <s v="Inova Loudoun Hospital"/>
    <s v="Short Term Acute Care Hospital"/>
    <s v="Leesburg"/>
    <n v="111.3"/>
    <n v="4.2"/>
    <n v="507"/>
    <n v="145"/>
    <n v="23"/>
    <n v="0.05"/>
    <n v="145"/>
    <n v="1.5"/>
    <n v="4285"/>
    <n v="10844"/>
  </r>
  <r>
    <x v="2432"/>
    <n v="490145"/>
    <s v="VA"/>
    <s v="VA - Loudoun"/>
    <n v="20166"/>
    <s v="StoneSprings Hospital Center"/>
    <s v="Short Term Acute Care Hospital"/>
    <s v="Dulles"/>
    <n v="11.8"/>
    <n v="3.4"/>
    <n v="68"/>
    <n v="124"/>
    <n v="10"/>
    <n v="0.05"/>
    <n v="124"/>
    <n v="1.57"/>
    <n v="579791"/>
    <n v="1662"/>
  </r>
  <r>
    <x v="2433"/>
    <n v="490098"/>
    <s v="VA"/>
    <s v="VA - Mecklenburg"/>
    <n v="23970"/>
    <s v="VCU Health Community Memorial Hospital (FKA Community Memorial Healthcenter)"/>
    <s v="Short Term Acute Care Hospital"/>
    <s v="South Hill"/>
    <n v="39.299999999999997"/>
    <n v="4.2"/>
    <n v="115"/>
    <n v="66"/>
    <m/>
    <m/>
    <n v="70"/>
    <n v="1.42"/>
    <n v="4286"/>
    <n v="3472"/>
  </r>
  <r>
    <x v="2434"/>
    <n v="490110"/>
    <s v="VA"/>
    <s v="VA - Montgomery"/>
    <n v="24060"/>
    <s v="LewisGale Hospital Montgomery"/>
    <s v="Short Term Acute Care Hospital"/>
    <s v="Blacksburg"/>
    <n v="35"/>
    <n v="3.6"/>
    <n v="170"/>
    <n v="92"/>
    <n v="10"/>
    <n v="0.39"/>
    <n v="92"/>
    <n v="1.55"/>
    <n v="4287"/>
    <n v="3891"/>
  </r>
  <r>
    <x v="2434"/>
    <n v="490042"/>
    <s v="VA"/>
    <s v="VA - Montgomery"/>
    <n v="24073"/>
    <s v="Carilion New River Valley Medical Center"/>
    <s v="Short Term Acute Care Hospital"/>
    <s v="Christiansburg"/>
    <n v="61.2"/>
    <n v="3.9"/>
    <n v="232"/>
    <n v="110"/>
    <n v="12"/>
    <n v="0.39"/>
    <n v="110"/>
    <n v="1.49"/>
    <n v="4288"/>
    <n v="6244"/>
  </r>
  <r>
    <x v="2435"/>
    <m/>
    <s v="VA"/>
    <s v="VA - Nottoway"/>
    <n v="23922"/>
    <s v="Piedmont Geriatric Hospital"/>
    <s v="Short Term Acute Care Hospital"/>
    <s v="Burkeville"/>
    <n v="104.4"/>
    <n v="577.20000000000005"/>
    <n v="1"/>
    <n v="180"/>
    <m/>
    <m/>
    <n v="180"/>
    <m/>
    <n v="4290"/>
    <n v="66"/>
  </r>
  <r>
    <x v="2436"/>
    <n v="490090"/>
    <s v="VA"/>
    <s v="VA - Prince Edward"/>
    <n v="23901"/>
    <s v="Centra Southside Community Hospital"/>
    <s v="Short Term Acute Care Hospital"/>
    <s v="Farmville"/>
    <n v="39"/>
    <n v="3.7"/>
    <n v="90"/>
    <n v="86"/>
    <n v="8"/>
    <m/>
    <n v="86"/>
    <n v="1.4"/>
    <n v="4293"/>
    <n v="4023"/>
  </r>
  <r>
    <x v="2437"/>
    <n v="490113"/>
    <s v="VA"/>
    <s v="VA - Prince William"/>
    <n v="22191"/>
    <s v="Sentara Northern Virginia Medical Center (FKA Potomac Hospital)"/>
    <s v="Short Term Acute Care Hospital"/>
    <s v="Woodbridge"/>
    <n v="111.4"/>
    <n v="4.5"/>
    <n v="350"/>
    <n v="147"/>
    <n v="16"/>
    <n v="0.05"/>
    <n v="147"/>
    <n v="1.58"/>
    <n v="4294"/>
    <n v="10021"/>
  </r>
  <r>
    <x v="2437"/>
    <n v="490144"/>
    <s v="VA"/>
    <s v="VA - Prince William"/>
    <n v="20169"/>
    <s v="Novant Health UVA Health System Haymarket Medical Center"/>
    <s v="Short Term Acute Care Hospital"/>
    <s v="Haymarket"/>
    <n v="18.2"/>
    <n v="3.4"/>
    <n v="125"/>
    <n v="60"/>
    <n v="8"/>
    <n v="0.05"/>
    <n v="60"/>
    <n v="1.48"/>
    <n v="764500"/>
    <n v="2587"/>
  </r>
  <r>
    <x v="2438"/>
    <n v="490116"/>
    <s v="VA"/>
    <s v="VA - Pulaski"/>
    <n v="24301"/>
    <s v="LewisGale Hospital Pulaski"/>
    <s v="Short Term Acute Care Hospital"/>
    <s v="Pulaski"/>
    <n v="15"/>
    <n v="3.7"/>
    <n v="54"/>
    <n v="92"/>
    <n v="8"/>
    <n v="0.39"/>
    <n v="92"/>
    <n v="1.36"/>
    <n v="4295"/>
    <n v="1466"/>
  </r>
  <r>
    <x v="2439"/>
    <n v="490002"/>
    <s v="VA"/>
    <s v="VA - Russell"/>
    <n v="24266"/>
    <s v="Russell County Hospital (FKA Russell County Medical Center)"/>
    <s v="Short Term Acute Care Hospital"/>
    <s v="Lebanon"/>
    <n v="15"/>
    <n v="4.2"/>
    <n v="36"/>
    <n v="48"/>
    <n v="5"/>
    <m/>
    <n v="48"/>
    <n v="1.1499999999999999"/>
    <n v="4297"/>
    <n v="1288"/>
  </r>
  <r>
    <x v="2440"/>
    <n v="490038"/>
    <s v="VA"/>
    <s v="VA - Smyth"/>
    <n v="24354"/>
    <s v="Smyth County Community Hospital"/>
    <s v="Short Term Acute Care Hospital"/>
    <s v="Marion"/>
    <n v="11.1"/>
    <n v="3.4"/>
    <n v="79"/>
    <n v="30"/>
    <n v="4"/>
    <m/>
    <n v="30"/>
    <n v="1.42"/>
    <n v="4299"/>
    <n v="1205"/>
  </r>
  <r>
    <x v="2441"/>
    <n v="490141"/>
    <s v="VA"/>
    <s v="VA - Spotsylvania"/>
    <n v="22408"/>
    <s v="Spotsylvania Regional Medical Center"/>
    <s v="Short Term Acute Care Hospital"/>
    <s v="Fredericksburg"/>
    <n v="57.7"/>
    <n v="3.6"/>
    <n v="143"/>
    <n v="105"/>
    <n v="12"/>
    <n v="0.05"/>
    <n v="105"/>
    <n v="1.59"/>
    <n v="550205"/>
    <n v="6000"/>
  </r>
  <r>
    <x v="2442"/>
    <n v="490140"/>
    <s v="VA"/>
    <s v="VA - Stafford"/>
    <n v="22554"/>
    <s v="Stafford Hospital"/>
    <s v="Short Term Acute Care Hospital"/>
    <s v="Stafford"/>
    <n v="40"/>
    <n v="3.5"/>
    <n v="67"/>
    <n v="90"/>
    <n v="4"/>
    <n v="0.05"/>
    <n v="90"/>
    <n v="1.34"/>
    <n v="4301"/>
    <n v="4817"/>
  </r>
  <r>
    <x v="2443"/>
    <n v="490117"/>
    <s v="VA"/>
    <s v="VA - Tazewell"/>
    <n v="24651"/>
    <s v="Carilion Tazewell Community Hospital"/>
    <s v="Short Term Acute Care Hospital"/>
    <s v="Tazewell"/>
    <n v="5.9"/>
    <n v="3.8"/>
    <n v="21"/>
    <n v="56"/>
    <m/>
    <n v="0.34"/>
    <n v="56"/>
    <n v="1.23"/>
    <n v="4302"/>
    <n v="571"/>
  </r>
  <r>
    <x v="2443"/>
    <n v="490060"/>
    <s v="VA"/>
    <s v="VA - Tazewell"/>
    <n v="24641"/>
    <s v="Clinch Valley Medical Center (AKA Clinch Valley Health)"/>
    <s v="Short Term Acute Care Hospital"/>
    <s v="Richlands"/>
    <n v="30.6"/>
    <n v="3.6"/>
    <n v="103"/>
    <n v="151"/>
    <n v="12"/>
    <n v="0.34"/>
    <n v="151"/>
    <n v="1.27"/>
    <n v="4303"/>
    <n v="3348"/>
  </r>
  <r>
    <x v="2444"/>
    <n v="490033"/>
    <s v="VA"/>
    <s v="VA - Warren"/>
    <n v="22630"/>
    <s v="Warren Memorial Hospital"/>
    <s v="Short Term Acute Care Hospital"/>
    <s v="Front Royal"/>
    <n v="16.899999999999999"/>
    <n v="3.3"/>
    <n v="94"/>
    <n v="46"/>
    <n v="8"/>
    <n v="0.05"/>
    <n v="46"/>
    <n v="1.18"/>
    <n v="4304"/>
    <n v="1886"/>
  </r>
  <r>
    <x v="2445"/>
    <n v="490053"/>
    <s v="VA"/>
    <s v="VA - Washington"/>
    <n v="24211"/>
    <s v="Johnston Memorial Hospital"/>
    <s v="Short Term Acute Care Hospital"/>
    <s v="Abingdon"/>
    <n v="72.900000000000006"/>
    <n v="4"/>
    <n v="201"/>
    <n v="115"/>
    <n v="14"/>
    <n v="0.3"/>
    <n v="115"/>
    <n v="1.57"/>
    <n v="4305"/>
    <n v="6946"/>
  </r>
  <r>
    <x v="2446"/>
    <n v="490114"/>
    <s v="VA"/>
    <s v="VA - Wise"/>
    <n v="24219"/>
    <s v="Lonesome Pine Hospital (FKA Wellmont Lonesome Pine Hospital)"/>
    <s v="Short Term Acute Care Hospital"/>
    <s v="Big Stone Gap"/>
    <n v="13"/>
    <n v="2.7"/>
    <n v="106"/>
    <n v="68"/>
    <n v="8"/>
    <n v="0.53"/>
    <n v="68"/>
    <n v="1.34"/>
    <n v="4306"/>
    <n v="1879"/>
  </r>
  <r>
    <x v="2447"/>
    <n v="490111"/>
    <s v="VA"/>
    <s v="VA - Wythe"/>
    <n v="24382"/>
    <s v="Wythe County Community Hospital"/>
    <s v="Short Term Acute Care Hospital"/>
    <s v="Wytheville"/>
    <n v="15.9"/>
    <n v="3.3"/>
    <n v="100"/>
    <n v="92"/>
    <n v="6"/>
    <m/>
    <n v="92"/>
    <n v="1.38"/>
    <n v="4307"/>
    <n v="1958"/>
  </r>
  <r>
    <x v="2448"/>
    <n v="490040"/>
    <s v="VA"/>
    <s v="VA - Alexandria City"/>
    <n v="22304"/>
    <s v="Inova Alexandria Hospital"/>
    <s v="Short Term Acute Care Hospital"/>
    <s v="Alexandria"/>
    <n v="164.9"/>
    <n v="4.7"/>
    <n v="589"/>
    <n v="334"/>
    <n v="40"/>
    <n v="0.05"/>
    <n v="334"/>
    <n v="1.66"/>
    <n v="4308"/>
    <n v="14412"/>
  </r>
  <r>
    <x v="2449"/>
    <n v="490009"/>
    <s v="VA"/>
    <s v="VA - Charlottesville City"/>
    <n v="22908"/>
    <s v="University Hospital"/>
    <s v="Short Term Acute Care Hospital"/>
    <s v="Charlottesville"/>
    <n v="437.8"/>
    <n v="5.8"/>
    <n v="1304"/>
    <n v="585"/>
    <n v="14"/>
    <n v="0.77"/>
    <n v="585"/>
    <n v="2.21"/>
    <n v="4310"/>
    <n v="28190"/>
  </r>
  <r>
    <x v="2450"/>
    <n v="490120"/>
    <s v="VA"/>
    <s v="VA - Chesapeake City"/>
    <n v="23320"/>
    <s v="Chesapeake Regional Medical Center (AKA Chesapeake Regional Healthcare)"/>
    <s v="Short Term Acute Care Hospital"/>
    <s v="Chesapeake"/>
    <n v="190.5"/>
    <n v="4"/>
    <n v="477"/>
    <n v="310"/>
    <n v="28"/>
    <n v="0.1"/>
    <n v="310"/>
    <n v="1.63"/>
    <n v="4311"/>
    <n v="19049"/>
  </r>
  <r>
    <x v="2451"/>
    <n v="490075"/>
    <s v="VA"/>
    <s v="VA - Danville City"/>
    <n v="24541"/>
    <s v="Sovah Health - Danville (FKA Danville Regional Medical Center)"/>
    <s v="Short Term Acute Care Hospital"/>
    <s v="Danville"/>
    <n v="146.30000000000001"/>
    <n v="4.0999999999999996"/>
    <n v="405"/>
    <n v="295"/>
    <n v="34"/>
    <n v="1"/>
    <n v="295"/>
    <n v="1.56"/>
    <n v="4312"/>
    <n v="13441"/>
  </r>
  <r>
    <x v="2452"/>
    <n v="490097"/>
    <s v="VA"/>
    <s v="VA - Emporia City"/>
    <n v="23847"/>
    <s v="Southern Virginia Regional Medical Center"/>
    <s v="Short Term Acute Care Hospital"/>
    <s v="Emporia"/>
    <n v="8"/>
    <n v="3.9"/>
    <n v="34"/>
    <n v="70"/>
    <n v="7"/>
    <m/>
    <n v="70"/>
    <n v="1.24"/>
    <n v="4313"/>
    <n v="745"/>
  </r>
  <r>
    <x v="2453"/>
    <n v="490092"/>
    <s v="VA"/>
    <s v="VA - Franklin City"/>
    <n v="23851"/>
    <s v="Southampton Memorial Hospital"/>
    <s v="Short Term Acute Care Hospital"/>
    <s v="Franklin"/>
    <n v="11.1"/>
    <n v="3.5"/>
    <n v="53"/>
    <n v="75"/>
    <n v="8"/>
    <n v="0.1"/>
    <n v="75"/>
    <n v="1.28"/>
    <n v="4314"/>
    <n v="1167"/>
  </r>
  <r>
    <x v="2454"/>
    <n v="490022"/>
    <s v="VA"/>
    <s v="VA - Fredericksburg City"/>
    <n v="22401"/>
    <s v="Mary Washington Hospital"/>
    <s v="Short Term Acute Care Hospital"/>
    <s v="Fredericksburg"/>
    <n v="281.89999999999998"/>
    <n v="4.9000000000000004"/>
    <n v="660"/>
    <n v="421"/>
    <m/>
    <n v="0.05"/>
    <n v="421"/>
    <n v="1.69"/>
    <n v="4315"/>
    <n v="21772"/>
  </r>
  <r>
    <x v="2455"/>
    <n v="490115"/>
    <s v="VA"/>
    <s v="VA - Galax City"/>
    <n v="24333"/>
    <s v="Twin County Regional Hospital (AKA Twin County Regional Healthcare)"/>
    <s v="Short Term Acute Care Hospital"/>
    <s v="Galax"/>
    <n v="29.7"/>
    <n v="3.5"/>
    <n v="125"/>
    <n v="141"/>
    <n v="10"/>
    <m/>
    <n v="141"/>
    <n v="1.25"/>
    <n v="4316"/>
    <n v="3263"/>
  </r>
  <r>
    <x v="2456"/>
    <n v="490093"/>
    <s v="VA"/>
    <s v="VA - Hampton City"/>
    <n v="23666"/>
    <s v="Sentara CarePlex Hospital"/>
    <s v="Short Term Acute Care Hospital"/>
    <s v="Hampton"/>
    <n v="111.2"/>
    <n v="4.9000000000000004"/>
    <n v="328"/>
    <n v="172"/>
    <n v="24"/>
    <n v="0.1"/>
    <n v="172"/>
    <n v="1.7"/>
    <n v="4317"/>
    <n v="8431"/>
  </r>
  <r>
    <x v="2457"/>
    <n v="490004"/>
    <s v="VA"/>
    <s v="VA - Harrisonburg City"/>
    <n v="22801"/>
    <s v="Sentara RMH Medical Center (FKA Rockingham Memorial Hospital)"/>
    <s v="Short Term Acute Care Hospital"/>
    <s v="Harrisonburg"/>
    <n v="139.4"/>
    <n v="4"/>
    <n v="428"/>
    <n v="238"/>
    <n v="34"/>
    <n v="1"/>
    <n v="238"/>
    <n v="1.65"/>
    <n v="4319"/>
    <n v="13763"/>
  </r>
  <r>
    <x v="2458"/>
    <n v="490020"/>
    <s v="VA"/>
    <s v="VA - Hopewell City"/>
    <n v="23860"/>
    <s v="John Randolph Medical Center"/>
    <s v="Short Term Acute Care Hospital"/>
    <s v="Hopewell"/>
    <n v="39"/>
    <n v="4.2"/>
    <n v="123"/>
    <n v="107"/>
    <n v="17"/>
    <n v="0.19"/>
    <n v="107"/>
    <n v="1.35"/>
    <n v="4320"/>
    <n v="3385"/>
  </r>
  <r>
    <x v="2459"/>
    <n v="490021"/>
    <s v="VA"/>
    <s v="VA - Lynchburg City"/>
    <n v="24501"/>
    <s v="Centra Lynchburg General Hospital"/>
    <s v="Short Term Acute Care Hospital"/>
    <s v="Lynchburg"/>
    <n v="328.8"/>
    <n v="4.8"/>
    <n v="918"/>
    <n v="435"/>
    <n v="37"/>
    <n v="0.76"/>
    <n v="358"/>
    <n v="1.8"/>
    <n v="274410"/>
    <n v="26012"/>
  </r>
  <r>
    <x v="2459"/>
    <s v="490021*"/>
    <s v="VA"/>
    <s v="VA - Lynchburg City"/>
    <n v="24503"/>
    <s v="Centra Virginia Baptist Hospital"/>
    <s v="Short Term Acute Care Hospital"/>
    <s v="Lynchburg"/>
    <m/>
    <m/>
    <n v="10"/>
    <m/>
    <m/>
    <m/>
    <n v="161"/>
    <m/>
    <n v="274411"/>
    <m/>
  </r>
  <r>
    <x v="2460"/>
    <n v="490045"/>
    <s v="VA"/>
    <s v="VA - Manassas City"/>
    <n v="20110"/>
    <s v="Novant Health UVA Health System Prince William Medical Center (FKA Prince William Hospital)"/>
    <s v="Short Term Acute Care Hospital"/>
    <s v="Manassas"/>
    <n v="55.8"/>
    <n v="4.3"/>
    <n v="255"/>
    <n v="94"/>
    <n v="11"/>
    <n v="0.05"/>
    <n v="94"/>
    <n v="1.72"/>
    <n v="4324"/>
    <n v="5220"/>
  </r>
  <r>
    <x v="2461"/>
    <s v="490075*"/>
    <s v="VA"/>
    <s v="VA - Martinsville City"/>
    <n v="24115"/>
    <s v="Sovah Health - Martinsville (FKA Memorial Hospital of Martinsville &amp; Henry County)"/>
    <s v="Short Term Acute Care Hospital"/>
    <s v="Martinsville"/>
    <m/>
    <m/>
    <n v="24"/>
    <m/>
    <m/>
    <m/>
    <m/>
    <m/>
    <n v="4325"/>
    <m/>
  </r>
  <r>
    <x v="2462"/>
    <n v="490052"/>
    <s v="VA"/>
    <s v="VA - Newport News City"/>
    <n v="23601"/>
    <s v="Riverside Regional Medical Center"/>
    <s v="Short Term Acute Care Hospital"/>
    <s v="Newport News"/>
    <n v="256.89999999999998"/>
    <n v="5.3"/>
    <n v="662"/>
    <n v="357"/>
    <n v="24"/>
    <n v="0.1"/>
    <n v="357"/>
    <n v="1.77"/>
    <n v="4326"/>
    <n v="19462"/>
  </r>
  <r>
    <x v="2462"/>
    <n v="490041"/>
    <s v="VA"/>
    <s v="VA - Newport News City"/>
    <n v="23602"/>
    <s v="Bon Secours Mary Immaculate Hospital"/>
    <s v="Short Term Acute Care Hospital"/>
    <s v="Newport News"/>
    <n v="53.7"/>
    <n v="3.3"/>
    <n v="179"/>
    <n v="115"/>
    <n v="10"/>
    <n v="0.1"/>
    <n v="115"/>
    <n v="1.91"/>
    <n v="4327"/>
    <n v="7189"/>
  </r>
  <r>
    <x v="2463"/>
    <n v="490011"/>
    <s v="VA"/>
    <s v="VA - Norfolk City"/>
    <n v="23505"/>
    <s v="Bon Secours DePaul Medical Center"/>
    <s v="Short Term Acute Care Hospital"/>
    <s v="Norfolk"/>
    <n v="54"/>
    <n v="4.2"/>
    <n v="198"/>
    <n v="110"/>
    <n v="23"/>
    <n v="0.1"/>
    <n v="110"/>
    <n v="1.81"/>
    <n v="4328"/>
    <n v="5256"/>
  </r>
  <r>
    <x v="2463"/>
    <n v="490007"/>
    <s v="VA"/>
    <s v="VA - Norfolk City"/>
    <n v="23507"/>
    <s v="Sentara Norfolk General Hospital"/>
    <s v="Short Term Acute Care Hospital"/>
    <s v="Norfolk"/>
    <n v="375.4"/>
    <n v="6.3"/>
    <n v="910"/>
    <n v="471"/>
    <n v="44"/>
    <n v="0.1"/>
    <n v="471"/>
    <n v="2.4"/>
    <n v="4329"/>
    <n v="24806"/>
  </r>
  <r>
    <x v="2463"/>
    <n v="490046"/>
    <s v="VA"/>
    <s v="VA - Norfolk City"/>
    <n v="23502"/>
    <s v="Sentara Leigh Hospital"/>
    <s v="Short Term Acute Care Hospital"/>
    <s v="Norfolk"/>
    <n v="200.7"/>
    <n v="4.5"/>
    <n v="457"/>
    <n v="247"/>
    <n v="20"/>
    <n v="0.1"/>
    <n v="247"/>
    <n v="1.65"/>
    <n v="4330"/>
    <n v="17404"/>
  </r>
  <r>
    <x v="2463"/>
    <s v="490007*"/>
    <s v="VA"/>
    <s v="VA - Norfolk City"/>
    <n v="23507"/>
    <s v="Sentara Heart Hospital"/>
    <s v="Short Term Acute Care Hospital"/>
    <s v="Norfolk"/>
    <m/>
    <m/>
    <m/>
    <m/>
    <m/>
    <m/>
    <n v="112"/>
    <m/>
    <n v="553302"/>
    <m/>
  </r>
  <r>
    <x v="2464"/>
    <n v="490001"/>
    <s v="VA"/>
    <s v="VA - Norton City"/>
    <n v="24273"/>
    <s v="Norton Community Hospital"/>
    <s v="Short Term Acute Care Hospital"/>
    <s v="Norton"/>
    <n v="21.1"/>
    <n v="3.5"/>
    <n v="69"/>
    <n v="63"/>
    <n v="12"/>
    <n v="0.53"/>
    <n v="63"/>
    <n v="1.47"/>
    <n v="4331"/>
    <n v="2346"/>
  </r>
  <r>
    <x v="2464"/>
    <s v="490114*"/>
    <s v="VA"/>
    <s v="VA - Norton City"/>
    <n v="24273"/>
    <s v="Mountain View Regional Hospital (FKA Mountain View Regional Medical Center)"/>
    <s v="Short Term Acute Care Hospital"/>
    <s v="Norton"/>
    <m/>
    <m/>
    <n v="1"/>
    <m/>
    <m/>
    <m/>
    <n v="168"/>
    <m/>
    <n v="4332"/>
    <m/>
  </r>
  <r>
    <x v="2465"/>
    <n v="490067"/>
    <s v="VA"/>
    <s v="VA - Petersburg City"/>
    <n v="23805"/>
    <s v="Southside Regional Medical Center"/>
    <s v="Short Term Acute Care Hospital"/>
    <s v="Petersburg"/>
    <n v="143.69999999999999"/>
    <n v="4.8"/>
    <n v="217"/>
    <n v="300"/>
    <n v="28"/>
    <n v="0.19"/>
    <n v="300"/>
    <n v="1.56"/>
    <n v="4333"/>
    <n v="11419"/>
  </r>
  <r>
    <x v="2465"/>
    <n v="490104"/>
    <s v="VA"/>
    <s v="VA - Petersburg City"/>
    <n v="23803"/>
    <s v="Hiram W Davis Medical Center"/>
    <s v="Short Term Acute Care Hospital"/>
    <s v="Petersburg"/>
    <n v="0.7"/>
    <n v="15.3"/>
    <n v="3"/>
    <n v="4"/>
    <m/>
    <n v="0.19"/>
    <n v="4"/>
    <n v="0.87"/>
    <n v="4850"/>
    <n v="17"/>
  </r>
  <r>
    <x v="2466"/>
    <n v="490017"/>
    <s v="VA"/>
    <s v="VA - Portsmouth City"/>
    <n v="23707"/>
    <s v="Bon Secours Maryview Medical Center"/>
    <s v="Short Term Acute Care Hospital"/>
    <s v="Portsmouth"/>
    <n v="122.6"/>
    <n v="4.8"/>
    <n v="359"/>
    <n v="215"/>
    <n v="22"/>
    <n v="0.1"/>
    <n v="215"/>
    <n v="1.71"/>
    <n v="4334"/>
    <n v="9454"/>
  </r>
  <r>
    <x v="2467"/>
    <n v="490032"/>
    <s v="VA"/>
    <s v="VA - Richmond City"/>
    <n v="23219"/>
    <s v="VCU Medical Center Main Hospital"/>
    <s v="Short Term Acute Care Hospital"/>
    <s v="Richmond"/>
    <n v="602.1"/>
    <n v="6.1"/>
    <n v="1209"/>
    <n v="715"/>
    <n v="28"/>
    <n v="0.19"/>
    <n v="715"/>
    <n v="2.2400000000000002"/>
    <n v="4335"/>
    <n v="36711"/>
  </r>
  <r>
    <x v="2467"/>
    <n v="490094"/>
    <s v="VA"/>
    <s v="VA - Richmond City"/>
    <n v="23223"/>
    <s v="Richmond Community Hospital"/>
    <s v="Short Term Acute Care Hospital"/>
    <s v="Richmond"/>
    <n v="27.8"/>
    <n v="6.2"/>
    <n v="90"/>
    <n v="101"/>
    <n v="5"/>
    <n v="0.19"/>
    <n v="101"/>
    <n v="1.1200000000000001"/>
    <n v="4336"/>
    <n v="1622"/>
  </r>
  <r>
    <x v="2467"/>
    <s v="490118*"/>
    <s v="VA"/>
    <s v="VA - Richmond City"/>
    <n v="23220"/>
    <s v="Retreat Doctors Hospital"/>
    <s v="Short Term Acute Care Hospital"/>
    <s v="Richmond"/>
    <m/>
    <m/>
    <n v="19"/>
    <m/>
    <m/>
    <m/>
    <n v="227"/>
    <m/>
    <n v="5419"/>
    <m/>
  </r>
  <r>
    <x v="2467"/>
    <s v="490112*"/>
    <s v="VA"/>
    <s v="VA - Richmond City"/>
    <n v="23225"/>
    <s v="Chippenham Hospital"/>
    <s v="Short Term Acute Care Hospital"/>
    <s v="Richmond"/>
    <m/>
    <m/>
    <n v="49"/>
    <m/>
    <m/>
    <m/>
    <n v="466"/>
    <m/>
    <n v="560414"/>
    <m/>
  </r>
  <r>
    <x v="2467"/>
    <s v="490032*"/>
    <s v="VA"/>
    <s v="VA - Richmond City"/>
    <n v="23219"/>
    <s v="VCU Medical Center Critical Care Hospital"/>
    <s v="Short Term Acute Care Hospital"/>
    <s v="Richmond"/>
    <m/>
    <m/>
    <m/>
    <m/>
    <m/>
    <m/>
    <n v="232"/>
    <m/>
    <n v="560426"/>
    <m/>
  </r>
  <r>
    <x v="2467"/>
    <s v="490032*"/>
    <s v="VA"/>
    <s v="VA - Richmond City"/>
    <n v="23219"/>
    <s v="VCU Medical Center North Hospital"/>
    <s v="Short Term Acute Care Hospital"/>
    <s v="Richmond"/>
    <m/>
    <m/>
    <m/>
    <m/>
    <m/>
    <m/>
    <n v="566"/>
    <m/>
    <n v="576752"/>
    <m/>
  </r>
  <r>
    <x v="2468"/>
    <n v="490024"/>
    <s v="VA"/>
    <s v="VA - Roanoke City"/>
    <n v="24014"/>
    <s v="Carilion Roanoke Memorial Hospital"/>
    <s v="Short Term Acute Care Hospital"/>
    <s v="Roanoke"/>
    <n v="458.2"/>
    <n v="5.0999999999999996"/>
    <n v="986"/>
    <n v="636"/>
    <n v="36"/>
    <n v="0.65"/>
    <n v="621"/>
    <n v="1.97"/>
    <n v="4338"/>
    <n v="34981"/>
  </r>
  <r>
    <x v="2468"/>
    <s v="490024*"/>
    <s v="VA"/>
    <s v="VA - Roanoke City"/>
    <n v="24013"/>
    <s v="Carilion Roanoke Community Hospital"/>
    <s v="Short Term Acute Care Hospital"/>
    <s v="Roanoke"/>
    <m/>
    <m/>
    <m/>
    <m/>
    <m/>
    <m/>
    <n v="34"/>
    <m/>
    <n v="550789"/>
    <m/>
  </r>
  <r>
    <x v="2469"/>
    <n v="490048"/>
    <s v="VA"/>
    <s v="VA - Salem"/>
    <n v="24153"/>
    <s v="LewisGale Medical Center"/>
    <s v="Short Term Acute Care Hospital"/>
    <s v="Salem"/>
    <n v="214.7"/>
    <n v="5.0999999999999996"/>
    <n v="406"/>
    <n v="330"/>
    <n v="24"/>
    <n v="0.65"/>
    <n v="330"/>
    <n v="1.6"/>
    <n v="4339"/>
    <n v="15921"/>
  </r>
  <r>
    <x v="2470"/>
    <n v="490044"/>
    <s v="VA"/>
    <s v="VA - Suffolk City"/>
    <n v="23434"/>
    <s v="Sentara Obici Hospital"/>
    <s v="Short Term Acute Care Hospital"/>
    <s v="Suffolk"/>
    <n v="103.6"/>
    <n v="4.2"/>
    <n v="325"/>
    <n v="155"/>
    <n v="12"/>
    <n v="0.1"/>
    <n v="155"/>
    <n v="1.52"/>
    <n v="4342"/>
    <n v="9784"/>
  </r>
  <r>
    <x v="2471"/>
    <n v="490057"/>
    <s v="VA"/>
    <s v="VA - Virginia Beach City"/>
    <n v="23454"/>
    <s v="Sentara Virginia Beach General Hospital"/>
    <s v="Short Term Acute Care Hospital"/>
    <s v="Virginia Beach"/>
    <n v="178.5"/>
    <n v="5.2"/>
    <n v="438"/>
    <n v="227"/>
    <n v="22"/>
    <n v="0.1"/>
    <n v="227"/>
    <n v="1.68"/>
    <n v="4343"/>
    <n v="12624"/>
  </r>
  <r>
    <x v="2471"/>
    <s v="490119* (Closed)"/>
    <s v="VA"/>
    <s v="VA - Virginia Beach City"/>
    <n v="23455"/>
    <s v="Sentara Independence (FKA Sentara Bayside Hospital Closed - Outpatient Only)"/>
    <s v="Short Term Acute Care Hospital"/>
    <s v="Virginia Beach"/>
    <m/>
    <m/>
    <m/>
    <m/>
    <m/>
    <m/>
    <m/>
    <m/>
    <n v="4344"/>
    <m/>
  </r>
  <r>
    <x v="2471"/>
    <n v="490119"/>
    <s v="VA"/>
    <s v="VA - Virginia Beach City"/>
    <n v="23456"/>
    <s v="Sentara Princess Anne Hospital"/>
    <s v="Short Term Acute Care Hospital"/>
    <s v="Virginia Beach"/>
    <n v="135.1"/>
    <n v="4.8"/>
    <n v="294"/>
    <n v="174"/>
    <n v="16"/>
    <n v="0.1"/>
    <n v="160"/>
    <n v="1.61"/>
    <n v="550099"/>
    <n v="11788"/>
  </r>
  <r>
    <x v="2472"/>
    <n v="490005"/>
    <s v="VA"/>
    <s v="VA - Winchester City"/>
    <n v="22601"/>
    <s v="Winchester Medical Center"/>
    <s v="Short Term Acute Care Hospital"/>
    <s v="Winchester"/>
    <n v="276.8"/>
    <n v="5.3"/>
    <n v="667"/>
    <n v="389"/>
    <n v="48"/>
    <n v="0.92"/>
    <n v="389"/>
    <n v="1.79"/>
    <n v="4345"/>
    <n v="21150"/>
  </r>
  <r>
    <x v="1084"/>
    <n v="500053"/>
    <s v="WA"/>
    <s v="WA - Benton"/>
    <n v="99338"/>
    <s v="Trios Southridge Hospital"/>
    <s v="Short Term Acute Care Hospital"/>
    <s v="Kennewick"/>
    <n v="50.6"/>
    <n v="3.8"/>
    <n v="169"/>
    <n v="111"/>
    <n v="14"/>
    <n v="0.49"/>
    <n v="111"/>
    <n v="1.54"/>
    <n v="4349"/>
    <n v="5406"/>
  </r>
  <r>
    <x v="1084"/>
    <n v="500058"/>
    <s v="WA"/>
    <s v="WA - Benton"/>
    <n v="99352"/>
    <s v="Kadlec Regional Medical Center (AKA Kadlec Health System)"/>
    <s v="Short Term Acute Care Hospital"/>
    <s v="Richland"/>
    <n v="190.4"/>
    <n v="4.5"/>
    <n v="587"/>
    <n v="258"/>
    <n v="30"/>
    <n v="0.49"/>
    <n v="258"/>
    <n v="1.77"/>
    <n v="4350"/>
    <n v="16318"/>
  </r>
  <r>
    <x v="1085"/>
    <n v="500016"/>
    <s v="WA"/>
    <s v="WA - Chelan"/>
    <n v="98801"/>
    <s v="Central Washington Hospital"/>
    <s v="Short Term Acute Care Hospital"/>
    <s v="Wenatchee"/>
    <n v="122.1"/>
    <n v="4.0999999999999996"/>
    <n v="229"/>
    <n v="176"/>
    <n v="20"/>
    <n v="0.45"/>
    <n v="176"/>
    <n v="1.88"/>
    <n v="4351"/>
    <n v="11387"/>
  </r>
  <r>
    <x v="1085"/>
    <n v="500148"/>
    <s v="WA"/>
    <s v="WA - Chelan"/>
    <n v="98801"/>
    <s v="Wenatchee Valley Hospital"/>
    <s v="Short Term Acute Care Hospital"/>
    <s v="Wenatchee"/>
    <n v="2.6"/>
    <n v="2"/>
    <n v="395"/>
    <n v="11"/>
    <m/>
    <n v="0.45"/>
    <n v="11"/>
    <n v="1.8"/>
    <n v="4352"/>
    <n v="459"/>
  </r>
  <r>
    <x v="1086"/>
    <n v="500072"/>
    <s v="WA"/>
    <s v="WA - Clallam"/>
    <n v="98362"/>
    <s v="Olympic Medical Center"/>
    <s v="Short Term Acute Care Hospital"/>
    <s v="Port Angeles"/>
    <n v="39.299999999999997"/>
    <n v="3.4"/>
    <n v="314"/>
    <n v="78"/>
    <n v="19"/>
    <n v="0.79"/>
    <n v="78"/>
    <n v="1.61"/>
    <n v="4354"/>
    <n v="4454"/>
  </r>
  <r>
    <x v="2473"/>
    <n v="500050"/>
    <s v="WA"/>
    <s v="WA - Clark"/>
    <n v="98664"/>
    <s v="PeaceHealth Southwest Medical Center"/>
    <s v="Short Term Acute Care Hospital"/>
    <s v="Vancouver"/>
    <n v="221.8"/>
    <n v="4.5"/>
    <n v="818"/>
    <n v="436"/>
    <n v="80"/>
    <n v="0.11"/>
    <n v="436"/>
    <n v="1.87"/>
    <n v="4355"/>
    <n v="19767"/>
  </r>
  <r>
    <x v="2473"/>
    <n v="500150"/>
    <s v="WA"/>
    <s v="WA - Clark"/>
    <n v="98686"/>
    <s v="Legacy Salmon Creek Medical Center"/>
    <s v="Short Term Acute Care Hospital"/>
    <s v="Vancouver"/>
    <n v="139.1"/>
    <n v="3.7"/>
    <n v="480"/>
    <n v="166"/>
    <n v="16"/>
    <n v="0.11"/>
    <n v="166"/>
    <n v="1.65"/>
    <n v="4356"/>
    <n v="15519"/>
  </r>
  <r>
    <x v="2474"/>
    <n v="500041"/>
    <s v="WA"/>
    <s v="WA - Cowlitz"/>
    <n v="98632"/>
    <s v="PeaceHealth St John Medical Center"/>
    <s v="Short Term Acute Care Hospital"/>
    <s v="Longview"/>
    <n v="84.6"/>
    <n v="3.8"/>
    <n v="290"/>
    <n v="166"/>
    <n v="18"/>
    <n v="1"/>
    <n v="166"/>
    <n v="1.51"/>
    <n v="4357"/>
    <n v="8542"/>
  </r>
  <r>
    <x v="1091"/>
    <n v="500033"/>
    <s v="WA"/>
    <s v="WA - Grant"/>
    <n v="98837"/>
    <s v="Samaritan Hospital (AKA Samaritan Healthcare)"/>
    <s v="Short Term Acute Care Hospital"/>
    <s v="Moses Lake"/>
    <n v="24.3"/>
    <n v="3.3"/>
    <n v="110"/>
    <n v="48"/>
    <n v="12"/>
    <n v="0.45"/>
    <n v="48"/>
    <n v="1.53"/>
    <n v="4360"/>
    <n v="3163"/>
  </r>
  <r>
    <x v="1092"/>
    <n v="500031"/>
    <s v="WA"/>
    <s v="WA - Grays Harbor"/>
    <n v="98520"/>
    <s v="Grays Harbor Community Hospital - West/Main Campus"/>
    <s v="Short Term Acute Care Hospital"/>
    <s v="Aberdeen"/>
    <n v="38.299999999999997"/>
    <n v="4.4000000000000004"/>
    <n v="136"/>
    <n v="49"/>
    <n v="8"/>
    <n v="0.69"/>
    <n v="49"/>
    <n v="1.42"/>
    <n v="4361"/>
    <n v="3368"/>
  </r>
  <r>
    <x v="1092"/>
    <s v="500031*"/>
    <s v="WA"/>
    <s v="WA - Grays Harbor"/>
    <n v="98520"/>
    <s v="Grays Harbor Community Hospital - East Campus"/>
    <s v="Short Term Acute Care Hospital"/>
    <s v="Aberdeen"/>
    <m/>
    <m/>
    <m/>
    <m/>
    <m/>
    <m/>
    <n v="49"/>
    <m/>
    <n v="842945"/>
    <m/>
  </r>
  <r>
    <x v="1095"/>
    <n v="500064"/>
    <s v="WA"/>
    <s v="WA - King"/>
    <n v="98104"/>
    <s v="Harborview Medical Center"/>
    <s v="Short Term Acute Care Hospital"/>
    <s v="Seattle"/>
    <n v="305.39999999999998"/>
    <n v="7.7"/>
    <n v="970"/>
    <n v="321"/>
    <n v="89"/>
    <n v="0.06"/>
    <n v="321"/>
    <n v="2.2999999999999998"/>
    <n v="4369"/>
    <n v="14474"/>
  </r>
  <r>
    <x v="1095"/>
    <n v="500141"/>
    <s v="WA"/>
    <s v="WA - King"/>
    <n v="98003"/>
    <s v="St Francis Hospital"/>
    <s v="Short Term Acute Care Hospital"/>
    <s v="Federal Way"/>
    <n v="88.1"/>
    <n v="3.8"/>
    <n v="333"/>
    <n v="124"/>
    <n v="14"/>
    <n v="0.06"/>
    <n v="124"/>
    <n v="1.69"/>
    <n v="4370"/>
    <n v="9068"/>
  </r>
  <r>
    <x v="1095"/>
    <n v="500124"/>
    <s v="WA"/>
    <s v="WA - King"/>
    <n v="98034"/>
    <s v="EvergreenHealth Medical Center"/>
    <s v="Short Term Acute Care Hospital"/>
    <s v="Kirkland"/>
    <n v="172.5"/>
    <n v="3.5"/>
    <n v="794"/>
    <n v="304"/>
    <n v="20"/>
    <n v="0.06"/>
    <n v="304"/>
    <n v="1.69"/>
    <n v="4371"/>
    <n v="19337"/>
  </r>
  <r>
    <x v="1095"/>
    <n v="500025"/>
    <s v="WA"/>
    <s v="WA - King"/>
    <n v="98122"/>
    <s v="Swedish Medical Center - Cherry Hill Campus"/>
    <s v="Short Term Acute Care Hospital"/>
    <s v="Seattle"/>
    <n v="132.19999999999999"/>
    <n v="5.4"/>
    <n v="583"/>
    <n v="181"/>
    <n v="56"/>
    <n v="0.06"/>
    <n v="181"/>
    <n v="2.87"/>
    <n v="4372"/>
    <n v="8959"/>
  </r>
  <r>
    <x v="1095"/>
    <n v="500027"/>
    <s v="WA"/>
    <s v="WA - King"/>
    <n v="98122"/>
    <s v="Swedish Medical Center - First Hill Campus"/>
    <s v="Short Term Acute Care Hospital"/>
    <s v="Seattle"/>
    <n v="442.3"/>
    <n v="4.8"/>
    <n v="1343"/>
    <n v="646"/>
    <n v="54"/>
    <n v="0.06"/>
    <n v="620"/>
    <n v="1.92"/>
    <n v="4373"/>
    <n v="36115"/>
  </r>
  <r>
    <x v="1095"/>
    <n v="500008"/>
    <s v="WA"/>
    <s v="WA - King"/>
    <n v="98195"/>
    <s v="UW Medical Center - Montlake"/>
    <s v="Short Term Acute Care Hospital"/>
    <s v="Seattle"/>
    <n v="337.9"/>
    <n v="6.6"/>
    <n v="1385"/>
    <n v="436"/>
    <n v="81"/>
    <n v="0.06"/>
    <n v="436"/>
    <n v="2.5499999999999998"/>
    <n v="4374"/>
    <n v="19054"/>
  </r>
  <r>
    <x v="1095"/>
    <n v="500011"/>
    <s v="WA"/>
    <s v="WA - King"/>
    <n v="98166"/>
    <s v="Highline Medical Center"/>
    <s v="Short Term Acute Care Hospital"/>
    <s v="Burien"/>
    <n v="74.3"/>
    <n v="3.1"/>
    <n v="259"/>
    <n v="129"/>
    <n v="10"/>
    <n v="0.06"/>
    <n v="129"/>
    <n v="1.65"/>
    <n v="4375"/>
    <n v="9118"/>
  </r>
  <r>
    <x v="1095"/>
    <n v="500015"/>
    <s v="WA"/>
    <s v="WA - King"/>
    <n v="98001"/>
    <s v="MultiCare Auburn Medical Center"/>
    <s v="Short Term Acute Care Hospital"/>
    <s v="Auburn"/>
    <n v="71.5"/>
    <n v="4.5"/>
    <n v="155"/>
    <n v="73"/>
    <n v="16"/>
    <n v="0.06"/>
    <n v="73"/>
    <n v="1.54"/>
    <n v="4376"/>
    <n v="6199"/>
  </r>
  <r>
    <x v="1095"/>
    <n v="500051"/>
    <s v="WA"/>
    <s v="WA - King"/>
    <n v="98004"/>
    <s v="Overlake Hospital Medical Center (AKA Overlake Medical Center)"/>
    <s v="Short Term Acute Care Hospital"/>
    <s v="Bellevue"/>
    <n v="164.6"/>
    <n v="3.4"/>
    <n v="863"/>
    <n v="286"/>
    <n v="32"/>
    <n v="0.06"/>
    <n v="286"/>
    <n v="1.7"/>
    <n v="4377"/>
    <n v="19411"/>
  </r>
  <r>
    <x v="1095"/>
    <n v="500052"/>
    <s v="WA"/>
    <s v="WA - King"/>
    <n v="98112"/>
    <s v="Kaiser Permanente Central Hospital Capitol Hill Campus"/>
    <s v="Short Term Acute Care Hospital"/>
    <s v="Seattle"/>
    <n v="3.2"/>
    <n v="2.9"/>
    <n v="451"/>
    <n v="24"/>
    <m/>
    <n v="0.06"/>
    <n v="24"/>
    <n v="1.31"/>
    <n v="4378"/>
    <n v="396"/>
  </r>
  <r>
    <x v="1095"/>
    <n v="500088"/>
    <s v="WA"/>
    <s v="WA - King"/>
    <n v="98055"/>
    <s v="Valley Medical Center"/>
    <s v="Short Term Acute Care Hospital"/>
    <s v="Renton"/>
    <n v="197.6"/>
    <n v="4.7"/>
    <n v="776"/>
    <n v="311"/>
    <m/>
    <n v="0.06"/>
    <n v="311"/>
    <n v="1.74"/>
    <n v="4379"/>
    <n v="16709"/>
  </r>
  <r>
    <x v="1095"/>
    <n v="500001"/>
    <s v="WA"/>
    <s v="WA - King"/>
    <n v="98133"/>
    <s v="UW Medical Center - Northwest (FKA Northwest Hospital &amp; Medical Center)"/>
    <s v="Short Term Acute Care Hospital"/>
    <s v="Seattle"/>
    <n v="109.1"/>
    <n v="3.9"/>
    <n v="454"/>
    <n v="179"/>
    <n v="32"/>
    <n v="0.06"/>
    <n v="179"/>
    <n v="1.72"/>
    <n v="4380"/>
    <n v="10515"/>
  </r>
  <r>
    <x v="1095"/>
    <n v="500005"/>
    <s v="WA"/>
    <s v="WA - King"/>
    <n v="98101"/>
    <s v="Virginia Mason Seattle Medical Center"/>
    <s v="Short Term Acute Care Hospital"/>
    <s v="Seattle"/>
    <n v="183.4"/>
    <n v="5.5"/>
    <n v="923"/>
    <n v="211"/>
    <n v="28"/>
    <n v="0.06"/>
    <n v="211"/>
    <n v="2.13"/>
    <n v="4381"/>
    <n v="12272"/>
  </r>
  <r>
    <x v="1095"/>
    <n v="500138"/>
    <s v="WA"/>
    <s v="WA - King"/>
    <n v="98109"/>
    <s v="Seattle Cancer Care Alliance"/>
    <s v="Short Term Acute Care Hospital"/>
    <s v="Seattle"/>
    <n v="18.399999999999999"/>
    <n v="12"/>
    <n v="405"/>
    <n v="20"/>
    <m/>
    <n v="0.06"/>
    <n v="20"/>
    <n v="2.79"/>
    <n v="5692"/>
    <n v="560"/>
  </r>
  <r>
    <x v="1095"/>
    <n v="500152"/>
    <s v="WA"/>
    <s v="WA - King"/>
    <n v="98029"/>
    <s v="Swedish Medical Center - Issaquah Campus"/>
    <s v="Short Term Acute Care Hospital"/>
    <s v="Issaquah"/>
    <n v="53.6"/>
    <n v="3.3"/>
    <n v="283"/>
    <n v="126"/>
    <n v="18"/>
    <n v="0.06"/>
    <n v="126"/>
    <n v="1.59"/>
    <n v="541887"/>
    <n v="6688"/>
  </r>
  <r>
    <x v="1095"/>
    <s v="500027*"/>
    <s v="WA"/>
    <s v="WA - King"/>
    <n v="98107"/>
    <s v="Swedish Medical Center - Ballard Campus"/>
    <s v="Short Term Acute Care Hospital"/>
    <s v="Seattle"/>
    <m/>
    <m/>
    <n v="3"/>
    <m/>
    <m/>
    <m/>
    <n v="77"/>
    <m/>
    <n v="553316"/>
    <m/>
  </r>
  <r>
    <x v="1095"/>
    <n v="500154"/>
    <s v="WA"/>
    <s v="WA - King"/>
    <n v="98042"/>
    <s v="MultiCare Covington Medical Center"/>
    <s v="Short Term Acute Care Hospital"/>
    <s v="Covington"/>
    <n v="7.4"/>
    <n v="2.4"/>
    <n v="49"/>
    <n v="58"/>
    <m/>
    <n v="0.06"/>
    <n v="58"/>
    <n v="1.2"/>
    <n v="842952"/>
    <n v="1256"/>
  </r>
  <r>
    <x v="2475"/>
    <n v="500039"/>
    <s v="WA"/>
    <s v="WA - Kitsap"/>
    <n v="98310"/>
    <s v="Harrison Medical Center - Bremerton"/>
    <s v="Short Term Acute Care Hospital"/>
    <s v="Bremerton"/>
    <n v="164.2"/>
    <n v="3"/>
    <n v="657"/>
    <n v="298"/>
    <n v="20"/>
    <n v="1"/>
    <n v="298"/>
    <n v="1.9"/>
    <n v="4382"/>
    <n v="21249"/>
  </r>
  <r>
    <x v="2475"/>
    <s v="500039*"/>
    <s v="WA"/>
    <s v="WA - Kitsap"/>
    <n v="98383"/>
    <s v="Harrison Medical Center - Silverdale"/>
    <s v="Short Term Acute Care Hospital"/>
    <s v="Silverdale"/>
    <m/>
    <m/>
    <m/>
    <m/>
    <m/>
    <m/>
    <m/>
    <m/>
    <n v="582527"/>
    <m/>
  </r>
  <r>
    <x v="1098"/>
    <n v="500019"/>
    <s v="WA"/>
    <s v="WA - Lewis"/>
    <n v="98531"/>
    <s v="Providence Centralia Hospital"/>
    <s v="Short Term Acute Care Hospital"/>
    <s v="Centralia"/>
    <n v="48.8"/>
    <n v="4.2"/>
    <n v="213"/>
    <n v="116"/>
    <n v="6"/>
    <n v="0.8"/>
    <n v="127"/>
    <n v="1.43"/>
    <n v="4385"/>
    <n v="4557"/>
  </r>
  <r>
    <x v="2476"/>
    <n v="500129"/>
    <s v="WA"/>
    <s v="WA - Pierce"/>
    <n v="98405"/>
    <s v="MultiCare Tacoma General Hospital"/>
    <s v="Short Term Acute Care Hospital"/>
    <s v="Tacoma"/>
    <n v="275.5"/>
    <n v="6.2"/>
    <n v="1413"/>
    <n v="353"/>
    <n v="48"/>
    <n v="0.06"/>
    <n v="353"/>
    <n v="1.9"/>
    <n v="4389"/>
    <n v="17469"/>
  </r>
  <r>
    <x v="2476"/>
    <n v="500151"/>
    <s v="WA"/>
    <s v="WA - Pierce"/>
    <n v="98332"/>
    <s v="St Anthony Hospital"/>
    <s v="Short Term Acute Care Hospital"/>
    <s v="Gig Harbor"/>
    <n v="69.3"/>
    <n v="4.8"/>
    <n v="137"/>
    <n v="112"/>
    <n v="16"/>
    <n v="0.06"/>
    <n v="112"/>
    <n v="1.55"/>
    <n v="4390"/>
    <n v="5223"/>
  </r>
  <r>
    <x v="2476"/>
    <n v="500021"/>
    <s v="WA"/>
    <s v="WA - Pierce"/>
    <n v="98499"/>
    <s v="St Clare Hospital"/>
    <s v="Short Term Acute Care Hospital"/>
    <s v="Lakewood"/>
    <n v="88"/>
    <n v="6.1"/>
    <n v="174"/>
    <n v="106"/>
    <n v="31"/>
    <n v="0.06"/>
    <n v="106"/>
    <n v="1.6"/>
    <n v="4391"/>
    <n v="5282"/>
  </r>
  <r>
    <x v="2476"/>
    <n v="500108"/>
    <s v="WA"/>
    <s v="WA - Pierce"/>
    <n v="98405"/>
    <s v="St Joseph Medical Center"/>
    <s v="Short Term Acute Care Hospital"/>
    <s v="Tacoma"/>
    <n v="301.7"/>
    <n v="4.8"/>
    <n v="670"/>
    <n v="374"/>
    <n v="82"/>
    <n v="0.06"/>
    <n v="374"/>
    <n v="2.1800000000000002"/>
    <n v="4392"/>
    <n v="24310"/>
  </r>
  <r>
    <x v="2476"/>
    <n v="500079"/>
    <s v="WA"/>
    <s v="WA - Pierce"/>
    <n v="98372"/>
    <s v="MultiCare Good Samaritan Hospital"/>
    <s v="Short Term Acute Care Hospital"/>
    <s v="Puyallup"/>
    <n v="241.5"/>
    <n v="5"/>
    <n v="317"/>
    <n v="283"/>
    <n v="20"/>
    <n v="0.06"/>
    <n v="283"/>
    <n v="1.51"/>
    <n v="4393"/>
    <n v="16892"/>
  </r>
  <r>
    <x v="2476"/>
    <s v="500129*"/>
    <s v="WA"/>
    <s v="WA - Pierce"/>
    <n v="98405"/>
    <s v="MultiCare Allenmore Hospital"/>
    <s v="Short Term Acute Care Hospital"/>
    <s v="Tacoma"/>
    <m/>
    <m/>
    <m/>
    <m/>
    <m/>
    <m/>
    <n v="130"/>
    <m/>
    <n v="542206"/>
    <m/>
  </r>
  <r>
    <x v="1105"/>
    <n v="500007"/>
    <s v="WA"/>
    <s v="WA - Skagit"/>
    <n v="98221"/>
    <s v="Island Hospital"/>
    <s v="Short Term Acute Care Hospital"/>
    <s v="Anacortes"/>
    <n v="20.399999999999999"/>
    <n v="3.1"/>
    <n v="175"/>
    <n v="43"/>
    <n v="6"/>
    <n v="0.52"/>
    <n v="43"/>
    <n v="2"/>
    <n v="4394"/>
    <n v="2602"/>
  </r>
  <r>
    <x v="1105"/>
    <n v="500003"/>
    <s v="WA"/>
    <s v="WA - Skagit"/>
    <n v="98273"/>
    <s v="Skagit Valley Hospital (AKA Skagit Regional Health)"/>
    <s v="Short Term Acute Care Hospital"/>
    <s v="Mount Vernon"/>
    <n v="95.3"/>
    <n v="4.5999999999999996"/>
    <n v="463"/>
    <n v="137"/>
    <m/>
    <n v="0.52"/>
    <n v="137"/>
    <n v="1.52"/>
    <n v="4395"/>
    <n v="8110"/>
  </r>
  <r>
    <x v="2477"/>
    <n v="500084"/>
    <s v="WA"/>
    <s v="WA - Snohomish"/>
    <n v="98272"/>
    <s v="EvergreenHealth Monroe (FKA Valley General Hospital)"/>
    <s v="Short Term Acute Care Hospital"/>
    <s v="Monroe"/>
    <n v="10.6"/>
    <n v="3.5"/>
    <n v="97"/>
    <n v="27"/>
    <n v="4"/>
    <n v="0.06"/>
    <n v="27"/>
    <n v="1.43"/>
    <n v="4397"/>
    <n v="1095"/>
  </r>
  <r>
    <x v="2477"/>
    <n v="500060"/>
    <s v="WA"/>
    <s v="WA - Snohomish"/>
    <n v="98223"/>
    <s v="Cascade Valley Hospital"/>
    <s v="Short Term Acute Care Hospital"/>
    <s v="Arlington"/>
    <n v="15.1"/>
    <n v="4"/>
    <n v="57"/>
    <n v="48"/>
    <n v="6"/>
    <n v="0.06"/>
    <n v="48"/>
    <n v="1.43"/>
    <n v="4398"/>
    <n v="1431"/>
  </r>
  <r>
    <x v="2477"/>
    <n v="500014"/>
    <s v="WA"/>
    <s v="WA - Snohomish"/>
    <n v="98201"/>
    <s v="Providence Regional Medical Center Everett - Colby Campus"/>
    <s v="Short Term Acute Care Hospital"/>
    <s v="Everett"/>
    <n v="392.9"/>
    <n v="5.0999999999999996"/>
    <n v="855"/>
    <n v="495"/>
    <n v="49"/>
    <n v="0.06"/>
    <n v="495"/>
    <n v="1.73"/>
    <n v="4399"/>
    <n v="29386"/>
  </r>
  <r>
    <x v="2477"/>
    <n v="500026"/>
    <s v="WA"/>
    <s v="WA - Snohomish"/>
    <n v="98026"/>
    <s v="Swedish Medical Center - Edmonds Campus (FKA Stevens Hospital)"/>
    <s v="Short Term Acute Care Hospital"/>
    <s v="Edmonds"/>
    <n v="129.1"/>
    <n v="4.7"/>
    <n v="380"/>
    <n v="178"/>
    <n v="13"/>
    <n v="0.06"/>
    <n v="178"/>
    <n v="1.56"/>
    <n v="4400"/>
    <n v="10467"/>
  </r>
  <r>
    <x v="2477"/>
    <s v="500014*"/>
    <s v="WA"/>
    <s v="WA - Snohomish"/>
    <n v="98201"/>
    <s v="Providence Regional Medical Center Everett - Pacific Campus"/>
    <s v="Short Term Acute Care Hospital"/>
    <s v="Everett"/>
    <m/>
    <m/>
    <n v="48"/>
    <m/>
    <m/>
    <m/>
    <m/>
    <m/>
    <n v="542169"/>
    <m/>
  </r>
  <r>
    <x v="1106"/>
    <n v="500054"/>
    <s v="WA"/>
    <s v="WA - Spokane"/>
    <n v="99204"/>
    <s v="Providence Sacred Heart Medical Center"/>
    <s v="Short Term Acute Care Hospital"/>
    <s v="Spokane"/>
    <n v="406.4"/>
    <n v="5.5"/>
    <n v="833"/>
    <n v="612"/>
    <n v="20"/>
    <n v="0.38"/>
    <n v="612"/>
    <n v="2.34"/>
    <n v="4401"/>
    <n v="28060"/>
  </r>
  <r>
    <x v="1106"/>
    <n v="500044"/>
    <s v="WA"/>
    <s v="WA - Spokane"/>
    <n v="99204"/>
    <s v="MultiCare Deaconess Hospital (FKA Deaconess Hospital - Spokane)"/>
    <s v="Short Term Acute Care Hospital"/>
    <s v="Spokane"/>
    <n v="147.4"/>
    <n v="5.7"/>
    <n v="484"/>
    <n v="267"/>
    <n v="35"/>
    <n v="0.38"/>
    <n v="267"/>
    <n v="2.0499999999999998"/>
    <n v="4402"/>
    <n v="9708"/>
  </r>
  <r>
    <x v="1106"/>
    <n v="500077"/>
    <s v="WA"/>
    <s v="WA - Spokane"/>
    <n v="99208"/>
    <s v="Providence Holy Family Hospital"/>
    <s v="Short Term Acute Care Hospital"/>
    <s v="Spokane"/>
    <n v="95"/>
    <n v="4.7"/>
    <n v="229"/>
    <n v="184"/>
    <n v="14"/>
    <n v="0.38"/>
    <n v="184"/>
    <n v="1.77"/>
    <n v="4403"/>
    <n v="7955"/>
  </r>
  <r>
    <x v="1106"/>
    <n v="500119"/>
    <s v="WA"/>
    <s v="WA - Spokane"/>
    <n v="99216"/>
    <s v="MultiCare Valley Hospital"/>
    <s v="Short Term Acute Care Hospital"/>
    <s v="Spokane Valley"/>
    <n v="58.2"/>
    <n v="3.9"/>
    <n v="117"/>
    <n v="123"/>
    <n v="10"/>
    <n v="0.38"/>
    <n v="123"/>
    <n v="1.54"/>
    <n v="4404"/>
    <n v="5635"/>
  </r>
  <r>
    <x v="2478"/>
    <n v="500139"/>
    <s v="WA"/>
    <s v="WA - Thurston"/>
    <n v="98502"/>
    <s v="Capital Medical Center"/>
    <s v="Short Term Acute Care Hospital"/>
    <s v="Olympia"/>
    <n v="44"/>
    <n v="3.5"/>
    <n v="178"/>
    <n v="107"/>
    <n v="30"/>
    <n v="0.67"/>
    <n v="107"/>
    <n v="1.99"/>
    <n v="4408"/>
    <n v="4898"/>
  </r>
  <r>
    <x v="2478"/>
    <n v="500024"/>
    <s v="WA"/>
    <s v="WA - Thurston"/>
    <n v="98506"/>
    <s v="Providence St Peter Hospital"/>
    <s v="Short Term Acute Care Hospital"/>
    <s v="Olympia"/>
    <n v="256.2"/>
    <n v="5.2"/>
    <n v="639"/>
    <n v="304"/>
    <n v="42"/>
    <n v="0.67"/>
    <n v="304"/>
    <n v="1.98"/>
    <n v="4409"/>
    <n v="19056"/>
  </r>
  <r>
    <x v="2478"/>
    <s v="500024* (Closed)"/>
    <s v="WA"/>
    <s v="WA - Thurston"/>
    <n v="98513"/>
    <s v="Providence St Peter Chemical Dependency Center (Closed Inpatient Services)"/>
    <s v="Short Term Acute Care Hospital"/>
    <s v="Lacey"/>
    <m/>
    <m/>
    <m/>
    <m/>
    <m/>
    <m/>
    <m/>
    <m/>
    <n v="4851"/>
    <m/>
  </r>
  <r>
    <x v="2479"/>
    <s v="500049 (Closed)"/>
    <s v="WA"/>
    <s v="WA - Walla Walla"/>
    <n v="99362"/>
    <s v="Walla Walla General Hospital (Closed)"/>
    <s v="Short Term Acute Care Hospital"/>
    <s v="Walla Walla"/>
    <n v="7.2"/>
    <n v="2.9"/>
    <m/>
    <m/>
    <m/>
    <n v="0.73"/>
    <m/>
    <m/>
    <n v="4410"/>
    <n v="914"/>
  </r>
  <r>
    <x v="2479"/>
    <n v="500002"/>
    <s v="WA"/>
    <s v="WA - Walla Walla"/>
    <n v="99362"/>
    <s v="Providence St Mary Medical Center"/>
    <s v="Short Term Acute Care Hospital"/>
    <s v="Walla Walla"/>
    <n v="59.7"/>
    <n v="3.9"/>
    <n v="227"/>
    <n v="120"/>
    <n v="28"/>
    <n v="0.73"/>
    <n v="120"/>
    <n v="1.79"/>
    <n v="4411"/>
    <n v="5751"/>
  </r>
  <r>
    <x v="2480"/>
    <n v="500030"/>
    <s v="WA"/>
    <s v="WA - Whatcom"/>
    <n v="98225"/>
    <s v="PeaceHealth St Joseph Medical Center"/>
    <s v="Short Term Acute Care Hospital"/>
    <s v="Bellingham"/>
    <n v="165.6"/>
    <n v="4.0999999999999996"/>
    <n v="594"/>
    <n v="207"/>
    <n v="24"/>
    <n v="1"/>
    <n v="207"/>
    <n v="1.73"/>
    <n v="4413"/>
    <n v="15948"/>
  </r>
  <r>
    <x v="1109"/>
    <n v="500036"/>
    <s v="WA"/>
    <s v="WA - Yakima"/>
    <n v="98902"/>
    <s v="Virginia Mason Memorial (FKA Yakima Valley Memorial Hospital)"/>
    <s v="Short Term Acute Care Hospital"/>
    <s v="Yakima"/>
    <n v="113.2"/>
    <n v="3.1"/>
    <n v="523"/>
    <n v="208"/>
    <n v="38"/>
    <n v="0.43"/>
    <n v="208"/>
    <n v="1.67"/>
    <n v="4416"/>
    <n v="14325"/>
  </r>
  <r>
    <x v="1109"/>
    <n v="500037"/>
    <s v="WA"/>
    <s v="WA - Yakima"/>
    <n v="98948"/>
    <s v="Astria Toppenish Hospital (FKA Toppenish Community Hospital)"/>
    <s v="Short Term Acute Care Hospital"/>
    <s v="Toppenish"/>
    <n v="8.3000000000000007"/>
    <n v="3"/>
    <n v="45"/>
    <n v="25"/>
    <n v="7"/>
    <n v="0.43"/>
    <n v="25"/>
    <n v="1.25"/>
    <n v="4417"/>
    <n v="1125"/>
  </r>
  <r>
    <x v="1109"/>
    <m/>
    <s v="WA"/>
    <s v="WA - Yakima"/>
    <n v="98902"/>
    <s v="Astria Regional Medical Center (Temporarily Open due to COVID-19)"/>
    <s v="Short Term Acute Care Hospital"/>
    <s v="Yakima"/>
    <n v="46.1"/>
    <n v="4.4000000000000004"/>
    <n v="95"/>
    <n v="113"/>
    <m/>
    <n v="0.43"/>
    <n v="113"/>
    <n v="1.87"/>
    <n v="4418"/>
    <n v="3479"/>
  </r>
  <r>
    <x v="2481"/>
    <n v="510008"/>
    <s v="WV"/>
    <s v="WV - Berkeley"/>
    <n v="25401"/>
    <s v="Berkeley Medical Center (FKA City Hospital)"/>
    <s v="Short Term Acute Care Hospital"/>
    <s v="Martinsburg"/>
    <n v="91.8"/>
    <n v="4.5"/>
    <n v="329"/>
    <n v="146"/>
    <n v="20"/>
    <n v="0.48"/>
    <n v="146"/>
    <n v="1.47"/>
    <n v="4420"/>
    <n v="7809"/>
  </r>
  <r>
    <x v="2482"/>
    <n v="510055"/>
    <s v="WV"/>
    <s v="WV - Cabell"/>
    <n v="25701"/>
    <s v="Cabell Huntington Hospital"/>
    <s v="Short Term Acute Care Hospital"/>
    <s v="Huntington"/>
    <n v="233.4"/>
    <n v="5.9"/>
    <n v="531"/>
    <n v="330"/>
    <n v="20"/>
    <n v="0.28999999999999998"/>
    <n v="330"/>
    <n v="1.83"/>
    <n v="4423"/>
    <n v="15325"/>
  </r>
  <r>
    <x v="2482"/>
    <n v="510007"/>
    <s v="WV"/>
    <s v="WV - Cabell"/>
    <n v="25701"/>
    <s v="St Marys Medical Center"/>
    <s v="Short Term Acute Care Hospital"/>
    <s v="Huntington"/>
    <n v="243.9"/>
    <n v="5.7"/>
    <n v="384"/>
    <n v="349"/>
    <n v="12"/>
    <n v="0.28999999999999998"/>
    <n v="349"/>
    <n v="1.85"/>
    <n v="4424"/>
    <n v="15786"/>
  </r>
  <r>
    <x v="2483"/>
    <n v="510002"/>
    <s v="WV"/>
    <s v="WV - Greenbrier"/>
    <n v="24970"/>
    <s v="Greenbrier Valley Medical Center"/>
    <s v="Short Term Acute Care Hospital"/>
    <s v="Ronceverte"/>
    <n v="31.2"/>
    <n v="4.3"/>
    <n v="167"/>
    <n v="92"/>
    <n v="12"/>
    <m/>
    <n v="92"/>
    <n v="1.42"/>
    <n v="4429"/>
    <n v="2878"/>
  </r>
  <r>
    <x v="2484"/>
    <n v="510023"/>
    <s v="WV"/>
    <s v="WV - Hancock"/>
    <n v="26062"/>
    <s v="Weirton Medical Center"/>
    <s v="Short Term Acute Care Hospital"/>
    <s v="Weirton"/>
    <n v="54.1"/>
    <n v="4"/>
    <n v="186"/>
    <n v="127"/>
    <n v="10"/>
    <n v="0.52"/>
    <n v="127"/>
    <n v="1.51"/>
    <n v="4431"/>
    <n v="5132"/>
  </r>
  <r>
    <x v="2485"/>
    <n v="510006"/>
    <s v="WV"/>
    <s v="WV - Harrison"/>
    <n v="26330"/>
    <s v="United Hospital Center"/>
    <s v="Short Term Acute Care Hospital"/>
    <s v="Bridgeport"/>
    <n v="147.19999999999999"/>
    <n v="4.7"/>
    <n v="345"/>
    <n v="232"/>
    <n v="20"/>
    <n v="0.93"/>
    <n v="232"/>
    <n v="1.59"/>
    <n v="4433"/>
    <n v="12092"/>
  </r>
  <r>
    <x v="2486"/>
    <n v="510022"/>
    <s v="WV"/>
    <s v="WV - Kanawha"/>
    <n v="25301"/>
    <s v="CAMC General Hospital"/>
    <s v="Short Term Acute Care Hospital"/>
    <s v="Charleston"/>
    <n v="545.6"/>
    <n v="5"/>
    <n v="1083"/>
    <n v="822"/>
    <n v="95"/>
    <n v="0.59"/>
    <n v="822"/>
    <n v="1.86"/>
    <n v="4436"/>
    <n v="40662"/>
  </r>
  <r>
    <x v="2486"/>
    <n v="510029"/>
    <s v="WV"/>
    <s v="WV - Kanawha"/>
    <n v="25309"/>
    <s v="Thomas Memorial Hospital"/>
    <s v="Short Term Acute Care Hospital"/>
    <s v="South Charleston"/>
    <n v="76.099999999999994"/>
    <n v="4.8"/>
    <n v="220"/>
    <n v="168"/>
    <m/>
    <n v="0.59"/>
    <n v="168"/>
    <n v="1.58"/>
    <n v="4437"/>
    <n v="6532"/>
  </r>
  <r>
    <x v="2486"/>
    <n v="510031"/>
    <s v="WV"/>
    <s v="WV - Kanawha"/>
    <n v="25301"/>
    <s v="Saint Francis Hospital"/>
    <s v="Short Term Acute Care Hospital"/>
    <s v="Charleston"/>
    <n v="26.1"/>
    <n v="14.9"/>
    <n v="55"/>
    <n v="36"/>
    <m/>
    <n v="0.59"/>
    <n v="36"/>
    <n v="1.84"/>
    <n v="4438"/>
    <n v="642"/>
  </r>
  <r>
    <x v="2486"/>
    <n v="510091"/>
    <s v="WV"/>
    <s v="WV - Kanawha"/>
    <n v="25301"/>
    <s v="Charleston Surgical Hospital"/>
    <s v="Short Term Acute Care Hospital"/>
    <s v="Charleston"/>
    <n v="1.5"/>
    <n v="1.8"/>
    <n v="38"/>
    <n v="8"/>
    <m/>
    <n v="0.59"/>
    <n v="8"/>
    <n v="2.06"/>
    <n v="4439"/>
    <n v="311"/>
  </r>
  <r>
    <x v="2486"/>
    <s v="510022*"/>
    <s v="WV"/>
    <s v="WV - Kanawha"/>
    <n v="25304"/>
    <s v="CAMC Memorial Hospital"/>
    <s v="Short Term Acute Care Hospital"/>
    <s v="Charleston"/>
    <m/>
    <m/>
    <m/>
    <m/>
    <m/>
    <m/>
    <n v="424"/>
    <m/>
    <n v="541967"/>
    <m/>
  </r>
  <r>
    <x v="2487"/>
    <n v="510038"/>
    <s v="WV"/>
    <s v="WV - Lewis"/>
    <n v="26452"/>
    <s v="Stonewall Jackson Memorial Hospital"/>
    <s v="Short Term Acute Care Hospital"/>
    <s v="Weston"/>
    <n v="14.3"/>
    <n v="3.7"/>
    <n v="49"/>
    <n v="70"/>
    <n v="6"/>
    <m/>
    <n v="70"/>
    <n v="1.41"/>
    <n v="4440"/>
    <n v="1510"/>
  </r>
  <r>
    <x v="2488"/>
    <n v="510048"/>
    <s v="WV"/>
    <s v="WV - Logan"/>
    <n v="25601"/>
    <s v="Logan Regional Medical Center"/>
    <s v="Short Term Acute Care Hospital"/>
    <s v="Logan"/>
    <n v="54.8"/>
    <n v="4.5"/>
    <n v="100"/>
    <n v="132"/>
    <n v="12"/>
    <n v="1"/>
    <n v="132"/>
    <n v="1.34"/>
    <n v="4441"/>
    <n v="4606"/>
  </r>
  <r>
    <x v="2489"/>
    <n v="510086"/>
    <s v="WV"/>
    <s v="WV - Mcdowell"/>
    <n v="24801"/>
    <s v="Welch Community Hospital"/>
    <s v="Short Term Acute Care Hospital"/>
    <s v="Welch"/>
    <n v="6.3"/>
    <n v="3.9"/>
    <n v="31"/>
    <n v="49"/>
    <n v="7"/>
    <m/>
    <n v="49"/>
    <n v="0.95"/>
    <n v="4442"/>
    <n v="593"/>
  </r>
  <r>
    <x v="2490"/>
    <n v="510047"/>
    <s v="WV"/>
    <s v="WV - Marion"/>
    <n v="26554"/>
    <s v="Fairmont Regional Medical Center (Opening June 2020)"/>
    <s v="Short Term Acute Care Hospital"/>
    <s v="Fairmont"/>
    <n v="25.6"/>
    <n v="3.3"/>
    <n v="67"/>
    <m/>
    <m/>
    <n v="1"/>
    <m/>
    <n v="1.34"/>
    <n v="4443"/>
    <n v="2868"/>
  </r>
  <r>
    <x v="2491"/>
    <n v="510013"/>
    <s v="WV"/>
    <s v="WV - Marshall"/>
    <n v="26038"/>
    <s v="Reynolds Memorial Hospital"/>
    <s v="Short Term Acute Care Hospital"/>
    <s v="Glen Dale"/>
    <n v="17.3"/>
    <n v="3.6"/>
    <n v="92"/>
    <n v="59"/>
    <n v="9"/>
    <n v="0.47"/>
    <n v="59"/>
    <n v="1.36"/>
    <n v="4444"/>
    <n v="1745"/>
  </r>
  <r>
    <x v="2492"/>
    <n v="510012"/>
    <s v="WV"/>
    <s v="WV - Mason"/>
    <n v="25550"/>
    <s v="Pleasant Valley Hospital"/>
    <s v="Short Term Acute Care Hospital"/>
    <s v="Point Pleasant"/>
    <n v="18.2"/>
    <n v="5.0999999999999996"/>
    <n v="78"/>
    <n v="49"/>
    <n v="5"/>
    <n v="0.62"/>
    <n v="49"/>
    <n v="1.1200000000000001"/>
    <n v="4445"/>
    <n v="1350"/>
  </r>
  <r>
    <x v="2493"/>
    <n v="510046"/>
    <s v="WV"/>
    <s v="WV - Mercer"/>
    <n v="24740"/>
    <s v="Princeton Community Hospital"/>
    <s v="Short Term Acute Care Hospital"/>
    <s v="Princeton"/>
    <n v="61"/>
    <n v="4"/>
    <n v="200"/>
    <n v="89"/>
    <m/>
    <n v="0.34"/>
    <n v="89"/>
    <n v="1.49"/>
    <n v="4446"/>
    <n v="5947"/>
  </r>
  <r>
    <x v="2493"/>
    <n v="510071"/>
    <s v="WV"/>
    <s v="WV - Mercer"/>
    <n v="24701"/>
    <s v="Bluefield Regional Medical Center (Closing Inpatient Services July 30 2020)"/>
    <s v="Short Term Acute Care Hospital"/>
    <s v="Bluefield"/>
    <n v="26.3"/>
    <n v="3.6"/>
    <n v="91"/>
    <n v="57"/>
    <n v="17"/>
    <n v="0.34"/>
    <n v="57"/>
    <n v="1.5"/>
    <n v="4447"/>
    <n v="2962"/>
  </r>
  <r>
    <x v="2494"/>
    <s v="510077 (Closed)"/>
    <s v="WV"/>
    <s v="WV - Mingo"/>
    <n v="25661"/>
    <s v="Williamson Memorial Hospital (Closed)"/>
    <s v="Short Term Acute Care Hospital"/>
    <s v="Williamson"/>
    <n v="5.3"/>
    <n v="3.3"/>
    <m/>
    <n v="27"/>
    <n v="6"/>
    <m/>
    <m/>
    <n v="1.08"/>
    <n v="4449"/>
    <n v="578"/>
  </r>
  <r>
    <x v="2495"/>
    <n v="510024"/>
    <s v="WV"/>
    <s v="WV - Monongalia"/>
    <n v="26505"/>
    <s v="Mon Health Medical Center (FKA Mon General Hospital)"/>
    <s v="Short Term Acute Care Hospital"/>
    <s v="Morgantown"/>
    <n v="80.599999999999994"/>
    <n v="3.7"/>
    <n v="265"/>
    <n v="189"/>
    <n v="26"/>
    <n v="0.64"/>
    <n v="189"/>
    <n v="1.75"/>
    <n v="4450"/>
    <n v="8515"/>
  </r>
  <r>
    <x v="2495"/>
    <n v="510001"/>
    <s v="WV"/>
    <s v="WV - Monongalia"/>
    <n v="26506"/>
    <s v="JW Ruby Memorial Hospital"/>
    <s v="Short Term Acute Care Hospital"/>
    <s v="Morgantown"/>
    <n v="536.1"/>
    <n v="6.5"/>
    <n v="1228"/>
    <n v="605"/>
    <n v="65"/>
    <n v="0.64"/>
    <n v="605"/>
    <n v="2.16"/>
    <n v="4451"/>
    <n v="29374"/>
  </r>
  <r>
    <x v="2495"/>
    <n v="510092"/>
    <s v="WV"/>
    <s v="WV - Monongalia"/>
    <n v="26505"/>
    <s v="Acuity Specialty Hospital of Morgantown"/>
    <s v="Short Term Acute Care Hospital"/>
    <s v="Morgantown"/>
    <m/>
    <m/>
    <m/>
    <m/>
    <m/>
    <m/>
    <m/>
    <m/>
    <n v="1010195"/>
    <m/>
  </r>
  <r>
    <x v="2496"/>
    <n v="510050"/>
    <s v="WV"/>
    <s v="WV - Ohio"/>
    <n v="26003"/>
    <s v="Wheeling Hospital"/>
    <s v="Short Term Acute Care Hospital"/>
    <s v="Wheeling"/>
    <n v="134.5"/>
    <n v="5.0999999999999996"/>
    <n v="432"/>
    <n v="223"/>
    <n v="22"/>
    <n v="0.47"/>
    <n v="223"/>
    <n v="1.69"/>
    <n v="4454"/>
    <n v="10237"/>
  </r>
  <r>
    <x v="2496"/>
    <s v="510039 (Closed)"/>
    <s v="WV"/>
    <s v="WV - Ohio"/>
    <n v="26003"/>
    <s v="Ohio Valley Medical Center (Closed)"/>
    <s v="Short Term Acute Care Hospital"/>
    <s v="Wheeling"/>
    <n v="35.4"/>
    <n v="3.9"/>
    <m/>
    <m/>
    <m/>
    <n v="0.47"/>
    <m/>
    <n v="1.47"/>
    <n v="4455"/>
    <n v="3442"/>
  </r>
  <r>
    <x v="2496"/>
    <m/>
    <s v="WV"/>
    <s v="WV - Ohio"/>
    <n v="26003"/>
    <s v="Acuity Specialty Hospital of Ohio Valley - Wheeling Campus"/>
    <s v="Short Term Acute Care Hospital"/>
    <s v="Wheeling"/>
    <m/>
    <m/>
    <m/>
    <m/>
    <m/>
    <m/>
    <m/>
    <m/>
    <n v="965697"/>
    <m/>
  </r>
  <r>
    <x v="2497"/>
    <s v="510022*"/>
    <s v="WV"/>
    <s v="WV - Putnam"/>
    <n v="25526"/>
    <s v="CAMC Teays Valley Hospital"/>
    <s v="Short Term Acute Care Hospital"/>
    <s v="Hurricane"/>
    <m/>
    <m/>
    <m/>
    <m/>
    <m/>
    <m/>
    <n v="70"/>
    <m/>
    <n v="4458"/>
    <m/>
  </r>
  <r>
    <x v="2498"/>
    <n v="510062"/>
    <s v="WV"/>
    <s v="WV - Raleigh"/>
    <n v="25801"/>
    <s v="Beckley ARH Hospital"/>
    <s v="Short Term Acute Care Hospital"/>
    <s v="Beckley"/>
    <n v="58.1"/>
    <n v="5.3"/>
    <n v="169"/>
    <n v="113"/>
    <n v="11"/>
    <n v="0.39"/>
    <n v="113"/>
    <n v="1.52"/>
    <n v="4459"/>
    <n v="4012"/>
  </r>
  <r>
    <x v="2498"/>
    <n v="510070"/>
    <s v="WV"/>
    <s v="WV - Raleigh"/>
    <n v="25801"/>
    <s v="Raleigh General Hospital"/>
    <s v="Short Term Acute Care Hospital"/>
    <s v="Beckley"/>
    <n v="134.69999999999999"/>
    <n v="4.7"/>
    <n v="200"/>
    <n v="300"/>
    <n v="16"/>
    <n v="0.39"/>
    <n v="300"/>
    <n v="1.66"/>
    <n v="4460"/>
    <n v="11220"/>
  </r>
  <r>
    <x v="2499"/>
    <n v="510030"/>
    <s v="WV"/>
    <s v="WV - Randolph"/>
    <n v="26241"/>
    <s v="Davis Medical Center (AKA Davis Memorial Hospital)"/>
    <s v="Short Term Acute Care Hospital"/>
    <s v="Elkins"/>
    <n v="24.5"/>
    <n v="3.5"/>
    <n v="125"/>
    <n v="90"/>
    <m/>
    <n v="1"/>
    <n v="90"/>
    <n v="1.39"/>
    <n v="4462"/>
    <n v="2705"/>
  </r>
  <r>
    <x v="2500"/>
    <n v="510072"/>
    <s v="WV"/>
    <s v="WV - Wetzel"/>
    <n v="26155"/>
    <s v="Wetzel County Hospital"/>
    <s v="Short Term Acute Care Hospital"/>
    <s v="New Martinsville"/>
    <n v="5.5"/>
    <n v="6.1"/>
    <n v="50"/>
    <n v="48"/>
    <n v="5"/>
    <m/>
    <n v="48"/>
    <n v="1.23"/>
    <n v="4470"/>
    <n v="325"/>
  </r>
  <r>
    <x v="2501"/>
    <n v="510058"/>
    <s v="WV"/>
    <s v="WV - Wood"/>
    <n v="26101"/>
    <s v="Camden Clark Medical Center - Memorial Campus"/>
    <s v="Short Term Acute Care Hospital"/>
    <s v="Parkersburg"/>
    <n v="129.1"/>
    <n v="4.4000000000000004"/>
    <n v="297"/>
    <n v="230"/>
    <n v="18"/>
    <n v="1"/>
    <n v="230"/>
    <n v="1.53"/>
    <n v="4471"/>
    <n v="11491"/>
  </r>
  <r>
    <x v="2501"/>
    <s v="510058* (Closed)"/>
    <s v="WV"/>
    <s v="WV - Wood"/>
    <n v="26102"/>
    <s v="Camden Clark Medical Center - St Josephs Campus (Closed)"/>
    <s v="Short Term Acute Care Hospital"/>
    <s v="Parkersburg"/>
    <m/>
    <m/>
    <m/>
    <m/>
    <m/>
    <m/>
    <m/>
    <m/>
    <n v="4472"/>
    <m/>
  </r>
  <r>
    <x v="1132"/>
    <n v="520011"/>
    <s v="WI"/>
    <s v="WI - Barron"/>
    <n v="54868"/>
    <s v="Marshfield Medical Center - Rice Lake (FKA Lakeview Medical Center)"/>
    <s v="Short Term Acute Care Hospital"/>
    <s v="Rice Lake"/>
    <n v="15.8"/>
    <n v="3.2"/>
    <n v="136"/>
    <n v="40"/>
    <n v="5"/>
    <m/>
    <n v="40"/>
    <n v="1.36"/>
    <n v="4477"/>
    <n v="2042"/>
  </r>
  <r>
    <x v="2502"/>
    <n v="520049"/>
    <s v="WI"/>
    <s v="WI - Brown"/>
    <n v="54301"/>
    <s v="Bellin Hospital Green Bay (AKA Bellin Memorial Hospital)"/>
    <s v="Short Term Acute Care Hospital"/>
    <s v="Green Bay"/>
    <n v="72"/>
    <n v="3.7"/>
    <n v="603"/>
    <n v="161"/>
    <m/>
    <n v="0.27"/>
    <n v="161"/>
    <n v="2.11"/>
    <n v="4478"/>
    <n v="7967"/>
  </r>
  <r>
    <x v="2502"/>
    <n v="520075"/>
    <s v="WI"/>
    <s v="WI - Brown"/>
    <n v="54307"/>
    <s v="HSHS St Vincent Hospital"/>
    <s v="Short Term Acute Care Hospital"/>
    <s v="Green Bay"/>
    <n v="128.6"/>
    <n v="4.8"/>
    <n v="437"/>
    <n v="223"/>
    <n v="24"/>
    <n v="0.27"/>
    <n v="223"/>
    <n v="2"/>
    <n v="4479"/>
    <n v="10166"/>
  </r>
  <r>
    <x v="2502"/>
    <n v="520097"/>
    <s v="WI"/>
    <s v="WI - Brown"/>
    <n v="54303"/>
    <s v="HSHS St Marys Hospital Medical Center"/>
    <s v="Short Term Acute Care Hospital"/>
    <s v="Green Bay"/>
    <n v="33.299999999999997"/>
    <n v="3.7"/>
    <n v="84"/>
    <n v="83"/>
    <n v="8"/>
    <n v="0.27"/>
    <n v="83"/>
    <n v="1.54"/>
    <n v="4480"/>
    <n v="3432"/>
  </r>
  <r>
    <x v="2502"/>
    <n v="520193"/>
    <s v="WI"/>
    <s v="WI - Brown"/>
    <n v="54311"/>
    <s v="Aurora BayCare Medical Center"/>
    <s v="Short Term Acute Care Hospital"/>
    <s v="Green Bay"/>
    <n v="112.4"/>
    <n v="4.5"/>
    <n v="374"/>
    <n v="161"/>
    <n v="24"/>
    <n v="0.27"/>
    <n v="161"/>
    <n v="2.0099999999999998"/>
    <n v="4481"/>
    <n v="9697"/>
  </r>
  <r>
    <x v="2502"/>
    <m/>
    <s v="WI"/>
    <s v="WI - Brown"/>
    <n v="54303"/>
    <s v="Libertas Treatment Center - Green Bay"/>
    <s v="Short Term Acute Care Hospital"/>
    <s v="Green Bay"/>
    <m/>
    <m/>
    <m/>
    <m/>
    <m/>
    <m/>
    <m/>
    <m/>
    <n v="868362"/>
    <m/>
  </r>
  <r>
    <x v="1135"/>
    <n v="520017"/>
    <s v="WI"/>
    <s v="WI - Chippewa"/>
    <n v="54729"/>
    <s v="HSHS St Josephs Hospital"/>
    <s v="Short Term Acute Care Hospital"/>
    <s v="Chippewa Falls"/>
    <n v="33.4"/>
    <n v="4.3"/>
    <n v="103"/>
    <n v="102"/>
    <n v="6"/>
    <n v="0.3"/>
    <n v="102"/>
    <n v="1.28"/>
    <n v="4486"/>
    <n v="2905"/>
  </r>
  <r>
    <x v="1137"/>
    <n v="520041"/>
    <s v="WI"/>
    <s v="WI - Columbia"/>
    <n v="53901"/>
    <s v="Divine Savior Healthcare"/>
    <s v="Short Term Acute Care Hospital"/>
    <s v="Portage"/>
    <n v="14.5"/>
    <n v="3.3"/>
    <n v="148"/>
    <n v="43"/>
    <n v="6"/>
    <n v="0.4"/>
    <n v="43"/>
    <n v="1.38"/>
    <n v="4489"/>
    <n v="1693"/>
  </r>
  <r>
    <x v="1139"/>
    <n v="520098"/>
    <s v="WI"/>
    <s v="WI - Dane"/>
    <n v="53792"/>
    <s v="University Hospital"/>
    <s v="Short Term Acute Care Hospital"/>
    <s v="Madison"/>
    <n v="462.8"/>
    <n v="5.2"/>
    <n v="1893"/>
    <n v="608"/>
    <m/>
    <n v="0.4"/>
    <n v="608"/>
    <n v="2.11"/>
    <n v="4493"/>
    <n v="32219"/>
  </r>
  <r>
    <x v="1139"/>
    <n v="520083"/>
    <s v="WI"/>
    <s v="WI - Dane"/>
    <n v="53715"/>
    <s v="SSM Health St Marys Hospital - Madison"/>
    <s v="Short Term Acute Care Hospital"/>
    <s v="Madison"/>
    <n v="236.1"/>
    <n v="4.9000000000000004"/>
    <n v="733"/>
    <n v="342"/>
    <n v="12"/>
    <n v="0.4"/>
    <n v="342"/>
    <n v="1.97"/>
    <n v="4494"/>
    <n v="18306"/>
  </r>
  <r>
    <x v="1139"/>
    <n v="520089"/>
    <s v="WI"/>
    <s v="WI - Dane"/>
    <n v="53715"/>
    <s v="UnityPoint Health - Meriter (FKA Meriter Hospital)"/>
    <s v="Short Term Acute Care Hospital"/>
    <s v="Madison"/>
    <n v="162.9"/>
    <n v="4.5"/>
    <n v="375"/>
    <n v="275"/>
    <n v="16"/>
    <n v="0.4"/>
    <n v="275"/>
    <n v="1.61"/>
    <n v="4495"/>
    <n v="15248"/>
  </r>
  <r>
    <x v="1139"/>
    <m/>
    <s v="WI"/>
    <s v="WI - Dane"/>
    <n v="53718"/>
    <s v="UW Health at the American Center"/>
    <s v="Short Term Acute Care Hospital"/>
    <s v="Madison"/>
    <m/>
    <m/>
    <m/>
    <m/>
    <m/>
    <m/>
    <n v="56"/>
    <m/>
    <n v="764486"/>
    <m/>
  </r>
  <r>
    <x v="1140"/>
    <n v="520116"/>
    <s v="WI"/>
    <s v="WI - Dodge"/>
    <n v="53098"/>
    <s v="Watertown Regional Medical Center"/>
    <s v="Short Term Acute Care Hospital"/>
    <s v="Watertown"/>
    <n v="15.7"/>
    <n v="3.5"/>
    <n v="117"/>
    <n v="80"/>
    <n v="4"/>
    <n v="0.37"/>
    <n v="80"/>
    <n v="1.37"/>
    <n v="4496"/>
    <n v="1741"/>
  </r>
  <r>
    <x v="1140"/>
    <n v="520076"/>
    <s v="WI"/>
    <s v="WI - Dodge"/>
    <n v="53916"/>
    <s v="Marshfield Medical Center Beaver Dam (FKA Beaver Dam Community Hospital)"/>
    <s v="Short Term Acute Care Hospital"/>
    <s v="Beaver Dam"/>
    <n v="11.4"/>
    <n v="3.4"/>
    <n v="124"/>
    <n v="125"/>
    <n v="6"/>
    <n v="0.37"/>
    <n v="125"/>
    <n v="1.3"/>
    <n v="4497"/>
    <n v="1380"/>
  </r>
  <r>
    <x v="2503"/>
    <n v="520196"/>
    <s v="WI"/>
    <s v="WI - Eau Claire"/>
    <n v="54720"/>
    <s v="OakLeaf Surgical Hospital"/>
    <s v="Short Term Acute Care Hospital"/>
    <s v="Altoona"/>
    <n v="3.5"/>
    <n v="2"/>
    <n v="59"/>
    <n v="13"/>
    <m/>
    <n v="0.3"/>
    <n v="13"/>
    <n v="2.39"/>
    <n v="4502"/>
    <n v="641"/>
  </r>
  <r>
    <x v="2503"/>
    <n v="520070"/>
    <s v="WI"/>
    <s v="WI - Eau Claire"/>
    <n v="54703"/>
    <s v="Mayo Clinic Hospital - Eau Claire"/>
    <s v="Short Term Acute Care Hospital"/>
    <s v="Eau Claire"/>
    <n v="126.6"/>
    <n v="4.5"/>
    <n v="490"/>
    <n v="193"/>
    <n v="26"/>
    <n v="0.3"/>
    <n v="193"/>
    <n v="1.91"/>
    <n v="4503"/>
    <n v="10683"/>
  </r>
  <r>
    <x v="2503"/>
    <n v="520013"/>
    <s v="WI"/>
    <s v="WI - Eau Claire"/>
    <n v="54701"/>
    <s v="HSHS Sacred Heart Hospital"/>
    <s v="Short Term Acute Care Hospital"/>
    <s v="Eau Claire"/>
    <n v="86.7"/>
    <n v="4.7"/>
    <n v="179"/>
    <n v="168"/>
    <n v="14"/>
    <n v="0.3"/>
    <n v="168"/>
    <n v="1.8"/>
    <n v="4504"/>
    <n v="7013"/>
  </r>
  <r>
    <x v="2503"/>
    <n v="520210"/>
    <s v="WI"/>
    <s v="WI - Eau Claire"/>
    <n v="54701"/>
    <s v="Marshfield Medical Center - Eau Claire"/>
    <s v="Short Term Acute Care Hospital"/>
    <s v="Eau Claire"/>
    <n v="28"/>
    <n v="3.9"/>
    <n v="134"/>
    <n v="44"/>
    <m/>
    <n v="0.3"/>
    <n v="44"/>
    <m/>
    <n v="911535"/>
    <n v="2881"/>
  </r>
  <r>
    <x v="1144"/>
    <n v="520088"/>
    <s v="WI"/>
    <s v="WI - Fond Du Lac"/>
    <n v="54935"/>
    <s v="St Agnes Hospital"/>
    <s v="Short Term Acute Care Hospital"/>
    <s v="Fond Du Lac"/>
    <n v="56.9"/>
    <n v="4"/>
    <n v="276"/>
    <n v="115"/>
    <n v="12"/>
    <n v="0.86"/>
    <n v="115"/>
    <n v="1.71"/>
    <n v="4505"/>
    <n v="5652"/>
  </r>
  <r>
    <x v="2504"/>
    <n v="520028"/>
    <s v="WI"/>
    <s v="WI - Green"/>
    <n v="53566"/>
    <s v="Monroe Clinic Hospital"/>
    <s v="Short Term Acute Care Hospital"/>
    <s v="Monroe"/>
    <n v="23.7"/>
    <n v="3.8"/>
    <n v="159"/>
    <n v="58"/>
    <n v="6"/>
    <n v="0.4"/>
    <n v="58"/>
    <n v="1.54"/>
    <n v="4510"/>
    <n v="2540"/>
  </r>
  <r>
    <x v="2505"/>
    <n v="520071"/>
    <s v="WI"/>
    <s v="WI - Jefferson"/>
    <n v="53538"/>
    <s v="Fort Memorial Hospital (AKA Fort HealthCare)"/>
    <s v="Short Term Acute Care Hospital"/>
    <s v="Fort Atkinson"/>
    <n v="12.3"/>
    <n v="3.4"/>
    <n v="169"/>
    <n v="49"/>
    <n v="4"/>
    <n v="1"/>
    <n v="49"/>
    <n v="1.59"/>
    <n v="4514"/>
    <n v="1523"/>
  </r>
  <r>
    <x v="2506"/>
    <n v="520109"/>
    <s v="WI"/>
    <s v="WI - Juneau"/>
    <n v="53948"/>
    <s v="Mile Bluff Medical Center"/>
    <s v="Short Term Acute Care Hospital"/>
    <s v="Mauston"/>
    <n v="7"/>
    <n v="3.2"/>
    <n v="77"/>
    <n v="40"/>
    <m/>
    <m/>
    <n v="40"/>
    <n v="1.3"/>
    <n v="4515"/>
    <n v="879"/>
  </r>
  <r>
    <x v="2507"/>
    <n v="520189"/>
    <s v="WI"/>
    <s v="WI - Kenosha"/>
    <n v="53142"/>
    <s v="Aurora Medical Center in Kenosha"/>
    <s v="Short Term Acute Care Hospital"/>
    <s v="Kenosha"/>
    <n v="49.9"/>
    <n v="3.6"/>
    <n v="273"/>
    <n v="74"/>
    <n v="12"/>
    <n v="0.03"/>
    <n v="74"/>
    <n v="1.49"/>
    <n v="4516"/>
    <n v="5593"/>
  </r>
  <r>
    <x v="2507"/>
    <n v="520021"/>
    <s v="WI"/>
    <s v="WI - Kenosha"/>
    <n v="53143"/>
    <s v="Froedtert Kenosha Hospital (FKA Kenosha Medical Center)"/>
    <s v="Short Term Acute Care Hospital"/>
    <s v="Kenosha"/>
    <n v="97.4"/>
    <n v="4.9000000000000004"/>
    <n v="251"/>
    <n v="200"/>
    <n v="15"/>
    <n v="0.03"/>
    <n v="200"/>
    <n v="1.48"/>
    <n v="4517"/>
    <n v="7725"/>
  </r>
  <r>
    <x v="2507"/>
    <s v="520021*"/>
    <s v="WI"/>
    <s v="WI - Kenosha"/>
    <n v="53158"/>
    <s v="Froedtert Pleasant Prairie Hospital (FKA St Catherines Medical Center)"/>
    <s v="Short Term Acute Care Hospital"/>
    <s v="Pleasant Prairie"/>
    <m/>
    <m/>
    <m/>
    <m/>
    <m/>
    <m/>
    <m/>
    <m/>
    <n v="550145"/>
    <m/>
  </r>
  <r>
    <x v="2508"/>
    <n v="520004"/>
    <s v="WI"/>
    <s v="WI - La Crosse"/>
    <n v="54601"/>
    <s v="Mayo Clinic Hospital - Franciscan Healthcare La Crosse"/>
    <s v="Short Term Acute Care Hospital"/>
    <s v="La Crosse"/>
    <n v="59.7"/>
    <n v="4.3"/>
    <n v="448"/>
    <n v="142"/>
    <n v="28"/>
    <n v="0.61"/>
    <n v="142"/>
    <n v="1.63"/>
    <n v="4518"/>
    <n v="5383"/>
  </r>
  <r>
    <x v="2508"/>
    <n v="520087"/>
    <s v="WI"/>
    <s v="WI - La Crosse"/>
    <n v="54601"/>
    <s v="Gundersen Lutheran Medical Center"/>
    <s v="Short Term Acute Care Hospital"/>
    <s v="La Crosse"/>
    <n v="172.5"/>
    <n v="4.5"/>
    <n v="809"/>
    <n v="253"/>
    <n v="24"/>
    <n v="0.61"/>
    <n v="253"/>
    <n v="1.94"/>
    <n v="4519"/>
    <n v="14532"/>
  </r>
  <r>
    <x v="2509"/>
    <n v="520107"/>
    <s v="WI"/>
    <s v="WI - Manitowoc"/>
    <n v="54220"/>
    <s v="Holy Family Memorial Medical Center (AKA HFM Medical Center)"/>
    <s v="Short Term Acute Care Hospital"/>
    <s v="Manitowoc"/>
    <n v="22.7"/>
    <n v="3.5"/>
    <n v="129"/>
    <n v="58"/>
    <n v="10"/>
    <n v="0.52"/>
    <n v="58"/>
    <n v="1.66"/>
    <n v="4524"/>
    <n v="2493"/>
  </r>
  <r>
    <x v="2509"/>
    <n v="520034"/>
    <s v="WI"/>
    <s v="WI - Manitowoc"/>
    <n v="54241"/>
    <s v="Aurora Medical Center in Manitowoc County"/>
    <s v="Short Term Acute Care Hospital"/>
    <s v="Two Rivers"/>
    <n v="15.2"/>
    <n v="3"/>
    <n v="86"/>
    <n v="69"/>
    <n v="6"/>
    <n v="0.52"/>
    <n v="69"/>
    <n v="1.48"/>
    <n v="4525"/>
    <n v="2074"/>
  </r>
  <r>
    <x v="2510"/>
    <n v="520030"/>
    <s v="WI"/>
    <s v="WI - Marathon"/>
    <n v="54401"/>
    <s v="Aspirus Wausau Hospital"/>
    <s v="Short Term Acute Care Hospital"/>
    <s v="Wausau"/>
    <n v="166.3"/>
    <n v="4.5"/>
    <n v="526"/>
    <n v="223"/>
    <n v="28"/>
    <n v="0.65"/>
    <n v="223"/>
    <n v="1.89"/>
    <n v="4526"/>
    <n v="14241"/>
  </r>
  <r>
    <x v="2510"/>
    <n v="520202"/>
    <s v="WI"/>
    <s v="WI - Marathon"/>
    <n v="54476"/>
    <s v="Ascension St Clares Hospital"/>
    <s v="Short Term Acute Care Hospital"/>
    <s v="Weston"/>
    <n v="46.6"/>
    <n v="3.5"/>
    <n v="123"/>
    <n v="99"/>
    <n v="24"/>
    <n v="0.65"/>
    <n v="99"/>
    <n v="1.8"/>
    <n v="4527"/>
    <n v="5089"/>
  </r>
  <r>
    <x v="2511"/>
    <n v="520113"/>
    <s v="WI"/>
    <s v="WI - Marinette"/>
    <n v="54143"/>
    <s v="Aurora Medical Center - Bay Area (FKA Bay Area Medical Center)"/>
    <s v="Short Term Acute Care Hospital"/>
    <s v="Marinette"/>
    <n v="17.7"/>
    <n v="3.3"/>
    <n v="113"/>
    <n v="55"/>
    <n v="10"/>
    <n v="1"/>
    <n v="55"/>
    <n v="1.5"/>
    <n v="4528"/>
    <n v="3132"/>
  </r>
  <r>
    <x v="2512"/>
    <n v="520136"/>
    <s v="WI"/>
    <s v="WI - Milwaukee"/>
    <n v="53210"/>
    <s v="Ascension SE Wisconsin Hospital - St Joseph Campus (FKA Wheaton Franciscan St Joseph)"/>
    <s v="Short Term Acute Care Hospital"/>
    <s v="Milwaukee"/>
    <n v="152.69999999999999"/>
    <n v="4.0999999999999996"/>
    <n v="525"/>
    <n v="325"/>
    <n v="42"/>
    <n v="0.13"/>
    <n v="325"/>
    <n v="1.66"/>
    <n v="4533"/>
    <n v="14807"/>
  </r>
  <r>
    <x v="2512"/>
    <n v="520138"/>
    <s v="WI"/>
    <s v="WI - Milwaukee"/>
    <n v="53215"/>
    <s v="Aurora St Lukes Medical Center of Aurora Health Care Metro"/>
    <s v="Short Term Acute Care Hospital"/>
    <s v="Milwaukee"/>
    <n v="610.70000000000005"/>
    <n v="5.7"/>
    <n v="1348"/>
    <n v="868"/>
    <n v="84"/>
    <n v="0.13"/>
    <n v="868"/>
    <n v="1.94"/>
    <n v="4534"/>
    <n v="39683"/>
  </r>
  <r>
    <x v="2512"/>
    <n v="520139"/>
    <s v="WI"/>
    <s v="WI - Milwaukee"/>
    <n v="53227"/>
    <s v="Aurora West Allis Medical Center"/>
    <s v="Short Term Acute Care Hospital"/>
    <s v="West Allis"/>
    <n v="136.9"/>
    <n v="4.8"/>
    <n v="277"/>
    <n v="277"/>
    <n v="16"/>
    <n v="0.13"/>
    <n v="277"/>
    <n v="1.5"/>
    <n v="4535"/>
    <n v="11864"/>
  </r>
  <r>
    <x v="2512"/>
    <n v="520078"/>
    <s v="WI"/>
    <s v="WI - Milwaukee"/>
    <n v="53215"/>
    <s v="Ascension St Francis Hospital (FKA Ascension Wheaton Franciscan Healthcare - St Francis)"/>
    <s v="Short Term Acute Care Hospital"/>
    <s v="Milwaukee"/>
    <n v="75.8"/>
    <n v="4.7"/>
    <n v="147"/>
    <n v="153"/>
    <n v="20"/>
    <n v="0.13"/>
    <n v="153"/>
    <n v="1.61"/>
    <n v="4536"/>
    <n v="5933"/>
  </r>
  <r>
    <x v="2512"/>
    <n v="520051"/>
    <s v="WI"/>
    <s v="WI - Milwaukee"/>
    <n v="53211"/>
    <s v="Ascension Columbia St Marys Hospital Milwaukee"/>
    <s v="Short Term Acute Care Hospital"/>
    <s v="Milwaukee"/>
    <n v="175.7"/>
    <n v="4.9000000000000004"/>
    <n v="594"/>
    <n v="263"/>
    <n v="36"/>
    <n v="0.13"/>
    <n v="263"/>
    <n v="1.77"/>
    <n v="4538"/>
    <n v="14121"/>
  </r>
  <r>
    <x v="2512"/>
    <n v="520177"/>
    <s v="WI"/>
    <s v="WI - Milwaukee"/>
    <n v="53226"/>
    <s v="Froedtert Hospital"/>
    <s v="Short Term Acute Care Hospital"/>
    <s v="Milwaukee"/>
    <n v="468.7"/>
    <n v="5.8"/>
    <n v="1606"/>
    <n v="581"/>
    <n v="107"/>
    <n v="0.13"/>
    <n v="581"/>
    <n v="2.09"/>
    <n v="4529"/>
    <n v="30235"/>
  </r>
  <r>
    <x v="2512"/>
    <n v="520194"/>
    <s v="WI"/>
    <s v="WI - Milwaukee"/>
    <n v="53212"/>
    <s v="Orthopaedic Hospital of Wisconsin"/>
    <s v="Short Term Acute Care Hospital"/>
    <s v="Glendale"/>
    <n v="8.8000000000000007"/>
    <n v="2.2000000000000002"/>
    <n v="57"/>
    <n v="30"/>
    <m/>
    <n v="0.13"/>
    <n v="30"/>
    <n v="2.4"/>
    <n v="4530"/>
    <n v="1486"/>
  </r>
  <r>
    <x v="2512"/>
    <m/>
    <s v="WI"/>
    <s v="WI - Milwaukee"/>
    <n v="53132"/>
    <s v="Ascension SE Wisconsin Hospital - Franklin Campus (FKA Ascension Wheaton Franciscan Healthcare - Franklin)"/>
    <s v="Short Term Acute Care Hospital"/>
    <s v="Franklin"/>
    <n v="34.6"/>
    <n v="3.9"/>
    <n v="13"/>
    <n v="44"/>
    <n v="8"/>
    <n v="0.13"/>
    <n v="44"/>
    <n v="1.61"/>
    <n v="4531"/>
    <n v="3240"/>
  </r>
  <r>
    <x v="2512"/>
    <s v="520136* (Closed)"/>
    <s v="WI"/>
    <s v="WI - Milwaukee"/>
    <n v="53226"/>
    <s v="Midwest Spine &amp; Orthopedic Hospital/Wisconsin Heart Hospital Campus (FKA Wheaton Franciscan Healthcare - Spine &amp; Heart Hospital - Closed)"/>
    <s v="Short Term Acute Care Hospital"/>
    <s v="Wauwatosa"/>
    <m/>
    <m/>
    <m/>
    <m/>
    <m/>
    <m/>
    <m/>
    <m/>
    <n v="4853"/>
    <m/>
  </r>
  <r>
    <x v="2512"/>
    <s v="520138*"/>
    <s v="WI"/>
    <s v="WI - Milwaukee"/>
    <n v="53233"/>
    <s v="Aurora Sinai Medical Center of Aurora Health Care Metro"/>
    <s v="Short Term Acute Care Hospital"/>
    <s v="Milwaukee"/>
    <m/>
    <m/>
    <n v="10"/>
    <m/>
    <m/>
    <m/>
    <n v="228"/>
    <m/>
    <n v="5608"/>
    <m/>
  </r>
  <r>
    <x v="2512"/>
    <s v="520051*"/>
    <s v="WI"/>
    <s v="WI - Milwaukee"/>
    <n v="53211"/>
    <s v="Ascension Columbia St Marys Womens Medical Center"/>
    <s v="Short Term Acute Care Hospital"/>
    <s v="Milwaukee"/>
    <m/>
    <m/>
    <m/>
    <m/>
    <m/>
    <m/>
    <n v="312"/>
    <m/>
    <n v="274350"/>
    <m/>
  </r>
  <r>
    <x v="2512"/>
    <s v="520138*"/>
    <s v="WI"/>
    <s v="WI - Milwaukee"/>
    <n v="53110"/>
    <s v="Aurora St Lukes South Shore of Aurora Health Care Metro"/>
    <s v="Short Term Acute Care Hospital"/>
    <s v="Cudahy"/>
    <m/>
    <m/>
    <m/>
    <m/>
    <m/>
    <m/>
    <n v="167"/>
    <m/>
    <n v="550779"/>
    <m/>
  </r>
  <r>
    <x v="2512"/>
    <n v="520205"/>
    <s v="WI"/>
    <s v="WI - Milwaukee"/>
    <n v="53132"/>
    <s v="Midwest Orthopedic Specialty Hospital"/>
    <s v="Short Term Acute Care Hospital"/>
    <s v="Franklin"/>
    <n v="8.6"/>
    <n v="2"/>
    <n v="26"/>
    <n v="16"/>
    <m/>
    <n v="0.13"/>
    <n v="16"/>
    <n v="2.31"/>
    <n v="4532"/>
    <n v="1588"/>
  </r>
  <r>
    <x v="2513"/>
    <n v="520019"/>
    <s v="WI"/>
    <s v="WI - Oneida"/>
    <n v="54501"/>
    <s v="Ascension St Marys Hospital"/>
    <s v="Short Term Acute Care Hospital"/>
    <s v="Rhinelander"/>
    <n v="22.6"/>
    <n v="3.7"/>
    <n v="183"/>
    <n v="52"/>
    <n v="20"/>
    <m/>
    <n v="52"/>
    <n v="1.4"/>
    <n v="4544"/>
    <n v="2440"/>
  </r>
  <r>
    <x v="2513"/>
    <n v="520091"/>
    <s v="WI"/>
    <s v="WI - Oneida"/>
    <n v="54568"/>
    <s v="Ascension Howard Young Medical Center"/>
    <s v="Short Term Acute Care Hospital"/>
    <s v="Woodruff"/>
    <n v="20.8"/>
    <n v="3.2"/>
    <n v="90"/>
    <n v="50"/>
    <n v="10"/>
    <m/>
    <n v="50"/>
    <n v="1.41"/>
    <n v="4545"/>
    <n v="2514"/>
  </r>
  <r>
    <x v="2514"/>
    <n v="520160"/>
    <s v="WI"/>
    <s v="WI - Outagamie"/>
    <n v="54911"/>
    <s v="ThedaCare Regional Medical Center - Appleton (FKA Appleton Medical Center)"/>
    <s v="Short Term Acute Care Hospital"/>
    <s v="Appleton"/>
    <n v="84.2"/>
    <n v="3.4"/>
    <n v="349"/>
    <n v="147"/>
    <n v="22"/>
    <n v="0.45"/>
    <n v="147"/>
    <n v="2.06"/>
    <n v="4546"/>
    <n v="9770"/>
  </r>
  <r>
    <x v="2514"/>
    <n v="520009"/>
    <s v="WI"/>
    <s v="WI - Outagamie"/>
    <n v="54915"/>
    <s v="Ascension NE Wisconsin - St Elizabeth Campus"/>
    <s v="Short Term Acute Care Hospital"/>
    <s v="Appleton"/>
    <n v="125"/>
    <n v="3.8"/>
    <n v="424"/>
    <n v="294"/>
    <n v="42"/>
    <n v="0.45"/>
    <n v="294"/>
    <n v="1.81"/>
    <n v="4547"/>
    <n v="12822"/>
  </r>
  <r>
    <x v="2515"/>
    <s v="520195 (Closed)"/>
    <s v="WI"/>
    <s v="WI - Ozaukee"/>
    <n v="53097"/>
    <s v="Columbia Center Birth Hospital (Closed)"/>
    <s v="Short Term Acute Care Hospital"/>
    <s v="Mequon"/>
    <m/>
    <m/>
    <m/>
    <m/>
    <m/>
    <m/>
    <m/>
    <m/>
    <n v="4549"/>
    <m/>
  </r>
  <r>
    <x v="2515"/>
    <n v="520027"/>
    <s v="WI"/>
    <s v="WI - Ozaukee"/>
    <n v="53097"/>
    <s v="Ascension Columbia St Marys Hospital Ozaukee"/>
    <s v="Short Term Acute Care Hospital"/>
    <s v="Mequon"/>
    <n v="56"/>
    <n v="4.0999999999999996"/>
    <n v="183"/>
    <n v="120"/>
    <n v="32"/>
    <n v="0.13"/>
    <n v="120"/>
    <n v="1.55"/>
    <n v="4550"/>
    <n v="5203"/>
  </r>
  <r>
    <x v="2515"/>
    <n v="520207"/>
    <s v="WI"/>
    <s v="WI - Ozaukee"/>
    <n v="53024"/>
    <s v="Aurora Medical Center in Grafton"/>
    <s v="Short Term Acute Care Hospital"/>
    <s v="Grafton"/>
    <n v="79.3"/>
    <n v="3.9"/>
    <n v="286"/>
    <n v="126"/>
    <n v="14"/>
    <n v="0.13"/>
    <n v="126"/>
    <n v="1.78"/>
    <n v="274214"/>
    <n v="7878"/>
  </r>
  <r>
    <x v="2516"/>
    <n v="520002"/>
    <s v="WI"/>
    <s v="WI - Portage"/>
    <n v="54481"/>
    <s v="Ascension St Michaels Hospital"/>
    <s v="Short Term Acute Care Hospital"/>
    <s v="Stevens Point"/>
    <n v="30.1"/>
    <n v="3"/>
    <n v="240"/>
    <n v="84"/>
    <n v="12"/>
    <n v="1"/>
    <n v="84"/>
    <n v="1.52"/>
    <n v="4555"/>
    <n v="4004"/>
  </r>
  <r>
    <x v="2517"/>
    <n v="520096"/>
    <s v="WI"/>
    <s v="WI - Racine"/>
    <n v="53405"/>
    <s v="Ascension All Saints Hospital - Spring Street Campus (FKA Ascension Wheaton Franciscan Healthcare - All Saints)"/>
    <s v="Short Term Acute Care Hospital"/>
    <s v="Racine"/>
    <n v="143.9"/>
    <n v="4.3"/>
    <n v="451"/>
    <n v="249"/>
    <n v="23"/>
    <n v="0.65"/>
    <n v="249"/>
    <n v="1.55"/>
    <n v="4557"/>
    <n v="12995"/>
  </r>
  <r>
    <x v="2517"/>
    <n v="520059"/>
    <s v="WI"/>
    <s v="WI - Racine"/>
    <n v="53105"/>
    <s v="Aurora Medical Center in Burlington (FKA Aurora Memorial Hospital of Burlington)"/>
    <s v="Short Term Acute Care Hospital"/>
    <s v="Burlington"/>
    <n v="21"/>
    <n v="3.7"/>
    <n v="131"/>
    <n v="55"/>
    <n v="10"/>
    <n v="0.65"/>
    <n v="55"/>
    <n v="1.47"/>
    <n v="4558"/>
    <n v="2049"/>
  </r>
  <r>
    <x v="2517"/>
    <s v="520096*"/>
    <s v="WI"/>
    <s v="WI - Racine"/>
    <n v="53404"/>
    <s v="Ascension All Saints at Wisconsin Avenue (FKA Ascension Wheaton Franciscan Healthcare - All Saints Wisconsin Avenue Campus)"/>
    <s v="Short Term Acute Care Hospital"/>
    <s v="Racine"/>
    <m/>
    <m/>
    <m/>
    <m/>
    <m/>
    <m/>
    <m/>
    <m/>
    <n v="833127"/>
    <m/>
  </r>
  <r>
    <x v="1159"/>
    <n v="520066"/>
    <s v="WI"/>
    <s v="WI - Rock"/>
    <n v="53548"/>
    <s v="Mercyhealth Hospital and Trauma Center - Janesville"/>
    <s v="Short Term Acute Care Hospital"/>
    <s v="Janesville"/>
    <n v="78.7"/>
    <n v="4.4000000000000004"/>
    <n v="401"/>
    <n v="196"/>
    <n v="15"/>
    <n v="0.49"/>
    <n v="196"/>
    <n v="1.64"/>
    <n v="4561"/>
    <n v="6990"/>
  </r>
  <r>
    <x v="1159"/>
    <n v="520100"/>
    <s v="WI"/>
    <s v="WI - Rock"/>
    <n v="53511"/>
    <s v="Beloit Hospital"/>
    <s v="Short Term Acute Care Hospital"/>
    <s v="Beloit"/>
    <n v="44.9"/>
    <n v="4"/>
    <n v="189"/>
    <n v="103"/>
    <n v="12"/>
    <n v="0.49"/>
    <n v="103"/>
    <n v="1.5"/>
    <n v="4562"/>
    <n v="4352"/>
  </r>
  <r>
    <x v="1159"/>
    <n v="520208"/>
    <s v="WI"/>
    <s v="WI - Rock"/>
    <n v="53546"/>
    <s v="SSM Health St Marys Hospital - Janesville"/>
    <s v="Short Term Acute Care Hospital"/>
    <s v="Janesville"/>
    <n v="23.7"/>
    <n v="2.9"/>
    <n v="141"/>
    <n v="50"/>
    <n v="6"/>
    <n v="0.49"/>
    <n v="50"/>
    <n v="1.41"/>
    <n v="542022"/>
    <n v="3286"/>
  </r>
  <r>
    <x v="1159"/>
    <s v="520100*"/>
    <s v="WI"/>
    <s v="WI - Rock"/>
    <n v="53511"/>
    <s v="Hendricks Family Heart Hospital"/>
    <s v="Short Term Acute Care Hospital"/>
    <s v="Beloit"/>
    <m/>
    <m/>
    <m/>
    <m/>
    <m/>
    <m/>
    <n v="14"/>
    <m/>
    <n v="938987"/>
    <m/>
  </r>
  <r>
    <x v="1162"/>
    <n v="520095"/>
    <s v="WI"/>
    <s v="WI - Sauk"/>
    <n v="53578"/>
    <s v="Sauk Prairie Memorial Hospital"/>
    <s v="Short Term Acute Care Hospital"/>
    <s v="Prairie Du Sac"/>
    <n v="8.5"/>
    <n v="2"/>
    <n v="101"/>
    <n v="36"/>
    <m/>
    <n v="0.34"/>
    <n v="36"/>
    <n v="1.77"/>
    <n v="4568"/>
    <n v="1898"/>
  </r>
  <r>
    <x v="1162"/>
    <n v="520057"/>
    <s v="WI"/>
    <s v="WI - Sauk"/>
    <n v="53913"/>
    <s v="SSM Health St Clare Hospital - Baraboo"/>
    <s v="Short Term Acute Care Hospital"/>
    <s v="Baraboo"/>
    <n v="16"/>
    <n v="2.9"/>
    <n v="131"/>
    <n v="43"/>
    <n v="6"/>
    <n v="0.34"/>
    <n v="43"/>
    <n v="1.26"/>
    <n v="4569"/>
    <n v="2152"/>
  </r>
  <r>
    <x v="2518"/>
    <n v="520044"/>
    <s v="WI"/>
    <s v="WI - Sheboygan"/>
    <n v="53081"/>
    <s v="HSHS St Nicholas Hospital"/>
    <s v="Short Term Acute Care Hospital"/>
    <s v="Sheboygan"/>
    <n v="17.2"/>
    <n v="3.5"/>
    <n v="156"/>
    <n v="53"/>
    <n v="7"/>
    <n v="0.51"/>
    <n v="53"/>
    <n v="1.47"/>
    <n v="4572"/>
    <n v="1938"/>
  </r>
  <r>
    <x v="2518"/>
    <n v="520035"/>
    <s v="WI"/>
    <s v="WI - Sheboygan"/>
    <n v="53083"/>
    <s v="Aurora Sheboygan Memorial Medical Center"/>
    <s v="Short Term Acute Care Hospital"/>
    <s v="Sheboygan"/>
    <n v="48.8"/>
    <n v="3.5"/>
    <n v="167"/>
    <n v="136"/>
    <n v="6"/>
    <n v="0.51"/>
    <n v="136"/>
    <n v="1.62"/>
    <n v="4573"/>
    <n v="5470"/>
  </r>
  <r>
    <x v="1169"/>
    <n v="520102"/>
    <s v="WI"/>
    <s v="WI - Walworth"/>
    <n v="53121"/>
    <s v="Aurora Lakeland Medical Center"/>
    <s v="Short Term Acute Care Hospital"/>
    <s v="Elkhorn"/>
    <n v="23.4"/>
    <n v="3.6"/>
    <n v="77"/>
    <n v="54"/>
    <n v="12"/>
    <n v="1"/>
    <n v="54"/>
    <n v="1.39"/>
    <n v="4582"/>
    <n v="2564"/>
  </r>
  <r>
    <x v="2519"/>
    <n v="520063"/>
    <s v="WI"/>
    <s v="WI - Washington"/>
    <n v="53095"/>
    <s v="Froedtert West Bend Hospital (FKA St Josephs Hospital)"/>
    <s v="Short Term Acute Care Hospital"/>
    <s v="West Bend"/>
    <n v="35.9"/>
    <n v="3.5"/>
    <n v="150"/>
    <n v="70"/>
    <n v="6"/>
    <n v="0.13"/>
    <n v="70"/>
    <n v="1.45"/>
    <n v="4585"/>
    <n v="4077"/>
  </r>
  <r>
    <x v="2519"/>
    <n v="520038"/>
    <s v="WI"/>
    <s v="WI - Washington"/>
    <n v="53027"/>
    <s v="Aurora Medical Center in Washington County"/>
    <s v="Short Term Acute Care Hospital"/>
    <s v="Hartford"/>
    <n v="14"/>
    <n v="3.1"/>
    <n v="114"/>
    <n v="35"/>
    <n v="6"/>
    <n v="0.13"/>
    <n v="35"/>
    <n v="1.39"/>
    <n v="4586"/>
    <n v="1649"/>
  </r>
  <r>
    <x v="2520"/>
    <n v="520008"/>
    <s v="WI"/>
    <s v="WI - Waukesha"/>
    <n v="53188"/>
    <s v="ProHealth Waukesha Memorial Hospital (FKA Waukesha Memorial Hospital)"/>
    <s v="Short Term Acute Care Hospital"/>
    <s v="Waukesha"/>
    <n v="134.6"/>
    <n v="4.2"/>
    <n v="678"/>
    <n v="240"/>
    <n v="24"/>
    <n v="0.13"/>
    <n v="240"/>
    <n v="1.69"/>
    <n v="4587"/>
    <n v="12495"/>
  </r>
  <r>
    <x v="2520"/>
    <n v="520062"/>
    <s v="WI"/>
    <s v="WI - Waukesha"/>
    <n v="53066"/>
    <s v="ProHealth Oconomowoc Memorial Hospital"/>
    <s v="Short Term Acute Care Hospital"/>
    <s v="Oconomowoc"/>
    <n v="25"/>
    <n v="3.4"/>
    <n v="49"/>
    <n v="58"/>
    <n v="11"/>
    <n v="0.13"/>
    <n v="58"/>
    <n v="1.55"/>
    <n v="4588"/>
    <n v="2939"/>
  </r>
  <r>
    <x v="2520"/>
    <n v="520103"/>
    <s v="WI"/>
    <s v="WI - Waukesha"/>
    <n v="53051"/>
    <s v="Froedtert Menomonee Falls Hospital (FKA Community Memorial Hospital)"/>
    <s v="Short Term Acute Care Hospital"/>
    <s v="Menomonee Falls"/>
    <n v="80.099999999999994"/>
    <n v="3.6"/>
    <n v="235"/>
    <n v="169"/>
    <n v="15"/>
    <n v="0.13"/>
    <n v="169"/>
    <n v="1.66"/>
    <n v="4589"/>
    <n v="8609"/>
  </r>
  <r>
    <x v="2520"/>
    <s v="520136*"/>
    <s v="WI"/>
    <s v="WI - Waukesha"/>
    <n v="53045"/>
    <s v="Ascension SE Wisconsin Hospital - Elmbrook Campus (FKA Ascension Wheaton Franciscan Healthcare - Elmbrook Memorial)"/>
    <s v="Short Term Acute Care Hospital"/>
    <s v="Brookfield"/>
    <m/>
    <m/>
    <n v="7"/>
    <m/>
    <m/>
    <m/>
    <m/>
    <m/>
    <n v="4590"/>
    <m/>
  </r>
  <r>
    <x v="2520"/>
    <n v="520206"/>
    <s v="WI"/>
    <s v="WI - Waukesha"/>
    <n v="53066"/>
    <s v="Aurora Medical Center In Summit"/>
    <s v="Short Term Acute Care Hospital"/>
    <s v="Summit"/>
    <n v="40.5"/>
    <n v="3.9"/>
    <n v="169"/>
    <n v="83"/>
    <n v="14"/>
    <n v="0.13"/>
    <n v="83"/>
    <n v="1.65"/>
    <n v="274243"/>
    <n v="4135"/>
  </r>
  <r>
    <x v="2520"/>
    <m/>
    <s v="WI"/>
    <s v="WI - Waukesha"/>
    <n v="53149"/>
    <s v="ProHealth Mukwonago Hospital (Opening Soon)"/>
    <s v="Short Term Acute Care Hospital"/>
    <s v="Mukwonago"/>
    <m/>
    <m/>
    <m/>
    <m/>
    <m/>
    <m/>
    <m/>
    <m/>
    <n v="967832"/>
    <m/>
  </r>
  <r>
    <x v="2520"/>
    <m/>
    <s v="WI"/>
    <s v="WI - Waukesha"/>
    <n v="53072"/>
    <s v="Froedtert Pewaukee Hospital (Opening 2021)"/>
    <s v="Short Term Acute Care Hospital"/>
    <s v="Pewaukee"/>
    <m/>
    <m/>
    <m/>
    <m/>
    <m/>
    <m/>
    <m/>
    <m/>
    <n v="1009958"/>
    <m/>
  </r>
  <r>
    <x v="2520"/>
    <m/>
    <s v="WI"/>
    <s v="WI - Waukesha"/>
    <n v="53151"/>
    <s v="Froedtert Moorland Hospital (Opening 2021)"/>
    <s v="Short Term Acute Care Hospital"/>
    <s v="New Berlin"/>
    <m/>
    <m/>
    <m/>
    <m/>
    <m/>
    <m/>
    <m/>
    <m/>
    <n v="1009959"/>
    <m/>
  </r>
  <r>
    <x v="2521"/>
    <n v="520198"/>
    <s v="WI"/>
    <s v="WI - Winnebago"/>
    <n v="54904"/>
    <s v="Aurora Medical Center in Oshkosh"/>
    <s v="Short Term Acute Care Hospital"/>
    <s v="Oshkosh"/>
    <n v="28.3"/>
    <n v="3.6"/>
    <n v="221"/>
    <n v="72"/>
    <n v="12"/>
    <n v="0.34"/>
    <n v="72"/>
    <n v="1.67"/>
    <n v="4593"/>
    <n v="3246"/>
  </r>
  <r>
    <x v="2521"/>
    <n v="520045"/>
    <s v="WI"/>
    <s v="WI - Winnebago"/>
    <n v="54956"/>
    <s v="ThedaCare Regional Medical Center - Neenah (FKA Theda Clark Medical Center)"/>
    <s v="Short Term Acute Care Hospital"/>
    <s v="Neenah"/>
    <n v="80.400000000000006"/>
    <n v="3.2"/>
    <n v="536"/>
    <n v="139"/>
    <n v="14"/>
    <n v="0.34"/>
    <n v="139"/>
    <n v="1.88"/>
    <n v="4594"/>
    <n v="9940"/>
  </r>
  <r>
    <x v="2521"/>
    <n v="520048"/>
    <s v="WI"/>
    <s v="WI - Winnebago"/>
    <n v="54904"/>
    <s v="Ascension NE Wisconsin - Mercy Campus"/>
    <s v="Short Term Acute Care Hospital"/>
    <s v="Oshkosh"/>
    <n v="35.9"/>
    <n v="3.7"/>
    <n v="6"/>
    <n v="104"/>
    <n v="12"/>
    <n v="0.34"/>
    <n v="104"/>
    <n v="1.74"/>
    <n v="4595"/>
    <n v="3860"/>
  </r>
  <r>
    <x v="2521"/>
    <s v="520209 (Closed)"/>
    <s v="WI"/>
    <s v="WI - Winnebago"/>
    <n v="54904"/>
    <s v="Select Specialty Hospital - Fox Valley (Closed)"/>
    <s v="Short Term Acute Care Hospital"/>
    <s v="Oshkosh"/>
    <n v="8.8000000000000007"/>
    <n v="7.5"/>
    <m/>
    <m/>
    <m/>
    <m/>
    <m/>
    <m/>
    <n v="833128"/>
    <n v="910"/>
  </r>
  <r>
    <x v="2522"/>
    <n v="520037"/>
    <s v="WI"/>
    <s v="WI - Wood"/>
    <n v="54449"/>
    <s v="Marshfield Medical Center - Marshfield (FKA Ministry Saint Josephs Hospital)"/>
    <s v="Short Term Acute Care Hospital"/>
    <s v="Marshfield"/>
    <n v="176.5"/>
    <n v="5.7"/>
    <n v="528"/>
    <n v="201"/>
    <m/>
    <n v="0.71"/>
    <n v="201"/>
    <n v="1.91"/>
    <n v="4596"/>
    <n v="11697"/>
  </r>
  <r>
    <x v="2522"/>
    <n v="520033"/>
    <s v="WI"/>
    <s v="WI - Wood"/>
    <n v="54494"/>
    <s v="Aspirus Riverview Hospital (FKA Riverview Hospital Association)"/>
    <s v="Short Term Acute Care Hospital"/>
    <s v="Wisconsin Rapids"/>
    <n v="25.2"/>
    <n v="3.3"/>
    <n v="143"/>
    <n v="45"/>
    <n v="4"/>
    <n v="0.71"/>
    <n v="45"/>
    <n v="1.59"/>
    <n v="4597"/>
    <n v="3011"/>
  </r>
  <r>
    <x v="2523"/>
    <n v="530025"/>
    <s v="WY"/>
    <s v="WY - Albany"/>
    <n v="82072"/>
    <s v="Ivinson Memorial Hospital"/>
    <s v="Short Term Acute Care Hospital"/>
    <s v="Laramie"/>
    <n v="12.6"/>
    <n v="3.4"/>
    <n v="93"/>
    <n v="66"/>
    <n v="4"/>
    <n v="1"/>
    <n v="66"/>
    <n v="1.47"/>
    <n v="4598"/>
    <n v="1577"/>
  </r>
  <r>
    <x v="2524"/>
    <n v="530002"/>
    <s v="WY"/>
    <s v="WY - Campbell"/>
    <n v="82716"/>
    <s v="Campbell County Memorial Hospital"/>
    <s v="Short Term Acute Care Hospital"/>
    <s v="Gillette"/>
    <n v="17"/>
    <n v="3.4"/>
    <n v="148"/>
    <n v="66"/>
    <n v="14"/>
    <n v="0.76"/>
    <n v="66"/>
    <n v="1.67"/>
    <n v="4601"/>
    <n v="2195"/>
  </r>
  <r>
    <x v="2525"/>
    <s v="530008*"/>
    <s v="WY"/>
    <s v="WY - Fremont"/>
    <n v="82520"/>
    <s v="SageWest - Lander (FKA Lander Regional Hospital)"/>
    <s v="Short Term Acute Care Hospital"/>
    <s v="Lander"/>
    <m/>
    <m/>
    <m/>
    <m/>
    <m/>
    <m/>
    <m/>
    <m/>
    <n v="4605"/>
    <m/>
  </r>
  <r>
    <x v="2525"/>
    <n v="530008"/>
    <s v="WY"/>
    <s v="WY - Fremont"/>
    <n v="82501"/>
    <s v="SageWest - Riverton (FKA Riverton Memorial Hospital)"/>
    <s v="Short Term Acute Care Hospital"/>
    <s v="Riverton"/>
    <n v="17.100000000000001"/>
    <n v="2.9"/>
    <n v="105"/>
    <n v="133"/>
    <n v="12"/>
    <n v="1"/>
    <n v="133"/>
    <n v="1.28"/>
    <n v="4606"/>
    <n v="2389"/>
  </r>
  <r>
    <x v="2526"/>
    <n v="530014"/>
    <s v="WY"/>
    <s v="WY - Laramie"/>
    <n v="82001"/>
    <s v="Cheyenne Regional Medical Center - West Campus"/>
    <s v="Short Term Acute Care Hospital"/>
    <s v="Cheyenne"/>
    <n v="87.3"/>
    <n v="3.9"/>
    <n v="310"/>
    <n v="170"/>
    <n v="15"/>
    <n v="1"/>
    <n v="170"/>
    <n v="1.59"/>
    <n v="4611"/>
    <n v="8673"/>
  </r>
  <r>
    <x v="2526"/>
    <s v="530014*"/>
    <s v="WY"/>
    <s v="WY - Laramie"/>
    <n v="82001"/>
    <s v="Cheyenne Regional Medical Center - East Campus"/>
    <s v="Short Term Acute Care Hospital"/>
    <s v="Cheyenne"/>
    <m/>
    <m/>
    <n v="33"/>
    <m/>
    <m/>
    <m/>
    <n v="52"/>
    <m/>
    <n v="951083"/>
    <m/>
  </r>
  <r>
    <x v="2527"/>
    <m/>
    <s v="WY"/>
    <s v="WY - Natrona"/>
    <n v="82609"/>
    <s v="Wyoming Medical Center - East Campus (FKA Mountain View Regional - Closed - No Longer Offers Inpatient Services)"/>
    <s v="Short Term Acute Care Hospital"/>
    <s v="Casper"/>
    <n v="2.7"/>
    <n v="2.6"/>
    <m/>
    <n v="23"/>
    <m/>
    <n v="0.78"/>
    <m/>
    <n v="2.5299999999999998"/>
    <n v="4613"/>
    <n v="383"/>
  </r>
  <r>
    <x v="2527"/>
    <n v="530012"/>
    <s v="WY"/>
    <s v="WY - Natrona"/>
    <n v="82601"/>
    <s v="Wyoming Medical Center - Central Campus"/>
    <s v="Short Term Acute Care Hospital"/>
    <s v="Casper"/>
    <n v="97.9"/>
    <n v="4.0999999999999996"/>
    <n v="258"/>
    <n v="212"/>
    <n v="14"/>
    <n v="0.78"/>
    <n v="212"/>
    <n v="1.81"/>
    <n v="4614"/>
    <n v="9119"/>
  </r>
  <r>
    <x v="2527"/>
    <n v="530034"/>
    <s v="WY"/>
    <s v="WY - Natrona"/>
    <n v="82609"/>
    <s v="Summit Medical Center"/>
    <s v="Short Term Acute Care Hospital"/>
    <s v="Casper"/>
    <m/>
    <m/>
    <n v="13"/>
    <m/>
    <m/>
    <m/>
    <n v="16"/>
    <n v="2.2000000000000002"/>
    <n v="843014"/>
    <m/>
  </r>
  <r>
    <x v="2528"/>
    <n v="530006"/>
    <s v="WY"/>
    <s v="WY - Sheridan"/>
    <n v="82801"/>
    <s v="Sheridan Memorial Hospital"/>
    <s v="Short Term Acute Care Hospital"/>
    <s v="Sheridan"/>
    <n v="26.1"/>
    <n v="4.2"/>
    <n v="96"/>
    <n v="71"/>
    <n v="11"/>
    <n v="1"/>
    <n v="71"/>
    <n v="1.62"/>
    <n v="4620"/>
    <n v="2332"/>
  </r>
  <r>
    <x v="2529"/>
    <n v="530011"/>
    <s v="WY"/>
    <s v="WY - Sweetwater"/>
    <n v="82901"/>
    <s v="Memorial Hospital of Sweetwater County"/>
    <s v="Short Term Acute Care Hospital"/>
    <s v="Rock Springs"/>
    <n v="12.6"/>
    <n v="2.6"/>
    <n v="97"/>
    <n v="58"/>
    <n v="10"/>
    <n v="1"/>
    <n v="58"/>
    <n v="1.37"/>
    <n v="4621"/>
    <n v="2024"/>
  </r>
  <r>
    <x v="2529"/>
    <n v="530035"/>
    <s v="WY"/>
    <s v="WY - Sweetwater"/>
    <n v="82901"/>
    <s v="Aspen Mountain Medical Center"/>
    <s v="Short Term Acute Care Hospital"/>
    <s v="Rock Springs"/>
    <m/>
    <m/>
    <n v="7"/>
    <m/>
    <m/>
    <m/>
    <n v="16"/>
    <m/>
    <n v="849603"/>
    <m/>
  </r>
  <r>
    <x v="2530"/>
    <n v="530015"/>
    <s v="WY"/>
    <s v="WY - Teton"/>
    <n v="83001"/>
    <s v="St Johns Health (FKA St Johns Medical Center)"/>
    <s v="Short Term Acute Care Hospital"/>
    <s v="Jackson"/>
    <n v="17.2"/>
    <n v="4.2"/>
    <n v="154"/>
    <n v="48"/>
    <n v="6"/>
    <n v="0.77"/>
    <n v="48"/>
    <n v="1.61"/>
    <n v="4622"/>
    <n v="1671"/>
  </r>
  <r>
    <x v="2531"/>
    <n v="530032"/>
    <s v="WY"/>
    <s v="WY - Uinta"/>
    <n v="82930"/>
    <s v="Evanston Regional Hospital"/>
    <s v="Short Term Acute Care Hospital"/>
    <s v="Evanston"/>
    <n v="4.0999999999999996"/>
    <n v="2.5"/>
    <n v="46"/>
    <n v="32"/>
    <n v="6"/>
    <n v="1"/>
    <n v="32"/>
    <n v="1.39"/>
    <n v="4623"/>
    <n v="6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B72DE4-AEDA-474A-BC1F-2B36E722A5D9}" name="PivotTable1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A2536" firstHeaderRow="1" firstDataRow="1" firstDataCol="1"/>
  <pivotFields count="18">
    <pivotField axis="axisRow" showAll="0">
      <items count="2533">
        <item x="1341"/>
        <item x="1342"/>
        <item x="1343"/>
        <item x="1344"/>
        <item x="1345"/>
        <item x="1346"/>
        <item x="1347"/>
        <item x="101"/>
        <item x="1348"/>
        <item x="1349"/>
        <item x="102"/>
        <item x="1350"/>
        <item x="1351"/>
        <item x="1352"/>
        <item x="1353"/>
        <item x="1354"/>
        <item x="1355"/>
        <item x="1356"/>
        <item x="1357"/>
        <item x="1358"/>
        <item x="103"/>
        <item x="1359"/>
        <item x="1360"/>
        <item x="104"/>
        <item x="105"/>
        <item x="1361"/>
        <item x="1362"/>
        <item x="1363"/>
        <item x="106"/>
        <item x="1364"/>
        <item x="107"/>
        <item x="1365"/>
        <item x="1366"/>
        <item x="1367"/>
        <item x="1368"/>
        <item x="108"/>
        <item x="1369"/>
        <item x="1370"/>
        <item x="1371"/>
        <item x="1372"/>
        <item x="109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10"/>
        <item x="1388"/>
        <item x="111"/>
        <item x="1389"/>
        <item x="1390"/>
        <item x="112"/>
        <item x="1391"/>
        <item x="113"/>
        <item x="1392"/>
        <item x="1393"/>
        <item x="1394"/>
        <item x="1395"/>
        <item x="1396"/>
        <item x="1397"/>
        <item x="114"/>
        <item x="115"/>
        <item x="1398"/>
        <item x="1399"/>
        <item x="116"/>
        <item x="117"/>
        <item x="1400"/>
        <item x="118"/>
        <item x="1401"/>
        <item x="1402"/>
        <item x="119"/>
        <item x="1403"/>
        <item x="1404"/>
        <item x="1405"/>
        <item x="1406"/>
        <item x="120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21"/>
        <item x="122"/>
        <item x="123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24"/>
        <item x="1432"/>
        <item x="1433"/>
        <item x="1434"/>
        <item x="125"/>
        <item x="1435"/>
        <item x="1436"/>
        <item x="1437"/>
        <item x="1438"/>
        <item x="1439"/>
        <item x="126"/>
        <item x="127"/>
        <item x="1440"/>
        <item x="128"/>
        <item x="129"/>
        <item x="1441"/>
        <item x="130"/>
        <item x="1442"/>
        <item x="1443"/>
        <item x="1444"/>
        <item x="1445"/>
        <item x="131"/>
        <item x="132"/>
        <item x="133"/>
        <item x="134"/>
        <item x="135"/>
        <item x="1446"/>
        <item x="1447"/>
        <item x="1448"/>
        <item x="1449"/>
        <item x="136"/>
        <item x="1450"/>
        <item x="137"/>
        <item x="1451"/>
        <item x="138"/>
        <item x="139"/>
        <item x="140"/>
        <item x="1452"/>
        <item x="1453"/>
        <item x="141"/>
        <item x="1454"/>
        <item x="1455"/>
        <item x="1456"/>
        <item x="142"/>
        <item x="1457"/>
        <item x="143"/>
        <item x="1458"/>
        <item x="1459"/>
        <item x="1460"/>
        <item x="144"/>
        <item x="1461"/>
        <item x="1462"/>
        <item x="1463"/>
        <item x="1464"/>
        <item x="1465"/>
        <item x="1466"/>
        <item x="1467"/>
        <item x="145"/>
        <item x="1468"/>
        <item x="146"/>
        <item x="147"/>
        <item x="148"/>
        <item x="149"/>
        <item x="150"/>
        <item x="151"/>
        <item x="1469"/>
        <item x="1470"/>
        <item x="152"/>
        <item x="153"/>
        <item x="154"/>
        <item x="155"/>
        <item x="156"/>
        <item x="1471"/>
        <item x="157"/>
        <item x="158"/>
        <item x="1472"/>
        <item x="159"/>
        <item x="160"/>
        <item x="161"/>
        <item x="162"/>
        <item x="163"/>
        <item x="164"/>
        <item x="165"/>
        <item x="166"/>
        <item x="167"/>
        <item x="1473"/>
        <item x="168"/>
        <item x="169"/>
        <item x="1474"/>
        <item x="170"/>
        <item x="1475"/>
        <item x="171"/>
        <item x="172"/>
        <item x="173"/>
        <item x="174"/>
        <item x="1476"/>
        <item x="175"/>
        <item x="176"/>
        <item x="1477"/>
        <item x="1478"/>
        <item x="1479"/>
        <item x="177"/>
        <item x="1480"/>
        <item x="178"/>
        <item x="179"/>
        <item x="1481"/>
        <item x="1482"/>
        <item x="1483"/>
        <item x="180"/>
        <item x="181"/>
        <item x="182"/>
        <item x="1484"/>
        <item x="183"/>
        <item x="1485"/>
        <item x="184"/>
        <item x="185"/>
        <item x="186"/>
        <item x="1486"/>
        <item x="187"/>
        <item x="1487"/>
        <item x="188"/>
        <item x="189"/>
        <item x="190"/>
        <item x="191"/>
        <item x="1488"/>
        <item x="192"/>
        <item x="1489"/>
        <item x="1490"/>
        <item x="193"/>
        <item x="1491"/>
        <item x="1492"/>
        <item x="1493"/>
        <item x="1494"/>
        <item x="194"/>
        <item x="195"/>
        <item x="1495"/>
        <item x="1496"/>
        <item x="196"/>
        <item x="1497"/>
        <item x="197"/>
        <item x="1498"/>
        <item x="1499"/>
        <item x="198"/>
        <item x="199"/>
        <item x="200"/>
        <item x="201"/>
        <item x="202"/>
        <item x="203"/>
        <item x="204"/>
        <item x="1500"/>
        <item x="205"/>
        <item x="1501"/>
        <item x="206"/>
        <item x="207"/>
        <item x="208"/>
        <item x="209"/>
        <item x="1502"/>
        <item x="1503"/>
        <item x="1504"/>
        <item x="210"/>
        <item x="1505"/>
        <item x="211"/>
        <item x="1506"/>
        <item x="1507"/>
        <item x="212"/>
        <item x="213"/>
        <item x="214"/>
        <item x="215"/>
        <item x="216"/>
        <item x="217"/>
        <item x="218"/>
        <item x="219"/>
        <item x="1508"/>
        <item x="1509"/>
        <item x="1510"/>
        <item x="220"/>
        <item x="221"/>
        <item x="1511"/>
        <item x="1512"/>
        <item x="222"/>
        <item x="1513"/>
        <item x="1514"/>
        <item x="1515"/>
        <item x="223"/>
        <item x="224"/>
        <item x="1516"/>
        <item x="1517"/>
        <item x="225"/>
        <item x="1518"/>
        <item x="1519"/>
        <item x="1520"/>
        <item x="1521"/>
        <item x="1522"/>
        <item x="1523"/>
        <item x="226"/>
        <item x="227"/>
        <item x="1524"/>
        <item x="228"/>
        <item x="1525"/>
        <item x="1526"/>
        <item x="229"/>
        <item x="1527"/>
        <item x="1528"/>
        <item x="1529"/>
        <item x="1530"/>
        <item x="1531"/>
        <item x="230"/>
        <item x="231"/>
        <item x="1532"/>
        <item x="232"/>
        <item x="1533"/>
        <item x="1534"/>
        <item x="1535"/>
        <item x="233"/>
        <item x="1536"/>
        <item x="1537"/>
        <item x="234"/>
        <item x="235"/>
        <item x="1538"/>
        <item x="236"/>
        <item x="237"/>
        <item x="1539"/>
        <item x="1540"/>
        <item x="1541"/>
        <item x="1542"/>
        <item x="238"/>
        <item x="239"/>
        <item x="1543"/>
        <item x="240"/>
        <item x="241"/>
        <item x="242"/>
        <item x="243"/>
        <item x="244"/>
        <item x="1544"/>
        <item x="245"/>
        <item x="1545"/>
        <item x="1546"/>
        <item x="246"/>
        <item x="247"/>
        <item x="1547"/>
        <item x="248"/>
        <item x="1548"/>
        <item x="249"/>
        <item x="1549"/>
        <item x="250"/>
        <item x="251"/>
        <item x="252"/>
        <item x="253"/>
        <item x="1550"/>
        <item x="1551"/>
        <item x="254"/>
        <item x="1552"/>
        <item x="255"/>
        <item x="256"/>
        <item x="257"/>
        <item x="258"/>
        <item x="259"/>
        <item x="260"/>
        <item x="1553"/>
        <item x="261"/>
        <item x="262"/>
        <item x="263"/>
        <item x="264"/>
        <item x="265"/>
        <item x="266"/>
        <item x="267"/>
        <item x="1554"/>
        <item x="268"/>
        <item x="269"/>
        <item x="270"/>
        <item x="1555"/>
        <item x="271"/>
        <item x="272"/>
        <item x="273"/>
        <item x="274"/>
        <item x="275"/>
        <item x="276"/>
        <item x="277"/>
        <item x="1556"/>
        <item x="155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1558"/>
        <item x="297"/>
        <item x="1559"/>
        <item x="298"/>
        <item x="299"/>
        <item x="300"/>
        <item x="1560"/>
        <item x="1561"/>
        <item x="301"/>
        <item x="302"/>
        <item x="303"/>
        <item x="304"/>
        <item x="305"/>
        <item x="1562"/>
        <item x="306"/>
        <item x="307"/>
        <item x="308"/>
        <item x="309"/>
        <item x="1563"/>
        <item x="310"/>
        <item x="311"/>
        <item x="312"/>
        <item x="313"/>
        <item x="314"/>
        <item x="315"/>
        <item x="1564"/>
        <item x="1565"/>
        <item x="1566"/>
        <item x="316"/>
        <item x="317"/>
        <item x="1567"/>
        <item x="318"/>
        <item x="319"/>
        <item x="320"/>
        <item x="321"/>
        <item x="322"/>
        <item x="1568"/>
        <item x="323"/>
        <item x="324"/>
        <item x="1569"/>
        <item x="325"/>
        <item x="1570"/>
        <item x="326"/>
        <item x="327"/>
        <item x="328"/>
        <item x="329"/>
        <item x="330"/>
        <item x="331"/>
        <item x="1571"/>
        <item x="332"/>
        <item x="157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1573"/>
        <item x="345"/>
        <item x="1574"/>
        <item x="346"/>
        <item x="1575"/>
        <item x="1576"/>
        <item x="1577"/>
        <item x="1578"/>
        <item x="347"/>
        <item x="348"/>
        <item x="1579"/>
        <item x="349"/>
        <item x="350"/>
        <item x="351"/>
        <item x="352"/>
        <item x="1580"/>
        <item x="353"/>
        <item x="354"/>
        <item x="355"/>
        <item x="356"/>
        <item x="357"/>
        <item x="1581"/>
        <item x="358"/>
        <item x="359"/>
        <item x="360"/>
        <item x="361"/>
        <item x="362"/>
        <item x="1582"/>
        <item x="363"/>
        <item x="364"/>
        <item x="365"/>
        <item x="366"/>
        <item x="367"/>
        <item x="368"/>
        <item x="369"/>
        <item x="1583"/>
        <item x="370"/>
        <item x="1584"/>
        <item x="371"/>
        <item x="1585"/>
        <item x="372"/>
        <item x="373"/>
        <item x="374"/>
        <item x="375"/>
        <item x="376"/>
        <item x="377"/>
        <item x="378"/>
        <item x="379"/>
        <item x="380"/>
        <item x="1586"/>
        <item x="381"/>
        <item x="1587"/>
        <item x="382"/>
        <item x="383"/>
        <item x="1588"/>
        <item x="384"/>
        <item x="385"/>
        <item x="386"/>
        <item x="1589"/>
        <item x="387"/>
        <item x="1590"/>
        <item x="1591"/>
        <item x="1592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1593"/>
        <item x="1594"/>
        <item x="400"/>
        <item x="1595"/>
        <item x="1596"/>
        <item x="1597"/>
        <item x="1598"/>
        <item x="1599"/>
        <item x="1600"/>
        <item x="1601"/>
        <item x="401"/>
        <item x="402"/>
        <item x="1602"/>
        <item x="1603"/>
        <item x="403"/>
        <item x="404"/>
        <item x="1604"/>
        <item x="1605"/>
        <item x="1606"/>
        <item x="1607"/>
        <item x="1608"/>
        <item x="405"/>
        <item x="1609"/>
        <item x="406"/>
        <item x="1610"/>
        <item x="407"/>
        <item x="408"/>
        <item x="1611"/>
        <item x="1612"/>
        <item x="409"/>
        <item x="1613"/>
        <item x="1614"/>
        <item x="410"/>
        <item x="1615"/>
        <item x="1616"/>
        <item x="1617"/>
        <item x="411"/>
        <item x="1618"/>
        <item x="1619"/>
        <item x="1620"/>
        <item x="1621"/>
        <item x="1622"/>
        <item x="412"/>
        <item x="1623"/>
        <item x="1624"/>
        <item x="413"/>
        <item x="414"/>
        <item x="415"/>
        <item x="416"/>
        <item x="1625"/>
        <item x="1626"/>
        <item x="417"/>
        <item x="1627"/>
        <item x="418"/>
        <item x="1628"/>
        <item x="419"/>
        <item x="1629"/>
        <item x="1630"/>
        <item x="420"/>
        <item x="1631"/>
        <item x="1632"/>
        <item x="421"/>
        <item x="422"/>
        <item x="1633"/>
        <item x="423"/>
        <item x="1634"/>
        <item x="1635"/>
        <item x="1636"/>
        <item x="1637"/>
        <item x="1638"/>
        <item x="1639"/>
        <item x="424"/>
        <item x="1640"/>
        <item x="1641"/>
        <item x="425"/>
        <item x="1642"/>
        <item x="426"/>
        <item x="427"/>
        <item x="1643"/>
        <item x="428"/>
        <item x="1644"/>
        <item x="429"/>
        <item x="430"/>
        <item x="1645"/>
        <item x="431"/>
        <item x="432"/>
        <item x="433"/>
        <item x="1646"/>
        <item x="434"/>
        <item x="1647"/>
        <item x="435"/>
        <item x="436"/>
        <item x="1648"/>
        <item x="1649"/>
        <item x="1650"/>
        <item x="437"/>
        <item x="1651"/>
        <item x="1652"/>
        <item x="1653"/>
        <item x="1654"/>
        <item x="1655"/>
        <item x="1656"/>
        <item x="1657"/>
        <item x="1658"/>
        <item x="438"/>
        <item x="1659"/>
        <item x="1660"/>
        <item x="1661"/>
        <item x="439"/>
        <item x="440"/>
        <item x="1662"/>
        <item x="1663"/>
        <item x="441"/>
        <item x="1664"/>
        <item x="1665"/>
        <item x="1666"/>
        <item x="1667"/>
        <item x="442"/>
        <item x="1668"/>
        <item x="443"/>
        <item x="444"/>
        <item x="1669"/>
        <item x="1670"/>
        <item x="1671"/>
        <item x="445"/>
        <item x="446"/>
        <item x="1672"/>
        <item x="1673"/>
        <item x="447"/>
        <item x="448"/>
        <item x="1674"/>
        <item x="449"/>
        <item x="1675"/>
        <item x="450"/>
        <item x="451"/>
        <item x="1676"/>
        <item x="452"/>
        <item x="1677"/>
        <item x="1678"/>
        <item x="453"/>
        <item x="1679"/>
        <item x="1680"/>
        <item x="454"/>
        <item x="455"/>
        <item x="1681"/>
        <item x="456"/>
        <item x="1682"/>
        <item x="1683"/>
        <item x="457"/>
        <item x="458"/>
        <item x="459"/>
        <item x="460"/>
        <item x="461"/>
        <item x="462"/>
        <item x="46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464"/>
        <item x="1708"/>
        <item x="465"/>
        <item x="1709"/>
        <item x="1710"/>
        <item x="1711"/>
        <item x="1712"/>
        <item x="1713"/>
        <item x="1714"/>
        <item x="1715"/>
        <item x="1716"/>
        <item x="1717"/>
        <item x="466"/>
        <item x="467"/>
        <item x="468"/>
        <item x="1718"/>
        <item x="469"/>
        <item x="470"/>
        <item x="471"/>
        <item x="1719"/>
        <item x="472"/>
        <item x="1720"/>
        <item x="1721"/>
        <item x="1722"/>
        <item x="473"/>
        <item x="474"/>
        <item x="475"/>
        <item x="1723"/>
        <item x="1724"/>
        <item x="476"/>
        <item x="1725"/>
        <item x="477"/>
        <item x="1726"/>
        <item x="478"/>
        <item x="1727"/>
        <item x="1728"/>
        <item x="479"/>
        <item x="480"/>
        <item x="1729"/>
        <item x="1730"/>
        <item x="1731"/>
        <item x="481"/>
        <item x="482"/>
        <item x="1732"/>
        <item x="483"/>
        <item x="1733"/>
        <item x="484"/>
        <item x="1734"/>
        <item x="1735"/>
        <item x="1736"/>
        <item x="485"/>
        <item x="1737"/>
        <item x="1738"/>
        <item x="486"/>
        <item x="1739"/>
        <item x="487"/>
        <item x="488"/>
        <item x="1740"/>
        <item x="1741"/>
        <item x="489"/>
        <item x="1742"/>
        <item x="1743"/>
        <item x="1744"/>
        <item x="1745"/>
        <item x="490"/>
        <item x="1746"/>
        <item x="491"/>
        <item x="1747"/>
        <item x="492"/>
        <item x="1748"/>
        <item x="493"/>
        <item x="494"/>
        <item x="1749"/>
        <item x="1750"/>
        <item x="1751"/>
        <item x="1752"/>
        <item x="1753"/>
        <item x="495"/>
        <item x="496"/>
        <item x="497"/>
        <item x="498"/>
        <item x="499"/>
        <item x="1754"/>
        <item x="1755"/>
        <item x="1756"/>
        <item x="500"/>
        <item x="1757"/>
        <item x="1758"/>
        <item x="1759"/>
        <item x="501"/>
        <item x="1760"/>
        <item x="502"/>
        <item x="503"/>
        <item x="1761"/>
        <item x="504"/>
        <item x="505"/>
        <item x="1762"/>
        <item x="506"/>
        <item x="507"/>
        <item x="508"/>
        <item x="509"/>
        <item x="1763"/>
        <item x="1764"/>
        <item x="510"/>
        <item x="1765"/>
        <item x="511"/>
        <item x="512"/>
        <item x="1766"/>
        <item x="513"/>
        <item x="1767"/>
        <item x="514"/>
        <item x="515"/>
        <item x="516"/>
        <item x="1768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1769"/>
        <item x="528"/>
        <item x="529"/>
        <item x="530"/>
        <item x="1770"/>
        <item x="531"/>
        <item x="532"/>
        <item x="1771"/>
        <item x="533"/>
        <item x="1772"/>
        <item x="534"/>
        <item x="535"/>
        <item x="536"/>
        <item x="537"/>
        <item x="538"/>
        <item x="539"/>
        <item x="1773"/>
        <item x="540"/>
        <item x="541"/>
        <item x="1774"/>
        <item x="542"/>
        <item x="543"/>
        <item x="544"/>
        <item x="545"/>
        <item x="546"/>
        <item x="547"/>
        <item x="1775"/>
        <item x="548"/>
        <item x="549"/>
        <item x="550"/>
        <item x="551"/>
        <item x="552"/>
        <item x="553"/>
        <item x="554"/>
        <item x="1776"/>
        <item x="555"/>
        <item x="556"/>
        <item x="1777"/>
        <item x="557"/>
        <item x="558"/>
        <item x="1778"/>
        <item x="1779"/>
        <item x="559"/>
        <item x="1780"/>
        <item x="560"/>
        <item x="1781"/>
        <item x="561"/>
        <item x="562"/>
        <item x="563"/>
        <item x="1782"/>
        <item x="1783"/>
        <item x="564"/>
        <item x="565"/>
        <item x="1784"/>
        <item x="1785"/>
        <item x="566"/>
        <item x="1786"/>
        <item x="567"/>
        <item x="1787"/>
        <item x="1788"/>
        <item x="1789"/>
        <item x="1790"/>
        <item x="568"/>
        <item x="569"/>
        <item x="1791"/>
        <item x="1792"/>
        <item x="1793"/>
        <item x="570"/>
        <item x="1794"/>
        <item x="571"/>
        <item x="1795"/>
        <item x="1796"/>
        <item x="572"/>
        <item x="573"/>
        <item x="1797"/>
        <item x="1798"/>
        <item x="1799"/>
        <item x="1800"/>
        <item x="1801"/>
        <item x="1802"/>
        <item x="1803"/>
        <item x="574"/>
        <item x="575"/>
        <item x="576"/>
        <item x="577"/>
        <item x="578"/>
        <item x="1804"/>
        <item x="1805"/>
        <item x="579"/>
        <item x="580"/>
        <item x="1806"/>
        <item x="581"/>
        <item x="1807"/>
        <item x="582"/>
        <item x="1808"/>
        <item x="583"/>
        <item x="1809"/>
        <item x="584"/>
        <item x="1810"/>
        <item x="585"/>
        <item x="586"/>
        <item x="587"/>
        <item x="1811"/>
        <item x="588"/>
        <item x="1812"/>
        <item x="1813"/>
        <item x="589"/>
        <item x="1814"/>
        <item x="1815"/>
        <item x="1816"/>
        <item x="1817"/>
        <item x="590"/>
        <item x="1818"/>
        <item x="1819"/>
        <item x="591"/>
        <item x="1820"/>
        <item x="592"/>
        <item x="1821"/>
        <item x="593"/>
        <item x="594"/>
        <item x="1822"/>
        <item x="1823"/>
        <item x="1824"/>
        <item x="1825"/>
        <item x="1826"/>
        <item x="1827"/>
        <item x="1828"/>
        <item x="595"/>
        <item x="596"/>
        <item x="597"/>
        <item x="1829"/>
        <item x="598"/>
        <item x="1830"/>
        <item x="1831"/>
        <item x="1832"/>
        <item x="599"/>
        <item x="1833"/>
        <item x="600"/>
        <item x="601"/>
        <item x="602"/>
        <item x="1834"/>
        <item x="603"/>
        <item x="604"/>
        <item x="1835"/>
        <item x="605"/>
        <item x="606"/>
        <item x="1836"/>
        <item x="607"/>
        <item x="1837"/>
        <item x="1838"/>
        <item x="1839"/>
        <item x="608"/>
        <item x="609"/>
        <item x="610"/>
        <item x="611"/>
        <item x="612"/>
        <item x="613"/>
        <item x="614"/>
        <item x="1840"/>
        <item x="615"/>
        <item x="1841"/>
        <item x="1842"/>
        <item x="616"/>
        <item x="1843"/>
        <item x="1844"/>
        <item x="617"/>
        <item x="1845"/>
        <item x="1846"/>
        <item x="618"/>
        <item x="1847"/>
        <item x="619"/>
        <item x="620"/>
        <item x="1848"/>
        <item x="1849"/>
        <item x="621"/>
        <item x="622"/>
        <item x="623"/>
        <item x="1850"/>
        <item x="624"/>
        <item x="625"/>
        <item x="1851"/>
        <item x="1852"/>
        <item x="626"/>
        <item x="1853"/>
        <item x="1854"/>
        <item x="1855"/>
        <item x="627"/>
        <item x="1856"/>
        <item x="628"/>
        <item x="629"/>
        <item x="630"/>
        <item x="631"/>
        <item x="632"/>
        <item x="633"/>
        <item x="1857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1858"/>
        <item x="646"/>
        <item x="1859"/>
        <item x="647"/>
        <item x="648"/>
        <item x="649"/>
        <item x="650"/>
        <item x="651"/>
        <item x="652"/>
        <item x="1860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1861"/>
        <item x="665"/>
        <item x="666"/>
        <item x="667"/>
        <item x="668"/>
        <item x="669"/>
        <item x="670"/>
        <item x="1862"/>
        <item x="1863"/>
        <item x="671"/>
        <item x="672"/>
        <item x="673"/>
        <item x="674"/>
        <item x="675"/>
        <item x="1864"/>
        <item x="676"/>
        <item x="677"/>
        <item x="678"/>
        <item x="679"/>
        <item x="680"/>
        <item x="681"/>
        <item x="682"/>
        <item x="683"/>
        <item x="684"/>
        <item x="685"/>
        <item x="1865"/>
        <item x="1866"/>
        <item x="686"/>
        <item x="687"/>
        <item x="688"/>
        <item x="689"/>
        <item x="690"/>
        <item x="691"/>
        <item x="1867"/>
        <item x="692"/>
        <item x="693"/>
        <item x="694"/>
        <item x="695"/>
        <item x="696"/>
        <item x="697"/>
        <item x="698"/>
        <item x="699"/>
        <item x="700"/>
        <item x="701"/>
        <item x="1868"/>
        <item x="1869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1870"/>
        <item x="713"/>
        <item x="714"/>
        <item x="715"/>
        <item x="716"/>
        <item x="717"/>
        <item x="1871"/>
        <item x="718"/>
        <item x="1872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1873"/>
        <item x="1874"/>
        <item x="741"/>
        <item x="1875"/>
        <item x="742"/>
        <item x="743"/>
        <item x="744"/>
        <item x="745"/>
        <item x="1876"/>
        <item x="1877"/>
        <item x="746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747"/>
        <item x="748"/>
        <item x="1901"/>
        <item x="1902"/>
        <item x="1903"/>
        <item x="1904"/>
        <item x="1905"/>
        <item x="749"/>
        <item x="750"/>
        <item x="1906"/>
        <item x="751"/>
        <item x="1907"/>
        <item x="1908"/>
        <item x="1909"/>
        <item x="1910"/>
        <item x="1911"/>
        <item x="1912"/>
        <item x="1913"/>
        <item x="1914"/>
        <item x="752"/>
        <item x="753"/>
        <item x="754"/>
        <item x="755"/>
        <item x="1915"/>
        <item x="756"/>
        <item x="1916"/>
        <item x="1917"/>
        <item x="1918"/>
        <item x="1919"/>
        <item x="1920"/>
        <item x="1921"/>
        <item x="1922"/>
        <item x="1923"/>
        <item x="1924"/>
        <item x="1925"/>
        <item x="757"/>
        <item x="1926"/>
        <item x="1927"/>
        <item x="758"/>
        <item x="1928"/>
        <item x="1929"/>
        <item x="1930"/>
        <item x="759"/>
        <item x="760"/>
        <item x="1931"/>
        <item x="761"/>
        <item x="1932"/>
        <item x="762"/>
        <item x="1933"/>
        <item x="1934"/>
        <item x="1935"/>
        <item x="1936"/>
        <item x="1937"/>
        <item x="1938"/>
        <item x="1939"/>
        <item x="1940"/>
        <item x="1941"/>
        <item x="763"/>
        <item x="1942"/>
        <item x="1943"/>
        <item x="1944"/>
        <item x="1945"/>
        <item x="1946"/>
        <item x="1947"/>
        <item x="1948"/>
        <item x="764"/>
        <item x="1949"/>
        <item x="1950"/>
        <item x="765"/>
        <item x="766"/>
        <item x="1951"/>
        <item x="1952"/>
        <item x="767"/>
        <item x="1953"/>
        <item x="768"/>
        <item x="1954"/>
        <item x="1955"/>
        <item x="1956"/>
        <item x="1957"/>
        <item x="769"/>
        <item x="1958"/>
        <item x="770"/>
        <item x="1959"/>
        <item x="771"/>
        <item x="772"/>
        <item x="773"/>
        <item x="774"/>
        <item x="775"/>
        <item x="776"/>
        <item x="1960"/>
        <item x="1961"/>
        <item x="1962"/>
        <item x="1963"/>
        <item x="1964"/>
        <item x="1965"/>
        <item x="777"/>
        <item x="778"/>
        <item x="779"/>
        <item x="1966"/>
        <item x="1967"/>
        <item x="1968"/>
        <item x="1969"/>
        <item x="780"/>
        <item x="1970"/>
        <item x="1971"/>
        <item x="1972"/>
        <item x="1973"/>
        <item x="1974"/>
        <item x="1975"/>
        <item x="1976"/>
        <item x="1977"/>
        <item x="1978"/>
        <item x="1979"/>
        <item x="781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782"/>
        <item x="1992"/>
        <item x="1993"/>
        <item x="783"/>
        <item x="784"/>
        <item x="1994"/>
        <item x="1995"/>
        <item x="1996"/>
        <item x="1997"/>
        <item x="1998"/>
        <item x="1999"/>
        <item x="785"/>
        <item x="2000"/>
        <item x="2001"/>
        <item x="786"/>
        <item x="2002"/>
        <item x="2003"/>
        <item x="2004"/>
        <item x="2005"/>
        <item x="2006"/>
        <item x="2007"/>
        <item x="2008"/>
        <item x="2009"/>
        <item x="2010"/>
        <item x="787"/>
        <item x="2011"/>
        <item x="788"/>
        <item x="789"/>
        <item x="2012"/>
        <item x="2013"/>
        <item x="2014"/>
        <item x="790"/>
        <item x="791"/>
        <item x="2015"/>
        <item x="2016"/>
        <item x="2017"/>
        <item x="792"/>
        <item x="793"/>
        <item x="794"/>
        <item x="795"/>
        <item x="796"/>
        <item x="2018"/>
        <item x="2019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2020"/>
        <item x="816"/>
        <item x="817"/>
        <item x="818"/>
        <item x="819"/>
        <item x="820"/>
        <item x="821"/>
        <item x="822"/>
        <item x="823"/>
        <item x="824"/>
        <item x="825"/>
        <item x="2021"/>
        <item x="826"/>
        <item x="827"/>
        <item x="2022"/>
        <item x="828"/>
        <item x="2023"/>
        <item x="2024"/>
        <item x="829"/>
        <item x="2025"/>
        <item x="2026"/>
        <item x="2027"/>
        <item x="2028"/>
        <item x="2029"/>
        <item x="830"/>
        <item x="2030"/>
        <item x="2031"/>
        <item x="831"/>
        <item x="2032"/>
        <item x="2033"/>
        <item x="2034"/>
        <item x="832"/>
        <item x="2035"/>
        <item x="833"/>
        <item x="2036"/>
        <item x="2037"/>
        <item x="2038"/>
        <item x="2039"/>
        <item x="2040"/>
        <item x="2041"/>
        <item x="834"/>
        <item x="835"/>
        <item x="836"/>
        <item x="837"/>
        <item x="838"/>
        <item x="2042"/>
        <item x="839"/>
        <item x="840"/>
        <item x="2043"/>
        <item x="2044"/>
        <item x="2045"/>
        <item x="2046"/>
        <item x="2047"/>
        <item x="2048"/>
        <item x="841"/>
        <item x="2049"/>
        <item x="2050"/>
        <item x="2051"/>
        <item x="2052"/>
        <item x="842"/>
        <item x="2053"/>
        <item x="2054"/>
        <item x="2055"/>
        <item x="843"/>
        <item x="2056"/>
        <item x="844"/>
        <item x="845"/>
        <item x="2057"/>
        <item x="846"/>
        <item x="2058"/>
        <item x="847"/>
        <item x="2059"/>
        <item x="2060"/>
        <item x="2061"/>
        <item x="848"/>
        <item x="2062"/>
        <item x="2063"/>
        <item x="2064"/>
        <item x="2065"/>
        <item x="849"/>
        <item x="2066"/>
        <item x="2067"/>
        <item x="2068"/>
        <item x="850"/>
        <item x="851"/>
        <item x="852"/>
        <item x="2069"/>
        <item x="853"/>
        <item x="2070"/>
        <item x="854"/>
        <item x="855"/>
        <item x="2071"/>
        <item x="856"/>
        <item x="2072"/>
        <item x="857"/>
        <item x="2073"/>
        <item x="858"/>
        <item x="2074"/>
        <item x="2075"/>
        <item x="859"/>
        <item x="2076"/>
        <item x="860"/>
        <item x="2077"/>
        <item x="2078"/>
        <item x="861"/>
        <item x="862"/>
        <item x="2079"/>
        <item x="863"/>
        <item x="864"/>
        <item x="2080"/>
        <item x="2081"/>
        <item x="2082"/>
        <item x="865"/>
        <item x="866"/>
        <item x="867"/>
        <item x="868"/>
        <item x="869"/>
        <item x="2083"/>
        <item x="870"/>
        <item x="871"/>
        <item x="2084"/>
        <item x="872"/>
        <item x="2085"/>
        <item x="2086"/>
        <item x="873"/>
        <item x="874"/>
        <item x="875"/>
        <item x="876"/>
        <item x="2087"/>
        <item x="877"/>
        <item x="2088"/>
        <item x="878"/>
        <item x="879"/>
        <item x="2089"/>
        <item x="880"/>
        <item x="2090"/>
        <item x="2091"/>
        <item x="881"/>
        <item x="882"/>
        <item x="2092"/>
        <item x="2093"/>
        <item x="883"/>
        <item x="2094"/>
        <item x="884"/>
        <item x="2095"/>
        <item x="2096"/>
        <item x="2097"/>
        <item x="2098"/>
        <item x="2099"/>
        <item x="885"/>
        <item x="2100"/>
        <item x="2101"/>
        <item x="2102"/>
        <item x="2103"/>
        <item x="2104"/>
        <item x="2105"/>
        <item x="2106"/>
        <item x="2107"/>
        <item x="2108"/>
        <item x="886"/>
        <item x="887"/>
        <item x="2109"/>
        <item x="888"/>
        <item x="2110"/>
        <item x="2111"/>
        <item x="889"/>
        <item x="890"/>
        <item x="891"/>
        <item x="892"/>
        <item x="2112"/>
        <item x="893"/>
        <item x="894"/>
        <item x="895"/>
        <item x="896"/>
        <item x="2113"/>
        <item x="897"/>
        <item x="2114"/>
        <item x="2115"/>
        <item x="898"/>
        <item x="899"/>
        <item x="900"/>
        <item x="901"/>
        <item x="2116"/>
        <item x="2117"/>
        <item x="902"/>
        <item x="2118"/>
        <item x="903"/>
        <item x="904"/>
        <item x="905"/>
        <item x="906"/>
        <item x="907"/>
        <item x="2119"/>
        <item x="2120"/>
        <item x="2121"/>
        <item x="2122"/>
        <item x="2123"/>
        <item x="2124"/>
        <item x="2125"/>
        <item x="2126"/>
        <item x="2127"/>
        <item x="908"/>
        <item x="909"/>
        <item x="2128"/>
        <item x="2129"/>
        <item x="2130"/>
        <item x="2131"/>
        <item x="2132"/>
        <item x="2133"/>
        <item x="2134"/>
        <item x="2135"/>
        <item x="910"/>
        <item x="2136"/>
        <item x="911"/>
        <item x="2137"/>
        <item x="2138"/>
        <item x="2139"/>
        <item x="912"/>
        <item x="913"/>
        <item x="2140"/>
        <item x="2141"/>
        <item x="914"/>
        <item x="2142"/>
        <item x="2143"/>
        <item x="2144"/>
        <item x="915"/>
        <item x="916"/>
        <item x="2145"/>
        <item x="2146"/>
        <item x="2147"/>
        <item x="2148"/>
        <item x="2149"/>
        <item x="917"/>
        <item x="2150"/>
        <item x="2151"/>
        <item x="2152"/>
        <item x="2153"/>
        <item x="2154"/>
        <item x="2155"/>
        <item x="2156"/>
        <item x="2157"/>
        <item x="2158"/>
        <item x="918"/>
        <item x="2159"/>
        <item x="919"/>
        <item x="920"/>
        <item x="921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922"/>
        <item x="2172"/>
        <item x="923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924"/>
        <item x="92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926"/>
        <item x="2207"/>
        <item x="927"/>
        <item x="928"/>
        <item x="929"/>
        <item x="2208"/>
        <item x="2209"/>
        <item x="930"/>
        <item x="931"/>
        <item x="932"/>
        <item x="2210"/>
        <item x="933"/>
        <item x="2211"/>
        <item x="934"/>
        <item x="935"/>
        <item x="2212"/>
        <item x="936"/>
        <item x="937"/>
        <item x="938"/>
        <item x="939"/>
        <item x="940"/>
        <item x="941"/>
        <item x="942"/>
        <item x="943"/>
        <item x="221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2214"/>
        <item x="2215"/>
        <item x="955"/>
        <item x="956"/>
        <item x="957"/>
        <item x="2216"/>
        <item x="958"/>
        <item x="959"/>
        <item x="2217"/>
        <item x="960"/>
        <item x="2218"/>
        <item x="2219"/>
        <item x="2220"/>
        <item x="961"/>
        <item x="962"/>
        <item x="2221"/>
        <item x="2222"/>
        <item x="2223"/>
        <item x="2224"/>
        <item x="2225"/>
        <item x="2226"/>
        <item x="963"/>
        <item x="2227"/>
        <item x="964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965"/>
        <item x="966"/>
        <item x="2244"/>
        <item x="2245"/>
        <item x="2246"/>
        <item x="2247"/>
        <item x="2248"/>
        <item x="967"/>
        <item x="968"/>
        <item x="969"/>
        <item x="2249"/>
        <item x="970"/>
        <item x="2250"/>
        <item x="971"/>
        <item x="2251"/>
        <item x="2252"/>
        <item x="2253"/>
        <item x="2254"/>
        <item x="2255"/>
        <item x="972"/>
        <item x="2256"/>
        <item x="2257"/>
        <item x="973"/>
        <item x="2258"/>
        <item x="2259"/>
        <item x="2260"/>
        <item x="2261"/>
        <item x="2262"/>
        <item x="2263"/>
        <item x="974"/>
        <item x="2264"/>
        <item x="975"/>
        <item x="2265"/>
        <item x="2266"/>
        <item x="2267"/>
        <item x="2268"/>
        <item x="2269"/>
        <item x="2270"/>
        <item x="976"/>
        <item x="2271"/>
        <item x="2272"/>
        <item x="2273"/>
        <item x="977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978"/>
        <item x="2287"/>
        <item x="2288"/>
        <item x="2289"/>
        <item x="2290"/>
        <item x="2291"/>
        <item x="979"/>
        <item x="2292"/>
        <item x="980"/>
        <item x="2293"/>
        <item x="981"/>
        <item x="2294"/>
        <item x="982"/>
        <item x="983"/>
        <item x="984"/>
        <item x="985"/>
        <item x="2295"/>
        <item x="986"/>
        <item x="987"/>
        <item x="988"/>
        <item x="989"/>
        <item x="990"/>
        <item x="2296"/>
        <item x="991"/>
        <item x="992"/>
        <item x="993"/>
        <item x="2297"/>
        <item x="994"/>
        <item x="995"/>
        <item x="2298"/>
        <item x="996"/>
        <item x="997"/>
        <item x="998"/>
        <item x="999"/>
        <item x="1000"/>
        <item x="1001"/>
        <item x="1002"/>
        <item x="1003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1004"/>
        <item x="2311"/>
        <item x="1005"/>
        <item x="1006"/>
        <item x="2312"/>
        <item x="2313"/>
        <item x="2314"/>
        <item x="2315"/>
        <item x="1007"/>
        <item x="2316"/>
        <item x="2317"/>
        <item x="2318"/>
        <item x="2319"/>
        <item x="2320"/>
        <item x="2321"/>
        <item x="1008"/>
        <item x="2322"/>
        <item x="2323"/>
        <item x="1009"/>
        <item x="1010"/>
        <item x="1011"/>
        <item x="2324"/>
        <item x="2325"/>
        <item x="2326"/>
        <item x="1012"/>
        <item x="2327"/>
        <item x="2328"/>
        <item x="2329"/>
        <item x="2330"/>
        <item x="1013"/>
        <item x="2331"/>
        <item x="2332"/>
        <item x="2333"/>
        <item x="1014"/>
        <item x="2334"/>
        <item x="1015"/>
        <item x="1016"/>
        <item x="2335"/>
        <item x="1017"/>
        <item x="2336"/>
        <item x="2337"/>
        <item x="2338"/>
        <item x="2339"/>
        <item x="2340"/>
        <item x="1018"/>
        <item x="2341"/>
        <item x="2342"/>
        <item x="1019"/>
        <item x="2343"/>
        <item x="2344"/>
        <item x="2345"/>
        <item x="2346"/>
        <item x="1020"/>
        <item x="1021"/>
        <item x="1022"/>
        <item x="1023"/>
        <item x="2347"/>
        <item x="2348"/>
        <item x="1024"/>
        <item x="1025"/>
        <item x="2349"/>
        <item x="1026"/>
        <item x="1027"/>
        <item x="1028"/>
        <item x="2350"/>
        <item x="1029"/>
        <item x="2351"/>
        <item x="1030"/>
        <item x="1031"/>
        <item x="2352"/>
        <item x="2353"/>
        <item x="1032"/>
        <item x="2354"/>
        <item x="2355"/>
        <item x="2356"/>
        <item x="2357"/>
        <item x="1033"/>
        <item x="2358"/>
        <item x="2359"/>
        <item x="2360"/>
        <item x="2361"/>
        <item x="1034"/>
        <item x="1035"/>
        <item x="2362"/>
        <item x="2363"/>
        <item x="2364"/>
        <item x="1036"/>
        <item x="2365"/>
        <item x="1037"/>
        <item x="1038"/>
        <item x="2366"/>
        <item x="1039"/>
        <item x="2367"/>
        <item x="1040"/>
        <item x="1041"/>
        <item x="2368"/>
        <item x="1042"/>
        <item x="1043"/>
        <item x="2369"/>
        <item x="2370"/>
        <item x="2371"/>
        <item x="2372"/>
        <item x="2373"/>
        <item x="1044"/>
        <item x="1045"/>
        <item x="1046"/>
        <item x="2374"/>
        <item x="2375"/>
        <item x="2376"/>
        <item x="1047"/>
        <item x="2377"/>
        <item x="2378"/>
        <item x="2379"/>
        <item x="2380"/>
        <item x="2381"/>
        <item x="2382"/>
        <item x="1048"/>
        <item x="1049"/>
        <item x="2383"/>
        <item x="2384"/>
        <item x="2385"/>
        <item x="2386"/>
        <item x="1050"/>
        <item x="2387"/>
        <item x="2388"/>
        <item x="2389"/>
        <item x="1051"/>
        <item x="1052"/>
        <item x="2390"/>
        <item x="1053"/>
        <item x="2391"/>
        <item x="1054"/>
        <item x="2392"/>
        <item x="1055"/>
        <item x="1056"/>
        <item x="1057"/>
        <item x="1058"/>
        <item x="2393"/>
        <item x="2394"/>
        <item x="2395"/>
        <item x="2396"/>
        <item x="2397"/>
        <item x="1059"/>
        <item x="1060"/>
        <item x="2398"/>
        <item x="1061"/>
        <item x="1062"/>
        <item x="1063"/>
        <item x="2399"/>
        <item x="1064"/>
        <item x="1065"/>
        <item x="2400"/>
        <item x="2401"/>
        <item x="2402"/>
        <item x="2403"/>
        <item x="2404"/>
        <item x="1066"/>
        <item x="2405"/>
        <item x="2406"/>
        <item x="1067"/>
        <item x="2407"/>
        <item x="1068"/>
        <item x="2408"/>
        <item x="2409"/>
        <item x="1069"/>
        <item x="1070"/>
        <item x="1071"/>
        <item x="2410"/>
        <item x="2411"/>
        <item x="1072"/>
        <item x="1073"/>
        <item x="2412"/>
        <item x="2413"/>
        <item x="2414"/>
        <item x="2415"/>
        <item x="2416"/>
        <item x="2417"/>
        <item x="1074"/>
        <item x="2418"/>
        <item x="2419"/>
        <item x="2420"/>
        <item x="2421"/>
        <item x="1075"/>
        <item x="2422"/>
        <item x="2423"/>
        <item x="2424"/>
        <item x="2425"/>
        <item x="1076"/>
        <item x="2426"/>
        <item x="2427"/>
        <item x="2428"/>
        <item x="2429"/>
        <item x="2430"/>
        <item x="1077"/>
        <item x="2431"/>
        <item x="2432"/>
        <item x="2433"/>
        <item x="2434"/>
        <item x="2435"/>
        <item x="1078"/>
        <item x="1079"/>
        <item x="2436"/>
        <item x="2437"/>
        <item x="2438"/>
        <item x="2439"/>
        <item x="1080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1081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1082"/>
        <item x="1083"/>
        <item x="1084"/>
        <item x="1085"/>
        <item x="1086"/>
        <item x="2473"/>
        <item x="1087"/>
        <item x="2474"/>
        <item x="1088"/>
        <item x="1089"/>
        <item x="1090"/>
        <item x="1091"/>
        <item x="1092"/>
        <item x="1093"/>
        <item x="1094"/>
        <item x="1095"/>
        <item x="2475"/>
        <item x="1096"/>
        <item x="1097"/>
        <item x="1098"/>
        <item x="1099"/>
        <item x="1100"/>
        <item x="1101"/>
        <item x="1102"/>
        <item x="1103"/>
        <item x="2476"/>
        <item x="1104"/>
        <item x="1105"/>
        <item x="2477"/>
        <item x="1106"/>
        <item x="1107"/>
        <item x="2478"/>
        <item x="2479"/>
        <item x="2480"/>
        <item x="1108"/>
        <item x="1109"/>
        <item x="1110"/>
        <item x="2481"/>
        <item x="1111"/>
        <item x="1112"/>
        <item x="2482"/>
        <item x="1113"/>
        <item x="1114"/>
        <item x="1115"/>
        <item x="2483"/>
        <item x="1116"/>
        <item x="2484"/>
        <item x="2485"/>
        <item x="1117"/>
        <item x="1118"/>
        <item x="2486"/>
        <item x="2487"/>
        <item x="2488"/>
        <item x="2489"/>
        <item x="2490"/>
        <item x="2491"/>
        <item x="2492"/>
        <item x="2493"/>
        <item x="1119"/>
        <item x="2494"/>
        <item x="2495"/>
        <item x="1120"/>
        <item x="1121"/>
        <item x="2496"/>
        <item x="1122"/>
        <item x="1123"/>
        <item x="2497"/>
        <item x="2498"/>
        <item x="2499"/>
        <item x="1124"/>
        <item x="1125"/>
        <item x="1126"/>
        <item x="1127"/>
        <item x="1128"/>
        <item x="1129"/>
        <item x="2500"/>
        <item x="2501"/>
        <item x="1130"/>
        <item x="1131"/>
        <item x="1132"/>
        <item x="250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2503"/>
        <item x="1144"/>
        <item x="1145"/>
        <item x="2504"/>
        <item x="1146"/>
        <item x="1147"/>
        <item x="1148"/>
        <item x="2505"/>
        <item x="2506"/>
        <item x="2507"/>
        <item x="2508"/>
        <item x="1149"/>
        <item x="1150"/>
        <item x="1151"/>
        <item x="2509"/>
        <item x="2510"/>
        <item x="2511"/>
        <item x="2512"/>
        <item x="1152"/>
        <item x="1153"/>
        <item x="2513"/>
        <item x="2514"/>
        <item x="2515"/>
        <item x="1154"/>
        <item x="1155"/>
        <item x="1156"/>
        <item x="2516"/>
        <item x="1157"/>
        <item x="2517"/>
        <item x="1158"/>
        <item x="1159"/>
        <item x="1160"/>
        <item x="1161"/>
        <item x="1162"/>
        <item x="1163"/>
        <item x="1164"/>
        <item x="2518"/>
        <item x="1165"/>
        <item x="1166"/>
        <item x="1167"/>
        <item x="1168"/>
        <item x="1169"/>
        <item x="1170"/>
        <item x="2519"/>
        <item x="2520"/>
        <item x="1171"/>
        <item x="1172"/>
        <item x="2521"/>
        <item x="2522"/>
        <item x="2523"/>
        <item x="1173"/>
        <item x="2524"/>
        <item x="1174"/>
        <item x="1175"/>
        <item x="1176"/>
        <item x="2525"/>
        <item x="1177"/>
        <item x="1178"/>
        <item x="1179"/>
        <item x="2526"/>
        <item x="1180"/>
        <item x="2527"/>
        <item x="1181"/>
        <item x="1182"/>
        <item x="1183"/>
        <item x="2528"/>
        <item x="2529"/>
        <item x="2530"/>
        <item x="2531"/>
        <item x="1184"/>
        <item x="1185"/>
        <item x="1186"/>
        <item x="1187"/>
        <item x="1188"/>
        <item x="1189"/>
        <item x="0"/>
        <item x="1190"/>
        <item x="1191"/>
        <item x="1192"/>
        <item x="1193"/>
        <item x="1194"/>
        <item x="1195"/>
        <item x="1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2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3"/>
        <item x="1231"/>
        <item x="1232"/>
        <item x="1233"/>
        <item x="1234"/>
        <item x="1235"/>
        <item x="1236"/>
        <item x="1237"/>
        <item x="1238"/>
        <item x="4"/>
        <item x="1239"/>
        <item x="1240"/>
        <item x="1241"/>
        <item x="1242"/>
        <item x="5"/>
        <item x="1243"/>
        <item x="1244"/>
        <item x="6"/>
        <item x="7"/>
        <item x="8"/>
        <item x="1245"/>
        <item x="9"/>
        <item x="10"/>
        <item x="11"/>
        <item x="12"/>
        <item x="13"/>
        <item x="14"/>
        <item x="15"/>
        <item x="16"/>
        <item x="17"/>
        <item x="18"/>
        <item x="19"/>
        <item x="1246"/>
        <item x="20"/>
        <item x="21"/>
        <item x="1247"/>
        <item x="22"/>
        <item x="1248"/>
        <item x="23"/>
        <item x="24"/>
        <item x="1249"/>
        <item x="1250"/>
        <item x="25"/>
        <item x="26"/>
        <item x="1251"/>
        <item x="27"/>
        <item x="1252"/>
        <item x="28"/>
        <item x="29"/>
        <item x="30"/>
        <item x="31"/>
        <item x="32"/>
        <item x="33"/>
        <item x="1253"/>
        <item x="34"/>
        <item x="1254"/>
        <item x="1255"/>
        <item x="1256"/>
        <item x="35"/>
        <item x="36"/>
        <item x="37"/>
        <item x="1257"/>
        <item x="1258"/>
        <item x="38"/>
        <item x="39"/>
        <item x="1259"/>
        <item x="1260"/>
        <item x="1261"/>
        <item x="1262"/>
        <item x="40"/>
        <item x="1263"/>
        <item x="41"/>
        <item x="1264"/>
        <item x="1265"/>
        <item x="1266"/>
        <item x="42"/>
        <item x="43"/>
        <item x="44"/>
        <item x="45"/>
        <item x="1267"/>
        <item x="1268"/>
        <item x="1269"/>
        <item x="1270"/>
        <item x="1271"/>
        <item x="1272"/>
        <item x="1273"/>
        <item x="1274"/>
        <item x="1275"/>
        <item x="46"/>
        <item x="1276"/>
        <item x="47"/>
        <item x="48"/>
        <item x="1277"/>
        <item x="49"/>
        <item x="1278"/>
        <item x="1279"/>
        <item x="50"/>
        <item x="1280"/>
        <item x="1281"/>
        <item x="51"/>
        <item x="52"/>
        <item x="1282"/>
        <item x="1283"/>
        <item x="1284"/>
        <item x="1285"/>
        <item x="1286"/>
        <item x="53"/>
        <item x="54"/>
        <item x="1287"/>
        <item x="55"/>
        <item x="56"/>
        <item x="1288"/>
        <item x="57"/>
        <item x="58"/>
        <item x="59"/>
        <item x="1289"/>
        <item x="1290"/>
        <item x="60"/>
        <item x="61"/>
        <item x="1291"/>
        <item x="62"/>
        <item x="63"/>
        <item x="1292"/>
        <item x="1293"/>
        <item x="64"/>
        <item x="1294"/>
        <item x="1295"/>
        <item x="65"/>
        <item x="1296"/>
        <item x="1297"/>
        <item x="1298"/>
        <item x="66"/>
        <item x="1299"/>
        <item x="1300"/>
        <item x="1301"/>
        <item x="1302"/>
        <item x="1303"/>
        <item x="67"/>
        <item x="1304"/>
        <item x="1305"/>
        <item x="68"/>
        <item x="69"/>
        <item x="1306"/>
        <item x="70"/>
        <item x="1307"/>
        <item x="1308"/>
        <item x="1309"/>
        <item x="71"/>
        <item x="1310"/>
        <item x="1311"/>
        <item x="72"/>
        <item x="1312"/>
        <item x="1313"/>
        <item x="1314"/>
        <item x="1315"/>
        <item x="1316"/>
        <item x="73"/>
        <item x="74"/>
        <item x="1317"/>
        <item x="1318"/>
        <item x="75"/>
        <item x="1319"/>
        <item x="76"/>
        <item x="1320"/>
        <item x="1321"/>
        <item x="1322"/>
        <item x="1323"/>
        <item x="1324"/>
        <item x="77"/>
        <item x="78"/>
        <item x="79"/>
        <item x="80"/>
        <item x="81"/>
        <item x="1325"/>
        <item x="82"/>
        <item x="83"/>
        <item x="84"/>
        <item x="1326"/>
        <item x="85"/>
        <item x="86"/>
        <item x="87"/>
        <item x="1327"/>
        <item x="88"/>
        <item x="89"/>
        <item x="90"/>
        <item x="1328"/>
        <item x="91"/>
        <item x="92"/>
        <item x="93"/>
        <item x="94"/>
        <item x="95"/>
        <item x="1329"/>
        <item x="96"/>
        <item x="97"/>
        <item x="1330"/>
        <item x="98"/>
        <item x="1331"/>
        <item x="99"/>
        <item x="1332"/>
        <item x="100"/>
        <item x="1333"/>
        <item x="1334"/>
        <item x="1335"/>
        <item x="1336"/>
        <item x="1337"/>
        <item x="1338"/>
        <item x="1339"/>
        <item x="134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25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6"/>
    </i>
    <i>
      <x v="1267"/>
    </i>
    <i>
      <x v="1268"/>
    </i>
    <i>
      <x v="1269"/>
    </i>
    <i>
      <x v="1270"/>
    </i>
    <i>
      <x v="1271"/>
    </i>
    <i>
      <x v="1272"/>
    </i>
    <i>
      <x v="1273"/>
    </i>
    <i>
      <x v="1274"/>
    </i>
    <i>
      <x v="1275"/>
    </i>
    <i>
      <x v="1276"/>
    </i>
    <i>
      <x v="1277"/>
    </i>
    <i>
      <x v="1278"/>
    </i>
    <i>
      <x v="1279"/>
    </i>
    <i>
      <x v="1280"/>
    </i>
    <i>
      <x v="1281"/>
    </i>
    <i>
      <x v="1282"/>
    </i>
    <i>
      <x v="1283"/>
    </i>
    <i>
      <x v="1284"/>
    </i>
    <i>
      <x v="1285"/>
    </i>
    <i>
      <x v="1286"/>
    </i>
    <i>
      <x v="1287"/>
    </i>
    <i>
      <x v="1288"/>
    </i>
    <i>
      <x v="1289"/>
    </i>
    <i>
      <x v="1290"/>
    </i>
    <i>
      <x v="1291"/>
    </i>
    <i>
      <x v="1292"/>
    </i>
    <i>
      <x v="1293"/>
    </i>
    <i>
      <x v="1294"/>
    </i>
    <i>
      <x v="1295"/>
    </i>
    <i>
      <x v="1296"/>
    </i>
    <i>
      <x v="1297"/>
    </i>
    <i>
      <x v="1298"/>
    </i>
    <i>
      <x v="1299"/>
    </i>
    <i>
      <x v="1300"/>
    </i>
    <i>
      <x v="1301"/>
    </i>
    <i>
      <x v="1302"/>
    </i>
    <i>
      <x v="1303"/>
    </i>
    <i>
      <x v="1304"/>
    </i>
    <i>
      <x v="1305"/>
    </i>
    <i>
      <x v="1306"/>
    </i>
    <i>
      <x v="1307"/>
    </i>
    <i>
      <x v="1308"/>
    </i>
    <i>
      <x v="1309"/>
    </i>
    <i>
      <x v="1310"/>
    </i>
    <i>
      <x v="1311"/>
    </i>
    <i>
      <x v="1312"/>
    </i>
    <i>
      <x v="1313"/>
    </i>
    <i>
      <x v="1314"/>
    </i>
    <i>
      <x v="1315"/>
    </i>
    <i>
      <x v="1316"/>
    </i>
    <i>
      <x v="1317"/>
    </i>
    <i>
      <x v="1318"/>
    </i>
    <i>
      <x v="1319"/>
    </i>
    <i>
      <x v="1320"/>
    </i>
    <i>
      <x v="1321"/>
    </i>
    <i>
      <x v="1322"/>
    </i>
    <i>
      <x v="1323"/>
    </i>
    <i>
      <x v="1324"/>
    </i>
    <i>
      <x v="1325"/>
    </i>
    <i>
      <x v="1326"/>
    </i>
    <i>
      <x v="1327"/>
    </i>
    <i>
      <x v="1328"/>
    </i>
    <i>
      <x v="1329"/>
    </i>
    <i>
      <x v="1330"/>
    </i>
    <i>
      <x v="1331"/>
    </i>
    <i>
      <x v="1332"/>
    </i>
    <i>
      <x v="1333"/>
    </i>
    <i>
      <x v="1334"/>
    </i>
    <i>
      <x v="1335"/>
    </i>
    <i>
      <x v="1336"/>
    </i>
    <i>
      <x v="1337"/>
    </i>
    <i>
      <x v="1338"/>
    </i>
    <i>
      <x v="1339"/>
    </i>
    <i>
      <x v="1340"/>
    </i>
    <i>
      <x v="1341"/>
    </i>
    <i>
      <x v="1342"/>
    </i>
    <i>
      <x v="1343"/>
    </i>
    <i>
      <x v="1344"/>
    </i>
    <i>
      <x v="1345"/>
    </i>
    <i>
      <x v="1346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5"/>
    </i>
    <i>
      <x v="1356"/>
    </i>
    <i>
      <x v="1357"/>
    </i>
    <i>
      <x v="1358"/>
    </i>
    <i>
      <x v="1359"/>
    </i>
    <i>
      <x v="1360"/>
    </i>
    <i>
      <x v="1361"/>
    </i>
    <i>
      <x v="1362"/>
    </i>
    <i>
      <x v="1363"/>
    </i>
    <i>
      <x v="1364"/>
    </i>
    <i>
      <x v="1365"/>
    </i>
    <i>
      <x v="1366"/>
    </i>
    <i>
      <x v="1367"/>
    </i>
    <i>
      <x v="1368"/>
    </i>
    <i>
      <x v="1369"/>
    </i>
    <i>
      <x v="1370"/>
    </i>
    <i>
      <x v="1371"/>
    </i>
    <i>
      <x v="1372"/>
    </i>
    <i>
      <x v="1373"/>
    </i>
    <i>
      <x v="1374"/>
    </i>
    <i>
      <x v="1375"/>
    </i>
    <i>
      <x v="1376"/>
    </i>
    <i>
      <x v="1377"/>
    </i>
    <i>
      <x v="1378"/>
    </i>
    <i>
      <x v="1379"/>
    </i>
    <i>
      <x v="1380"/>
    </i>
    <i>
      <x v="1381"/>
    </i>
    <i>
      <x v="1382"/>
    </i>
    <i>
      <x v="1383"/>
    </i>
    <i>
      <x v="1384"/>
    </i>
    <i>
      <x v="1385"/>
    </i>
    <i>
      <x v="1386"/>
    </i>
    <i>
      <x v="1387"/>
    </i>
    <i>
      <x v="1388"/>
    </i>
    <i>
      <x v="1389"/>
    </i>
    <i>
      <x v="1390"/>
    </i>
    <i>
      <x v="1391"/>
    </i>
    <i>
      <x v="1392"/>
    </i>
    <i>
      <x v="1393"/>
    </i>
    <i>
      <x v="1394"/>
    </i>
    <i>
      <x v="1395"/>
    </i>
    <i>
      <x v="1396"/>
    </i>
    <i>
      <x v="1397"/>
    </i>
    <i>
      <x v="1398"/>
    </i>
    <i>
      <x v="1399"/>
    </i>
    <i>
      <x v="1400"/>
    </i>
    <i>
      <x v="1401"/>
    </i>
    <i>
      <x v="1402"/>
    </i>
    <i>
      <x v="1403"/>
    </i>
    <i>
      <x v="1404"/>
    </i>
    <i>
      <x v="1405"/>
    </i>
    <i>
      <x v="1406"/>
    </i>
    <i>
      <x v="1407"/>
    </i>
    <i>
      <x v="1408"/>
    </i>
    <i>
      <x v="1409"/>
    </i>
    <i>
      <x v="1410"/>
    </i>
    <i>
      <x v="1411"/>
    </i>
    <i>
      <x v="1412"/>
    </i>
    <i>
      <x v="1413"/>
    </i>
    <i>
      <x v="1414"/>
    </i>
    <i>
      <x v="1415"/>
    </i>
    <i>
      <x v="1416"/>
    </i>
    <i>
      <x v="1417"/>
    </i>
    <i>
      <x v="1418"/>
    </i>
    <i>
      <x v="1419"/>
    </i>
    <i>
      <x v="1420"/>
    </i>
    <i>
      <x v="1421"/>
    </i>
    <i>
      <x v="1422"/>
    </i>
    <i>
      <x v="1423"/>
    </i>
    <i>
      <x v="1424"/>
    </i>
    <i>
      <x v="1425"/>
    </i>
    <i>
      <x v="1426"/>
    </i>
    <i>
      <x v="1427"/>
    </i>
    <i>
      <x v="1428"/>
    </i>
    <i>
      <x v="1429"/>
    </i>
    <i>
      <x v="1430"/>
    </i>
    <i>
      <x v="1431"/>
    </i>
    <i>
      <x v="1432"/>
    </i>
    <i>
      <x v="1433"/>
    </i>
    <i>
      <x v="1434"/>
    </i>
    <i>
      <x v="1435"/>
    </i>
    <i>
      <x v="1436"/>
    </i>
    <i>
      <x v="1437"/>
    </i>
    <i>
      <x v="1438"/>
    </i>
    <i>
      <x v="1439"/>
    </i>
    <i>
      <x v="1440"/>
    </i>
    <i>
      <x v="1441"/>
    </i>
    <i>
      <x v="1442"/>
    </i>
    <i>
      <x v="1443"/>
    </i>
    <i>
      <x v="1444"/>
    </i>
    <i>
      <x v="1445"/>
    </i>
    <i>
      <x v="1446"/>
    </i>
    <i>
      <x v="1447"/>
    </i>
    <i>
      <x v="1448"/>
    </i>
    <i>
      <x v="1449"/>
    </i>
    <i>
      <x v="1450"/>
    </i>
    <i>
      <x v="1451"/>
    </i>
    <i>
      <x v="1452"/>
    </i>
    <i>
      <x v="1453"/>
    </i>
    <i>
      <x v="1454"/>
    </i>
    <i>
      <x v="1455"/>
    </i>
    <i>
      <x v="1456"/>
    </i>
    <i>
      <x v="1457"/>
    </i>
    <i>
      <x v="1458"/>
    </i>
    <i>
      <x v="1459"/>
    </i>
    <i>
      <x v="1460"/>
    </i>
    <i>
      <x v="1461"/>
    </i>
    <i>
      <x v="1462"/>
    </i>
    <i>
      <x v="1463"/>
    </i>
    <i>
      <x v="1464"/>
    </i>
    <i>
      <x v="1465"/>
    </i>
    <i>
      <x v="1466"/>
    </i>
    <i>
      <x v="1467"/>
    </i>
    <i>
      <x v="1468"/>
    </i>
    <i>
      <x v="1469"/>
    </i>
    <i>
      <x v="1470"/>
    </i>
    <i>
      <x v="1471"/>
    </i>
    <i>
      <x v="1472"/>
    </i>
    <i>
      <x v="1473"/>
    </i>
    <i>
      <x v="1474"/>
    </i>
    <i>
      <x v="1475"/>
    </i>
    <i>
      <x v="1476"/>
    </i>
    <i>
      <x v="1477"/>
    </i>
    <i>
      <x v="1478"/>
    </i>
    <i>
      <x v="1479"/>
    </i>
    <i>
      <x v="1480"/>
    </i>
    <i>
      <x v="1481"/>
    </i>
    <i>
      <x v="1482"/>
    </i>
    <i>
      <x v="1483"/>
    </i>
    <i>
      <x v="1484"/>
    </i>
    <i>
      <x v="1485"/>
    </i>
    <i>
      <x v="1486"/>
    </i>
    <i>
      <x v="1487"/>
    </i>
    <i>
      <x v="1488"/>
    </i>
    <i>
      <x v="1489"/>
    </i>
    <i>
      <x v="1490"/>
    </i>
    <i>
      <x v="1491"/>
    </i>
    <i>
      <x v="1492"/>
    </i>
    <i>
      <x v="1493"/>
    </i>
    <i>
      <x v="1494"/>
    </i>
    <i>
      <x v="1495"/>
    </i>
    <i>
      <x v="1496"/>
    </i>
    <i>
      <x v="1497"/>
    </i>
    <i>
      <x v="1498"/>
    </i>
    <i>
      <x v="1499"/>
    </i>
    <i>
      <x v="1500"/>
    </i>
    <i>
      <x v="1501"/>
    </i>
    <i>
      <x v="1502"/>
    </i>
    <i>
      <x v="1503"/>
    </i>
    <i>
      <x v="1504"/>
    </i>
    <i>
      <x v="1505"/>
    </i>
    <i>
      <x v="1506"/>
    </i>
    <i>
      <x v="1507"/>
    </i>
    <i>
      <x v="1508"/>
    </i>
    <i>
      <x v="1509"/>
    </i>
    <i>
      <x v="1510"/>
    </i>
    <i>
      <x v="1511"/>
    </i>
    <i>
      <x v="1512"/>
    </i>
    <i>
      <x v="1513"/>
    </i>
    <i>
      <x v="1514"/>
    </i>
    <i>
      <x v="1515"/>
    </i>
    <i>
      <x v="1516"/>
    </i>
    <i>
      <x v="1517"/>
    </i>
    <i>
      <x v="1518"/>
    </i>
    <i>
      <x v="1519"/>
    </i>
    <i>
      <x v="1520"/>
    </i>
    <i>
      <x v="1521"/>
    </i>
    <i>
      <x v="1522"/>
    </i>
    <i>
      <x v="1523"/>
    </i>
    <i>
      <x v="1524"/>
    </i>
    <i>
      <x v="1525"/>
    </i>
    <i>
      <x v="1526"/>
    </i>
    <i>
      <x v="1527"/>
    </i>
    <i>
      <x v="1528"/>
    </i>
    <i>
      <x v="1529"/>
    </i>
    <i>
      <x v="1530"/>
    </i>
    <i>
      <x v="1531"/>
    </i>
    <i>
      <x v="1532"/>
    </i>
    <i>
      <x v="1533"/>
    </i>
    <i>
      <x v="1534"/>
    </i>
    <i>
      <x v="1535"/>
    </i>
    <i>
      <x v="1536"/>
    </i>
    <i>
      <x v="1537"/>
    </i>
    <i>
      <x v="1538"/>
    </i>
    <i>
      <x v="1539"/>
    </i>
    <i>
      <x v="1540"/>
    </i>
    <i>
      <x v="1541"/>
    </i>
    <i>
      <x v="1542"/>
    </i>
    <i>
      <x v="1543"/>
    </i>
    <i>
      <x v="1544"/>
    </i>
    <i>
      <x v="1545"/>
    </i>
    <i>
      <x v="1546"/>
    </i>
    <i>
      <x v="1547"/>
    </i>
    <i>
      <x v="1548"/>
    </i>
    <i>
      <x v="1549"/>
    </i>
    <i>
      <x v="1550"/>
    </i>
    <i>
      <x v="1551"/>
    </i>
    <i>
      <x v="1552"/>
    </i>
    <i>
      <x v="1553"/>
    </i>
    <i>
      <x v="1554"/>
    </i>
    <i>
      <x v="1555"/>
    </i>
    <i>
      <x v="1556"/>
    </i>
    <i>
      <x v="1557"/>
    </i>
    <i>
      <x v="1558"/>
    </i>
    <i>
      <x v="1559"/>
    </i>
    <i>
      <x v="1560"/>
    </i>
    <i>
      <x v="1561"/>
    </i>
    <i>
      <x v="1562"/>
    </i>
    <i>
      <x v="1563"/>
    </i>
    <i>
      <x v="1564"/>
    </i>
    <i>
      <x v="1565"/>
    </i>
    <i>
      <x v="1566"/>
    </i>
    <i>
      <x v="1567"/>
    </i>
    <i>
      <x v="1568"/>
    </i>
    <i>
      <x v="1569"/>
    </i>
    <i>
      <x v="1570"/>
    </i>
    <i>
      <x v="1571"/>
    </i>
    <i>
      <x v="1572"/>
    </i>
    <i>
      <x v="1573"/>
    </i>
    <i>
      <x v="1574"/>
    </i>
    <i>
      <x v="1575"/>
    </i>
    <i>
      <x v="1576"/>
    </i>
    <i>
      <x v="1577"/>
    </i>
    <i>
      <x v="1578"/>
    </i>
    <i>
      <x v="1579"/>
    </i>
    <i>
      <x v="1580"/>
    </i>
    <i>
      <x v="1581"/>
    </i>
    <i>
      <x v="1582"/>
    </i>
    <i>
      <x v="1583"/>
    </i>
    <i>
      <x v="1584"/>
    </i>
    <i>
      <x v="1585"/>
    </i>
    <i>
      <x v="1586"/>
    </i>
    <i>
      <x v="1587"/>
    </i>
    <i>
      <x v="1588"/>
    </i>
    <i>
      <x v="1589"/>
    </i>
    <i>
      <x v="1590"/>
    </i>
    <i>
      <x v="1591"/>
    </i>
    <i>
      <x v="1592"/>
    </i>
    <i>
      <x v="1593"/>
    </i>
    <i>
      <x v="1594"/>
    </i>
    <i>
      <x v="1595"/>
    </i>
    <i>
      <x v="1596"/>
    </i>
    <i>
      <x v="1597"/>
    </i>
    <i>
      <x v="1598"/>
    </i>
    <i>
      <x v="1599"/>
    </i>
    <i>
      <x v="1600"/>
    </i>
    <i>
      <x v="1601"/>
    </i>
    <i>
      <x v="1602"/>
    </i>
    <i>
      <x v="1603"/>
    </i>
    <i>
      <x v="1604"/>
    </i>
    <i>
      <x v="1605"/>
    </i>
    <i>
      <x v="1606"/>
    </i>
    <i>
      <x v="1607"/>
    </i>
    <i>
      <x v="1608"/>
    </i>
    <i>
      <x v="1609"/>
    </i>
    <i>
      <x v="1610"/>
    </i>
    <i>
      <x v="1611"/>
    </i>
    <i>
      <x v="1612"/>
    </i>
    <i>
      <x v="1613"/>
    </i>
    <i>
      <x v="1614"/>
    </i>
    <i>
      <x v="1615"/>
    </i>
    <i>
      <x v="1616"/>
    </i>
    <i>
      <x v="1617"/>
    </i>
    <i>
      <x v="1618"/>
    </i>
    <i>
      <x v="1619"/>
    </i>
    <i>
      <x v="1620"/>
    </i>
    <i>
      <x v="1621"/>
    </i>
    <i>
      <x v="1622"/>
    </i>
    <i>
      <x v="1623"/>
    </i>
    <i>
      <x v="1624"/>
    </i>
    <i>
      <x v="1625"/>
    </i>
    <i>
      <x v="1626"/>
    </i>
    <i>
      <x v="1627"/>
    </i>
    <i>
      <x v="1628"/>
    </i>
    <i>
      <x v="1629"/>
    </i>
    <i>
      <x v="1630"/>
    </i>
    <i>
      <x v="1631"/>
    </i>
    <i>
      <x v="1632"/>
    </i>
    <i>
      <x v="1633"/>
    </i>
    <i>
      <x v="1634"/>
    </i>
    <i>
      <x v="1635"/>
    </i>
    <i>
      <x v="1636"/>
    </i>
    <i>
      <x v="1637"/>
    </i>
    <i>
      <x v="1638"/>
    </i>
    <i>
      <x v="1639"/>
    </i>
    <i>
      <x v="1640"/>
    </i>
    <i>
      <x v="1641"/>
    </i>
    <i>
      <x v="1642"/>
    </i>
    <i>
      <x v="1643"/>
    </i>
    <i>
      <x v="1644"/>
    </i>
    <i>
      <x v="1645"/>
    </i>
    <i>
      <x v="1646"/>
    </i>
    <i>
      <x v="1647"/>
    </i>
    <i>
      <x v="1648"/>
    </i>
    <i>
      <x v="1649"/>
    </i>
    <i>
      <x v="1650"/>
    </i>
    <i>
      <x v="1651"/>
    </i>
    <i>
      <x v="1652"/>
    </i>
    <i>
      <x v="1653"/>
    </i>
    <i>
      <x v="1654"/>
    </i>
    <i>
      <x v="1655"/>
    </i>
    <i>
      <x v="1656"/>
    </i>
    <i>
      <x v="1657"/>
    </i>
    <i>
      <x v="1658"/>
    </i>
    <i>
      <x v="1659"/>
    </i>
    <i>
      <x v="1660"/>
    </i>
    <i>
      <x v="1661"/>
    </i>
    <i>
      <x v="1662"/>
    </i>
    <i>
      <x v="1663"/>
    </i>
    <i>
      <x v="1664"/>
    </i>
    <i>
      <x v="1665"/>
    </i>
    <i>
      <x v="1666"/>
    </i>
    <i>
      <x v="1667"/>
    </i>
    <i>
      <x v="1668"/>
    </i>
    <i>
      <x v="1669"/>
    </i>
    <i>
      <x v="1670"/>
    </i>
    <i>
      <x v="1671"/>
    </i>
    <i>
      <x v="1672"/>
    </i>
    <i>
      <x v="1673"/>
    </i>
    <i>
      <x v="1674"/>
    </i>
    <i>
      <x v="1675"/>
    </i>
    <i>
      <x v="1676"/>
    </i>
    <i>
      <x v="1677"/>
    </i>
    <i>
      <x v="1678"/>
    </i>
    <i>
      <x v="1679"/>
    </i>
    <i>
      <x v="1680"/>
    </i>
    <i>
      <x v="1681"/>
    </i>
    <i>
      <x v="1682"/>
    </i>
    <i>
      <x v="1683"/>
    </i>
    <i>
      <x v="1684"/>
    </i>
    <i>
      <x v="1685"/>
    </i>
    <i>
      <x v="1686"/>
    </i>
    <i>
      <x v="1687"/>
    </i>
    <i>
      <x v="1688"/>
    </i>
    <i>
      <x v="1689"/>
    </i>
    <i>
      <x v="1690"/>
    </i>
    <i>
      <x v="1691"/>
    </i>
    <i>
      <x v="1692"/>
    </i>
    <i>
      <x v="1693"/>
    </i>
    <i>
      <x v="1694"/>
    </i>
    <i>
      <x v="1695"/>
    </i>
    <i>
      <x v="1696"/>
    </i>
    <i>
      <x v="1697"/>
    </i>
    <i>
      <x v="1698"/>
    </i>
    <i>
      <x v="1699"/>
    </i>
    <i>
      <x v="1700"/>
    </i>
    <i>
      <x v="1701"/>
    </i>
    <i>
      <x v="1702"/>
    </i>
    <i>
      <x v="1703"/>
    </i>
    <i>
      <x v="1704"/>
    </i>
    <i>
      <x v="1705"/>
    </i>
    <i>
      <x v="1706"/>
    </i>
    <i>
      <x v="1707"/>
    </i>
    <i>
      <x v="1708"/>
    </i>
    <i>
      <x v="1709"/>
    </i>
    <i>
      <x v="1710"/>
    </i>
    <i>
      <x v="1711"/>
    </i>
    <i>
      <x v="1712"/>
    </i>
    <i>
      <x v="1713"/>
    </i>
    <i>
      <x v="1714"/>
    </i>
    <i>
      <x v="1715"/>
    </i>
    <i>
      <x v="1716"/>
    </i>
    <i>
      <x v="1717"/>
    </i>
    <i>
      <x v="1718"/>
    </i>
    <i>
      <x v="1719"/>
    </i>
    <i>
      <x v="1720"/>
    </i>
    <i>
      <x v="1721"/>
    </i>
    <i>
      <x v="1722"/>
    </i>
    <i>
      <x v="1723"/>
    </i>
    <i>
      <x v="1724"/>
    </i>
    <i>
      <x v="1725"/>
    </i>
    <i>
      <x v="1726"/>
    </i>
    <i>
      <x v="1727"/>
    </i>
    <i>
      <x v="1728"/>
    </i>
    <i>
      <x v="1729"/>
    </i>
    <i>
      <x v="1730"/>
    </i>
    <i>
      <x v="1731"/>
    </i>
    <i>
      <x v="1732"/>
    </i>
    <i>
      <x v="1733"/>
    </i>
    <i>
      <x v="1734"/>
    </i>
    <i>
      <x v="1735"/>
    </i>
    <i>
      <x v="1736"/>
    </i>
    <i>
      <x v="1737"/>
    </i>
    <i>
      <x v="1738"/>
    </i>
    <i>
      <x v="1739"/>
    </i>
    <i>
      <x v="1740"/>
    </i>
    <i>
      <x v="1741"/>
    </i>
    <i>
      <x v="1742"/>
    </i>
    <i>
      <x v="1743"/>
    </i>
    <i>
      <x v="1744"/>
    </i>
    <i>
      <x v="1745"/>
    </i>
    <i>
      <x v="1746"/>
    </i>
    <i>
      <x v="1747"/>
    </i>
    <i>
      <x v="1748"/>
    </i>
    <i>
      <x v="1749"/>
    </i>
    <i>
      <x v="1750"/>
    </i>
    <i>
      <x v="1751"/>
    </i>
    <i>
      <x v="1752"/>
    </i>
    <i>
      <x v="1753"/>
    </i>
    <i>
      <x v="1754"/>
    </i>
    <i>
      <x v="1755"/>
    </i>
    <i>
      <x v="1756"/>
    </i>
    <i>
      <x v="1757"/>
    </i>
    <i>
      <x v="1758"/>
    </i>
    <i>
      <x v="1759"/>
    </i>
    <i>
      <x v="1760"/>
    </i>
    <i>
      <x v="1761"/>
    </i>
    <i>
      <x v="1762"/>
    </i>
    <i>
      <x v="1763"/>
    </i>
    <i>
      <x v="1764"/>
    </i>
    <i>
      <x v="1765"/>
    </i>
    <i>
      <x v="1766"/>
    </i>
    <i>
      <x v="1767"/>
    </i>
    <i>
      <x v="1768"/>
    </i>
    <i>
      <x v="1769"/>
    </i>
    <i>
      <x v="1770"/>
    </i>
    <i>
      <x v="1771"/>
    </i>
    <i>
      <x v="1772"/>
    </i>
    <i>
      <x v="1773"/>
    </i>
    <i>
      <x v="1774"/>
    </i>
    <i>
      <x v="1775"/>
    </i>
    <i>
      <x v="1776"/>
    </i>
    <i>
      <x v="1777"/>
    </i>
    <i>
      <x v="1778"/>
    </i>
    <i>
      <x v="1779"/>
    </i>
    <i>
      <x v="1780"/>
    </i>
    <i>
      <x v="1781"/>
    </i>
    <i>
      <x v="1782"/>
    </i>
    <i>
      <x v="1783"/>
    </i>
    <i>
      <x v="1784"/>
    </i>
    <i>
      <x v="1785"/>
    </i>
    <i>
      <x v="1786"/>
    </i>
    <i>
      <x v="1787"/>
    </i>
    <i>
      <x v="1788"/>
    </i>
    <i>
      <x v="1789"/>
    </i>
    <i>
      <x v="1790"/>
    </i>
    <i>
      <x v="1791"/>
    </i>
    <i>
      <x v="1792"/>
    </i>
    <i>
      <x v="1793"/>
    </i>
    <i>
      <x v="1794"/>
    </i>
    <i>
      <x v="1795"/>
    </i>
    <i>
      <x v="1796"/>
    </i>
    <i>
      <x v="1797"/>
    </i>
    <i>
      <x v="1798"/>
    </i>
    <i>
      <x v="1799"/>
    </i>
    <i>
      <x v="1800"/>
    </i>
    <i>
      <x v="1801"/>
    </i>
    <i>
      <x v="1802"/>
    </i>
    <i>
      <x v="1803"/>
    </i>
    <i>
      <x v="1804"/>
    </i>
    <i>
      <x v="1805"/>
    </i>
    <i>
      <x v="1806"/>
    </i>
    <i>
      <x v="1807"/>
    </i>
    <i>
      <x v="1808"/>
    </i>
    <i>
      <x v="1809"/>
    </i>
    <i>
      <x v="1810"/>
    </i>
    <i>
      <x v="1811"/>
    </i>
    <i>
      <x v="1812"/>
    </i>
    <i>
      <x v="1813"/>
    </i>
    <i>
      <x v="1814"/>
    </i>
    <i>
      <x v="1815"/>
    </i>
    <i>
      <x v="1816"/>
    </i>
    <i>
      <x v="1817"/>
    </i>
    <i>
      <x v="1818"/>
    </i>
    <i>
      <x v="1819"/>
    </i>
    <i>
      <x v="1820"/>
    </i>
    <i>
      <x v="1821"/>
    </i>
    <i>
      <x v="1822"/>
    </i>
    <i>
      <x v="1823"/>
    </i>
    <i>
      <x v="1824"/>
    </i>
    <i>
      <x v="1825"/>
    </i>
    <i>
      <x v="1826"/>
    </i>
    <i>
      <x v="1827"/>
    </i>
    <i>
      <x v="1828"/>
    </i>
    <i>
      <x v="1829"/>
    </i>
    <i>
      <x v="1830"/>
    </i>
    <i>
      <x v="1831"/>
    </i>
    <i>
      <x v="1832"/>
    </i>
    <i>
      <x v="1833"/>
    </i>
    <i>
      <x v="1834"/>
    </i>
    <i>
      <x v="1835"/>
    </i>
    <i>
      <x v="1836"/>
    </i>
    <i>
      <x v="1837"/>
    </i>
    <i>
      <x v="1838"/>
    </i>
    <i>
      <x v="1839"/>
    </i>
    <i>
      <x v="1840"/>
    </i>
    <i>
      <x v="1841"/>
    </i>
    <i>
      <x v="1842"/>
    </i>
    <i>
      <x v="1843"/>
    </i>
    <i>
      <x v="1844"/>
    </i>
    <i>
      <x v="1845"/>
    </i>
    <i>
      <x v="1846"/>
    </i>
    <i>
      <x v="1847"/>
    </i>
    <i>
      <x v="1848"/>
    </i>
    <i>
      <x v="1849"/>
    </i>
    <i>
      <x v="1850"/>
    </i>
    <i>
      <x v="1851"/>
    </i>
    <i>
      <x v="1852"/>
    </i>
    <i>
      <x v="1853"/>
    </i>
    <i>
      <x v="1854"/>
    </i>
    <i>
      <x v="1855"/>
    </i>
    <i>
      <x v="1856"/>
    </i>
    <i>
      <x v="1857"/>
    </i>
    <i>
      <x v="1858"/>
    </i>
    <i>
      <x v="1859"/>
    </i>
    <i>
      <x v="1860"/>
    </i>
    <i>
      <x v="1861"/>
    </i>
    <i>
      <x v="1862"/>
    </i>
    <i>
      <x v="1863"/>
    </i>
    <i>
      <x v="1864"/>
    </i>
    <i>
      <x v="1865"/>
    </i>
    <i>
      <x v="1866"/>
    </i>
    <i>
      <x v="1867"/>
    </i>
    <i>
      <x v="1868"/>
    </i>
    <i>
      <x v="1869"/>
    </i>
    <i>
      <x v="1870"/>
    </i>
    <i>
      <x v="1871"/>
    </i>
    <i>
      <x v="1872"/>
    </i>
    <i>
      <x v="1873"/>
    </i>
    <i>
      <x v="1874"/>
    </i>
    <i>
      <x v="1875"/>
    </i>
    <i>
      <x v="1876"/>
    </i>
    <i>
      <x v="1877"/>
    </i>
    <i>
      <x v="1878"/>
    </i>
    <i>
      <x v="1879"/>
    </i>
    <i>
      <x v="1880"/>
    </i>
    <i>
      <x v="1881"/>
    </i>
    <i>
      <x v="1882"/>
    </i>
    <i>
      <x v="1883"/>
    </i>
    <i>
      <x v="1884"/>
    </i>
    <i>
      <x v="1885"/>
    </i>
    <i>
      <x v="1886"/>
    </i>
    <i>
      <x v="1887"/>
    </i>
    <i>
      <x v="1888"/>
    </i>
    <i>
      <x v="1889"/>
    </i>
    <i>
      <x v="1890"/>
    </i>
    <i>
      <x v="1891"/>
    </i>
    <i>
      <x v="1892"/>
    </i>
    <i>
      <x v="1893"/>
    </i>
    <i>
      <x v="1894"/>
    </i>
    <i>
      <x v="1895"/>
    </i>
    <i>
      <x v="1896"/>
    </i>
    <i>
      <x v="1897"/>
    </i>
    <i>
      <x v="1898"/>
    </i>
    <i>
      <x v="1899"/>
    </i>
    <i>
      <x v="1900"/>
    </i>
    <i>
      <x v="1901"/>
    </i>
    <i>
      <x v="1902"/>
    </i>
    <i>
      <x v="1903"/>
    </i>
    <i>
      <x v="1904"/>
    </i>
    <i>
      <x v="1905"/>
    </i>
    <i>
      <x v="1906"/>
    </i>
    <i>
      <x v="1907"/>
    </i>
    <i>
      <x v="1908"/>
    </i>
    <i>
      <x v="1909"/>
    </i>
    <i>
      <x v="1910"/>
    </i>
    <i>
      <x v="1911"/>
    </i>
    <i>
      <x v="1912"/>
    </i>
    <i>
      <x v="1913"/>
    </i>
    <i>
      <x v="1914"/>
    </i>
    <i>
      <x v="1915"/>
    </i>
    <i>
      <x v="1916"/>
    </i>
    <i>
      <x v="1917"/>
    </i>
    <i>
      <x v="1918"/>
    </i>
    <i>
      <x v="1919"/>
    </i>
    <i>
      <x v="1920"/>
    </i>
    <i>
      <x v="1921"/>
    </i>
    <i>
      <x v="1922"/>
    </i>
    <i>
      <x v="1923"/>
    </i>
    <i>
      <x v="1924"/>
    </i>
    <i>
      <x v="1925"/>
    </i>
    <i>
      <x v="1926"/>
    </i>
    <i>
      <x v="1927"/>
    </i>
    <i>
      <x v="1928"/>
    </i>
    <i>
      <x v="1929"/>
    </i>
    <i>
      <x v="1930"/>
    </i>
    <i>
      <x v="1931"/>
    </i>
    <i>
      <x v="1932"/>
    </i>
    <i>
      <x v="1933"/>
    </i>
    <i>
      <x v="1934"/>
    </i>
    <i>
      <x v="1935"/>
    </i>
    <i>
      <x v="1936"/>
    </i>
    <i>
      <x v="1937"/>
    </i>
    <i>
      <x v="1938"/>
    </i>
    <i>
      <x v="1939"/>
    </i>
    <i>
      <x v="1940"/>
    </i>
    <i>
      <x v="1941"/>
    </i>
    <i>
      <x v="1942"/>
    </i>
    <i>
      <x v="1943"/>
    </i>
    <i>
      <x v="1944"/>
    </i>
    <i>
      <x v="1945"/>
    </i>
    <i>
      <x v="1946"/>
    </i>
    <i>
      <x v="1947"/>
    </i>
    <i>
      <x v="1948"/>
    </i>
    <i>
      <x v="1949"/>
    </i>
    <i>
      <x v="1950"/>
    </i>
    <i>
      <x v="1951"/>
    </i>
    <i>
      <x v="1952"/>
    </i>
    <i>
      <x v="1953"/>
    </i>
    <i>
      <x v="1954"/>
    </i>
    <i>
      <x v="1955"/>
    </i>
    <i>
      <x v="1956"/>
    </i>
    <i>
      <x v="1957"/>
    </i>
    <i>
      <x v="1958"/>
    </i>
    <i>
      <x v="1959"/>
    </i>
    <i>
      <x v="1960"/>
    </i>
    <i>
      <x v="1961"/>
    </i>
    <i>
      <x v="1962"/>
    </i>
    <i>
      <x v="1963"/>
    </i>
    <i>
      <x v="1964"/>
    </i>
    <i>
      <x v="1965"/>
    </i>
    <i>
      <x v="1966"/>
    </i>
    <i>
      <x v="1967"/>
    </i>
    <i>
      <x v="1968"/>
    </i>
    <i>
      <x v="1969"/>
    </i>
    <i>
      <x v="1970"/>
    </i>
    <i>
      <x v="1971"/>
    </i>
    <i>
      <x v="1972"/>
    </i>
    <i>
      <x v="1973"/>
    </i>
    <i>
      <x v="1974"/>
    </i>
    <i>
      <x v="1975"/>
    </i>
    <i>
      <x v="1976"/>
    </i>
    <i>
      <x v="1977"/>
    </i>
    <i>
      <x v="1978"/>
    </i>
    <i>
      <x v="1979"/>
    </i>
    <i>
      <x v="1980"/>
    </i>
    <i>
      <x v="1981"/>
    </i>
    <i>
      <x v="1982"/>
    </i>
    <i>
      <x v="1983"/>
    </i>
    <i>
      <x v="1984"/>
    </i>
    <i>
      <x v="1985"/>
    </i>
    <i>
      <x v="1986"/>
    </i>
    <i>
      <x v="1987"/>
    </i>
    <i>
      <x v="1988"/>
    </i>
    <i>
      <x v="1989"/>
    </i>
    <i>
      <x v="1990"/>
    </i>
    <i>
      <x v="1991"/>
    </i>
    <i>
      <x v="1992"/>
    </i>
    <i>
      <x v="1993"/>
    </i>
    <i>
      <x v="1994"/>
    </i>
    <i>
      <x v="1995"/>
    </i>
    <i>
      <x v="1996"/>
    </i>
    <i>
      <x v="1997"/>
    </i>
    <i>
      <x v="1998"/>
    </i>
    <i>
      <x v="1999"/>
    </i>
    <i>
      <x v="2000"/>
    </i>
    <i>
      <x v="2001"/>
    </i>
    <i>
      <x v="2002"/>
    </i>
    <i>
      <x v="2003"/>
    </i>
    <i>
      <x v="2004"/>
    </i>
    <i>
      <x v="2005"/>
    </i>
    <i>
      <x v="2006"/>
    </i>
    <i>
      <x v="2007"/>
    </i>
    <i>
      <x v="2008"/>
    </i>
    <i>
      <x v="2009"/>
    </i>
    <i>
      <x v="2010"/>
    </i>
    <i>
      <x v="2011"/>
    </i>
    <i>
      <x v="2012"/>
    </i>
    <i>
      <x v="2013"/>
    </i>
    <i>
      <x v="2014"/>
    </i>
    <i>
      <x v="2015"/>
    </i>
    <i>
      <x v="2016"/>
    </i>
    <i>
      <x v="2017"/>
    </i>
    <i>
      <x v="2018"/>
    </i>
    <i>
      <x v="2019"/>
    </i>
    <i>
      <x v="2020"/>
    </i>
    <i>
      <x v="2021"/>
    </i>
    <i>
      <x v="2022"/>
    </i>
    <i>
      <x v="2023"/>
    </i>
    <i>
      <x v="2024"/>
    </i>
    <i>
      <x v="2025"/>
    </i>
    <i>
      <x v="2026"/>
    </i>
    <i>
      <x v="2027"/>
    </i>
    <i>
      <x v="2028"/>
    </i>
    <i>
      <x v="2029"/>
    </i>
    <i>
      <x v="2030"/>
    </i>
    <i>
      <x v="2031"/>
    </i>
    <i>
      <x v="2032"/>
    </i>
    <i>
      <x v="2033"/>
    </i>
    <i>
      <x v="2034"/>
    </i>
    <i>
      <x v="2035"/>
    </i>
    <i>
      <x v="2036"/>
    </i>
    <i>
      <x v="2037"/>
    </i>
    <i>
      <x v="2038"/>
    </i>
    <i>
      <x v="2039"/>
    </i>
    <i>
      <x v="2040"/>
    </i>
    <i>
      <x v="2041"/>
    </i>
    <i>
      <x v="2042"/>
    </i>
    <i>
      <x v="2043"/>
    </i>
    <i>
      <x v="2044"/>
    </i>
    <i>
      <x v="2045"/>
    </i>
    <i>
      <x v="2046"/>
    </i>
    <i>
      <x v="2047"/>
    </i>
    <i>
      <x v="2048"/>
    </i>
    <i>
      <x v="2049"/>
    </i>
    <i>
      <x v="2050"/>
    </i>
    <i>
      <x v="2051"/>
    </i>
    <i>
      <x v="2052"/>
    </i>
    <i>
      <x v="2053"/>
    </i>
    <i>
      <x v="2054"/>
    </i>
    <i>
      <x v="2055"/>
    </i>
    <i>
      <x v="2056"/>
    </i>
    <i>
      <x v="2057"/>
    </i>
    <i>
      <x v="2058"/>
    </i>
    <i>
      <x v="2059"/>
    </i>
    <i>
      <x v="2060"/>
    </i>
    <i>
      <x v="2061"/>
    </i>
    <i>
      <x v="2062"/>
    </i>
    <i>
      <x v="2063"/>
    </i>
    <i>
      <x v="2064"/>
    </i>
    <i>
      <x v="2065"/>
    </i>
    <i>
      <x v="2066"/>
    </i>
    <i>
      <x v="2067"/>
    </i>
    <i>
      <x v="2068"/>
    </i>
    <i>
      <x v="2069"/>
    </i>
    <i>
      <x v="2070"/>
    </i>
    <i>
      <x v="2071"/>
    </i>
    <i>
      <x v="2072"/>
    </i>
    <i>
      <x v="2073"/>
    </i>
    <i>
      <x v="2074"/>
    </i>
    <i>
      <x v="2075"/>
    </i>
    <i>
      <x v="2076"/>
    </i>
    <i>
      <x v="2077"/>
    </i>
    <i>
      <x v="2078"/>
    </i>
    <i>
      <x v="2079"/>
    </i>
    <i>
      <x v="2080"/>
    </i>
    <i>
      <x v="2081"/>
    </i>
    <i>
      <x v="2082"/>
    </i>
    <i>
      <x v="2083"/>
    </i>
    <i>
      <x v="2084"/>
    </i>
    <i>
      <x v="2085"/>
    </i>
    <i>
      <x v="2086"/>
    </i>
    <i>
      <x v="2087"/>
    </i>
    <i>
      <x v="2088"/>
    </i>
    <i>
      <x v="2089"/>
    </i>
    <i>
      <x v="2090"/>
    </i>
    <i>
      <x v="2091"/>
    </i>
    <i>
      <x v="2092"/>
    </i>
    <i>
      <x v="2093"/>
    </i>
    <i>
      <x v="2094"/>
    </i>
    <i>
      <x v="2095"/>
    </i>
    <i>
      <x v="2096"/>
    </i>
    <i>
      <x v="2097"/>
    </i>
    <i>
      <x v="2098"/>
    </i>
    <i>
      <x v="2099"/>
    </i>
    <i>
      <x v="2100"/>
    </i>
    <i>
      <x v="2101"/>
    </i>
    <i>
      <x v="2102"/>
    </i>
    <i>
      <x v="2103"/>
    </i>
    <i>
      <x v="2104"/>
    </i>
    <i>
      <x v="2105"/>
    </i>
    <i>
      <x v="2106"/>
    </i>
    <i>
      <x v="2107"/>
    </i>
    <i>
      <x v="2108"/>
    </i>
    <i>
      <x v="2109"/>
    </i>
    <i>
      <x v="2110"/>
    </i>
    <i>
      <x v="2111"/>
    </i>
    <i>
      <x v="2112"/>
    </i>
    <i>
      <x v="2113"/>
    </i>
    <i>
      <x v="2114"/>
    </i>
    <i>
      <x v="2115"/>
    </i>
    <i>
      <x v="2116"/>
    </i>
    <i>
      <x v="2117"/>
    </i>
    <i>
      <x v="2118"/>
    </i>
    <i>
      <x v="2119"/>
    </i>
    <i>
      <x v="2120"/>
    </i>
    <i>
      <x v="2121"/>
    </i>
    <i>
      <x v="2122"/>
    </i>
    <i>
      <x v="2123"/>
    </i>
    <i>
      <x v="2124"/>
    </i>
    <i>
      <x v="2125"/>
    </i>
    <i>
      <x v="2126"/>
    </i>
    <i>
      <x v="2127"/>
    </i>
    <i>
      <x v="2128"/>
    </i>
    <i>
      <x v="2129"/>
    </i>
    <i>
      <x v="2130"/>
    </i>
    <i>
      <x v="2131"/>
    </i>
    <i>
      <x v="2132"/>
    </i>
    <i>
      <x v="2133"/>
    </i>
    <i>
      <x v="2134"/>
    </i>
    <i>
      <x v="2135"/>
    </i>
    <i>
      <x v="2136"/>
    </i>
    <i>
      <x v="2137"/>
    </i>
    <i>
      <x v="2138"/>
    </i>
    <i>
      <x v="2139"/>
    </i>
    <i>
      <x v="2140"/>
    </i>
    <i>
      <x v="2141"/>
    </i>
    <i>
      <x v="2142"/>
    </i>
    <i>
      <x v="2143"/>
    </i>
    <i>
      <x v="2144"/>
    </i>
    <i>
      <x v="2145"/>
    </i>
    <i>
      <x v="2146"/>
    </i>
    <i>
      <x v="2147"/>
    </i>
    <i>
      <x v="2148"/>
    </i>
    <i>
      <x v="2149"/>
    </i>
    <i>
      <x v="2150"/>
    </i>
    <i>
      <x v="2151"/>
    </i>
    <i>
      <x v="2152"/>
    </i>
    <i>
      <x v="2153"/>
    </i>
    <i>
      <x v="2154"/>
    </i>
    <i>
      <x v="2155"/>
    </i>
    <i>
      <x v="2156"/>
    </i>
    <i>
      <x v="2157"/>
    </i>
    <i>
      <x v="2158"/>
    </i>
    <i>
      <x v="2159"/>
    </i>
    <i>
      <x v="2160"/>
    </i>
    <i>
      <x v="2161"/>
    </i>
    <i>
      <x v="2162"/>
    </i>
    <i>
      <x v="2163"/>
    </i>
    <i>
      <x v="2164"/>
    </i>
    <i>
      <x v="2165"/>
    </i>
    <i>
      <x v="2166"/>
    </i>
    <i>
      <x v="2167"/>
    </i>
    <i>
      <x v="2168"/>
    </i>
    <i>
      <x v="2169"/>
    </i>
    <i>
      <x v="2170"/>
    </i>
    <i>
      <x v="2171"/>
    </i>
    <i>
      <x v="2172"/>
    </i>
    <i>
      <x v="2173"/>
    </i>
    <i>
      <x v="2174"/>
    </i>
    <i>
      <x v="2175"/>
    </i>
    <i>
      <x v="2176"/>
    </i>
    <i>
      <x v="2177"/>
    </i>
    <i>
      <x v="2178"/>
    </i>
    <i>
      <x v="2179"/>
    </i>
    <i>
      <x v="2180"/>
    </i>
    <i>
      <x v="2181"/>
    </i>
    <i>
      <x v="2182"/>
    </i>
    <i>
      <x v="2183"/>
    </i>
    <i>
      <x v="2184"/>
    </i>
    <i>
      <x v="2185"/>
    </i>
    <i>
      <x v="2186"/>
    </i>
    <i>
      <x v="2187"/>
    </i>
    <i>
      <x v="2188"/>
    </i>
    <i>
      <x v="2189"/>
    </i>
    <i>
      <x v="2190"/>
    </i>
    <i>
      <x v="2191"/>
    </i>
    <i>
      <x v="2192"/>
    </i>
    <i>
      <x v="2193"/>
    </i>
    <i>
      <x v="2194"/>
    </i>
    <i>
      <x v="2195"/>
    </i>
    <i>
      <x v="2196"/>
    </i>
    <i>
      <x v="2197"/>
    </i>
    <i>
      <x v="2198"/>
    </i>
    <i>
      <x v="2199"/>
    </i>
    <i>
      <x v="2200"/>
    </i>
    <i>
      <x v="2201"/>
    </i>
    <i>
      <x v="2202"/>
    </i>
    <i>
      <x v="2203"/>
    </i>
    <i>
      <x v="2204"/>
    </i>
    <i>
      <x v="2205"/>
    </i>
    <i>
      <x v="2206"/>
    </i>
    <i>
      <x v="2207"/>
    </i>
    <i>
      <x v="2208"/>
    </i>
    <i>
      <x v="2209"/>
    </i>
    <i>
      <x v="2210"/>
    </i>
    <i>
      <x v="2211"/>
    </i>
    <i>
      <x v="2212"/>
    </i>
    <i>
      <x v="2213"/>
    </i>
    <i>
      <x v="2214"/>
    </i>
    <i>
      <x v="2215"/>
    </i>
    <i>
      <x v="2216"/>
    </i>
    <i>
      <x v="2217"/>
    </i>
    <i>
      <x v="2218"/>
    </i>
    <i>
      <x v="2219"/>
    </i>
    <i>
      <x v="2220"/>
    </i>
    <i>
      <x v="2221"/>
    </i>
    <i>
      <x v="2222"/>
    </i>
    <i>
      <x v="2223"/>
    </i>
    <i>
      <x v="2224"/>
    </i>
    <i>
      <x v="2225"/>
    </i>
    <i>
      <x v="2226"/>
    </i>
    <i>
      <x v="2227"/>
    </i>
    <i>
      <x v="2228"/>
    </i>
    <i>
      <x v="2229"/>
    </i>
    <i>
      <x v="2230"/>
    </i>
    <i>
      <x v="2231"/>
    </i>
    <i>
      <x v="2232"/>
    </i>
    <i>
      <x v="2233"/>
    </i>
    <i>
      <x v="2234"/>
    </i>
    <i>
      <x v="2235"/>
    </i>
    <i>
      <x v="2236"/>
    </i>
    <i>
      <x v="2237"/>
    </i>
    <i>
      <x v="2238"/>
    </i>
    <i>
      <x v="2239"/>
    </i>
    <i>
      <x v="2240"/>
    </i>
    <i>
      <x v="2241"/>
    </i>
    <i>
      <x v="2242"/>
    </i>
    <i>
      <x v="2243"/>
    </i>
    <i>
      <x v="2244"/>
    </i>
    <i>
      <x v="2245"/>
    </i>
    <i>
      <x v="2246"/>
    </i>
    <i>
      <x v="2247"/>
    </i>
    <i>
      <x v="2248"/>
    </i>
    <i>
      <x v="2249"/>
    </i>
    <i>
      <x v="2250"/>
    </i>
    <i>
      <x v="2251"/>
    </i>
    <i>
      <x v="2252"/>
    </i>
    <i>
      <x v="2253"/>
    </i>
    <i>
      <x v="2254"/>
    </i>
    <i>
      <x v="2255"/>
    </i>
    <i>
      <x v="2256"/>
    </i>
    <i>
      <x v="2257"/>
    </i>
    <i>
      <x v="2258"/>
    </i>
    <i>
      <x v="2259"/>
    </i>
    <i>
      <x v="2260"/>
    </i>
    <i>
      <x v="2261"/>
    </i>
    <i>
      <x v="2262"/>
    </i>
    <i>
      <x v="2263"/>
    </i>
    <i>
      <x v="2264"/>
    </i>
    <i>
      <x v="2265"/>
    </i>
    <i>
      <x v="2266"/>
    </i>
    <i>
      <x v="2267"/>
    </i>
    <i>
      <x v="2268"/>
    </i>
    <i>
      <x v="2269"/>
    </i>
    <i>
      <x v="2270"/>
    </i>
    <i>
      <x v="2271"/>
    </i>
    <i>
      <x v="2272"/>
    </i>
    <i>
      <x v="2273"/>
    </i>
    <i>
      <x v="2274"/>
    </i>
    <i>
      <x v="2275"/>
    </i>
    <i>
      <x v="2276"/>
    </i>
    <i>
      <x v="2277"/>
    </i>
    <i>
      <x v="2278"/>
    </i>
    <i>
      <x v="2279"/>
    </i>
    <i>
      <x v="2280"/>
    </i>
    <i>
      <x v="2281"/>
    </i>
    <i>
      <x v="2282"/>
    </i>
    <i>
      <x v="2283"/>
    </i>
    <i>
      <x v="2284"/>
    </i>
    <i>
      <x v="2285"/>
    </i>
    <i>
      <x v="2286"/>
    </i>
    <i>
      <x v="2287"/>
    </i>
    <i>
      <x v="2288"/>
    </i>
    <i>
      <x v="2289"/>
    </i>
    <i>
      <x v="2290"/>
    </i>
    <i>
      <x v="2291"/>
    </i>
    <i>
      <x v="2292"/>
    </i>
    <i>
      <x v="2293"/>
    </i>
    <i>
      <x v="2294"/>
    </i>
    <i>
      <x v="2295"/>
    </i>
    <i>
      <x v="2296"/>
    </i>
    <i>
      <x v="2297"/>
    </i>
    <i>
      <x v="2298"/>
    </i>
    <i>
      <x v="2299"/>
    </i>
    <i>
      <x v="2300"/>
    </i>
    <i>
      <x v="2301"/>
    </i>
    <i>
      <x v="2302"/>
    </i>
    <i>
      <x v="2303"/>
    </i>
    <i>
      <x v="2304"/>
    </i>
    <i>
      <x v="2305"/>
    </i>
    <i>
      <x v="2306"/>
    </i>
    <i>
      <x v="2307"/>
    </i>
    <i>
      <x v="2308"/>
    </i>
    <i>
      <x v="2309"/>
    </i>
    <i>
      <x v="2310"/>
    </i>
    <i>
      <x v="2311"/>
    </i>
    <i>
      <x v="2312"/>
    </i>
    <i>
      <x v="2313"/>
    </i>
    <i>
      <x v="2314"/>
    </i>
    <i>
      <x v="2315"/>
    </i>
    <i>
      <x v="2316"/>
    </i>
    <i>
      <x v="2317"/>
    </i>
    <i>
      <x v="2318"/>
    </i>
    <i>
      <x v="2319"/>
    </i>
    <i>
      <x v="2320"/>
    </i>
    <i>
      <x v="2321"/>
    </i>
    <i>
      <x v="2322"/>
    </i>
    <i>
      <x v="2323"/>
    </i>
    <i>
      <x v="2324"/>
    </i>
    <i>
      <x v="2325"/>
    </i>
    <i>
      <x v="2326"/>
    </i>
    <i>
      <x v="2327"/>
    </i>
    <i>
      <x v="2328"/>
    </i>
    <i>
      <x v="2329"/>
    </i>
    <i>
      <x v="2330"/>
    </i>
    <i>
      <x v="2331"/>
    </i>
    <i>
      <x v="2332"/>
    </i>
    <i>
      <x v="2333"/>
    </i>
    <i>
      <x v="2334"/>
    </i>
    <i>
      <x v="2335"/>
    </i>
    <i>
      <x v="2336"/>
    </i>
    <i>
      <x v="2337"/>
    </i>
    <i>
      <x v="2338"/>
    </i>
    <i>
      <x v="2339"/>
    </i>
    <i>
      <x v="2340"/>
    </i>
    <i>
      <x v="2341"/>
    </i>
    <i>
      <x v="2342"/>
    </i>
    <i>
      <x v="2343"/>
    </i>
    <i>
      <x v="2344"/>
    </i>
    <i>
      <x v="2345"/>
    </i>
    <i>
      <x v="2346"/>
    </i>
    <i>
      <x v="2347"/>
    </i>
    <i>
      <x v="2348"/>
    </i>
    <i>
      <x v="2349"/>
    </i>
    <i>
      <x v="2350"/>
    </i>
    <i>
      <x v="2351"/>
    </i>
    <i>
      <x v="2352"/>
    </i>
    <i>
      <x v="2353"/>
    </i>
    <i>
      <x v="2354"/>
    </i>
    <i>
      <x v="2355"/>
    </i>
    <i>
      <x v="2356"/>
    </i>
    <i>
      <x v="2357"/>
    </i>
    <i>
      <x v="2358"/>
    </i>
    <i>
      <x v="2359"/>
    </i>
    <i>
      <x v="2360"/>
    </i>
    <i>
      <x v="2361"/>
    </i>
    <i>
      <x v="2362"/>
    </i>
    <i>
      <x v="2363"/>
    </i>
    <i>
      <x v="2364"/>
    </i>
    <i>
      <x v="2365"/>
    </i>
    <i>
      <x v="2366"/>
    </i>
    <i>
      <x v="2367"/>
    </i>
    <i>
      <x v="2368"/>
    </i>
    <i>
      <x v="2369"/>
    </i>
    <i>
      <x v="2370"/>
    </i>
    <i>
      <x v="2371"/>
    </i>
    <i>
      <x v="2372"/>
    </i>
    <i>
      <x v="2373"/>
    </i>
    <i>
      <x v="2374"/>
    </i>
    <i>
      <x v="2375"/>
    </i>
    <i>
      <x v="2376"/>
    </i>
    <i>
      <x v="2377"/>
    </i>
    <i>
      <x v="2378"/>
    </i>
    <i>
      <x v="2379"/>
    </i>
    <i>
      <x v="2380"/>
    </i>
    <i>
      <x v="2381"/>
    </i>
    <i>
      <x v="2382"/>
    </i>
    <i>
      <x v="2383"/>
    </i>
    <i>
      <x v="2384"/>
    </i>
    <i>
      <x v="2385"/>
    </i>
    <i>
      <x v="2386"/>
    </i>
    <i>
      <x v="2387"/>
    </i>
    <i>
      <x v="2388"/>
    </i>
    <i>
      <x v="2389"/>
    </i>
    <i>
      <x v="2390"/>
    </i>
    <i>
      <x v="2391"/>
    </i>
    <i>
      <x v="2392"/>
    </i>
    <i>
      <x v="2393"/>
    </i>
    <i>
      <x v="2394"/>
    </i>
    <i>
      <x v="2395"/>
    </i>
    <i>
      <x v="2396"/>
    </i>
    <i>
      <x v="2397"/>
    </i>
    <i>
      <x v="2398"/>
    </i>
    <i>
      <x v="2399"/>
    </i>
    <i>
      <x v="2400"/>
    </i>
    <i>
      <x v="2401"/>
    </i>
    <i>
      <x v="2402"/>
    </i>
    <i>
      <x v="2403"/>
    </i>
    <i>
      <x v="2404"/>
    </i>
    <i>
      <x v="2405"/>
    </i>
    <i>
      <x v="2406"/>
    </i>
    <i>
      <x v="2407"/>
    </i>
    <i>
      <x v="2408"/>
    </i>
    <i>
      <x v="2409"/>
    </i>
    <i>
      <x v="2410"/>
    </i>
    <i>
      <x v="2411"/>
    </i>
    <i>
      <x v="2412"/>
    </i>
    <i>
      <x v="2413"/>
    </i>
    <i>
      <x v="2414"/>
    </i>
    <i>
      <x v="2415"/>
    </i>
    <i>
      <x v="2416"/>
    </i>
    <i>
      <x v="2417"/>
    </i>
    <i>
      <x v="2418"/>
    </i>
    <i>
      <x v="2419"/>
    </i>
    <i>
      <x v="2420"/>
    </i>
    <i>
      <x v="2421"/>
    </i>
    <i>
      <x v="2422"/>
    </i>
    <i>
      <x v="2423"/>
    </i>
    <i>
      <x v="2424"/>
    </i>
    <i>
      <x v="2425"/>
    </i>
    <i>
      <x v="2426"/>
    </i>
    <i>
      <x v="2427"/>
    </i>
    <i>
      <x v="2428"/>
    </i>
    <i>
      <x v="2429"/>
    </i>
    <i>
      <x v="2430"/>
    </i>
    <i>
      <x v="2431"/>
    </i>
    <i>
      <x v="2432"/>
    </i>
    <i>
      <x v="2433"/>
    </i>
    <i>
      <x v="2434"/>
    </i>
    <i>
      <x v="2435"/>
    </i>
    <i>
      <x v="2436"/>
    </i>
    <i>
      <x v="2437"/>
    </i>
    <i>
      <x v="2438"/>
    </i>
    <i>
      <x v="2439"/>
    </i>
    <i>
      <x v="2440"/>
    </i>
    <i>
      <x v="2441"/>
    </i>
    <i>
      <x v="2442"/>
    </i>
    <i>
      <x v="2443"/>
    </i>
    <i>
      <x v="2444"/>
    </i>
    <i>
      <x v="2445"/>
    </i>
    <i>
      <x v="2446"/>
    </i>
    <i>
      <x v="2447"/>
    </i>
    <i>
      <x v="2448"/>
    </i>
    <i>
      <x v="2449"/>
    </i>
    <i>
      <x v="2450"/>
    </i>
    <i>
      <x v="2451"/>
    </i>
    <i>
      <x v="2452"/>
    </i>
    <i>
      <x v="2453"/>
    </i>
    <i>
      <x v="2454"/>
    </i>
    <i>
      <x v="2455"/>
    </i>
    <i>
      <x v="2456"/>
    </i>
    <i>
      <x v="2457"/>
    </i>
    <i>
      <x v="2458"/>
    </i>
    <i>
      <x v="2459"/>
    </i>
    <i>
      <x v="2460"/>
    </i>
    <i>
      <x v="2461"/>
    </i>
    <i>
      <x v="2462"/>
    </i>
    <i>
      <x v="2463"/>
    </i>
    <i>
      <x v="2464"/>
    </i>
    <i>
      <x v="2465"/>
    </i>
    <i>
      <x v="2466"/>
    </i>
    <i>
      <x v="2467"/>
    </i>
    <i>
      <x v="2468"/>
    </i>
    <i>
      <x v="2469"/>
    </i>
    <i>
      <x v="2470"/>
    </i>
    <i>
      <x v="2471"/>
    </i>
    <i>
      <x v="2472"/>
    </i>
    <i>
      <x v="2473"/>
    </i>
    <i>
      <x v="2474"/>
    </i>
    <i>
      <x v="2475"/>
    </i>
    <i>
      <x v="2476"/>
    </i>
    <i>
      <x v="2477"/>
    </i>
    <i>
      <x v="2478"/>
    </i>
    <i>
      <x v="2479"/>
    </i>
    <i>
      <x v="2480"/>
    </i>
    <i>
      <x v="2481"/>
    </i>
    <i>
      <x v="2482"/>
    </i>
    <i>
      <x v="2483"/>
    </i>
    <i>
      <x v="2484"/>
    </i>
    <i>
      <x v="2485"/>
    </i>
    <i>
      <x v="2486"/>
    </i>
    <i>
      <x v="2487"/>
    </i>
    <i>
      <x v="2488"/>
    </i>
    <i>
      <x v="2489"/>
    </i>
    <i>
      <x v="2490"/>
    </i>
    <i>
      <x v="2491"/>
    </i>
    <i>
      <x v="2492"/>
    </i>
    <i>
      <x v="2493"/>
    </i>
    <i>
      <x v="2494"/>
    </i>
    <i>
      <x v="2495"/>
    </i>
    <i>
      <x v="2496"/>
    </i>
    <i>
      <x v="2497"/>
    </i>
    <i>
      <x v="2498"/>
    </i>
    <i>
      <x v="2499"/>
    </i>
    <i>
      <x v="2500"/>
    </i>
    <i>
      <x v="2501"/>
    </i>
    <i>
      <x v="2502"/>
    </i>
    <i>
      <x v="2503"/>
    </i>
    <i>
      <x v="2504"/>
    </i>
    <i>
      <x v="2505"/>
    </i>
    <i>
      <x v="2506"/>
    </i>
    <i>
      <x v="2507"/>
    </i>
    <i>
      <x v="2508"/>
    </i>
    <i>
      <x v="2509"/>
    </i>
    <i>
      <x v="2510"/>
    </i>
    <i>
      <x v="2511"/>
    </i>
    <i>
      <x v="2512"/>
    </i>
    <i>
      <x v="2513"/>
    </i>
    <i>
      <x v="2514"/>
    </i>
    <i>
      <x v="2515"/>
    </i>
    <i>
      <x v="2516"/>
    </i>
    <i>
      <x v="2517"/>
    </i>
    <i>
      <x v="2518"/>
    </i>
    <i>
      <x v="2519"/>
    </i>
    <i>
      <x v="2520"/>
    </i>
    <i>
      <x v="2521"/>
    </i>
    <i>
      <x v="2522"/>
    </i>
    <i>
      <x v="2523"/>
    </i>
    <i>
      <x v="2524"/>
    </i>
    <i>
      <x v="2525"/>
    </i>
    <i>
      <x v="2526"/>
    </i>
    <i>
      <x v="2527"/>
    </i>
    <i>
      <x v="2528"/>
    </i>
    <i>
      <x v="2529"/>
    </i>
    <i>
      <x v="2530"/>
    </i>
    <i>
      <x v="2531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E28204-7909-4C2A-BE32-5B781B8333DC}" name="PivotTable2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A2536" firstHeaderRow="1" firstDataRow="1" firstDataCol="1"/>
  <pivotFields count="18">
    <pivotField axis="axisRow" showAll="0">
      <items count="2533">
        <item x="1341"/>
        <item x="1342"/>
        <item x="1343"/>
        <item x="1344"/>
        <item x="1345"/>
        <item x="1346"/>
        <item x="1347"/>
        <item x="101"/>
        <item x="1348"/>
        <item x="1349"/>
        <item x="102"/>
        <item x="1350"/>
        <item x="1351"/>
        <item x="1352"/>
        <item x="1353"/>
        <item x="1354"/>
        <item x="1355"/>
        <item x="1356"/>
        <item x="1357"/>
        <item x="1358"/>
        <item x="103"/>
        <item x="1359"/>
        <item x="1360"/>
        <item x="104"/>
        <item x="105"/>
        <item x="1361"/>
        <item x="1362"/>
        <item x="1363"/>
        <item x="106"/>
        <item x="1364"/>
        <item x="107"/>
        <item x="1365"/>
        <item x="1366"/>
        <item x="1367"/>
        <item x="1368"/>
        <item x="108"/>
        <item x="1369"/>
        <item x="1370"/>
        <item x="1371"/>
        <item x="1372"/>
        <item x="109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10"/>
        <item x="1388"/>
        <item x="111"/>
        <item x="1389"/>
        <item x="1390"/>
        <item x="112"/>
        <item x="1391"/>
        <item x="113"/>
        <item x="1392"/>
        <item x="1393"/>
        <item x="1394"/>
        <item x="1395"/>
        <item x="1396"/>
        <item x="1397"/>
        <item x="114"/>
        <item x="115"/>
        <item x="1398"/>
        <item x="1399"/>
        <item x="116"/>
        <item x="117"/>
        <item x="1400"/>
        <item x="118"/>
        <item x="1401"/>
        <item x="1402"/>
        <item x="119"/>
        <item x="1403"/>
        <item x="1404"/>
        <item x="1405"/>
        <item x="1406"/>
        <item x="120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21"/>
        <item x="122"/>
        <item x="123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24"/>
        <item x="1432"/>
        <item x="1433"/>
        <item x="1434"/>
        <item x="125"/>
        <item x="1435"/>
        <item x="1436"/>
        <item x="1437"/>
        <item x="1438"/>
        <item x="1439"/>
        <item x="126"/>
        <item x="127"/>
        <item x="1440"/>
        <item x="128"/>
        <item x="129"/>
        <item x="1441"/>
        <item x="130"/>
        <item x="1442"/>
        <item x="1443"/>
        <item x="1444"/>
        <item x="1445"/>
        <item x="131"/>
        <item x="132"/>
        <item x="133"/>
        <item x="134"/>
        <item x="135"/>
        <item x="1446"/>
        <item x="1447"/>
        <item x="1448"/>
        <item x="1449"/>
        <item x="136"/>
        <item x="1450"/>
        <item x="137"/>
        <item x="1451"/>
        <item x="138"/>
        <item x="139"/>
        <item x="140"/>
        <item x="1452"/>
        <item x="1453"/>
        <item x="141"/>
        <item x="1454"/>
        <item x="1455"/>
        <item x="1456"/>
        <item x="142"/>
        <item x="1457"/>
        <item x="143"/>
        <item x="1458"/>
        <item x="1459"/>
        <item x="1460"/>
        <item x="144"/>
        <item x="1461"/>
        <item x="1462"/>
        <item x="1463"/>
        <item x="1464"/>
        <item x="1465"/>
        <item x="1466"/>
        <item x="1467"/>
        <item x="145"/>
        <item x="1468"/>
        <item x="146"/>
        <item x="147"/>
        <item x="148"/>
        <item x="149"/>
        <item x="150"/>
        <item x="151"/>
        <item x="1469"/>
        <item x="1470"/>
        <item x="152"/>
        <item x="153"/>
        <item x="154"/>
        <item x="155"/>
        <item x="156"/>
        <item x="1471"/>
        <item x="157"/>
        <item x="158"/>
        <item x="1472"/>
        <item x="159"/>
        <item x="160"/>
        <item x="161"/>
        <item x="162"/>
        <item x="163"/>
        <item x="164"/>
        <item x="165"/>
        <item x="166"/>
        <item x="167"/>
        <item x="1473"/>
        <item x="168"/>
        <item x="169"/>
        <item x="1474"/>
        <item x="170"/>
        <item x="1475"/>
        <item x="171"/>
        <item x="172"/>
        <item x="173"/>
        <item x="174"/>
        <item x="1476"/>
        <item x="175"/>
        <item x="176"/>
        <item x="1477"/>
        <item x="1478"/>
        <item x="1479"/>
        <item x="177"/>
        <item x="1480"/>
        <item x="178"/>
        <item x="179"/>
        <item x="1481"/>
        <item x="1482"/>
        <item x="1483"/>
        <item x="180"/>
        <item x="181"/>
        <item x="182"/>
        <item x="1484"/>
        <item x="183"/>
        <item x="1485"/>
        <item x="184"/>
        <item x="185"/>
        <item x="186"/>
        <item x="1486"/>
        <item x="187"/>
        <item x="1487"/>
        <item x="188"/>
        <item x="189"/>
        <item x="190"/>
        <item x="191"/>
        <item x="1488"/>
        <item x="192"/>
        <item x="1489"/>
        <item x="1490"/>
        <item x="193"/>
        <item x="1491"/>
        <item x="1492"/>
        <item x="1493"/>
        <item x="1494"/>
        <item x="194"/>
        <item x="195"/>
        <item x="1495"/>
        <item x="1496"/>
        <item x="196"/>
        <item x="1497"/>
        <item x="197"/>
        <item x="1498"/>
        <item x="1499"/>
        <item x="198"/>
        <item x="199"/>
        <item x="200"/>
        <item x="201"/>
        <item x="202"/>
        <item x="203"/>
        <item x="204"/>
        <item x="1500"/>
        <item x="205"/>
        <item x="1501"/>
        <item x="206"/>
        <item x="207"/>
        <item x="208"/>
        <item x="209"/>
        <item x="1502"/>
        <item x="1503"/>
        <item x="1504"/>
        <item x="210"/>
        <item x="1505"/>
        <item x="211"/>
        <item x="1506"/>
        <item x="1507"/>
        <item x="212"/>
        <item x="213"/>
        <item x="214"/>
        <item x="215"/>
        <item x="216"/>
        <item x="217"/>
        <item x="218"/>
        <item x="219"/>
        <item x="1508"/>
        <item x="1509"/>
        <item x="1510"/>
        <item x="220"/>
        <item x="221"/>
        <item x="1511"/>
        <item x="1512"/>
        <item x="222"/>
        <item x="1513"/>
        <item x="1514"/>
        <item x="1515"/>
        <item x="223"/>
        <item x="224"/>
        <item x="1516"/>
        <item x="1517"/>
        <item x="225"/>
        <item x="1518"/>
        <item x="1519"/>
        <item x="1520"/>
        <item x="1521"/>
        <item x="1522"/>
        <item x="1523"/>
        <item x="226"/>
        <item x="227"/>
        <item x="1524"/>
        <item x="228"/>
        <item x="1525"/>
        <item x="1526"/>
        <item x="229"/>
        <item x="1527"/>
        <item x="1528"/>
        <item x="1529"/>
        <item x="1530"/>
        <item x="1531"/>
        <item x="230"/>
        <item x="231"/>
        <item x="1532"/>
        <item x="232"/>
        <item x="1533"/>
        <item x="1534"/>
        <item x="1535"/>
        <item x="233"/>
        <item x="1536"/>
        <item x="1537"/>
        <item x="234"/>
        <item x="235"/>
        <item x="1538"/>
        <item x="236"/>
        <item x="237"/>
        <item x="1539"/>
        <item x="1540"/>
        <item x="1541"/>
        <item x="1542"/>
        <item x="238"/>
        <item x="239"/>
        <item x="1543"/>
        <item x="240"/>
        <item x="241"/>
        <item x="242"/>
        <item x="243"/>
        <item x="244"/>
        <item x="1544"/>
        <item x="245"/>
        <item x="1545"/>
        <item x="1546"/>
        <item x="246"/>
        <item x="247"/>
        <item x="1547"/>
        <item x="248"/>
        <item x="1548"/>
        <item x="249"/>
        <item x="1549"/>
        <item x="250"/>
        <item x="251"/>
        <item x="252"/>
        <item x="253"/>
        <item x="1550"/>
        <item x="1551"/>
        <item x="254"/>
        <item x="1552"/>
        <item x="255"/>
        <item x="256"/>
        <item x="257"/>
        <item x="258"/>
        <item x="259"/>
        <item x="260"/>
        <item x="1553"/>
        <item x="261"/>
        <item x="262"/>
        <item x="263"/>
        <item x="264"/>
        <item x="265"/>
        <item x="266"/>
        <item x="267"/>
        <item x="1554"/>
        <item x="268"/>
        <item x="269"/>
        <item x="270"/>
        <item x="1555"/>
        <item x="271"/>
        <item x="272"/>
        <item x="273"/>
        <item x="274"/>
        <item x="275"/>
        <item x="276"/>
        <item x="277"/>
        <item x="1556"/>
        <item x="155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1558"/>
        <item x="297"/>
        <item x="1559"/>
        <item x="298"/>
        <item x="299"/>
        <item x="300"/>
        <item x="1560"/>
        <item x="1561"/>
        <item x="301"/>
        <item x="302"/>
        <item x="303"/>
        <item x="304"/>
        <item x="305"/>
        <item x="1562"/>
        <item x="306"/>
        <item x="307"/>
        <item x="308"/>
        <item x="309"/>
        <item x="1563"/>
        <item x="310"/>
        <item x="311"/>
        <item x="312"/>
        <item x="313"/>
        <item x="314"/>
        <item x="315"/>
        <item x="1564"/>
        <item x="1565"/>
        <item x="1566"/>
        <item x="316"/>
        <item x="317"/>
        <item x="1567"/>
        <item x="318"/>
        <item x="319"/>
        <item x="320"/>
        <item x="321"/>
        <item x="322"/>
        <item x="1568"/>
        <item x="323"/>
        <item x="324"/>
        <item x="1569"/>
        <item x="325"/>
        <item x="1570"/>
        <item x="326"/>
        <item x="327"/>
        <item x="328"/>
        <item x="329"/>
        <item x="330"/>
        <item x="331"/>
        <item x="1571"/>
        <item x="332"/>
        <item x="157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1573"/>
        <item x="345"/>
        <item x="1574"/>
        <item x="346"/>
        <item x="1575"/>
        <item x="1576"/>
        <item x="1577"/>
        <item x="1578"/>
        <item x="347"/>
        <item x="348"/>
        <item x="1579"/>
        <item x="349"/>
        <item x="350"/>
        <item x="351"/>
        <item x="352"/>
        <item x="1580"/>
        <item x="353"/>
        <item x="354"/>
        <item x="355"/>
        <item x="356"/>
        <item x="357"/>
        <item x="1581"/>
        <item x="358"/>
        <item x="359"/>
        <item x="360"/>
        <item x="361"/>
        <item x="362"/>
        <item x="1582"/>
        <item x="363"/>
        <item x="364"/>
        <item x="365"/>
        <item x="366"/>
        <item x="367"/>
        <item x="368"/>
        <item x="369"/>
        <item x="1583"/>
        <item x="370"/>
        <item x="1584"/>
        <item x="371"/>
        <item x="1585"/>
        <item x="372"/>
        <item x="373"/>
        <item x="374"/>
        <item x="375"/>
        <item x="376"/>
        <item x="377"/>
        <item x="378"/>
        <item x="379"/>
        <item x="380"/>
        <item x="1586"/>
        <item x="381"/>
        <item x="1587"/>
        <item x="382"/>
        <item x="383"/>
        <item x="1588"/>
        <item x="384"/>
        <item x="385"/>
        <item x="386"/>
        <item x="1589"/>
        <item x="387"/>
        <item x="1590"/>
        <item x="1591"/>
        <item x="1592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1593"/>
        <item x="1594"/>
        <item x="400"/>
        <item x="1595"/>
        <item x="1596"/>
        <item x="1597"/>
        <item x="1598"/>
        <item x="1599"/>
        <item x="1600"/>
        <item x="1601"/>
        <item x="401"/>
        <item x="402"/>
        <item x="1602"/>
        <item x="1603"/>
        <item x="403"/>
        <item x="404"/>
        <item x="1604"/>
        <item x="1605"/>
        <item x="1606"/>
        <item x="1607"/>
        <item x="1608"/>
        <item x="405"/>
        <item x="1609"/>
        <item x="406"/>
        <item x="1610"/>
        <item x="407"/>
        <item x="408"/>
        <item x="1611"/>
        <item x="1612"/>
        <item x="409"/>
        <item x="1613"/>
        <item x="1614"/>
        <item x="410"/>
        <item x="1615"/>
        <item x="1616"/>
        <item x="1617"/>
        <item x="411"/>
        <item x="1618"/>
        <item x="1619"/>
        <item x="1620"/>
        <item x="1621"/>
        <item x="1622"/>
        <item x="412"/>
        <item x="1623"/>
        <item x="1624"/>
        <item x="413"/>
        <item x="414"/>
        <item x="415"/>
        <item x="416"/>
        <item x="1625"/>
        <item x="1626"/>
        <item x="417"/>
        <item x="1627"/>
        <item x="418"/>
        <item x="1628"/>
        <item x="419"/>
        <item x="1629"/>
        <item x="1630"/>
        <item x="420"/>
        <item x="1631"/>
        <item x="1632"/>
        <item x="421"/>
        <item x="422"/>
        <item x="1633"/>
        <item x="423"/>
        <item x="1634"/>
        <item x="1635"/>
        <item x="1636"/>
        <item x="1637"/>
        <item x="1638"/>
        <item x="1639"/>
        <item x="424"/>
        <item x="1640"/>
        <item x="1641"/>
        <item x="425"/>
        <item x="1642"/>
        <item x="426"/>
        <item x="427"/>
        <item x="1643"/>
        <item x="428"/>
        <item x="1644"/>
        <item x="429"/>
        <item x="430"/>
        <item x="1645"/>
        <item x="431"/>
        <item x="432"/>
        <item x="433"/>
        <item x="1646"/>
        <item x="434"/>
        <item x="1647"/>
        <item x="435"/>
        <item x="436"/>
        <item x="1648"/>
        <item x="1649"/>
        <item x="1650"/>
        <item x="437"/>
        <item x="1651"/>
        <item x="1652"/>
        <item x="1653"/>
        <item x="1654"/>
        <item x="1655"/>
        <item x="1656"/>
        <item x="1657"/>
        <item x="1658"/>
        <item x="438"/>
        <item x="1659"/>
        <item x="1660"/>
        <item x="1661"/>
        <item x="439"/>
        <item x="440"/>
        <item x="1662"/>
        <item x="1663"/>
        <item x="441"/>
        <item x="1664"/>
        <item x="1665"/>
        <item x="1666"/>
        <item x="1667"/>
        <item x="442"/>
        <item x="1668"/>
        <item x="443"/>
        <item x="444"/>
        <item x="1669"/>
        <item x="1670"/>
        <item x="1671"/>
        <item x="445"/>
        <item x="446"/>
        <item x="1672"/>
        <item x="1673"/>
        <item x="447"/>
        <item x="448"/>
        <item x="1674"/>
        <item x="449"/>
        <item x="1675"/>
        <item x="450"/>
        <item x="451"/>
        <item x="1676"/>
        <item x="452"/>
        <item x="1677"/>
        <item x="1678"/>
        <item x="453"/>
        <item x="1679"/>
        <item x="1680"/>
        <item x="454"/>
        <item x="455"/>
        <item x="1681"/>
        <item x="456"/>
        <item x="1682"/>
        <item x="1683"/>
        <item x="457"/>
        <item x="458"/>
        <item x="459"/>
        <item x="460"/>
        <item x="461"/>
        <item x="462"/>
        <item x="46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464"/>
        <item x="1708"/>
        <item x="465"/>
        <item x="1709"/>
        <item x="1710"/>
        <item x="1711"/>
        <item x="1712"/>
        <item x="1713"/>
        <item x="1714"/>
        <item x="1715"/>
        <item x="1716"/>
        <item x="1717"/>
        <item x="466"/>
        <item x="467"/>
        <item x="468"/>
        <item x="1718"/>
        <item x="469"/>
        <item x="470"/>
        <item x="471"/>
        <item x="1719"/>
        <item x="472"/>
        <item x="1720"/>
        <item x="1721"/>
        <item x="1722"/>
        <item x="473"/>
        <item x="474"/>
        <item x="475"/>
        <item x="1723"/>
        <item x="1724"/>
        <item x="476"/>
        <item x="1725"/>
        <item x="477"/>
        <item x="1726"/>
        <item x="478"/>
        <item x="1727"/>
        <item x="1728"/>
        <item x="479"/>
        <item x="480"/>
        <item x="1729"/>
        <item x="1730"/>
        <item x="1731"/>
        <item x="481"/>
        <item x="482"/>
        <item x="1732"/>
        <item x="483"/>
        <item x="1733"/>
        <item x="484"/>
        <item x="1734"/>
        <item x="1735"/>
        <item x="1736"/>
        <item x="485"/>
        <item x="1737"/>
        <item x="1738"/>
        <item x="486"/>
        <item x="1739"/>
        <item x="487"/>
        <item x="488"/>
        <item x="1740"/>
        <item x="1741"/>
        <item x="489"/>
        <item x="1742"/>
        <item x="1743"/>
        <item x="1744"/>
        <item x="1745"/>
        <item x="490"/>
        <item x="1746"/>
        <item x="491"/>
        <item x="1747"/>
        <item x="492"/>
        <item x="1748"/>
        <item x="493"/>
        <item x="494"/>
        <item x="1749"/>
        <item x="1750"/>
        <item x="1751"/>
        <item x="1752"/>
        <item x="1753"/>
        <item x="495"/>
        <item x="496"/>
        <item x="497"/>
        <item x="498"/>
        <item x="499"/>
        <item x="1754"/>
        <item x="1755"/>
        <item x="1756"/>
        <item x="500"/>
        <item x="1757"/>
        <item x="1758"/>
        <item x="1759"/>
        <item x="501"/>
        <item x="1760"/>
        <item x="502"/>
        <item x="503"/>
        <item x="1761"/>
        <item x="504"/>
        <item x="505"/>
        <item x="1762"/>
        <item x="506"/>
        <item x="507"/>
        <item x="508"/>
        <item x="509"/>
        <item x="1763"/>
        <item x="1764"/>
        <item x="510"/>
        <item x="1765"/>
        <item x="511"/>
        <item x="512"/>
        <item x="1766"/>
        <item x="513"/>
        <item x="1767"/>
        <item x="514"/>
        <item x="515"/>
        <item x="516"/>
        <item x="1768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1769"/>
        <item x="528"/>
        <item x="529"/>
        <item x="530"/>
        <item x="1770"/>
        <item x="531"/>
        <item x="532"/>
        <item x="1771"/>
        <item x="533"/>
        <item x="1772"/>
        <item x="534"/>
        <item x="535"/>
        <item x="536"/>
        <item x="537"/>
        <item x="538"/>
        <item x="539"/>
        <item x="1773"/>
        <item x="540"/>
        <item x="541"/>
        <item x="1774"/>
        <item x="542"/>
        <item x="543"/>
        <item x="544"/>
        <item x="545"/>
        <item x="546"/>
        <item x="547"/>
        <item x="1775"/>
        <item x="548"/>
        <item x="549"/>
        <item x="550"/>
        <item x="551"/>
        <item x="552"/>
        <item x="553"/>
        <item x="554"/>
        <item x="1776"/>
        <item x="555"/>
        <item x="556"/>
        <item x="1777"/>
        <item x="557"/>
        <item x="558"/>
        <item x="1778"/>
        <item x="1779"/>
        <item x="559"/>
        <item x="1780"/>
        <item x="560"/>
        <item x="1781"/>
        <item x="561"/>
        <item x="562"/>
        <item x="563"/>
        <item x="1782"/>
        <item x="1783"/>
        <item x="564"/>
        <item x="565"/>
        <item x="1784"/>
        <item x="1785"/>
        <item x="566"/>
        <item x="1786"/>
        <item x="567"/>
        <item x="1787"/>
        <item x="1788"/>
        <item x="1789"/>
        <item x="1790"/>
        <item x="568"/>
        <item x="569"/>
        <item x="1791"/>
        <item x="1792"/>
        <item x="1793"/>
        <item x="570"/>
        <item x="1794"/>
        <item x="571"/>
        <item x="1795"/>
        <item x="1796"/>
        <item x="572"/>
        <item x="573"/>
        <item x="1797"/>
        <item x="1798"/>
        <item x="1799"/>
        <item x="1800"/>
        <item x="1801"/>
        <item x="1802"/>
        <item x="1803"/>
        <item x="574"/>
        <item x="575"/>
        <item x="576"/>
        <item x="577"/>
        <item x="578"/>
        <item x="1804"/>
        <item x="1805"/>
        <item x="579"/>
        <item x="580"/>
        <item x="1806"/>
        <item x="581"/>
        <item x="1807"/>
        <item x="582"/>
        <item x="1808"/>
        <item x="583"/>
        <item x="1809"/>
        <item x="584"/>
        <item x="1810"/>
        <item x="585"/>
        <item x="586"/>
        <item x="587"/>
        <item x="1811"/>
        <item x="588"/>
        <item x="1812"/>
        <item x="1813"/>
        <item x="589"/>
        <item x="1814"/>
        <item x="1815"/>
        <item x="1816"/>
        <item x="1817"/>
        <item x="590"/>
        <item x="1818"/>
        <item x="1819"/>
        <item x="591"/>
        <item x="1820"/>
        <item x="592"/>
        <item x="1821"/>
        <item x="593"/>
        <item x="594"/>
        <item x="1822"/>
        <item x="1823"/>
        <item x="1824"/>
        <item x="1825"/>
        <item x="1826"/>
        <item x="1827"/>
        <item x="1828"/>
        <item x="595"/>
        <item x="596"/>
        <item x="597"/>
        <item x="1829"/>
        <item x="598"/>
        <item x="1830"/>
        <item x="1831"/>
        <item x="1832"/>
        <item x="599"/>
        <item x="1833"/>
        <item x="600"/>
        <item x="601"/>
        <item x="602"/>
        <item x="1834"/>
        <item x="603"/>
        <item x="604"/>
        <item x="1835"/>
        <item x="605"/>
        <item x="606"/>
        <item x="1836"/>
        <item x="607"/>
        <item x="1837"/>
        <item x="1838"/>
        <item x="1839"/>
        <item x="608"/>
        <item x="609"/>
        <item x="610"/>
        <item x="611"/>
        <item x="612"/>
        <item x="613"/>
        <item x="614"/>
        <item x="1840"/>
        <item x="615"/>
        <item x="1841"/>
        <item x="1842"/>
        <item x="616"/>
        <item x="1843"/>
        <item x="1844"/>
        <item x="617"/>
        <item x="1845"/>
        <item x="1846"/>
        <item x="618"/>
        <item x="1847"/>
        <item x="619"/>
        <item x="620"/>
        <item x="1848"/>
        <item x="1849"/>
        <item x="621"/>
        <item x="622"/>
        <item x="623"/>
        <item x="1850"/>
        <item x="624"/>
        <item x="625"/>
        <item x="1851"/>
        <item x="1852"/>
        <item x="626"/>
        <item x="1853"/>
        <item x="1854"/>
        <item x="1855"/>
        <item x="627"/>
        <item x="1856"/>
        <item x="628"/>
        <item x="629"/>
        <item x="630"/>
        <item x="631"/>
        <item x="632"/>
        <item x="633"/>
        <item x="1857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1858"/>
        <item x="646"/>
        <item x="1859"/>
        <item x="647"/>
        <item x="648"/>
        <item x="649"/>
        <item x="650"/>
        <item x="651"/>
        <item x="652"/>
        <item x="1860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1861"/>
        <item x="665"/>
        <item x="666"/>
        <item x="667"/>
        <item x="668"/>
        <item x="669"/>
        <item x="670"/>
        <item x="1862"/>
        <item x="1863"/>
        <item x="671"/>
        <item x="672"/>
        <item x="673"/>
        <item x="674"/>
        <item x="675"/>
        <item x="1864"/>
        <item x="676"/>
        <item x="677"/>
        <item x="678"/>
        <item x="679"/>
        <item x="680"/>
        <item x="681"/>
        <item x="682"/>
        <item x="683"/>
        <item x="684"/>
        <item x="685"/>
        <item x="1865"/>
        <item x="1866"/>
        <item x="686"/>
        <item x="687"/>
        <item x="688"/>
        <item x="689"/>
        <item x="690"/>
        <item x="691"/>
        <item x="1867"/>
        <item x="692"/>
        <item x="693"/>
        <item x="694"/>
        <item x="695"/>
        <item x="696"/>
        <item x="697"/>
        <item x="698"/>
        <item x="699"/>
        <item x="700"/>
        <item x="701"/>
        <item x="1868"/>
        <item x="1869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1870"/>
        <item x="713"/>
        <item x="714"/>
        <item x="715"/>
        <item x="716"/>
        <item x="717"/>
        <item x="1871"/>
        <item x="718"/>
        <item x="1872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1873"/>
        <item x="1874"/>
        <item x="741"/>
        <item x="1875"/>
        <item x="742"/>
        <item x="743"/>
        <item x="744"/>
        <item x="745"/>
        <item x="1876"/>
        <item x="1877"/>
        <item x="746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747"/>
        <item x="748"/>
        <item x="1901"/>
        <item x="1902"/>
        <item x="1903"/>
        <item x="1904"/>
        <item x="1905"/>
        <item x="749"/>
        <item x="750"/>
        <item x="1906"/>
        <item x="751"/>
        <item x="1907"/>
        <item x="1908"/>
        <item x="1909"/>
        <item x="1910"/>
        <item x="1911"/>
        <item x="1912"/>
        <item x="1913"/>
        <item x="1914"/>
        <item x="752"/>
        <item x="753"/>
        <item x="754"/>
        <item x="755"/>
        <item x="1915"/>
        <item x="756"/>
        <item x="1916"/>
        <item x="1917"/>
        <item x="1918"/>
        <item x="1919"/>
        <item x="1920"/>
        <item x="1921"/>
        <item x="1922"/>
        <item x="1923"/>
        <item x="1924"/>
        <item x="1925"/>
        <item x="757"/>
        <item x="1926"/>
        <item x="1927"/>
        <item x="758"/>
        <item x="1928"/>
        <item x="1929"/>
        <item x="1930"/>
        <item x="759"/>
        <item x="760"/>
        <item x="1931"/>
        <item x="761"/>
        <item x="1932"/>
        <item x="762"/>
        <item x="1933"/>
        <item x="1934"/>
        <item x="1935"/>
        <item x="1936"/>
        <item x="1937"/>
        <item x="1938"/>
        <item x="1939"/>
        <item x="1940"/>
        <item x="1941"/>
        <item x="763"/>
        <item x="1942"/>
        <item x="1943"/>
        <item x="1944"/>
        <item x="1945"/>
        <item x="1946"/>
        <item x="1947"/>
        <item x="1948"/>
        <item x="764"/>
        <item x="1949"/>
        <item x="1950"/>
        <item x="765"/>
        <item x="766"/>
        <item x="1951"/>
        <item x="1952"/>
        <item x="767"/>
        <item x="1953"/>
        <item x="768"/>
        <item x="1954"/>
        <item x="1955"/>
        <item x="1956"/>
        <item x="1957"/>
        <item x="769"/>
        <item x="1958"/>
        <item x="770"/>
        <item x="1959"/>
        <item x="771"/>
        <item x="772"/>
        <item x="773"/>
        <item x="774"/>
        <item x="775"/>
        <item x="776"/>
        <item x="1960"/>
        <item x="1961"/>
        <item x="1962"/>
        <item x="1963"/>
        <item x="1964"/>
        <item x="1965"/>
        <item x="777"/>
        <item x="778"/>
        <item x="779"/>
        <item x="1966"/>
        <item x="1967"/>
        <item x="1968"/>
        <item x="1969"/>
        <item x="780"/>
        <item x="1970"/>
        <item x="1971"/>
        <item x="1972"/>
        <item x="1973"/>
        <item x="1974"/>
        <item x="1975"/>
        <item x="1976"/>
        <item x="1977"/>
        <item x="1978"/>
        <item x="1979"/>
        <item x="781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782"/>
        <item x="1992"/>
        <item x="1993"/>
        <item x="783"/>
        <item x="784"/>
        <item x="1994"/>
        <item x="1995"/>
        <item x="1996"/>
        <item x="1997"/>
        <item x="1998"/>
        <item x="1999"/>
        <item x="785"/>
        <item x="2000"/>
        <item x="2001"/>
        <item x="786"/>
        <item x="2002"/>
        <item x="2003"/>
        <item x="2004"/>
        <item x="2005"/>
        <item x="2006"/>
        <item x="2007"/>
        <item x="2008"/>
        <item x="2009"/>
        <item x="2010"/>
        <item x="787"/>
        <item x="2011"/>
        <item x="788"/>
        <item x="789"/>
        <item x="2012"/>
        <item x="2013"/>
        <item x="2014"/>
        <item x="790"/>
        <item x="791"/>
        <item x="2015"/>
        <item x="2016"/>
        <item x="2017"/>
        <item x="792"/>
        <item x="793"/>
        <item x="794"/>
        <item x="795"/>
        <item x="796"/>
        <item x="2018"/>
        <item x="2019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2020"/>
        <item x="816"/>
        <item x="817"/>
        <item x="818"/>
        <item x="819"/>
        <item x="820"/>
        <item x="821"/>
        <item x="822"/>
        <item x="823"/>
        <item x="824"/>
        <item x="825"/>
        <item x="2021"/>
        <item x="826"/>
        <item x="827"/>
        <item x="2022"/>
        <item x="828"/>
        <item x="2023"/>
        <item x="2024"/>
        <item x="829"/>
        <item x="2025"/>
        <item x="2026"/>
        <item x="2027"/>
        <item x="2028"/>
        <item x="2029"/>
        <item x="830"/>
        <item x="2030"/>
        <item x="2031"/>
        <item x="831"/>
        <item x="2032"/>
        <item x="2033"/>
        <item x="2034"/>
        <item x="832"/>
        <item x="2035"/>
        <item x="833"/>
        <item x="2036"/>
        <item x="2037"/>
        <item x="2038"/>
        <item x="2039"/>
        <item x="2040"/>
        <item x="2041"/>
        <item x="834"/>
        <item x="835"/>
        <item x="836"/>
        <item x="837"/>
        <item x="838"/>
        <item x="2042"/>
        <item x="839"/>
        <item x="840"/>
        <item x="2043"/>
        <item x="2044"/>
        <item x="2045"/>
        <item x="2046"/>
        <item x="2047"/>
        <item x="2048"/>
        <item x="841"/>
        <item x="2049"/>
        <item x="2050"/>
        <item x="2051"/>
        <item x="2052"/>
        <item x="842"/>
        <item x="2053"/>
        <item x="2054"/>
        <item x="2055"/>
        <item x="843"/>
        <item x="2056"/>
        <item x="844"/>
        <item x="845"/>
        <item x="2057"/>
        <item x="846"/>
        <item x="2058"/>
        <item x="847"/>
        <item x="2059"/>
        <item x="2060"/>
        <item x="2061"/>
        <item x="848"/>
        <item x="2062"/>
        <item x="2063"/>
        <item x="2064"/>
        <item x="2065"/>
        <item x="849"/>
        <item x="2066"/>
        <item x="2067"/>
        <item x="2068"/>
        <item x="850"/>
        <item x="851"/>
        <item x="852"/>
        <item x="2069"/>
        <item x="853"/>
        <item x="2070"/>
        <item x="854"/>
        <item x="855"/>
        <item x="2071"/>
        <item x="856"/>
        <item x="2072"/>
        <item x="857"/>
        <item x="2073"/>
        <item x="858"/>
        <item x="2074"/>
        <item x="2075"/>
        <item x="859"/>
        <item x="2076"/>
        <item x="860"/>
        <item x="2077"/>
        <item x="2078"/>
        <item x="861"/>
        <item x="862"/>
        <item x="2079"/>
        <item x="863"/>
        <item x="864"/>
        <item x="2080"/>
        <item x="2081"/>
        <item x="2082"/>
        <item x="865"/>
        <item x="866"/>
        <item x="867"/>
        <item x="868"/>
        <item x="869"/>
        <item x="2083"/>
        <item x="870"/>
        <item x="871"/>
        <item x="2084"/>
        <item x="872"/>
        <item x="2085"/>
        <item x="2086"/>
        <item x="873"/>
        <item x="874"/>
        <item x="875"/>
        <item x="876"/>
        <item x="2087"/>
        <item x="877"/>
        <item x="2088"/>
        <item x="878"/>
        <item x="879"/>
        <item x="2089"/>
        <item x="880"/>
        <item x="2090"/>
        <item x="2091"/>
        <item x="881"/>
        <item x="882"/>
        <item x="2092"/>
        <item x="2093"/>
        <item x="883"/>
        <item x="2094"/>
        <item x="884"/>
        <item x="2095"/>
        <item x="2096"/>
        <item x="2097"/>
        <item x="2098"/>
        <item x="2099"/>
        <item x="885"/>
        <item x="2100"/>
        <item x="2101"/>
        <item x="2102"/>
        <item x="2103"/>
        <item x="2104"/>
        <item x="2105"/>
        <item x="2106"/>
        <item x="2107"/>
        <item x="2108"/>
        <item x="886"/>
        <item x="887"/>
        <item x="2109"/>
        <item x="888"/>
        <item x="2110"/>
        <item x="2111"/>
        <item x="889"/>
        <item x="890"/>
        <item x="891"/>
        <item x="892"/>
        <item x="2112"/>
        <item x="893"/>
        <item x="894"/>
        <item x="895"/>
        <item x="896"/>
        <item x="2113"/>
        <item x="897"/>
        <item x="2114"/>
        <item x="2115"/>
        <item x="898"/>
        <item x="899"/>
        <item x="900"/>
        <item x="901"/>
        <item x="2116"/>
        <item x="2117"/>
        <item x="902"/>
        <item x="2118"/>
        <item x="903"/>
        <item x="904"/>
        <item x="905"/>
        <item x="906"/>
        <item x="907"/>
        <item x="2119"/>
        <item x="2120"/>
        <item x="2121"/>
        <item x="2122"/>
        <item x="2123"/>
        <item x="2124"/>
        <item x="2125"/>
        <item x="2126"/>
        <item x="2127"/>
        <item x="908"/>
        <item x="909"/>
        <item x="2128"/>
        <item x="2129"/>
        <item x="2130"/>
        <item x="2131"/>
        <item x="2132"/>
        <item x="2133"/>
        <item x="2134"/>
        <item x="2135"/>
        <item x="910"/>
        <item x="2136"/>
        <item x="911"/>
        <item x="2137"/>
        <item x="2138"/>
        <item x="2139"/>
        <item x="912"/>
        <item x="913"/>
        <item x="2140"/>
        <item x="2141"/>
        <item x="914"/>
        <item x="2142"/>
        <item x="2143"/>
        <item x="2144"/>
        <item x="915"/>
        <item x="916"/>
        <item x="2145"/>
        <item x="2146"/>
        <item x="2147"/>
        <item x="2148"/>
        <item x="2149"/>
        <item x="917"/>
        <item x="2150"/>
        <item x="2151"/>
        <item x="2152"/>
        <item x="2153"/>
        <item x="2154"/>
        <item x="2155"/>
        <item x="2156"/>
        <item x="2157"/>
        <item x="2158"/>
        <item x="918"/>
        <item x="2159"/>
        <item x="919"/>
        <item x="920"/>
        <item x="921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922"/>
        <item x="2172"/>
        <item x="923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924"/>
        <item x="92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926"/>
        <item x="2207"/>
        <item x="927"/>
        <item x="928"/>
        <item x="929"/>
        <item x="2208"/>
        <item x="2209"/>
        <item x="930"/>
        <item x="931"/>
        <item x="932"/>
        <item x="2210"/>
        <item x="933"/>
        <item x="2211"/>
        <item x="934"/>
        <item x="935"/>
        <item x="2212"/>
        <item x="936"/>
        <item x="937"/>
        <item x="938"/>
        <item x="939"/>
        <item x="940"/>
        <item x="941"/>
        <item x="942"/>
        <item x="943"/>
        <item x="221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2214"/>
        <item x="2215"/>
        <item x="955"/>
        <item x="956"/>
        <item x="957"/>
        <item x="2216"/>
        <item x="958"/>
        <item x="959"/>
        <item x="2217"/>
        <item x="960"/>
        <item x="2218"/>
        <item x="2219"/>
        <item x="2220"/>
        <item x="961"/>
        <item x="962"/>
        <item x="2221"/>
        <item x="2222"/>
        <item x="2223"/>
        <item x="2224"/>
        <item x="2225"/>
        <item x="2226"/>
        <item x="963"/>
        <item x="2227"/>
        <item x="964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965"/>
        <item x="966"/>
        <item x="2244"/>
        <item x="2245"/>
        <item x="2246"/>
        <item x="2247"/>
        <item x="2248"/>
        <item x="967"/>
        <item x="968"/>
        <item x="969"/>
        <item x="2249"/>
        <item x="970"/>
        <item x="2250"/>
        <item x="971"/>
        <item x="2251"/>
        <item x="2252"/>
        <item x="2253"/>
        <item x="2254"/>
        <item x="2255"/>
        <item x="972"/>
        <item x="2256"/>
        <item x="2257"/>
        <item x="973"/>
        <item x="2258"/>
        <item x="2259"/>
        <item x="2260"/>
        <item x="2261"/>
        <item x="2262"/>
        <item x="2263"/>
        <item x="974"/>
        <item x="2264"/>
        <item x="975"/>
        <item x="2265"/>
        <item x="2266"/>
        <item x="2267"/>
        <item x="2268"/>
        <item x="2269"/>
        <item x="2270"/>
        <item x="976"/>
        <item x="2271"/>
        <item x="2272"/>
        <item x="2273"/>
        <item x="977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978"/>
        <item x="2287"/>
        <item x="2288"/>
        <item x="2289"/>
        <item x="2290"/>
        <item x="2291"/>
        <item x="979"/>
        <item x="2292"/>
        <item x="980"/>
        <item x="2293"/>
        <item x="981"/>
        <item x="2294"/>
        <item x="982"/>
        <item x="983"/>
        <item x="984"/>
        <item x="985"/>
        <item x="2295"/>
        <item x="986"/>
        <item x="987"/>
        <item x="988"/>
        <item x="989"/>
        <item x="990"/>
        <item x="2296"/>
        <item x="991"/>
        <item x="992"/>
        <item x="993"/>
        <item x="2297"/>
        <item x="994"/>
        <item x="995"/>
        <item x="2298"/>
        <item x="996"/>
        <item x="997"/>
        <item x="998"/>
        <item x="999"/>
        <item x="1000"/>
        <item x="1001"/>
        <item x="1002"/>
        <item x="1003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1004"/>
        <item x="2311"/>
        <item x="1005"/>
        <item x="1006"/>
        <item x="2312"/>
        <item x="2313"/>
        <item x="2314"/>
        <item x="2315"/>
        <item x="1007"/>
        <item x="2316"/>
        <item x="2317"/>
        <item x="2318"/>
        <item x="2319"/>
        <item x="2320"/>
        <item x="2321"/>
        <item x="1008"/>
        <item x="2322"/>
        <item x="2323"/>
        <item x="1009"/>
        <item x="1010"/>
        <item x="1011"/>
        <item x="2324"/>
        <item x="2325"/>
        <item x="2326"/>
        <item x="1012"/>
        <item x="2327"/>
        <item x="2328"/>
        <item x="2329"/>
        <item x="2330"/>
        <item x="1013"/>
        <item x="2331"/>
        <item x="2332"/>
        <item x="2333"/>
        <item x="1014"/>
        <item x="2334"/>
        <item x="1015"/>
        <item x="1016"/>
        <item x="2335"/>
        <item x="1017"/>
        <item x="2336"/>
        <item x="2337"/>
        <item x="2338"/>
        <item x="2339"/>
        <item x="2340"/>
        <item x="1018"/>
        <item x="2341"/>
        <item x="2342"/>
        <item x="1019"/>
        <item x="2343"/>
        <item x="2344"/>
        <item x="2345"/>
        <item x="2346"/>
        <item x="1020"/>
        <item x="1021"/>
        <item x="1022"/>
        <item x="1023"/>
        <item x="2347"/>
        <item x="2348"/>
        <item x="1024"/>
        <item x="1025"/>
        <item x="2349"/>
        <item x="1026"/>
        <item x="1027"/>
        <item x="1028"/>
        <item x="2350"/>
        <item x="1029"/>
        <item x="2351"/>
        <item x="1030"/>
        <item x="1031"/>
        <item x="2352"/>
        <item x="2353"/>
        <item x="1032"/>
        <item x="2354"/>
        <item x="2355"/>
        <item x="2356"/>
        <item x="2357"/>
        <item x="1033"/>
        <item x="2358"/>
        <item x="2359"/>
        <item x="2360"/>
        <item x="2361"/>
        <item x="1034"/>
        <item x="1035"/>
        <item x="2362"/>
        <item x="2363"/>
        <item x="2364"/>
        <item x="1036"/>
        <item x="2365"/>
        <item x="1037"/>
        <item x="1038"/>
        <item x="2366"/>
        <item x="1039"/>
        <item x="2367"/>
        <item x="1040"/>
        <item x="1041"/>
        <item x="2368"/>
        <item x="1042"/>
        <item x="1043"/>
        <item x="2369"/>
        <item x="2370"/>
        <item x="2371"/>
        <item x="2372"/>
        <item x="2373"/>
        <item x="1044"/>
        <item x="1045"/>
        <item x="1046"/>
        <item x="2374"/>
        <item x="2375"/>
        <item x="2376"/>
        <item x="1047"/>
        <item x="2377"/>
        <item x="2378"/>
        <item x="2379"/>
        <item x="2380"/>
        <item x="2381"/>
        <item x="2382"/>
        <item x="1048"/>
        <item x="1049"/>
        <item x="2383"/>
        <item x="2384"/>
        <item x="2385"/>
        <item x="2386"/>
        <item x="1050"/>
        <item x="2387"/>
        <item x="2388"/>
        <item x="2389"/>
        <item x="1051"/>
        <item x="1052"/>
        <item x="2390"/>
        <item x="1053"/>
        <item x="2391"/>
        <item x="1054"/>
        <item x="2392"/>
        <item x="1055"/>
        <item x="1056"/>
        <item x="1057"/>
        <item x="1058"/>
        <item x="2393"/>
        <item x="2394"/>
        <item x="2395"/>
        <item x="2396"/>
        <item x="2397"/>
        <item x="1059"/>
        <item x="1060"/>
        <item x="2398"/>
        <item x="1061"/>
        <item x="1062"/>
        <item x="1063"/>
        <item x="2399"/>
        <item x="1064"/>
        <item x="1065"/>
        <item x="2400"/>
        <item x="2401"/>
        <item x="2402"/>
        <item x="2403"/>
        <item x="2404"/>
        <item x="1066"/>
        <item x="2405"/>
        <item x="2406"/>
        <item x="1067"/>
        <item x="2407"/>
        <item x="1068"/>
        <item x="2408"/>
        <item x="2409"/>
        <item x="1069"/>
        <item x="1070"/>
        <item x="1071"/>
        <item x="2410"/>
        <item x="2411"/>
        <item x="1072"/>
        <item x="1073"/>
        <item x="2412"/>
        <item x="2413"/>
        <item x="2414"/>
        <item x="2415"/>
        <item x="2416"/>
        <item x="2417"/>
        <item x="1074"/>
        <item x="2418"/>
        <item x="2419"/>
        <item x="2420"/>
        <item x="2421"/>
        <item x="1075"/>
        <item x="2422"/>
        <item x="2423"/>
        <item x="2424"/>
        <item x="2425"/>
        <item x="1076"/>
        <item x="2426"/>
        <item x="2427"/>
        <item x="2428"/>
        <item x="2429"/>
        <item x="2430"/>
        <item x="1077"/>
        <item x="2431"/>
        <item x="2432"/>
        <item x="2433"/>
        <item x="2434"/>
        <item x="2435"/>
        <item x="1078"/>
        <item x="1079"/>
        <item x="2436"/>
        <item x="2437"/>
        <item x="2438"/>
        <item x="2439"/>
        <item x="1080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1081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1082"/>
        <item x="1083"/>
        <item x="1084"/>
        <item x="1085"/>
        <item x="1086"/>
        <item x="2473"/>
        <item x="1087"/>
        <item x="2474"/>
        <item x="1088"/>
        <item x="1089"/>
        <item x="1090"/>
        <item x="1091"/>
        <item x="1092"/>
        <item x="1093"/>
        <item x="1094"/>
        <item x="1095"/>
        <item x="2475"/>
        <item x="1096"/>
        <item x="1097"/>
        <item x="1098"/>
        <item x="1099"/>
        <item x="1100"/>
        <item x="1101"/>
        <item x="1102"/>
        <item x="1103"/>
        <item x="2476"/>
        <item x="1104"/>
        <item x="1105"/>
        <item x="2477"/>
        <item x="1106"/>
        <item x="1107"/>
        <item x="2478"/>
        <item x="2479"/>
        <item x="2480"/>
        <item x="1108"/>
        <item x="1109"/>
        <item x="1110"/>
        <item x="2481"/>
        <item x="1111"/>
        <item x="1112"/>
        <item x="2482"/>
        <item x="1113"/>
        <item x="1114"/>
        <item x="1115"/>
        <item x="2483"/>
        <item x="1116"/>
        <item x="2484"/>
        <item x="2485"/>
        <item x="1117"/>
        <item x="1118"/>
        <item x="2486"/>
        <item x="2487"/>
        <item x="2488"/>
        <item x="2489"/>
        <item x="2490"/>
        <item x="2491"/>
        <item x="2492"/>
        <item x="2493"/>
        <item x="1119"/>
        <item x="2494"/>
        <item x="2495"/>
        <item x="1120"/>
        <item x="1121"/>
        <item x="2496"/>
        <item x="1122"/>
        <item x="1123"/>
        <item x="2497"/>
        <item x="2498"/>
        <item x="2499"/>
        <item x="1124"/>
        <item x="1125"/>
        <item x="1126"/>
        <item x="1127"/>
        <item x="1128"/>
        <item x="1129"/>
        <item x="2500"/>
        <item x="2501"/>
        <item x="1130"/>
        <item x="1131"/>
        <item x="1132"/>
        <item x="250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2503"/>
        <item x="1144"/>
        <item x="1145"/>
        <item x="2504"/>
        <item x="1146"/>
        <item x="1147"/>
        <item x="1148"/>
        <item x="2505"/>
        <item x="2506"/>
        <item x="2507"/>
        <item x="2508"/>
        <item x="1149"/>
        <item x="1150"/>
        <item x="1151"/>
        <item x="2509"/>
        <item x="2510"/>
        <item x="2511"/>
        <item x="2512"/>
        <item x="1152"/>
        <item x="1153"/>
        <item x="2513"/>
        <item x="2514"/>
        <item x="2515"/>
        <item x="1154"/>
        <item x="1155"/>
        <item x="1156"/>
        <item x="2516"/>
        <item x="1157"/>
        <item x="2517"/>
        <item x="1158"/>
        <item x="1159"/>
        <item x="1160"/>
        <item x="1161"/>
        <item x="1162"/>
        <item x="1163"/>
        <item x="1164"/>
        <item x="2518"/>
        <item x="1165"/>
        <item x="1166"/>
        <item x="1167"/>
        <item x="1168"/>
        <item x="1169"/>
        <item x="1170"/>
        <item x="2519"/>
        <item x="2520"/>
        <item x="1171"/>
        <item x="1172"/>
        <item x="2521"/>
        <item x="2522"/>
        <item x="2523"/>
        <item x="1173"/>
        <item x="2524"/>
        <item x="1174"/>
        <item x="1175"/>
        <item x="1176"/>
        <item x="2525"/>
        <item x="1177"/>
        <item x="1178"/>
        <item x="1179"/>
        <item x="2526"/>
        <item x="1180"/>
        <item x="2527"/>
        <item x="1181"/>
        <item x="1182"/>
        <item x="1183"/>
        <item x="2528"/>
        <item x="2529"/>
        <item x="2530"/>
        <item x="2531"/>
        <item x="1184"/>
        <item x="1185"/>
        <item x="1186"/>
        <item x="1187"/>
        <item x="1188"/>
        <item x="1189"/>
        <item x="0"/>
        <item x="1190"/>
        <item x="1191"/>
        <item x="1192"/>
        <item x="1193"/>
        <item x="1194"/>
        <item x="1195"/>
        <item x="1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2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3"/>
        <item x="1231"/>
        <item x="1232"/>
        <item x="1233"/>
        <item x="1234"/>
        <item x="1235"/>
        <item x="1236"/>
        <item x="1237"/>
        <item x="1238"/>
        <item x="4"/>
        <item x="1239"/>
        <item x="1240"/>
        <item x="1241"/>
        <item x="1242"/>
        <item x="5"/>
        <item x="1243"/>
        <item x="1244"/>
        <item x="6"/>
        <item x="7"/>
        <item x="8"/>
        <item x="1245"/>
        <item x="9"/>
        <item x="10"/>
        <item x="11"/>
        <item x="12"/>
        <item x="13"/>
        <item x="14"/>
        <item x="15"/>
        <item x="16"/>
        <item x="17"/>
        <item x="18"/>
        <item x="19"/>
        <item x="1246"/>
        <item x="20"/>
        <item x="21"/>
        <item x="1247"/>
        <item x="22"/>
        <item x="1248"/>
        <item x="23"/>
        <item x="24"/>
        <item x="1249"/>
        <item x="1250"/>
        <item x="25"/>
        <item x="26"/>
        <item x="1251"/>
        <item x="27"/>
        <item x="1252"/>
        <item x="28"/>
        <item x="29"/>
        <item x="30"/>
        <item x="31"/>
        <item x="32"/>
        <item x="33"/>
        <item x="1253"/>
        <item x="34"/>
        <item x="1254"/>
        <item x="1255"/>
        <item x="1256"/>
        <item x="35"/>
        <item x="36"/>
        <item x="37"/>
        <item x="1257"/>
        <item x="1258"/>
        <item x="38"/>
        <item x="39"/>
        <item x="1259"/>
        <item x="1260"/>
        <item x="1261"/>
        <item x="1262"/>
        <item x="40"/>
        <item x="1263"/>
        <item x="41"/>
        <item x="1264"/>
        <item x="1265"/>
        <item x="1266"/>
        <item x="42"/>
        <item x="43"/>
        <item x="44"/>
        <item x="45"/>
        <item x="1267"/>
        <item x="1268"/>
        <item x="1269"/>
        <item x="1270"/>
        <item x="1271"/>
        <item x="1272"/>
        <item x="1273"/>
        <item x="1274"/>
        <item x="1275"/>
        <item x="46"/>
        <item x="1276"/>
        <item x="47"/>
        <item x="48"/>
        <item x="1277"/>
        <item x="49"/>
        <item x="1278"/>
        <item x="1279"/>
        <item x="50"/>
        <item x="1280"/>
        <item x="1281"/>
        <item x="51"/>
        <item x="52"/>
        <item x="1282"/>
        <item x="1283"/>
        <item x="1284"/>
        <item x="1285"/>
        <item x="1286"/>
        <item x="53"/>
        <item x="54"/>
        <item x="1287"/>
        <item x="55"/>
        <item x="56"/>
        <item x="1288"/>
        <item x="57"/>
        <item x="58"/>
        <item x="59"/>
        <item x="1289"/>
        <item x="1290"/>
        <item x="60"/>
        <item x="61"/>
        <item x="1291"/>
        <item x="62"/>
        <item x="63"/>
        <item x="1292"/>
        <item x="1293"/>
        <item x="64"/>
        <item x="1294"/>
        <item x="1295"/>
        <item x="65"/>
        <item x="1296"/>
        <item x="1297"/>
        <item x="1298"/>
        <item x="66"/>
        <item x="1299"/>
        <item x="1300"/>
        <item x="1301"/>
        <item x="1302"/>
        <item x="1303"/>
        <item x="67"/>
        <item x="1304"/>
        <item x="1305"/>
        <item x="68"/>
        <item x="69"/>
        <item x="1306"/>
        <item x="70"/>
        <item x="1307"/>
        <item x="1308"/>
        <item x="1309"/>
        <item x="71"/>
        <item x="1310"/>
        <item x="1311"/>
        <item x="72"/>
        <item x="1312"/>
        <item x="1313"/>
        <item x="1314"/>
        <item x="1315"/>
        <item x="1316"/>
        <item x="73"/>
        <item x="74"/>
        <item x="1317"/>
        <item x="1318"/>
        <item x="75"/>
        <item x="1319"/>
        <item x="76"/>
        <item x="1320"/>
        <item x="1321"/>
        <item x="1322"/>
        <item x="1323"/>
        <item x="1324"/>
        <item x="77"/>
        <item x="78"/>
        <item x="79"/>
        <item x="80"/>
        <item x="81"/>
        <item x="1325"/>
        <item x="82"/>
        <item x="83"/>
        <item x="84"/>
        <item x="1326"/>
        <item x="85"/>
        <item x="86"/>
        <item x="87"/>
        <item x="1327"/>
        <item x="88"/>
        <item x="89"/>
        <item x="90"/>
        <item x="1328"/>
        <item x="91"/>
        <item x="92"/>
        <item x="93"/>
        <item x="94"/>
        <item x="95"/>
        <item x="1329"/>
        <item x="96"/>
        <item x="97"/>
        <item x="1330"/>
        <item x="98"/>
        <item x="1331"/>
        <item x="99"/>
        <item x="1332"/>
        <item x="100"/>
        <item x="1333"/>
        <item x="1334"/>
        <item x="1335"/>
        <item x="1336"/>
        <item x="1337"/>
        <item x="1338"/>
        <item x="1339"/>
        <item x="134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25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6"/>
    </i>
    <i>
      <x v="1267"/>
    </i>
    <i>
      <x v="1268"/>
    </i>
    <i>
      <x v="1269"/>
    </i>
    <i>
      <x v="1270"/>
    </i>
    <i>
      <x v="1271"/>
    </i>
    <i>
      <x v="1272"/>
    </i>
    <i>
      <x v="1273"/>
    </i>
    <i>
      <x v="1274"/>
    </i>
    <i>
      <x v="1275"/>
    </i>
    <i>
      <x v="1276"/>
    </i>
    <i>
      <x v="1277"/>
    </i>
    <i>
      <x v="1278"/>
    </i>
    <i>
      <x v="1279"/>
    </i>
    <i>
      <x v="1280"/>
    </i>
    <i>
      <x v="1281"/>
    </i>
    <i>
      <x v="1282"/>
    </i>
    <i>
      <x v="1283"/>
    </i>
    <i>
      <x v="1284"/>
    </i>
    <i>
      <x v="1285"/>
    </i>
    <i>
      <x v="1286"/>
    </i>
    <i>
      <x v="1287"/>
    </i>
    <i>
      <x v="1288"/>
    </i>
    <i>
      <x v="1289"/>
    </i>
    <i>
      <x v="1290"/>
    </i>
    <i>
      <x v="1291"/>
    </i>
    <i>
      <x v="1292"/>
    </i>
    <i>
      <x v="1293"/>
    </i>
    <i>
      <x v="1294"/>
    </i>
    <i>
      <x v="1295"/>
    </i>
    <i>
      <x v="1296"/>
    </i>
    <i>
      <x v="1297"/>
    </i>
    <i>
      <x v="1298"/>
    </i>
    <i>
      <x v="1299"/>
    </i>
    <i>
      <x v="1300"/>
    </i>
    <i>
      <x v="1301"/>
    </i>
    <i>
      <x v="1302"/>
    </i>
    <i>
      <x v="1303"/>
    </i>
    <i>
      <x v="1304"/>
    </i>
    <i>
      <x v="1305"/>
    </i>
    <i>
      <x v="1306"/>
    </i>
    <i>
      <x v="1307"/>
    </i>
    <i>
      <x v="1308"/>
    </i>
    <i>
      <x v="1309"/>
    </i>
    <i>
      <x v="1310"/>
    </i>
    <i>
      <x v="1311"/>
    </i>
    <i>
      <x v="1312"/>
    </i>
    <i>
      <x v="1313"/>
    </i>
    <i>
      <x v="1314"/>
    </i>
    <i>
      <x v="1315"/>
    </i>
    <i>
      <x v="1316"/>
    </i>
    <i>
      <x v="1317"/>
    </i>
    <i>
      <x v="1318"/>
    </i>
    <i>
      <x v="1319"/>
    </i>
    <i>
      <x v="1320"/>
    </i>
    <i>
      <x v="1321"/>
    </i>
    <i>
      <x v="1322"/>
    </i>
    <i>
      <x v="1323"/>
    </i>
    <i>
      <x v="1324"/>
    </i>
    <i>
      <x v="1325"/>
    </i>
    <i>
      <x v="1326"/>
    </i>
    <i>
      <x v="1327"/>
    </i>
    <i>
      <x v="1328"/>
    </i>
    <i>
      <x v="1329"/>
    </i>
    <i>
      <x v="1330"/>
    </i>
    <i>
      <x v="1331"/>
    </i>
    <i>
      <x v="1332"/>
    </i>
    <i>
      <x v="1333"/>
    </i>
    <i>
      <x v="1334"/>
    </i>
    <i>
      <x v="1335"/>
    </i>
    <i>
      <x v="1336"/>
    </i>
    <i>
      <x v="1337"/>
    </i>
    <i>
      <x v="1338"/>
    </i>
    <i>
      <x v="1339"/>
    </i>
    <i>
      <x v="1340"/>
    </i>
    <i>
      <x v="1341"/>
    </i>
    <i>
      <x v="1342"/>
    </i>
    <i>
      <x v="1343"/>
    </i>
    <i>
      <x v="1344"/>
    </i>
    <i>
      <x v="1345"/>
    </i>
    <i>
      <x v="1346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5"/>
    </i>
    <i>
      <x v="1356"/>
    </i>
    <i>
      <x v="1357"/>
    </i>
    <i>
      <x v="1358"/>
    </i>
    <i>
      <x v="1359"/>
    </i>
    <i>
      <x v="1360"/>
    </i>
    <i>
      <x v="1361"/>
    </i>
    <i>
      <x v="1362"/>
    </i>
    <i>
      <x v="1363"/>
    </i>
    <i>
      <x v="1364"/>
    </i>
    <i>
      <x v="1365"/>
    </i>
    <i>
      <x v="1366"/>
    </i>
    <i>
      <x v="1367"/>
    </i>
    <i>
      <x v="1368"/>
    </i>
    <i>
      <x v="1369"/>
    </i>
    <i>
      <x v="1370"/>
    </i>
    <i>
      <x v="1371"/>
    </i>
    <i>
      <x v="1372"/>
    </i>
    <i>
      <x v="1373"/>
    </i>
    <i>
      <x v="1374"/>
    </i>
    <i>
      <x v="1375"/>
    </i>
    <i>
      <x v="1376"/>
    </i>
    <i>
      <x v="1377"/>
    </i>
    <i>
      <x v="1378"/>
    </i>
    <i>
      <x v="1379"/>
    </i>
    <i>
      <x v="1380"/>
    </i>
    <i>
      <x v="1381"/>
    </i>
    <i>
      <x v="1382"/>
    </i>
    <i>
      <x v="1383"/>
    </i>
    <i>
      <x v="1384"/>
    </i>
    <i>
      <x v="1385"/>
    </i>
    <i>
      <x v="1386"/>
    </i>
    <i>
      <x v="1387"/>
    </i>
    <i>
      <x v="1388"/>
    </i>
    <i>
      <x v="1389"/>
    </i>
    <i>
      <x v="1390"/>
    </i>
    <i>
      <x v="1391"/>
    </i>
    <i>
      <x v="1392"/>
    </i>
    <i>
      <x v="1393"/>
    </i>
    <i>
      <x v="1394"/>
    </i>
    <i>
      <x v="1395"/>
    </i>
    <i>
      <x v="1396"/>
    </i>
    <i>
      <x v="1397"/>
    </i>
    <i>
      <x v="1398"/>
    </i>
    <i>
      <x v="1399"/>
    </i>
    <i>
      <x v="1400"/>
    </i>
    <i>
      <x v="1401"/>
    </i>
    <i>
      <x v="1402"/>
    </i>
    <i>
      <x v="1403"/>
    </i>
    <i>
      <x v="1404"/>
    </i>
    <i>
      <x v="1405"/>
    </i>
    <i>
      <x v="1406"/>
    </i>
    <i>
      <x v="1407"/>
    </i>
    <i>
      <x v="1408"/>
    </i>
    <i>
      <x v="1409"/>
    </i>
    <i>
      <x v="1410"/>
    </i>
    <i>
      <x v="1411"/>
    </i>
    <i>
      <x v="1412"/>
    </i>
    <i>
      <x v="1413"/>
    </i>
    <i>
      <x v="1414"/>
    </i>
    <i>
      <x v="1415"/>
    </i>
    <i>
      <x v="1416"/>
    </i>
    <i>
      <x v="1417"/>
    </i>
    <i>
      <x v="1418"/>
    </i>
    <i>
      <x v="1419"/>
    </i>
    <i>
      <x v="1420"/>
    </i>
    <i>
      <x v="1421"/>
    </i>
    <i>
      <x v="1422"/>
    </i>
    <i>
      <x v="1423"/>
    </i>
    <i>
      <x v="1424"/>
    </i>
    <i>
      <x v="1425"/>
    </i>
    <i>
      <x v="1426"/>
    </i>
    <i>
      <x v="1427"/>
    </i>
    <i>
      <x v="1428"/>
    </i>
    <i>
      <x v="1429"/>
    </i>
    <i>
      <x v="1430"/>
    </i>
    <i>
      <x v="1431"/>
    </i>
    <i>
      <x v="1432"/>
    </i>
    <i>
      <x v="1433"/>
    </i>
    <i>
      <x v="1434"/>
    </i>
    <i>
      <x v="1435"/>
    </i>
    <i>
      <x v="1436"/>
    </i>
    <i>
      <x v="1437"/>
    </i>
    <i>
      <x v="1438"/>
    </i>
    <i>
      <x v="1439"/>
    </i>
    <i>
      <x v="1440"/>
    </i>
    <i>
      <x v="1441"/>
    </i>
    <i>
      <x v="1442"/>
    </i>
    <i>
      <x v="1443"/>
    </i>
    <i>
      <x v="1444"/>
    </i>
    <i>
      <x v="1445"/>
    </i>
    <i>
      <x v="1446"/>
    </i>
    <i>
      <x v="1447"/>
    </i>
    <i>
      <x v="1448"/>
    </i>
    <i>
      <x v="1449"/>
    </i>
    <i>
      <x v="1450"/>
    </i>
    <i>
      <x v="1451"/>
    </i>
    <i>
      <x v="1452"/>
    </i>
    <i>
      <x v="1453"/>
    </i>
    <i>
      <x v="1454"/>
    </i>
    <i>
      <x v="1455"/>
    </i>
    <i>
      <x v="1456"/>
    </i>
    <i>
      <x v="1457"/>
    </i>
    <i>
      <x v="1458"/>
    </i>
    <i>
      <x v="1459"/>
    </i>
    <i>
      <x v="1460"/>
    </i>
    <i>
      <x v="1461"/>
    </i>
    <i>
      <x v="1462"/>
    </i>
    <i>
      <x v="1463"/>
    </i>
    <i>
      <x v="1464"/>
    </i>
    <i>
      <x v="1465"/>
    </i>
    <i>
      <x v="1466"/>
    </i>
    <i>
      <x v="1467"/>
    </i>
    <i>
      <x v="1468"/>
    </i>
    <i>
      <x v="1469"/>
    </i>
    <i>
      <x v="1470"/>
    </i>
    <i>
      <x v="1471"/>
    </i>
    <i>
      <x v="1472"/>
    </i>
    <i>
      <x v="1473"/>
    </i>
    <i>
      <x v="1474"/>
    </i>
    <i>
      <x v="1475"/>
    </i>
    <i>
      <x v="1476"/>
    </i>
    <i>
      <x v="1477"/>
    </i>
    <i>
      <x v="1478"/>
    </i>
    <i>
      <x v="1479"/>
    </i>
    <i>
      <x v="1480"/>
    </i>
    <i>
      <x v="1481"/>
    </i>
    <i>
      <x v="1482"/>
    </i>
    <i>
      <x v="1483"/>
    </i>
    <i>
      <x v="1484"/>
    </i>
    <i>
      <x v="1485"/>
    </i>
    <i>
      <x v="1486"/>
    </i>
    <i>
      <x v="1487"/>
    </i>
    <i>
      <x v="1488"/>
    </i>
    <i>
      <x v="1489"/>
    </i>
    <i>
      <x v="1490"/>
    </i>
    <i>
      <x v="1491"/>
    </i>
    <i>
      <x v="1492"/>
    </i>
    <i>
      <x v="1493"/>
    </i>
    <i>
      <x v="1494"/>
    </i>
    <i>
      <x v="1495"/>
    </i>
    <i>
      <x v="1496"/>
    </i>
    <i>
      <x v="1497"/>
    </i>
    <i>
      <x v="1498"/>
    </i>
    <i>
      <x v="1499"/>
    </i>
    <i>
      <x v="1500"/>
    </i>
    <i>
      <x v="1501"/>
    </i>
    <i>
      <x v="1502"/>
    </i>
    <i>
      <x v="1503"/>
    </i>
    <i>
      <x v="1504"/>
    </i>
    <i>
      <x v="1505"/>
    </i>
    <i>
      <x v="1506"/>
    </i>
    <i>
      <x v="1507"/>
    </i>
    <i>
      <x v="1508"/>
    </i>
    <i>
      <x v="1509"/>
    </i>
    <i>
      <x v="1510"/>
    </i>
    <i>
      <x v="1511"/>
    </i>
    <i>
      <x v="1512"/>
    </i>
    <i>
      <x v="1513"/>
    </i>
    <i>
      <x v="1514"/>
    </i>
    <i>
      <x v="1515"/>
    </i>
    <i>
      <x v="1516"/>
    </i>
    <i>
      <x v="1517"/>
    </i>
    <i>
      <x v="1518"/>
    </i>
    <i>
      <x v="1519"/>
    </i>
    <i>
      <x v="1520"/>
    </i>
    <i>
      <x v="1521"/>
    </i>
    <i>
      <x v="1522"/>
    </i>
    <i>
      <x v="1523"/>
    </i>
    <i>
      <x v="1524"/>
    </i>
    <i>
      <x v="1525"/>
    </i>
    <i>
      <x v="1526"/>
    </i>
    <i>
      <x v="1527"/>
    </i>
    <i>
      <x v="1528"/>
    </i>
    <i>
      <x v="1529"/>
    </i>
    <i>
      <x v="1530"/>
    </i>
    <i>
      <x v="1531"/>
    </i>
    <i>
      <x v="1532"/>
    </i>
    <i>
      <x v="1533"/>
    </i>
    <i>
      <x v="1534"/>
    </i>
    <i>
      <x v="1535"/>
    </i>
    <i>
      <x v="1536"/>
    </i>
    <i>
      <x v="1537"/>
    </i>
    <i>
      <x v="1538"/>
    </i>
    <i>
      <x v="1539"/>
    </i>
    <i>
      <x v="1540"/>
    </i>
    <i>
      <x v="1541"/>
    </i>
    <i>
      <x v="1542"/>
    </i>
    <i>
      <x v="1543"/>
    </i>
    <i>
      <x v="1544"/>
    </i>
    <i>
      <x v="1545"/>
    </i>
    <i>
      <x v="1546"/>
    </i>
    <i>
      <x v="1547"/>
    </i>
    <i>
      <x v="1548"/>
    </i>
    <i>
      <x v="1549"/>
    </i>
    <i>
      <x v="1550"/>
    </i>
    <i>
      <x v="1551"/>
    </i>
    <i>
      <x v="1552"/>
    </i>
    <i>
      <x v="1553"/>
    </i>
    <i>
      <x v="1554"/>
    </i>
    <i>
      <x v="1555"/>
    </i>
    <i>
      <x v="1556"/>
    </i>
    <i>
      <x v="1557"/>
    </i>
    <i>
      <x v="1558"/>
    </i>
    <i>
      <x v="1559"/>
    </i>
    <i>
      <x v="1560"/>
    </i>
    <i>
      <x v="1561"/>
    </i>
    <i>
      <x v="1562"/>
    </i>
    <i>
      <x v="1563"/>
    </i>
    <i>
      <x v="1564"/>
    </i>
    <i>
      <x v="1565"/>
    </i>
    <i>
      <x v="1566"/>
    </i>
    <i>
      <x v="1567"/>
    </i>
    <i>
      <x v="1568"/>
    </i>
    <i>
      <x v="1569"/>
    </i>
    <i>
      <x v="1570"/>
    </i>
    <i>
      <x v="1571"/>
    </i>
    <i>
      <x v="1572"/>
    </i>
    <i>
      <x v="1573"/>
    </i>
    <i>
      <x v="1574"/>
    </i>
    <i>
      <x v="1575"/>
    </i>
    <i>
      <x v="1576"/>
    </i>
    <i>
      <x v="1577"/>
    </i>
    <i>
      <x v="1578"/>
    </i>
    <i>
      <x v="1579"/>
    </i>
    <i>
      <x v="1580"/>
    </i>
    <i>
      <x v="1581"/>
    </i>
    <i>
      <x v="1582"/>
    </i>
    <i>
      <x v="1583"/>
    </i>
    <i>
      <x v="1584"/>
    </i>
    <i>
      <x v="1585"/>
    </i>
    <i>
      <x v="1586"/>
    </i>
    <i>
      <x v="1587"/>
    </i>
    <i>
      <x v="1588"/>
    </i>
    <i>
      <x v="1589"/>
    </i>
    <i>
      <x v="1590"/>
    </i>
    <i>
      <x v="1591"/>
    </i>
    <i>
      <x v="1592"/>
    </i>
    <i>
      <x v="1593"/>
    </i>
    <i>
      <x v="1594"/>
    </i>
    <i>
      <x v="1595"/>
    </i>
    <i>
      <x v="1596"/>
    </i>
    <i>
      <x v="1597"/>
    </i>
    <i>
      <x v="1598"/>
    </i>
    <i>
      <x v="1599"/>
    </i>
    <i>
      <x v="1600"/>
    </i>
    <i>
      <x v="1601"/>
    </i>
    <i>
      <x v="1602"/>
    </i>
    <i>
      <x v="1603"/>
    </i>
    <i>
      <x v="1604"/>
    </i>
    <i>
      <x v="1605"/>
    </i>
    <i>
      <x v="1606"/>
    </i>
    <i>
      <x v="1607"/>
    </i>
    <i>
      <x v="1608"/>
    </i>
    <i>
      <x v="1609"/>
    </i>
    <i>
      <x v="1610"/>
    </i>
    <i>
      <x v="1611"/>
    </i>
    <i>
      <x v="1612"/>
    </i>
    <i>
      <x v="1613"/>
    </i>
    <i>
      <x v="1614"/>
    </i>
    <i>
      <x v="1615"/>
    </i>
    <i>
      <x v="1616"/>
    </i>
    <i>
      <x v="1617"/>
    </i>
    <i>
      <x v="1618"/>
    </i>
    <i>
      <x v="1619"/>
    </i>
    <i>
      <x v="1620"/>
    </i>
    <i>
      <x v="1621"/>
    </i>
    <i>
      <x v="1622"/>
    </i>
    <i>
      <x v="1623"/>
    </i>
    <i>
      <x v="1624"/>
    </i>
    <i>
      <x v="1625"/>
    </i>
    <i>
      <x v="1626"/>
    </i>
    <i>
      <x v="1627"/>
    </i>
    <i>
      <x v="1628"/>
    </i>
    <i>
      <x v="1629"/>
    </i>
    <i>
      <x v="1630"/>
    </i>
    <i>
      <x v="1631"/>
    </i>
    <i>
      <x v="1632"/>
    </i>
    <i>
      <x v="1633"/>
    </i>
    <i>
      <x v="1634"/>
    </i>
    <i>
      <x v="1635"/>
    </i>
    <i>
      <x v="1636"/>
    </i>
    <i>
      <x v="1637"/>
    </i>
    <i>
      <x v="1638"/>
    </i>
    <i>
      <x v="1639"/>
    </i>
    <i>
      <x v="1640"/>
    </i>
    <i>
      <x v="1641"/>
    </i>
    <i>
      <x v="1642"/>
    </i>
    <i>
      <x v="1643"/>
    </i>
    <i>
      <x v="1644"/>
    </i>
    <i>
      <x v="1645"/>
    </i>
    <i>
      <x v="1646"/>
    </i>
    <i>
      <x v="1647"/>
    </i>
    <i>
      <x v="1648"/>
    </i>
    <i>
      <x v="1649"/>
    </i>
    <i>
      <x v="1650"/>
    </i>
    <i>
      <x v="1651"/>
    </i>
    <i>
      <x v="1652"/>
    </i>
    <i>
      <x v="1653"/>
    </i>
    <i>
      <x v="1654"/>
    </i>
    <i>
      <x v="1655"/>
    </i>
    <i>
      <x v="1656"/>
    </i>
    <i>
      <x v="1657"/>
    </i>
    <i>
      <x v="1658"/>
    </i>
    <i>
      <x v="1659"/>
    </i>
    <i>
      <x v="1660"/>
    </i>
    <i>
      <x v="1661"/>
    </i>
    <i>
      <x v="1662"/>
    </i>
    <i>
      <x v="1663"/>
    </i>
    <i>
      <x v="1664"/>
    </i>
    <i>
      <x v="1665"/>
    </i>
    <i>
      <x v="1666"/>
    </i>
    <i>
      <x v="1667"/>
    </i>
    <i>
      <x v="1668"/>
    </i>
    <i>
      <x v="1669"/>
    </i>
    <i>
      <x v="1670"/>
    </i>
    <i>
      <x v="1671"/>
    </i>
    <i>
      <x v="1672"/>
    </i>
    <i>
      <x v="1673"/>
    </i>
    <i>
      <x v="1674"/>
    </i>
    <i>
      <x v="1675"/>
    </i>
    <i>
      <x v="1676"/>
    </i>
    <i>
      <x v="1677"/>
    </i>
    <i>
      <x v="1678"/>
    </i>
    <i>
      <x v="1679"/>
    </i>
    <i>
      <x v="1680"/>
    </i>
    <i>
      <x v="1681"/>
    </i>
    <i>
      <x v="1682"/>
    </i>
    <i>
      <x v="1683"/>
    </i>
    <i>
      <x v="1684"/>
    </i>
    <i>
      <x v="1685"/>
    </i>
    <i>
      <x v="1686"/>
    </i>
    <i>
      <x v="1687"/>
    </i>
    <i>
      <x v="1688"/>
    </i>
    <i>
      <x v="1689"/>
    </i>
    <i>
      <x v="1690"/>
    </i>
    <i>
      <x v="1691"/>
    </i>
    <i>
      <x v="1692"/>
    </i>
    <i>
      <x v="1693"/>
    </i>
    <i>
      <x v="1694"/>
    </i>
    <i>
      <x v="1695"/>
    </i>
    <i>
      <x v="1696"/>
    </i>
    <i>
      <x v="1697"/>
    </i>
    <i>
      <x v="1698"/>
    </i>
    <i>
      <x v="1699"/>
    </i>
    <i>
      <x v="1700"/>
    </i>
    <i>
      <x v="1701"/>
    </i>
    <i>
      <x v="1702"/>
    </i>
    <i>
      <x v="1703"/>
    </i>
    <i>
      <x v="1704"/>
    </i>
    <i>
      <x v="1705"/>
    </i>
    <i>
      <x v="1706"/>
    </i>
    <i>
      <x v="1707"/>
    </i>
    <i>
      <x v="1708"/>
    </i>
    <i>
      <x v="1709"/>
    </i>
    <i>
      <x v="1710"/>
    </i>
    <i>
      <x v="1711"/>
    </i>
    <i>
      <x v="1712"/>
    </i>
    <i>
      <x v="1713"/>
    </i>
    <i>
      <x v="1714"/>
    </i>
    <i>
      <x v="1715"/>
    </i>
    <i>
      <x v="1716"/>
    </i>
    <i>
      <x v="1717"/>
    </i>
    <i>
      <x v="1718"/>
    </i>
    <i>
      <x v="1719"/>
    </i>
    <i>
      <x v="1720"/>
    </i>
    <i>
      <x v="1721"/>
    </i>
    <i>
      <x v="1722"/>
    </i>
    <i>
      <x v="1723"/>
    </i>
    <i>
      <x v="1724"/>
    </i>
    <i>
      <x v="1725"/>
    </i>
    <i>
      <x v="1726"/>
    </i>
    <i>
      <x v="1727"/>
    </i>
    <i>
      <x v="1728"/>
    </i>
    <i>
      <x v="1729"/>
    </i>
    <i>
      <x v="1730"/>
    </i>
    <i>
      <x v="1731"/>
    </i>
    <i>
      <x v="1732"/>
    </i>
    <i>
      <x v="1733"/>
    </i>
    <i>
      <x v="1734"/>
    </i>
    <i>
      <x v="1735"/>
    </i>
    <i>
      <x v="1736"/>
    </i>
    <i>
      <x v="1737"/>
    </i>
    <i>
      <x v="1738"/>
    </i>
    <i>
      <x v="1739"/>
    </i>
    <i>
      <x v="1740"/>
    </i>
    <i>
      <x v="1741"/>
    </i>
    <i>
      <x v="1742"/>
    </i>
    <i>
      <x v="1743"/>
    </i>
    <i>
      <x v="1744"/>
    </i>
    <i>
      <x v="1745"/>
    </i>
    <i>
      <x v="1746"/>
    </i>
    <i>
      <x v="1747"/>
    </i>
    <i>
      <x v="1748"/>
    </i>
    <i>
      <x v="1749"/>
    </i>
    <i>
      <x v="1750"/>
    </i>
    <i>
      <x v="1751"/>
    </i>
    <i>
      <x v="1752"/>
    </i>
    <i>
      <x v="1753"/>
    </i>
    <i>
      <x v="1754"/>
    </i>
    <i>
      <x v="1755"/>
    </i>
    <i>
      <x v="1756"/>
    </i>
    <i>
      <x v="1757"/>
    </i>
    <i>
      <x v="1758"/>
    </i>
    <i>
      <x v="1759"/>
    </i>
    <i>
      <x v="1760"/>
    </i>
    <i>
      <x v="1761"/>
    </i>
    <i>
      <x v="1762"/>
    </i>
    <i>
      <x v="1763"/>
    </i>
    <i>
      <x v="1764"/>
    </i>
    <i>
      <x v="1765"/>
    </i>
    <i>
      <x v="1766"/>
    </i>
    <i>
      <x v="1767"/>
    </i>
    <i>
      <x v="1768"/>
    </i>
    <i>
      <x v="1769"/>
    </i>
    <i>
      <x v="1770"/>
    </i>
    <i>
      <x v="1771"/>
    </i>
    <i>
      <x v="1772"/>
    </i>
    <i>
      <x v="1773"/>
    </i>
    <i>
      <x v="1774"/>
    </i>
    <i>
      <x v="1775"/>
    </i>
    <i>
      <x v="1776"/>
    </i>
    <i>
      <x v="1777"/>
    </i>
    <i>
      <x v="1778"/>
    </i>
    <i>
      <x v="1779"/>
    </i>
    <i>
      <x v="1780"/>
    </i>
    <i>
      <x v="1781"/>
    </i>
    <i>
      <x v="1782"/>
    </i>
    <i>
      <x v="1783"/>
    </i>
    <i>
      <x v="1784"/>
    </i>
    <i>
      <x v="1785"/>
    </i>
    <i>
      <x v="1786"/>
    </i>
    <i>
      <x v="1787"/>
    </i>
    <i>
      <x v="1788"/>
    </i>
    <i>
      <x v="1789"/>
    </i>
    <i>
      <x v="1790"/>
    </i>
    <i>
      <x v="1791"/>
    </i>
    <i>
      <x v="1792"/>
    </i>
    <i>
      <x v="1793"/>
    </i>
    <i>
      <x v="1794"/>
    </i>
    <i>
      <x v="1795"/>
    </i>
    <i>
      <x v="1796"/>
    </i>
    <i>
      <x v="1797"/>
    </i>
    <i>
      <x v="1798"/>
    </i>
    <i>
      <x v="1799"/>
    </i>
    <i>
      <x v="1800"/>
    </i>
    <i>
      <x v="1801"/>
    </i>
    <i>
      <x v="1802"/>
    </i>
    <i>
      <x v="1803"/>
    </i>
    <i>
      <x v="1804"/>
    </i>
    <i>
      <x v="1805"/>
    </i>
    <i>
      <x v="1806"/>
    </i>
    <i>
      <x v="1807"/>
    </i>
    <i>
      <x v="1808"/>
    </i>
    <i>
      <x v="1809"/>
    </i>
    <i>
      <x v="1810"/>
    </i>
    <i>
      <x v="1811"/>
    </i>
    <i>
      <x v="1812"/>
    </i>
    <i>
      <x v="1813"/>
    </i>
    <i>
      <x v="1814"/>
    </i>
    <i>
      <x v="1815"/>
    </i>
    <i>
      <x v="1816"/>
    </i>
    <i>
      <x v="1817"/>
    </i>
    <i>
      <x v="1818"/>
    </i>
    <i>
      <x v="1819"/>
    </i>
    <i>
      <x v="1820"/>
    </i>
    <i>
      <x v="1821"/>
    </i>
    <i>
      <x v="1822"/>
    </i>
    <i>
      <x v="1823"/>
    </i>
    <i>
      <x v="1824"/>
    </i>
    <i>
      <x v="1825"/>
    </i>
    <i>
      <x v="1826"/>
    </i>
    <i>
      <x v="1827"/>
    </i>
    <i>
      <x v="1828"/>
    </i>
    <i>
      <x v="1829"/>
    </i>
    <i>
      <x v="1830"/>
    </i>
    <i>
      <x v="1831"/>
    </i>
    <i>
      <x v="1832"/>
    </i>
    <i>
      <x v="1833"/>
    </i>
    <i>
      <x v="1834"/>
    </i>
    <i>
      <x v="1835"/>
    </i>
    <i>
      <x v="1836"/>
    </i>
    <i>
      <x v="1837"/>
    </i>
    <i>
      <x v="1838"/>
    </i>
    <i>
      <x v="1839"/>
    </i>
    <i>
      <x v="1840"/>
    </i>
    <i>
      <x v="1841"/>
    </i>
    <i>
      <x v="1842"/>
    </i>
    <i>
      <x v="1843"/>
    </i>
    <i>
      <x v="1844"/>
    </i>
    <i>
      <x v="1845"/>
    </i>
    <i>
      <x v="1846"/>
    </i>
    <i>
      <x v="1847"/>
    </i>
    <i>
      <x v="1848"/>
    </i>
    <i>
      <x v="1849"/>
    </i>
    <i>
      <x v="1850"/>
    </i>
    <i>
      <x v="1851"/>
    </i>
    <i>
      <x v="1852"/>
    </i>
    <i>
      <x v="1853"/>
    </i>
    <i>
      <x v="1854"/>
    </i>
    <i>
      <x v="1855"/>
    </i>
    <i>
      <x v="1856"/>
    </i>
    <i>
      <x v="1857"/>
    </i>
    <i>
      <x v="1858"/>
    </i>
    <i>
      <x v="1859"/>
    </i>
    <i>
      <x v="1860"/>
    </i>
    <i>
      <x v="1861"/>
    </i>
    <i>
      <x v="1862"/>
    </i>
    <i>
      <x v="1863"/>
    </i>
    <i>
      <x v="1864"/>
    </i>
    <i>
      <x v="1865"/>
    </i>
    <i>
      <x v="1866"/>
    </i>
    <i>
      <x v="1867"/>
    </i>
    <i>
      <x v="1868"/>
    </i>
    <i>
      <x v="1869"/>
    </i>
    <i>
      <x v="1870"/>
    </i>
    <i>
      <x v="1871"/>
    </i>
    <i>
      <x v="1872"/>
    </i>
    <i>
      <x v="1873"/>
    </i>
    <i>
      <x v="1874"/>
    </i>
    <i>
      <x v="1875"/>
    </i>
    <i>
      <x v="1876"/>
    </i>
    <i>
      <x v="1877"/>
    </i>
    <i>
      <x v="1878"/>
    </i>
    <i>
      <x v="1879"/>
    </i>
    <i>
      <x v="1880"/>
    </i>
    <i>
      <x v="1881"/>
    </i>
    <i>
      <x v="1882"/>
    </i>
    <i>
      <x v="1883"/>
    </i>
    <i>
      <x v="1884"/>
    </i>
    <i>
      <x v="1885"/>
    </i>
    <i>
      <x v="1886"/>
    </i>
    <i>
      <x v="1887"/>
    </i>
    <i>
      <x v="1888"/>
    </i>
    <i>
      <x v="1889"/>
    </i>
    <i>
      <x v="1890"/>
    </i>
    <i>
      <x v="1891"/>
    </i>
    <i>
      <x v="1892"/>
    </i>
    <i>
      <x v="1893"/>
    </i>
    <i>
      <x v="1894"/>
    </i>
    <i>
      <x v="1895"/>
    </i>
    <i>
      <x v="1896"/>
    </i>
    <i>
      <x v="1897"/>
    </i>
    <i>
      <x v="1898"/>
    </i>
    <i>
      <x v="1899"/>
    </i>
    <i>
      <x v="1900"/>
    </i>
    <i>
      <x v="1901"/>
    </i>
    <i>
      <x v="1902"/>
    </i>
    <i>
      <x v="1903"/>
    </i>
    <i>
      <x v="1904"/>
    </i>
    <i>
      <x v="1905"/>
    </i>
    <i>
      <x v="1906"/>
    </i>
    <i>
      <x v="1907"/>
    </i>
    <i>
      <x v="1908"/>
    </i>
    <i>
      <x v="1909"/>
    </i>
    <i>
      <x v="1910"/>
    </i>
    <i>
      <x v="1911"/>
    </i>
    <i>
      <x v="1912"/>
    </i>
    <i>
      <x v="1913"/>
    </i>
    <i>
      <x v="1914"/>
    </i>
    <i>
      <x v="1915"/>
    </i>
    <i>
      <x v="1916"/>
    </i>
    <i>
      <x v="1917"/>
    </i>
    <i>
      <x v="1918"/>
    </i>
    <i>
      <x v="1919"/>
    </i>
    <i>
      <x v="1920"/>
    </i>
    <i>
      <x v="1921"/>
    </i>
    <i>
      <x v="1922"/>
    </i>
    <i>
      <x v="1923"/>
    </i>
    <i>
      <x v="1924"/>
    </i>
    <i>
      <x v="1925"/>
    </i>
    <i>
      <x v="1926"/>
    </i>
    <i>
      <x v="1927"/>
    </i>
    <i>
      <x v="1928"/>
    </i>
    <i>
      <x v="1929"/>
    </i>
    <i>
      <x v="1930"/>
    </i>
    <i>
      <x v="1931"/>
    </i>
    <i>
      <x v="1932"/>
    </i>
    <i>
      <x v="1933"/>
    </i>
    <i>
      <x v="1934"/>
    </i>
    <i>
      <x v="1935"/>
    </i>
    <i>
      <x v="1936"/>
    </i>
    <i>
      <x v="1937"/>
    </i>
    <i>
      <x v="1938"/>
    </i>
    <i>
      <x v="1939"/>
    </i>
    <i>
      <x v="1940"/>
    </i>
    <i>
      <x v="1941"/>
    </i>
    <i>
      <x v="1942"/>
    </i>
    <i>
      <x v="1943"/>
    </i>
    <i>
      <x v="1944"/>
    </i>
    <i>
      <x v="1945"/>
    </i>
    <i>
      <x v="1946"/>
    </i>
    <i>
      <x v="1947"/>
    </i>
    <i>
      <x v="1948"/>
    </i>
    <i>
      <x v="1949"/>
    </i>
    <i>
      <x v="1950"/>
    </i>
    <i>
      <x v="1951"/>
    </i>
    <i>
      <x v="1952"/>
    </i>
    <i>
      <x v="1953"/>
    </i>
    <i>
      <x v="1954"/>
    </i>
    <i>
      <x v="1955"/>
    </i>
    <i>
      <x v="1956"/>
    </i>
    <i>
      <x v="1957"/>
    </i>
    <i>
      <x v="1958"/>
    </i>
    <i>
      <x v="1959"/>
    </i>
    <i>
      <x v="1960"/>
    </i>
    <i>
      <x v="1961"/>
    </i>
    <i>
      <x v="1962"/>
    </i>
    <i>
      <x v="1963"/>
    </i>
    <i>
      <x v="1964"/>
    </i>
    <i>
      <x v="1965"/>
    </i>
    <i>
      <x v="1966"/>
    </i>
    <i>
      <x v="1967"/>
    </i>
    <i>
      <x v="1968"/>
    </i>
    <i>
      <x v="1969"/>
    </i>
    <i>
      <x v="1970"/>
    </i>
    <i>
      <x v="1971"/>
    </i>
    <i>
      <x v="1972"/>
    </i>
    <i>
      <x v="1973"/>
    </i>
    <i>
      <x v="1974"/>
    </i>
    <i>
      <x v="1975"/>
    </i>
    <i>
      <x v="1976"/>
    </i>
    <i>
      <x v="1977"/>
    </i>
    <i>
      <x v="1978"/>
    </i>
    <i>
      <x v="1979"/>
    </i>
    <i>
      <x v="1980"/>
    </i>
    <i>
      <x v="1981"/>
    </i>
    <i>
      <x v="1982"/>
    </i>
    <i>
      <x v="1983"/>
    </i>
    <i>
      <x v="1984"/>
    </i>
    <i>
      <x v="1985"/>
    </i>
    <i>
      <x v="1986"/>
    </i>
    <i>
      <x v="1987"/>
    </i>
    <i>
      <x v="1988"/>
    </i>
    <i>
      <x v="1989"/>
    </i>
    <i>
      <x v="1990"/>
    </i>
    <i>
      <x v="1991"/>
    </i>
    <i>
      <x v="1992"/>
    </i>
    <i>
      <x v="1993"/>
    </i>
    <i>
      <x v="1994"/>
    </i>
    <i>
      <x v="1995"/>
    </i>
    <i>
      <x v="1996"/>
    </i>
    <i>
      <x v="1997"/>
    </i>
    <i>
      <x v="1998"/>
    </i>
    <i>
      <x v="1999"/>
    </i>
    <i>
      <x v="2000"/>
    </i>
    <i>
      <x v="2001"/>
    </i>
    <i>
      <x v="2002"/>
    </i>
    <i>
      <x v="2003"/>
    </i>
    <i>
      <x v="2004"/>
    </i>
    <i>
      <x v="2005"/>
    </i>
    <i>
      <x v="2006"/>
    </i>
    <i>
      <x v="2007"/>
    </i>
    <i>
      <x v="2008"/>
    </i>
    <i>
      <x v="2009"/>
    </i>
    <i>
      <x v="2010"/>
    </i>
    <i>
      <x v="2011"/>
    </i>
    <i>
      <x v="2012"/>
    </i>
    <i>
      <x v="2013"/>
    </i>
    <i>
      <x v="2014"/>
    </i>
    <i>
      <x v="2015"/>
    </i>
    <i>
      <x v="2016"/>
    </i>
    <i>
      <x v="2017"/>
    </i>
    <i>
      <x v="2018"/>
    </i>
    <i>
      <x v="2019"/>
    </i>
    <i>
      <x v="2020"/>
    </i>
    <i>
      <x v="2021"/>
    </i>
    <i>
      <x v="2022"/>
    </i>
    <i>
      <x v="2023"/>
    </i>
    <i>
      <x v="2024"/>
    </i>
    <i>
      <x v="2025"/>
    </i>
    <i>
      <x v="2026"/>
    </i>
    <i>
      <x v="2027"/>
    </i>
    <i>
      <x v="2028"/>
    </i>
    <i>
      <x v="2029"/>
    </i>
    <i>
      <x v="2030"/>
    </i>
    <i>
      <x v="2031"/>
    </i>
    <i>
      <x v="2032"/>
    </i>
    <i>
      <x v="2033"/>
    </i>
    <i>
      <x v="2034"/>
    </i>
    <i>
      <x v="2035"/>
    </i>
    <i>
      <x v="2036"/>
    </i>
    <i>
      <x v="2037"/>
    </i>
    <i>
      <x v="2038"/>
    </i>
    <i>
      <x v="2039"/>
    </i>
    <i>
      <x v="2040"/>
    </i>
    <i>
      <x v="2041"/>
    </i>
    <i>
      <x v="2042"/>
    </i>
    <i>
      <x v="2043"/>
    </i>
    <i>
      <x v="2044"/>
    </i>
    <i>
      <x v="2045"/>
    </i>
    <i>
      <x v="2046"/>
    </i>
    <i>
      <x v="2047"/>
    </i>
    <i>
      <x v="2048"/>
    </i>
    <i>
      <x v="2049"/>
    </i>
    <i>
      <x v="2050"/>
    </i>
    <i>
      <x v="2051"/>
    </i>
    <i>
      <x v="2052"/>
    </i>
    <i>
      <x v="2053"/>
    </i>
    <i>
      <x v="2054"/>
    </i>
    <i>
      <x v="2055"/>
    </i>
    <i>
      <x v="2056"/>
    </i>
    <i>
      <x v="2057"/>
    </i>
    <i>
      <x v="2058"/>
    </i>
    <i>
      <x v="2059"/>
    </i>
    <i>
      <x v="2060"/>
    </i>
    <i>
      <x v="2061"/>
    </i>
    <i>
      <x v="2062"/>
    </i>
    <i>
      <x v="2063"/>
    </i>
    <i>
      <x v="2064"/>
    </i>
    <i>
      <x v="2065"/>
    </i>
    <i>
      <x v="2066"/>
    </i>
    <i>
      <x v="2067"/>
    </i>
    <i>
      <x v="2068"/>
    </i>
    <i>
      <x v="2069"/>
    </i>
    <i>
      <x v="2070"/>
    </i>
    <i>
      <x v="2071"/>
    </i>
    <i>
      <x v="2072"/>
    </i>
    <i>
      <x v="2073"/>
    </i>
    <i>
      <x v="2074"/>
    </i>
    <i>
      <x v="2075"/>
    </i>
    <i>
      <x v="2076"/>
    </i>
    <i>
      <x v="2077"/>
    </i>
    <i>
      <x v="2078"/>
    </i>
    <i>
      <x v="2079"/>
    </i>
    <i>
      <x v="2080"/>
    </i>
    <i>
      <x v="2081"/>
    </i>
    <i>
      <x v="2082"/>
    </i>
    <i>
      <x v="2083"/>
    </i>
    <i>
      <x v="2084"/>
    </i>
    <i>
      <x v="2085"/>
    </i>
    <i>
      <x v="2086"/>
    </i>
    <i>
      <x v="2087"/>
    </i>
    <i>
      <x v="2088"/>
    </i>
    <i>
      <x v="2089"/>
    </i>
    <i>
      <x v="2090"/>
    </i>
    <i>
      <x v="2091"/>
    </i>
    <i>
      <x v="2092"/>
    </i>
    <i>
      <x v="2093"/>
    </i>
    <i>
      <x v="2094"/>
    </i>
    <i>
      <x v="2095"/>
    </i>
    <i>
      <x v="2096"/>
    </i>
    <i>
      <x v="2097"/>
    </i>
    <i>
      <x v="2098"/>
    </i>
    <i>
      <x v="2099"/>
    </i>
    <i>
      <x v="2100"/>
    </i>
    <i>
      <x v="2101"/>
    </i>
    <i>
      <x v="2102"/>
    </i>
    <i>
      <x v="2103"/>
    </i>
    <i>
      <x v="2104"/>
    </i>
    <i>
      <x v="2105"/>
    </i>
    <i>
      <x v="2106"/>
    </i>
    <i>
      <x v="2107"/>
    </i>
    <i>
      <x v="2108"/>
    </i>
    <i>
      <x v="2109"/>
    </i>
    <i>
      <x v="2110"/>
    </i>
    <i>
      <x v="2111"/>
    </i>
    <i>
      <x v="2112"/>
    </i>
    <i>
      <x v="2113"/>
    </i>
    <i>
      <x v="2114"/>
    </i>
    <i>
      <x v="2115"/>
    </i>
    <i>
      <x v="2116"/>
    </i>
    <i>
      <x v="2117"/>
    </i>
    <i>
      <x v="2118"/>
    </i>
    <i>
      <x v="2119"/>
    </i>
    <i>
      <x v="2120"/>
    </i>
    <i>
      <x v="2121"/>
    </i>
    <i>
      <x v="2122"/>
    </i>
    <i>
      <x v="2123"/>
    </i>
    <i>
      <x v="2124"/>
    </i>
    <i>
      <x v="2125"/>
    </i>
    <i>
      <x v="2126"/>
    </i>
    <i>
      <x v="2127"/>
    </i>
    <i>
      <x v="2128"/>
    </i>
    <i>
      <x v="2129"/>
    </i>
    <i>
      <x v="2130"/>
    </i>
    <i>
      <x v="2131"/>
    </i>
    <i>
      <x v="2132"/>
    </i>
    <i>
      <x v="2133"/>
    </i>
    <i>
      <x v="2134"/>
    </i>
    <i>
      <x v="2135"/>
    </i>
    <i>
      <x v="2136"/>
    </i>
    <i>
      <x v="2137"/>
    </i>
    <i>
      <x v="2138"/>
    </i>
    <i>
      <x v="2139"/>
    </i>
    <i>
      <x v="2140"/>
    </i>
    <i>
      <x v="2141"/>
    </i>
    <i>
      <x v="2142"/>
    </i>
    <i>
      <x v="2143"/>
    </i>
    <i>
      <x v="2144"/>
    </i>
    <i>
      <x v="2145"/>
    </i>
    <i>
      <x v="2146"/>
    </i>
    <i>
      <x v="2147"/>
    </i>
    <i>
      <x v="2148"/>
    </i>
    <i>
      <x v="2149"/>
    </i>
    <i>
      <x v="2150"/>
    </i>
    <i>
      <x v="2151"/>
    </i>
    <i>
      <x v="2152"/>
    </i>
    <i>
      <x v="2153"/>
    </i>
    <i>
      <x v="2154"/>
    </i>
    <i>
      <x v="2155"/>
    </i>
    <i>
      <x v="2156"/>
    </i>
    <i>
      <x v="2157"/>
    </i>
    <i>
      <x v="2158"/>
    </i>
    <i>
      <x v="2159"/>
    </i>
    <i>
      <x v="2160"/>
    </i>
    <i>
      <x v="2161"/>
    </i>
    <i>
      <x v="2162"/>
    </i>
    <i>
      <x v="2163"/>
    </i>
    <i>
      <x v="2164"/>
    </i>
    <i>
      <x v="2165"/>
    </i>
    <i>
      <x v="2166"/>
    </i>
    <i>
      <x v="2167"/>
    </i>
    <i>
      <x v="2168"/>
    </i>
    <i>
      <x v="2169"/>
    </i>
    <i>
      <x v="2170"/>
    </i>
    <i>
      <x v="2171"/>
    </i>
    <i>
      <x v="2172"/>
    </i>
    <i>
      <x v="2173"/>
    </i>
    <i>
      <x v="2174"/>
    </i>
    <i>
      <x v="2175"/>
    </i>
    <i>
      <x v="2176"/>
    </i>
    <i>
      <x v="2177"/>
    </i>
    <i>
      <x v="2178"/>
    </i>
    <i>
      <x v="2179"/>
    </i>
    <i>
      <x v="2180"/>
    </i>
    <i>
      <x v="2181"/>
    </i>
    <i>
      <x v="2182"/>
    </i>
    <i>
      <x v="2183"/>
    </i>
    <i>
      <x v="2184"/>
    </i>
    <i>
      <x v="2185"/>
    </i>
    <i>
      <x v="2186"/>
    </i>
    <i>
      <x v="2187"/>
    </i>
    <i>
      <x v="2188"/>
    </i>
    <i>
      <x v="2189"/>
    </i>
    <i>
      <x v="2190"/>
    </i>
    <i>
      <x v="2191"/>
    </i>
    <i>
      <x v="2192"/>
    </i>
    <i>
      <x v="2193"/>
    </i>
    <i>
      <x v="2194"/>
    </i>
    <i>
      <x v="2195"/>
    </i>
    <i>
      <x v="2196"/>
    </i>
    <i>
      <x v="2197"/>
    </i>
    <i>
      <x v="2198"/>
    </i>
    <i>
      <x v="2199"/>
    </i>
    <i>
      <x v="2200"/>
    </i>
    <i>
      <x v="2201"/>
    </i>
    <i>
      <x v="2202"/>
    </i>
    <i>
      <x v="2203"/>
    </i>
    <i>
      <x v="2204"/>
    </i>
    <i>
      <x v="2205"/>
    </i>
    <i>
      <x v="2206"/>
    </i>
    <i>
      <x v="2207"/>
    </i>
    <i>
      <x v="2208"/>
    </i>
    <i>
      <x v="2209"/>
    </i>
    <i>
      <x v="2210"/>
    </i>
    <i>
      <x v="2211"/>
    </i>
    <i>
      <x v="2212"/>
    </i>
    <i>
      <x v="2213"/>
    </i>
    <i>
      <x v="2214"/>
    </i>
    <i>
      <x v="2215"/>
    </i>
    <i>
      <x v="2216"/>
    </i>
    <i>
      <x v="2217"/>
    </i>
    <i>
      <x v="2218"/>
    </i>
    <i>
      <x v="2219"/>
    </i>
    <i>
      <x v="2220"/>
    </i>
    <i>
      <x v="2221"/>
    </i>
    <i>
      <x v="2222"/>
    </i>
    <i>
      <x v="2223"/>
    </i>
    <i>
      <x v="2224"/>
    </i>
    <i>
      <x v="2225"/>
    </i>
    <i>
      <x v="2226"/>
    </i>
    <i>
      <x v="2227"/>
    </i>
    <i>
      <x v="2228"/>
    </i>
    <i>
      <x v="2229"/>
    </i>
    <i>
      <x v="2230"/>
    </i>
    <i>
      <x v="2231"/>
    </i>
    <i>
      <x v="2232"/>
    </i>
    <i>
      <x v="2233"/>
    </i>
    <i>
      <x v="2234"/>
    </i>
    <i>
      <x v="2235"/>
    </i>
    <i>
      <x v="2236"/>
    </i>
    <i>
      <x v="2237"/>
    </i>
    <i>
      <x v="2238"/>
    </i>
    <i>
      <x v="2239"/>
    </i>
    <i>
      <x v="2240"/>
    </i>
    <i>
      <x v="2241"/>
    </i>
    <i>
      <x v="2242"/>
    </i>
    <i>
      <x v="2243"/>
    </i>
    <i>
      <x v="2244"/>
    </i>
    <i>
      <x v="2245"/>
    </i>
    <i>
      <x v="2246"/>
    </i>
    <i>
      <x v="2247"/>
    </i>
    <i>
      <x v="2248"/>
    </i>
    <i>
      <x v="2249"/>
    </i>
    <i>
      <x v="2250"/>
    </i>
    <i>
      <x v="2251"/>
    </i>
    <i>
      <x v="2252"/>
    </i>
    <i>
      <x v="2253"/>
    </i>
    <i>
      <x v="2254"/>
    </i>
    <i>
      <x v="2255"/>
    </i>
    <i>
      <x v="2256"/>
    </i>
    <i>
      <x v="2257"/>
    </i>
    <i>
      <x v="2258"/>
    </i>
    <i>
      <x v="2259"/>
    </i>
    <i>
      <x v="2260"/>
    </i>
    <i>
      <x v="2261"/>
    </i>
    <i>
      <x v="2262"/>
    </i>
    <i>
      <x v="2263"/>
    </i>
    <i>
      <x v="2264"/>
    </i>
    <i>
      <x v="2265"/>
    </i>
    <i>
      <x v="2266"/>
    </i>
    <i>
      <x v="2267"/>
    </i>
    <i>
      <x v="2268"/>
    </i>
    <i>
      <x v="2269"/>
    </i>
    <i>
      <x v="2270"/>
    </i>
    <i>
      <x v="2271"/>
    </i>
    <i>
      <x v="2272"/>
    </i>
    <i>
      <x v="2273"/>
    </i>
    <i>
      <x v="2274"/>
    </i>
    <i>
      <x v="2275"/>
    </i>
    <i>
      <x v="2276"/>
    </i>
    <i>
      <x v="2277"/>
    </i>
    <i>
      <x v="2278"/>
    </i>
    <i>
      <x v="2279"/>
    </i>
    <i>
      <x v="2280"/>
    </i>
    <i>
      <x v="2281"/>
    </i>
    <i>
      <x v="2282"/>
    </i>
    <i>
      <x v="2283"/>
    </i>
    <i>
      <x v="2284"/>
    </i>
    <i>
      <x v="2285"/>
    </i>
    <i>
      <x v="2286"/>
    </i>
    <i>
      <x v="2287"/>
    </i>
    <i>
      <x v="2288"/>
    </i>
    <i>
      <x v="2289"/>
    </i>
    <i>
      <x v="2290"/>
    </i>
    <i>
      <x v="2291"/>
    </i>
    <i>
      <x v="2292"/>
    </i>
    <i>
      <x v="2293"/>
    </i>
    <i>
      <x v="2294"/>
    </i>
    <i>
      <x v="2295"/>
    </i>
    <i>
      <x v="2296"/>
    </i>
    <i>
      <x v="2297"/>
    </i>
    <i>
      <x v="2298"/>
    </i>
    <i>
      <x v="2299"/>
    </i>
    <i>
      <x v="2300"/>
    </i>
    <i>
      <x v="2301"/>
    </i>
    <i>
      <x v="2302"/>
    </i>
    <i>
      <x v="2303"/>
    </i>
    <i>
      <x v="2304"/>
    </i>
    <i>
      <x v="2305"/>
    </i>
    <i>
      <x v="2306"/>
    </i>
    <i>
      <x v="2307"/>
    </i>
    <i>
      <x v="2308"/>
    </i>
    <i>
      <x v="2309"/>
    </i>
    <i>
      <x v="2310"/>
    </i>
    <i>
      <x v="2311"/>
    </i>
    <i>
      <x v="2312"/>
    </i>
    <i>
      <x v="2313"/>
    </i>
    <i>
      <x v="2314"/>
    </i>
    <i>
      <x v="2315"/>
    </i>
    <i>
      <x v="2316"/>
    </i>
    <i>
      <x v="2317"/>
    </i>
    <i>
      <x v="2318"/>
    </i>
    <i>
      <x v="2319"/>
    </i>
    <i>
      <x v="2320"/>
    </i>
    <i>
      <x v="2321"/>
    </i>
    <i>
      <x v="2322"/>
    </i>
    <i>
      <x v="2323"/>
    </i>
    <i>
      <x v="2324"/>
    </i>
    <i>
      <x v="2325"/>
    </i>
    <i>
      <x v="2326"/>
    </i>
    <i>
      <x v="2327"/>
    </i>
    <i>
      <x v="2328"/>
    </i>
    <i>
      <x v="2329"/>
    </i>
    <i>
      <x v="2330"/>
    </i>
    <i>
      <x v="2331"/>
    </i>
    <i>
      <x v="2332"/>
    </i>
    <i>
      <x v="2333"/>
    </i>
    <i>
      <x v="2334"/>
    </i>
    <i>
      <x v="2335"/>
    </i>
    <i>
      <x v="2336"/>
    </i>
    <i>
      <x v="2337"/>
    </i>
    <i>
      <x v="2338"/>
    </i>
    <i>
      <x v="2339"/>
    </i>
    <i>
      <x v="2340"/>
    </i>
    <i>
      <x v="2341"/>
    </i>
    <i>
      <x v="2342"/>
    </i>
    <i>
      <x v="2343"/>
    </i>
    <i>
      <x v="2344"/>
    </i>
    <i>
      <x v="2345"/>
    </i>
    <i>
      <x v="2346"/>
    </i>
    <i>
      <x v="2347"/>
    </i>
    <i>
      <x v="2348"/>
    </i>
    <i>
      <x v="2349"/>
    </i>
    <i>
      <x v="2350"/>
    </i>
    <i>
      <x v="2351"/>
    </i>
    <i>
      <x v="2352"/>
    </i>
    <i>
      <x v="2353"/>
    </i>
    <i>
      <x v="2354"/>
    </i>
    <i>
      <x v="2355"/>
    </i>
    <i>
      <x v="2356"/>
    </i>
    <i>
      <x v="2357"/>
    </i>
    <i>
      <x v="2358"/>
    </i>
    <i>
      <x v="2359"/>
    </i>
    <i>
      <x v="2360"/>
    </i>
    <i>
      <x v="2361"/>
    </i>
    <i>
      <x v="2362"/>
    </i>
    <i>
      <x v="2363"/>
    </i>
    <i>
      <x v="2364"/>
    </i>
    <i>
      <x v="2365"/>
    </i>
    <i>
      <x v="2366"/>
    </i>
    <i>
      <x v="2367"/>
    </i>
    <i>
      <x v="2368"/>
    </i>
    <i>
      <x v="2369"/>
    </i>
    <i>
      <x v="2370"/>
    </i>
    <i>
      <x v="2371"/>
    </i>
    <i>
      <x v="2372"/>
    </i>
    <i>
      <x v="2373"/>
    </i>
    <i>
      <x v="2374"/>
    </i>
    <i>
      <x v="2375"/>
    </i>
    <i>
      <x v="2376"/>
    </i>
    <i>
      <x v="2377"/>
    </i>
    <i>
      <x v="2378"/>
    </i>
    <i>
      <x v="2379"/>
    </i>
    <i>
      <x v="2380"/>
    </i>
    <i>
      <x v="2381"/>
    </i>
    <i>
      <x v="2382"/>
    </i>
    <i>
      <x v="2383"/>
    </i>
    <i>
      <x v="2384"/>
    </i>
    <i>
      <x v="2385"/>
    </i>
    <i>
      <x v="2386"/>
    </i>
    <i>
      <x v="2387"/>
    </i>
    <i>
      <x v="2388"/>
    </i>
    <i>
      <x v="2389"/>
    </i>
    <i>
      <x v="2390"/>
    </i>
    <i>
      <x v="2391"/>
    </i>
    <i>
      <x v="2392"/>
    </i>
    <i>
      <x v="2393"/>
    </i>
    <i>
      <x v="2394"/>
    </i>
    <i>
      <x v="2395"/>
    </i>
    <i>
      <x v="2396"/>
    </i>
    <i>
      <x v="2397"/>
    </i>
    <i>
      <x v="2398"/>
    </i>
    <i>
      <x v="2399"/>
    </i>
    <i>
      <x v="2400"/>
    </i>
    <i>
      <x v="2401"/>
    </i>
    <i>
      <x v="2402"/>
    </i>
    <i>
      <x v="2403"/>
    </i>
    <i>
      <x v="2404"/>
    </i>
    <i>
      <x v="2405"/>
    </i>
    <i>
      <x v="2406"/>
    </i>
    <i>
      <x v="2407"/>
    </i>
    <i>
      <x v="2408"/>
    </i>
    <i>
      <x v="2409"/>
    </i>
    <i>
      <x v="2410"/>
    </i>
    <i>
      <x v="2411"/>
    </i>
    <i>
      <x v="2412"/>
    </i>
    <i>
      <x v="2413"/>
    </i>
    <i>
      <x v="2414"/>
    </i>
    <i>
      <x v="2415"/>
    </i>
    <i>
      <x v="2416"/>
    </i>
    <i>
      <x v="2417"/>
    </i>
    <i>
      <x v="2418"/>
    </i>
    <i>
      <x v="2419"/>
    </i>
    <i>
      <x v="2420"/>
    </i>
    <i>
      <x v="2421"/>
    </i>
    <i>
      <x v="2422"/>
    </i>
    <i>
      <x v="2423"/>
    </i>
    <i>
      <x v="2424"/>
    </i>
    <i>
      <x v="2425"/>
    </i>
    <i>
      <x v="2426"/>
    </i>
    <i>
      <x v="2427"/>
    </i>
    <i>
      <x v="2428"/>
    </i>
    <i>
      <x v="2429"/>
    </i>
    <i>
      <x v="2430"/>
    </i>
    <i>
      <x v="2431"/>
    </i>
    <i>
      <x v="2432"/>
    </i>
    <i>
      <x v="2433"/>
    </i>
    <i>
      <x v="2434"/>
    </i>
    <i>
      <x v="2435"/>
    </i>
    <i>
      <x v="2436"/>
    </i>
    <i>
      <x v="2437"/>
    </i>
    <i>
      <x v="2438"/>
    </i>
    <i>
      <x v="2439"/>
    </i>
    <i>
      <x v="2440"/>
    </i>
    <i>
      <x v="2441"/>
    </i>
    <i>
      <x v="2442"/>
    </i>
    <i>
      <x v="2443"/>
    </i>
    <i>
      <x v="2444"/>
    </i>
    <i>
      <x v="2445"/>
    </i>
    <i>
      <x v="2446"/>
    </i>
    <i>
      <x v="2447"/>
    </i>
    <i>
      <x v="2448"/>
    </i>
    <i>
      <x v="2449"/>
    </i>
    <i>
      <x v="2450"/>
    </i>
    <i>
      <x v="2451"/>
    </i>
    <i>
      <x v="2452"/>
    </i>
    <i>
      <x v="2453"/>
    </i>
    <i>
      <x v="2454"/>
    </i>
    <i>
      <x v="2455"/>
    </i>
    <i>
      <x v="2456"/>
    </i>
    <i>
      <x v="2457"/>
    </i>
    <i>
      <x v="2458"/>
    </i>
    <i>
      <x v="2459"/>
    </i>
    <i>
      <x v="2460"/>
    </i>
    <i>
      <x v="2461"/>
    </i>
    <i>
      <x v="2462"/>
    </i>
    <i>
      <x v="2463"/>
    </i>
    <i>
      <x v="2464"/>
    </i>
    <i>
      <x v="2465"/>
    </i>
    <i>
      <x v="2466"/>
    </i>
    <i>
      <x v="2467"/>
    </i>
    <i>
      <x v="2468"/>
    </i>
    <i>
      <x v="2469"/>
    </i>
    <i>
      <x v="2470"/>
    </i>
    <i>
      <x v="2471"/>
    </i>
    <i>
      <x v="2472"/>
    </i>
    <i>
      <x v="2473"/>
    </i>
    <i>
      <x v="2474"/>
    </i>
    <i>
      <x v="2475"/>
    </i>
    <i>
      <x v="2476"/>
    </i>
    <i>
      <x v="2477"/>
    </i>
    <i>
      <x v="2478"/>
    </i>
    <i>
      <x v="2479"/>
    </i>
    <i>
      <x v="2480"/>
    </i>
    <i>
      <x v="2481"/>
    </i>
    <i>
      <x v="2482"/>
    </i>
    <i>
      <x v="2483"/>
    </i>
    <i>
      <x v="2484"/>
    </i>
    <i>
      <x v="2485"/>
    </i>
    <i>
      <x v="2486"/>
    </i>
    <i>
      <x v="2487"/>
    </i>
    <i>
      <x v="2488"/>
    </i>
    <i>
      <x v="2489"/>
    </i>
    <i>
      <x v="2490"/>
    </i>
    <i>
      <x v="2491"/>
    </i>
    <i>
      <x v="2492"/>
    </i>
    <i>
      <x v="2493"/>
    </i>
    <i>
      <x v="2494"/>
    </i>
    <i>
      <x v="2495"/>
    </i>
    <i>
      <x v="2496"/>
    </i>
    <i>
      <x v="2497"/>
    </i>
    <i>
      <x v="2498"/>
    </i>
    <i>
      <x v="2499"/>
    </i>
    <i>
      <x v="2500"/>
    </i>
    <i>
      <x v="2501"/>
    </i>
    <i>
      <x v="2502"/>
    </i>
    <i>
      <x v="2503"/>
    </i>
    <i>
      <x v="2504"/>
    </i>
    <i>
      <x v="2505"/>
    </i>
    <i>
      <x v="2506"/>
    </i>
    <i>
      <x v="2507"/>
    </i>
    <i>
      <x v="2508"/>
    </i>
    <i>
      <x v="2509"/>
    </i>
    <i>
      <x v="2510"/>
    </i>
    <i>
      <x v="2511"/>
    </i>
    <i>
      <x v="2512"/>
    </i>
    <i>
      <x v="2513"/>
    </i>
    <i>
      <x v="2514"/>
    </i>
    <i>
      <x v="2515"/>
    </i>
    <i>
      <x v="2516"/>
    </i>
    <i>
      <x v="2517"/>
    </i>
    <i>
      <x v="2518"/>
    </i>
    <i>
      <x v="2519"/>
    </i>
    <i>
      <x v="2520"/>
    </i>
    <i>
      <x v="2521"/>
    </i>
    <i>
      <x v="2522"/>
    </i>
    <i>
      <x v="2523"/>
    </i>
    <i>
      <x v="2524"/>
    </i>
    <i>
      <x v="2525"/>
    </i>
    <i>
      <x v="2526"/>
    </i>
    <i>
      <x v="2527"/>
    </i>
    <i>
      <x v="2528"/>
    </i>
    <i>
      <x v="2529"/>
    </i>
    <i>
      <x v="2530"/>
    </i>
    <i>
      <x v="2531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03B66B-5AE3-4476-AC88-42FFA0063D17}" name="PivotTable3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20" firstHeaderRow="1" firstDataRow="1" firstDataCol="0"/>
  <pivotFields count="18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533"/>
  <sheetViews>
    <sheetView workbookViewId="0">
      <selection activeCell="E15" sqref="E15"/>
    </sheetView>
  </sheetViews>
  <sheetFormatPr defaultRowHeight="15" x14ac:dyDescent="0.25"/>
  <cols>
    <col min="1" max="1" width="13.140625" style="9" bestFit="1" customWidth="1"/>
    <col min="2" max="7" width="18.42578125" style="4" customWidth="1"/>
    <col min="8" max="9" width="18.42578125" style="3" customWidth="1"/>
    <col min="10" max="16384" width="9.140625" style="4"/>
  </cols>
  <sheetData>
    <row r="1" spans="1:9" s="7" customFormat="1" x14ac:dyDescent="0.25">
      <c r="A1" s="8" t="s">
        <v>259</v>
      </c>
      <c r="B1" s="5" t="s">
        <v>0</v>
      </c>
      <c r="C1" s="5" t="s">
        <v>260</v>
      </c>
      <c r="D1" s="5" t="s">
        <v>261</v>
      </c>
      <c r="E1" s="5" t="s">
        <v>262</v>
      </c>
      <c r="F1" s="5" t="s">
        <v>263</v>
      </c>
      <c r="G1" s="5" t="s">
        <v>264</v>
      </c>
      <c r="H1" s="6" t="s">
        <v>265</v>
      </c>
      <c r="I1" s="6" t="s">
        <v>266</v>
      </c>
    </row>
    <row r="2" spans="1:9" x14ac:dyDescent="0.25">
      <c r="A2" s="9">
        <v>10001</v>
      </c>
      <c r="B2" s="4">
        <v>523</v>
      </c>
      <c r="C2" s="4">
        <v>281</v>
      </c>
      <c r="D2" s="4">
        <v>29</v>
      </c>
      <c r="E2" s="4">
        <v>281</v>
      </c>
      <c r="F2" s="4">
        <v>15070</v>
      </c>
      <c r="G2" s="4">
        <v>193.2</v>
      </c>
      <c r="H2" s="3">
        <v>4.9000000000000004</v>
      </c>
      <c r="I2" s="3">
        <v>1.63</v>
      </c>
    </row>
    <row r="3" spans="1:9" x14ac:dyDescent="0.25">
      <c r="A3" s="9">
        <v>10003</v>
      </c>
      <c r="B3" s="4">
        <v>2124</v>
      </c>
      <c r="C3" s="4">
        <v>1277</v>
      </c>
      <c r="D3" s="4">
        <v>93</v>
      </c>
      <c r="E3" s="4">
        <v>1327</v>
      </c>
      <c r="F3" s="4">
        <v>57077</v>
      </c>
      <c r="G3" s="4">
        <v>836.1</v>
      </c>
      <c r="H3" s="3">
        <v>4.6999999999999993</v>
      </c>
      <c r="I3" s="3">
        <v>1.7150000000000001</v>
      </c>
    </row>
    <row r="4" spans="1:9" x14ac:dyDescent="0.25">
      <c r="A4" s="9">
        <v>10005</v>
      </c>
      <c r="B4" s="4">
        <v>808</v>
      </c>
      <c r="C4" s="4">
        <v>403</v>
      </c>
      <c r="D4" s="4">
        <v>18</v>
      </c>
      <c r="E4" s="4">
        <v>417</v>
      </c>
      <c r="F4" s="4">
        <v>26443</v>
      </c>
      <c r="G4" s="4">
        <v>285.40000000000003</v>
      </c>
      <c r="H4" s="3">
        <v>4.1500000000000004</v>
      </c>
      <c r="I4" s="3">
        <v>1.5633333333333332</v>
      </c>
    </row>
    <row r="5" spans="1:9" x14ac:dyDescent="0.25">
      <c r="A5" s="9">
        <v>11001</v>
      </c>
      <c r="B5" s="4">
        <v>4401</v>
      </c>
      <c r="C5" s="4">
        <v>1969</v>
      </c>
      <c r="D5" s="4">
        <v>161</v>
      </c>
      <c r="E5" s="4">
        <v>1969</v>
      </c>
      <c r="F5" s="4">
        <v>95324</v>
      </c>
      <c r="G5" s="4">
        <v>1553.5</v>
      </c>
      <c r="H5" s="3">
        <v>6.1571428571428575</v>
      </c>
      <c r="I5" s="3">
        <v>1.8714285714285717</v>
      </c>
    </row>
    <row r="6" spans="1:9" x14ac:dyDescent="0.25">
      <c r="A6" s="9">
        <v>12001</v>
      </c>
      <c r="B6" s="4">
        <v>1879</v>
      </c>
      <c r="C6" s="4">
        <v>1302</v>
      </c>
      <c r="D6" s="4">
        <v>66</v>
      </c>
      <c r="E6" s="4">
        <v>1596</v>
      </c>
      <c r="F6" s="4">
        <v>71199</v>
      </c>
      <c r="G6" s="4">
        <v>1077.4000000000001</v>
      </c>
      <c r="H6" s="3">
        <v>5.6</v>
      </c>
      <c r="I6" s="3">
        <v>1.95</v>
      </c>
    </row>
    <row r="7" spans="1:9" x14ac:dyDescent="0.25">
      <c r="A7" s="9">
        <v>12003</v>
      </c>
      <c r="B7" s="4">
        <v>54</v>
      </c>
      <c r="C7" s="4">
        <v>21</v>
      </c>
      <c r="D7" s="4">
        <v>14</v>
      </c>
      <c r="E7" s="4">
        <v>21</v>
      </c>
      <c r="F7" s="4">
        <v>312</v>
      </c>
      <c r="G7" s="4">
        <v>2.9</v>
      </c>
      <c r="H7" s="3">
        <v>3.4</v>
      </c>
      <c r="I7" s="3">
        <v>0.94</v>
      </c>
    </row>
    <row r="8" spans="1:9" x14ac:dyDescent="0.25">
      <c r="A8" s="9">
        <v>12005</v>
      </c>
      <c r="B8" s="4">
        <v>550</v>
      </c>
      <c r="C8" s="4">
        <v>515</v>
      </c>
      <c r="D8" s="4">
        <v>77</v>
      </c>
      <c r="E8" s="4">
        <v>515</v>
      </c>
      <c r="F8" s="4">
        <v>23390</v>
      </c>
      <c r="G8" s="4">
        <v>317.3</v>
      </c>
      <c r="H8" s="3">
        <v>4.9000000000000004</v>
      </c>
      <c r="I8" s="3">
        <v>1.7349999999999999</v>
      </c>
    </row>
    <row r="9" spans="1:9" x14ac:dyDescent="0.25">
      <c r="A9" s="9">
        <v>12007</v>
      </c>
      <c r="B9" s="4">
        <v>45</v>
      </c>
      <c r="C9" s="4">
        <v>25</v>
      </c>
      <c r="D9" s="4">
        <v>14</v>
      </c>
      <c r="E9" s="4">
        <v>25</v>
      </c>
      <c r="F9" s="4">
        <v>962</v>
      </c>
      <c r="G9" s="4">
        <v>11.1</v>
      </c>
      <c r="H9" s="3">
        <v>4.2</v>
      </c>
      <c r="I9" s="3">
        <v>1.03</v>
      </c>
    </row>
    <row r="10" spans="1:9" x14ac:dyDescent="0.25">
      <c r="A10" s="9">
        <v>12009</v>
      </c>
      <c r="B10" s="4">
        <v>1735</v>
      </c>
      <c r="C10" s="4">
        <v>1465</v>
      </c>
      <c r="D10" s="4">
        <v>149</v>
      </c>
      <c r="E10" s="4">
        <v>1465</v>
      </c>
      <c r="F10" s="4">
        <v>70169</v>
      </c>
      <c r="G10" s="4">
        <v>788.10000000000014</v>
      </c>
      <c r="H10" s="3">
        <v>4.1142857142857148</v>
      </c>
      <c r="I10" s="3">
        <v>1.6385714285714283</v>
      </c>
    </row>
    <row r="11" spans="1:9" x14ac:dyDescent="0.25">
      <c r="A11" s="9">
        <v>12011</v>
      </c>
      <c r="B11" s="4">
        <v>5427</v>
      </c>
      <c r="C11" s="4">
        <v>4847</v>
      </c>
      <c r="D11" s="4">
        <v>500</v>
      </c>
      <c r="E11" s="4">
        <v>4844</v>
      </c>
      <c r="F11" s="4">
        <v>204792</v>
      </c>
      <c r="G11" s="4">
        <v>2734.1999999999994</v>
      </c>
      <c r="H11" s="3">
        <v>4.8066666666666675</v>
      </c>
      <c r="I11" s="3">
        <v>1.6457142857142857</v>
      </c>
    </row>
    <row r="12" spans="1:9" x14ac:dyDescent="0.25">
      <c r="A12" s="9">
        <v>12013</v>
      </c>
      <c r="B12" s="4">
        <v>42</v>
      </c>
      <c r="C12" s="4">
        <v>15</v>
      </c>
      <c r="D12" s="4">
        <v>14</v>
      </c>
      <c r="E12" s="4">
        <v>15</v>
      </c>
      <c r="F12" s="4">
        <v>264</v>
      </c>
      <c r="G12" s="4">
        <v>7.5</v>
      </c>
      <c r="H12" s="3">
        <v>3.5</v>
      </c>
      <c r="I12" s="3">
        <v>1</v>
      </c>
    </row>
    <row r="13" spans="1:9" x14ac:dyDescent="0.25">
      <c r="A13" s="9">
        <v>12015</v>
      </c>
      <c r="B13" s="4">
        <v>486</v>
      </c>
      <c r="C13" s="4">
        <v>607</v>
      </c>
      <c r="D13" s="4">
        <v>63</v>
      </c>
      <c r="E13" s="4">
        <v>607</v>
      </c>
      <c r="F13" s="4">
        <v>25250</v>
      </c>
      <c r="G13" s="4">
        <v>320.89999999999998</v>
      </c>
      <c r="H13" s="3">
        <v>4.6333333333333337</v>
      </c>
      <c r="I13" s="3">
        <v>1.6233333333333333</v>
      </c>
    </row>
    <row r="14" spans="1:9" x14ac:dyDescent="0.25">
      <c r="A14" s="9">
        <v>12017</v>
      </c>
      <c r="B14" s="4">
        <v>399</v>
      </c>
      <c r="C14" s="4">
        <v>332</v>
      </c>
      <c r="D14" s="4">
        <v>40</v>
      </c>
      <c r="E14" s="4">
        <v>332</v>
      </c>
      <c r="F14" s="4">
        <v>16670</v>
      </c>
      <c r="G14" s="4">
        <v>191.89999999999998</v>
      </c>
      <c r="H14" s="3">
        <v>4.3</v>
      </c>
      <c r="I14" s="3">
        <v>1.605</v>
      </c>
    </row>
    <row r="15" spans="1:9" x14ac:dyDescent="0.25">
      <c r="A15" s="9">
        <v>12019</v>
      </c>
      <c r="B15" s="4">
        <v>453</v>
      </c>
      <c r="C15" s="4">
        <v>379</v>
      </c>
      <c r="D15" s="4">
        <v>36</v>
      </c>
      <c r="E15" s="4">
        <v>379</v>
      </c>
      <c r="F15" s="4">
        <v>24552</v>
      </c>
      <c r="G15" s="4">
        <v>275.3</v>
      </c>
      <c r="H15" s="3">
        <v>3.9499999999999997</v>
      </c>
      <c r="I15" s="3">
        <v>1.675</v>
      </c>
    </row>
    <row r="16" spans="1:9" x14ac:dyDescent="0.25">
      <c r="A16" s="9">
        <v>12021</v>
      </c>
      <c r="B16" s="4">
        <v>1124</v>
      </c>
      <c r="C16" s="4">
        <v>736</v>
      </c>
      <c r="D16" s="4">
        <v>58</v>
      </c>
      <c r="E16" s="4">
        <v>997</v>
      </c>
      <c r="F16" s="4">
        <v>37038</v>
      </c>
      <c r="G16" s="4">
        <v>480.20000000000005</v>
      </c>
      <c r="H16" s="3">
        <v>4.6999999999999993</v>
      </c>
      <c r="I16" s="3">
        <v>1.66</v>
      </c>
    </row>
    <row r="17" spans="1:9" x14ac:dyDescent="0.25">
      <c r="A17" s="9">
        <v>12023</v>
      </c>
      <c r="B17" s="4">
        <v>164</v>
      </c>
      <c r="C17" s="4">
        <v>178</v>
      </c>
      <c r="D17" s="4">
        <v>27</v>
      </c>
      <c r="E17" s="4">
        <v>178</v>
      </c>
      <c r="F17" s="4">
        <v>8394</v>
      </c>
      <c r="G17" s="4">
        <v>86.4</v>
      </c>
      <c r="H17" s="3">
        <v>4.0999999999999996</v>
      </c>
      <c r="I17" s="3">
        <v>1.2450000000000001</v>
      </c>
    </row>
    <row r="18" spans="1:9" x14ac:dyDescent="0.25">
      <c r="A18" s="9">
        <v>12027</v>
      </c>
      <c r="B18" s="4">
        <v>70</v>
      </c>
      <c r="C18" s="4">
        <v>49</v>
      </c>
      <c r="D18" s="4">
        <v>8</v>
      </c>
      <c r="E18" s="4">
        <v>49</v>
      </c>
      <c r="F18" s="4">
        <v>877</v>
      </c>
      <c r="G18" s="4">
        <v>8.5</v>
      </c>
      <c r="H18" s="3">
        <v>3.5</v>
      </c>
      <c r="I18" s="3">
        <v>1.27</v>
      </c>
    </row>
    <row r="19" spans="1:9" x14ac:dyDescent="0.25">
      <c r="A19" s="9">
        <v>12031</v>
      </c>
      <c r="B19" s="4">
        <v>4920</v>
      </c>
      <c r="C19" s="4">
        <v>2916</v>
      </c>
      <c r="D19" s="4">
        <v>351</v>
      </c>
      <c r="E19" s="4">
        <v>2904</v>
      </c>
      <c r="F19" s="4">
        <v>152435</v>
      </c>
      <c r="G19" s="4">
        <v>1960.8</v>
      </c>
      <c r="H19" s="3">
        <v>4.5857142857142863</v>
      </c>
      <c r="I19" s="3">
        <v>1.852857142857143</v>
      </c>
    </row>
    <row r="20" spans="1:9" x14ac:dyDescent="0.25">
      <c r="A20" s="9">
        <v>12033</v>
      </c>
      <c r="B20" s="4">
        <v>1621</v>
      </c>
      <c r="C20" s="4">
        <v>1183</v>
      </c>
      <c r="D20" s="4">
        <v>85</v>
      </c>
      <c r="E20" s="4">
        <v>1183</v>
      </c>
      <c r="F20" s="4">
        <v>58183</v>
      </c>
      <c r="G20" s="4">
        <v>756</v>
      </c>
      <c r="H20" s="3">
        <v>4.8999999999999995</v>
      </c>
      <c r="I20" s="3">
        <v>1.8066666666666666</v>
      </c>
    </row>
    <row r="21" spans="1:9" x14ac:dyDescent="0.25">
      <c r="A21" s="9">
        <v>12035</v>
      </c>
      <c r="B21" s="4">
        <v>203</v>
      </c>
      <c r="C21" s="4">
        <v>99</v>
      </c>
      <c r="D21" s="4">
        <v>18</v>
      </c>
      <c r="E21" s="4">
        <v>99</v>
      </c>
      <c r="F21" s="4">
        <v>8093</v>
      </c>
      <c r="G21" s="4">
        <v>89.5</v>
      </c>
      <c r="H21" s="3">
        <v>4</v>
      </c>
      <c r="I21" s="3">
        <v>1.53</v>
      </c>
    </row>
    <row r="22" spans="1:9" x14ac:dyDescent="0.25">
      <c r="A22" s="9">
        <v>12037</v>
      </c>
      <c r="B22" s="4">
        <v>7</v>
      </c>
      <c r="C22" s="4">
        <v>25</v>
      </c>
      <c r="D22" s="4">
        <v>14</v>
      </c>
      <c r="E22" s="4">
        <v>25</v>
      </c>
      <c r="F22" s="4">
        <v>126</v>
      </c>
      <c r="G22" s="4">
        <v>1.6</v>
      </c>
      <c r="H22" s="3">
        <v>3</v>
      </c>
      <c r="I22" s="3">
        <v>0.91</v>
      </c>
    </row>
    <row r="23" spans="1:9" x14ac:dyDescent="0.25">
      <c r="A23" s="9">
        <v>12039</v>
      </c>
      <c r="B23" s="4">
        <v>9</v>
      </c>
      <c r="C23" s="4">
        <v>24</v>
      </c>
      <c r="D23" s="4">
        <v>14</v>
      </c>
      <c r="E23" s="4">
        <v>24</v>
      </c>
      <c r="F23" s="4">
        <v>1532</v>
      </c>
      <c r="G23" s="4">
        <v>4.7</v>
      </c>
      <c r="H23" s="3">
        <v>4</v>
      </c>
      <c r="I23" s="3">
        <v>1</v>
      </c>
    </row>
    <row r="24" spans="1:9" x14ac:dyDescent="0.25">
      <c r="A24" s="9">
        <v>12045</v>
      </c>
      <c r="B24" s="4">
        <v>30</v>
      </c>
      <c r="C24" s="4">
        <v>19</v>
      </c>
      <c r="D24" s="4">
        <v>14</v>
      </c>
      <c r="E24" s="4">
        <v>19</v>
      </c>
      <c r="F24" s="4">
        <v>396</v>
      </c>
      <c r="G24" s="4">
        <v>3.9</v>
      </c>
      <c r="H24" s="3">
        <v>3.6</v>
      </c>
      <c r="I24" s="3">
        <v>1.1499999999999999</v>
      </c>
    </row>
    <row r="25" spans="1:9" x14ac:dyDescent="0.25">
      <c r="A25" s="9">
        <v>12049</v>
      </c>
      <c r="B25" s="4">
        <v>15</v>
      </c>
      <c r="C25" s="4">
        <v>25</v>
      </c>
      <c r="D25" s="4">
        <v>14</v>
      </c>
      <c r="E25" s="4">
        <v>25</v>
      </c>
      <c r="F25" s="4">
        <v>272</v>
      </c>
      <c r="G25" s="4">
        <v>22.8</v>
      </c>
      <c r="H25" s="3">
        <v>3.5</v>
      </c>
      <c r="I25" s="3">
        <v>1.06</v>
      </c>
    </row>
    <row r="26" spans="1:9" x14ac:dyDescent="0.25">
      <c r="A26" s="9">
        <v>12051</v>
      </c>
      <c r="B26" s="4">
        <v>75</v>
      </c>
      <c r="C26" s="4">
        <v>25</v>
      </c>
      <c r="D26" s="4">
        <v>3</v>
      </c>
      <c r="E26" s="4">
        <v>25</v>
      </c>
      <c r="F26" s="4">
        <v>425</v>
      </c>
      <c r="G26" s="4">
        <v>3.1</v>
      </c>
      <c r="H26" s="3">
        <v>2.2000000000000002</v>
      </c>
      <c r="I26" s="3">
        <v>1.25</v>
      </c>
    </row>
    <row r="27" spans="1:9" x14ac:dyDescent="0.25">
      <c r="A27" s="9">
        <v>12053</v>
      </c>
      <c r="B27" s="4">
        <v>522</v>
      </c>
      <c r="C27" s="4">
        <v>524</v>
      </c>
      <c r="D27" s="4">
        <v>44</v>
      </c>
      <c r="E27" s="4">
        <v>524</v>
      </c>
      <c r="F27" s="4">
        <v>29387</v>
      </c>
      <c r="G27" s="4">
        <v>342</v>
      </c>
      <c r="H27" s="3">
        <v>4.25</v>
      </c>
      <c r="I27" s="3">
        <v>1.46</v>
      </c>
    </row>
    <row r="28" spans="1:9" x14ac:dyDescent="0.25">
      <c r="A28" s="9">
        <v>12055</v>
      </c>
      <c r="B28" s="4">
        <v>358</v>
      </c>
      <c r="C28" s="4">
        <v>290</v>
      </c>
      <c r="D28" s="4">
        <v>38</v>
      </c>
      <c r="E28" s="4">
        <v>323</v>
      </c>
      <c r="F28" s="4">
        <v>14196</v>
      </c>
      <c r="G28" s="4">
        <v>154</v>
      </c>
      <c r="H28" s="3">
        <v>4.0999999999999996</v>
      </c>
      <c r="I28" s="3">
        <v>1.5750000000000002</v>
      </c>
    </row>
    <row r="29" spans="1:9" x14ac:dyDescent="0.25">
      <c r="A29" s="9">
        <v>12057</v>
      </c>
      <c r="B29" s="4">
        <v>5221</v>
      </c>
      <c r="C29" s="4">
        <v>3804</v>
      </c>
      <c r="D29" s="4">
        <v>393</v>
      </c>
      <c r="E29" s="4">
        <v>3588</v>
      </c>
      <c r="F29" s="4">
        <v>180732</v>
      </c>
      <c r="G29" s="4">
        <v>2426</v>
      </c>
      <c r="H29" s="3">
        <v>4.7</v>
      </c>
      <c r="I29" s="3">
        <v>1.7070000000000001</v>
      </c>
    </row>
    <row r="30" spans="1:9" x14ac:dyDescent="0.25">
      <c r="A30" s="9">
        <v>12059</v>
      </c>
      <c r="B30" s="4">
        <v>38</v>
      </c>
      <c r="C30" s="4">
        <v>20</v>
      </c>
      <c r="D30" s="4">
        <v>14</v>
      </c>
      <c r="E30" s="4">
        <v>20</v>
      </c>
      <c r="F30" s="4">
        <v>419</v>
      </c>
      <c r="G30" s="4">
        <v>9.1</v>
      </c>
      <c r="H30" s="3">
        <v>3.8</v>
      </c>
      <c r="I30" s="3">
        <v>0.95</v>
      </c>
    </row>
    <row r="31" spans="1:9" x14ac:dyDescent="0.25">
      <c r="A31" s="9">
        <v>12061</v>
      </c>
      <c r="B31" s="4">
        <v>582</v>
      </c>
      <c r="C31" s="4">
        <v>431</v>
      </c>
      <c r="D31" s="4">
        <v>40</v>
      </c>
      <c r="E31" s="4">
        <v>431</v>
      </c>
      <c r="F31" s="4">
        <v>18200</v>
      </c>
      <c r="G31" s="4">
        <v>208.70000000000002</v>
      </c>
      <c r="H31" s="3">
        <v>4.3000000000000007</v>
      </c>
      <c r="I31" s="3">
        <v>1.665</v>
      </c>
    </row>
    <row r="32" spans="1:9" x14ac:dyDescent="0.25">
      <c r="A32" s="9">
        <v>12063</v>
      </c>
      <c r="B32" s="4">
        <v>84</v>
      </c>
      <c r="C32" s="4">
        <v>66</v>
      </c>
      <c r="D32" s="4">
        <v>7</v>
      </c>
      <c r="E32" s="4">
        <v>66</v>
      </c>
      <c r="F32" s="4">
        <v>2645</v>
      </c>
      <c r="G32" s="4">
        <v>40</v>
      </c>
      <c r="H32" s="3">
        <v>4.3</v>
      </c>
      <c r="I32" s="3">
        <v>1.2</v>
      </c>
    </row>
    <row r="33" spans="1:9" x14ac:dyDescent="0.25">
      <c r="A33" s="9">
        <v>12069</v>
      </c>
      <c r="B33" s="4">
        <v>1147</v>
      </c>
      <c r="C33" s="4">
        <v>994</v>
      </c>
      <c r="D33" s="4">
        <v>118</v>
      </c>
      <c r="E33" s="4">
        <v>994</v>
      </c>
      <c r="F33" s="4">
        <v>56290</v>
      </c>
      <c r="G33" s="4">
        <v>641.6</v>
      </c>
      <c r="H33" s="3">
        <v>4.2249999999999996</v>
      </c>
      <c r="I33" s="3">
        <v>1.6099999999999999</v>
      </c>
    </row>
    <row r="34" spans="1:9" x14ac:dyDescent="0.25">
      <c r="A34" s="9">
        <v>12071</v>
      </c>
      <c r="B34" s="4">
        <v>2217</v>
      </c>
      <c r="C34" s="4">
        <v>1479</v>
      </c>
      <c r="D34" s="4">
        <v>141</v>
      </c>
      <c r="E34" s="4">
        <v>1448</v>
      </c>
      <c r="F34" s="4">
        <v>83022</v>
      </c>
      <c r="G34" s="4">
        <v>1023.1</v>
      </c>
      <c r="H34" s="3">
        <v>4.3250000000000002</v>
      </c>
      <c r="I34" s="3">
        <v>1.7425000000000002</v>
      </c>
    </row>
    <row r="35" spans="1:9" x14ac:dyDescent="0.25">
      <c r="A35" s="9">
        <v>12073</v>
      </c>
      <c r="B35" s="4">
        <v>1090</v>
      </c>
      <c r="C35" s="4">
        <v>652</v>
      </c>
      <c r="D35" s="4">
        <v>50</v>
      </c>
      <c r="E35" s="4">
        <v>652</v>
      </c>
      <c r="F35" s="4">
        <v>46147</v>
      </c>
      <c r="G35" s="4">
        <v>510.29999999999995</v>
      </c>
      <c r="H35" s="3">
        <v>4.2</v>
      </c>
      <c r="I35" s="3">
        <v>1.675</v>
      </c>
    </row>
    <row r="36" spans="1:9" x14ac:dyDescent="0.25">
      <c r="A36" s="9">
        <v>12075</v>
      </c>
      <c r="B36" s="4">
        <v>80</v>
      </c>
      <c r="C36" s="4">
        <v>49</v>
      </c>
      <c r="D36" s="4">
        <v>14</v>
      </c>
      <c r="E36" s="4">
        <v>49</v>
      </c>
      <c r="F36" s="4">
        <v>198</v>
      </c>
      <c r="G36" s="4">
        <v>2</v>
      </c>
      <c r="H36" s="3">
        <v>3.8</v>
      </c>
      <c r="I36" s="3">
        <v>0.85</v>
      </c>
    </row>
    <row r="37" spans="1:9" x14ac:dyDescent="0.25">
      <c r="A37" s="9">
        <v>12079</v>
      </c>
      <c r="B37" s="4">
        <v>30</v>
      </c>
      <c r="C37" s="4">
        <v>25</v>
      </c>
      <c r="D37" s="4">
        <v>14</v>
      </c>
      <c r="E37" s="4">
        <v>25</v>
      </c>
      <c r="F37" s="4">
        <v>341</v>
      </c>
      <c r="G37" s="4">
        <v>10.9</v>
      </c>
      <c r="H37" s="3">
        <v>3.6</v>
      </c>
      <c r="I37" s="3">
        <v>0.97</v>
      </c>
    </row>
    <row r="38" spans="1:9" x14ac:dyDescent="0.25">
      <c r="A38" s="9">
        <v>12081</v>
      </c>
      <c r="B38" s="4">
        <v>853</v>
      </c>
      <c r="C38" s="4">
        <v>770</v>
      </c>
      <c r="D38" s="4">
        <v>98</v>
      </c>
      <c r="E38" s="4">
        <v>770</v>
      </c>
      <c r="F38" s="4">
        <v>38757</v>
      </c>
      <c r="G38" s="4">
        <v>480.8</v>
      </c>
      <c r="H38" s="3">
        <v>4.333333333333333</v>
      </c>
      <c r="I38" s="3">
        <v>1.7033333333333331</v>
      </c>
    </row>
    <row r="39" spans="1:9" x14ac:dyDescent="0.25">
      <c r="A39" s="9">
        <v>12083</v>
      </c>
      <c r="B39" s="4">
        <v>911</v>
      </c>
      <c r="C39" s="4">
        <v>855</v>
      </c>
      <c r="D39" s="4">
        <v>110</v>
      </c>
      <c r="E39" s="4">
        <v>695</v>
      </c>
      <c r="F39" s="4">
        <v>46833</v>
      </c>
      <c r="G39" s="4">
        <v>590.5</v>
      </c>
      <c r="H39" s="3">
        <v>4.4000000000000004</v>
      </c>
      <c r="I39" s="3">
        <v>1.7749999999999999</v>
      </c>
    </row>
    <row r="40" spans="1:9" x14ac:dyDescent="0.25">
      <c r="A40" s="9">
        <v>12085</v>
      </c>
      <c r="B40" s="4">
        <v>858</v>
      </c>
      <c r="C40" s="4">
        <v>521</v>
      </c>
      <c r="D40" s="4">
        <v>57</v>
      </c>
      <c r="E40" s="4">
        <v>344</v>
      </c>
      <c r="F40" s="4">
        <v>26870</v>
      </c>
      <c r="G40" s="4">
        <v>316.89999999999998</v>
      </c>
      <c r="H40" s="3">
        <v>4.5999999999999996</v>
      </c>
      <c r="I40" s="3">
        <v>1.58</v>
      </c>
    </row>
    <row r="41" spans="1:9" x14ac:dyDescent="0.25">
      <c r="A41" s="9">
        <v>12086</v>
      </c>
      <c r="B41" s="4">
        <v>7661</v>
      </c>
      <c r="C41" s="4">
        <v>7148</v>
      </c>
      <c r="D41" s="4">
        <v>540</v>
      </c>
      <c r="E41" s="4">
        <v>8202</v>
      </c>
      <c r="F41" s="4">
        <v>282658</v>
      </c>
      <c r="G41" s="4">
        <v>3954.8</v>
      </c>
      <c r="H41" s="3">
        <v>4.9631578947368427</v>
      </c>
      <c r="I41" s="3">
        <v>1.5494444444444444</v>
      </c>
    </row>
    <row r="42" spans="1:9" x14ac:dyDescent="0.25">
      <c r="A42" s="9">
        <v>12087</v>
      </c>
      <c r="B42" s="4">
        <v>200</v>
      </c>
      <c r="C42" s="4">
        <v>129</v>
      </c>
      <c r="D42" s="4">
        <v>14</v>
      </c>
      <c r="E42" s="4">
        <v>129</v>
      </c>
      <c r="F42" s="4">
        <v>3265</v>
      </c>
      <c r="G42" s="4">
        <v>31.700000000000003</v>
      </c>
      <c r="H42" s="3">
        <v>3.0333333333333332</v>
      </c>
      <c r="I42" s="3">
        <v>1.0966666666666667</v>
      </c>
    </row>
    <row r="43" spans="1:9" x14ac:dyDescent="0.25">
      <c r="A43" s="9">
        <v>12089</v>
      </c>
      <c r="B43" s="4">
        <v>125</v>
      </c>
      <c r="C43" s="4">
        <v>54</v>
      </c>
      <c r="D43" s="4">
        <v>14</v>
      </c>
      <c r="E43" s="4">
        <v>54</v>
      </c>
      <c r="F43" s="4">
        <v>3700</v>
      </c>
      <c r="G43" s="4">
        <v>29.9</v>
      </c>
      <c r="H43" s="3">
        <v>3.1</v>
      </c>
      <c r="I43" s="3">
        <v>1.34</v>
      </c>
    </row>
    <row r="44" spans="1:9" x14ac:dyDescent="0.25">
      <c r="A44" s="9">
        <v>12091</v>
      </c>
      <c r="B44" s="4">
        <v>513</v>
      </c>
      <c r="C44" s="4">
        <v>364</v>
      </c>
      <c r="D44" s="4">
        <v>51</v>
      </c>
      <c r="E44" s="4">
        <v>364</v>
      </c>
      <c r="F44" s="4">
        <v>19584</v>
      </c>
      <c r="G44" s="4">
        <v>241</v>
      </c>
      <c r="H44" s="3">
        <v>4.2666666666666666</v>
      </c>
      <c r="I44" s="3">
        <v>1.62</v>
      </c>
    </row>
    <row r="45" spans="1:9" x14ac:dyDescent="0.25">
      <c r="A45" s="9">
        <v>12093</v>
      </c>
      <c r="B45" s="4">
        <v>95</v>
      </c>
      <c r="C45" s="4">
        <v>100</v>
      </c>
      <c r="D45" s="4">
        <v>8</v>
      </c>
      <c r="E45" s="4">
        <v>100</v>
      </c>
      <c r="F45" s="4">
        <v>4383</v>
      </c>
      <c r="G45" s="4">
        <v>47.5</v>
      </c>
      <c r="H45" s="3">
        <v>4</v>
      </c>
      <c r="I45" s="3">
        <v>1.31</v>
      </c>
    </row>
    <row r="46" spans="1:9" x14ac:dyDescent="0.25">
      <c r="A46" s="9">
        <v>12095</v>
      </c>
      <c r="B46" s="4">
        <v>5385</v>
      </c>
      <c r="C46" s="4">
        <v>4432</v>
      </c>
      <c r="D46" s="4">
        <v>306</v>
      </c>
      <c r="E46" s="4">
        <v>4673</v>
      </c>
      <c r="F46" s="4">
        <v>234437</v>
      </c>
      <c r="G46" s="4">
        <v>2921</v>
      </c>
      <c r="H46" s="3">
        <v>4.5333333333333332</v>
      </c>
      <c r="I46" s="3">
        <v>1.78</v>
      </c>
    </row>
    <row r="47" spans="1:9" x14ac:dyDescent="0.25">
      <c r="A47" s="9">
        <v>12097</v>
      </c>
      <c r="B47" s="4">
        <v>557</v>
      </c>
      <c r="C47" s="4">
        <v>511</v>
      </c>
      <c r="D47" s="4">
        <v>66</v>
      </c>
      <c r="E47" s="4">
        <v>738</v>
      </c>
      <c r="F47" s="4">
        <v>31121</v>
      </c>
      <c r="G47" s="4">
        <v>371.6</v>
      </c>
      <c r="H47" s="3">
        <v>4.1333333333333329</v>
      </c>
      <c r="I47" s="3">
        <v>1.4900000000000002</v>
      </c>
    </row>
    <row r="48" spans="1:9" x14ac:dyDescent="0.25">
      <c r="A48" s="9">
        <v>12099</v>
      </c>
      <c r="B48" s="4">
        <v>4685</v>
      </c>
      <c r="C48" s="4">
        <v>3742</v>
      </c>
      <c r="D48" s="4">
        <v>379</v>
      </c>
      <c r="E48" s="4">
        <v>3724</v>
      </c>
      <c r="F48" s="4">
        <v>183602</v>
      </c>
      <c r="G48" s="4">
        <v>2171.4</v>
      </c>
      <c r="H48" s="3">
        <v>4.3076923076923075</v>
      </c>
      <c r="I48" s="3">
        <v>1.6275000000000002</v>
      </c>
    </row>
    <row r="49" spans="1:9" x14ac:dyDescent="0.25">
      <c r="A49" s="9">
        <v>12101</v>
      </c>
      <c r="B49" s="4">
        <v>1028</v>
      </c>
      <c r="C49" s="4">
        <v>1091</v>
      </c>
      <c r="D49" s="4">
        <v>126</v>
      </c>
      <c r="E49" s="4">
        <v>1091</v>
      </c>
      <c r="F49" s="4">
        <v>61665</v>
      </c>
      <c r="G49" s="4">
        <v>680.1</v>
      </c>
      <c r="H49" s="3">
        <v>3.8833333333333333</v>
      </c>
      <c r="I49" s="3">
        <v>1.5783333333333331</v>
      </c>
    </row>
    <row r="50" spans="1:9" x14ac:dyDescent="0.25">
      <c r="A50" s="9">
        <v>12103</v>
      </c>
      <c r="B50" s="4">
        <v>3099</v>
      </c>
      <c r="C50" s="4">
        <v>2558</v>
      </c>
      <c r="D50" s="4">
        <v>240</v>
      </c>
      <c r="E50" s="4">
        <v>2632</v>
      </c>
      <c r="F50" s="4">
        <v>124083</v>
      </c>
      <c r="G50" s="4">
        <v>1553.0000000000002</v>
      </c>
      <c r="H50" s="3">
        <v>4.6090909090909085</v>
      </c>
      <c r="I50" s="3">
        <v>1.6799999999999997</v>
      </c>
    </row>
    <row r="51" spans="1:9" x14ac:dyDescent="0.25">
      <c r="A51" s="9">
        <v>12105</v>
      </c>
      <c r="B51" s="4">
        <v>1345</v>
      </c>
      <c r="C51" s="4">
        <v>1608</v>
      </c>
      <c r="D51" s="4">
        <v>154</v>
      </c>
      <c r="E51" s="4">
        <v>1640</v>
      </c>
      <c r="F51" s="4">
        <v>76863</v>
      </c>
      <c r="G51" s="4">
        <v>878.5</v>
      </c>
      <c r="H51" s="3">
        <v>4.08</v>
      </c>
      <c r="I51" s="3">
        <v>1.55</v>
      </c>
    </row>
    <row r="52" spans="1:9" x14ac:dyDescent="0.25">
      <c r="A52" s="9">
        <v>12107</v>
      </c>
      <c r="B52" s="4">
        <v>152</v>
      </c>
      <c r="C52" s="4">
        <v>99</v>
      </c>
      <c r="D52" s="4">
        <v>10</v>
      </c>
      <c r="E52" s="4">
        <v>99</v>
      </c>
      <c r="F52" s="4">
        <v>5873</v>
      </c>
      <c r="G52" s="4">
        <v>64.3</v>
      </c>
      <c r="H52" s="3">
        <v>4.0999999999999996</v>
      </c>
      <c r="I52" s="3">
        <v>1.42</v>
      </c>
    </row>
    <row r="53" spans="1:9" x14ac:dyDescent="0.25">
      <c r="A53" s="9">
        <v>12109</v>
      </c>
      <c r="B53" s="4">
        <v>445</v>
      </c>
      <c r="C53" s="4">
        <v>335</v>
      </c>
      <c r="D53" s="4">
        <v>47</v>
      </c>
      <c r="E53" s="4">
        <v>335</v>
      </c>
      <c r="F53" s="4">
        <v>13432</v>
      </c>
      <c r="G53" s="4">
        <v>156.30000000000001</v>
      </c>
      <c r="H53" s="3">
        <v>4.4000000000000004</v>
      </c>
      <c r="I53" s="3">
        <v>1.77</v>
      </c>
    </row>
    <row r="54" spans="1:9" x14ac:dyDescent="0.25">
      <c r="A54" s="9">
        <v>12111</v>
      </c>
      <c r="B54" s="4">
        <v>490</v>
      </c>
      <c r="C54" s="4">
        <v>519</v>
      </c>
      <c r="D54" s="4">
        <v>54</v>
      </c>
      <c r="E54" s="4">
        <v>653</v>
      </c>
      <c r="F54" s="4">
        <v>29735</v>
      </c>
      <c r="G54" s="4">
        <v>381.8</v>
      </c>
      <c r="H54" s="3">
        <v>4.75</v>
      </c>
      <c r="I54" s="3">
        <v>1.62</v>
      </c>
    </row>
    <row r="55" spans="1:9" x14ac:dyDescent="0.25">
      <c r="A55" s="9">
        <v>12113</v>
      </c>
      <c r="B55" s="4">
        <v>253</v>
      </c>
      <c r="C55" s="4">
        <v>194</v>
      </c>
      <c r="D55" s="4">
        <v>16</v>
      </c>
      <c r="E55" s="4">
        <v>194</v>
      </c>
      <c r="F55" s="4">
        <v>8719</v>
      </c>
      <c r="G55" s="4">
        <v>87.100000000000009</v>
      </c>
      <c r="H55" s="3">
        <v>4.666666666666667</v>
      </c>
      <c r="I55" s="3">
        <v>1.3866666666666667</v>
      </c>
    </row>
    <row r="56" spans="1:9" x14ac:dyDescent="0.25">
      <c r="A56" s="9">
        <v>12115</v>
      </c>
      <c r="B56" s="4">
        <v>1903</v>
      </c>
      <c r="C56" s="4">
        <v>1176</v>
      </c>
      <c r="D56" s="4">
        <v>118</v>
      </c>
      <c r="E56" s="4">
        <v>1176</v>
      </c>
      <c r="F56" s="4">
        <v>62164</v>
      </c>
      <c r="G56" s="4">
        <v>668.6</v>
      </c>
      <c r="H56" s="3">
        <v>3.7749999999999999</v>
      </c>
      <c r="I56" s="3">
        <v>1.6974999999999998</v>
      </c>
    </row>
    <row r="57" spans="1:9" x14ac:dyDescent="0.25">
      <c r="A57" s="9">
        <v>12117</v>
      </c>
      <c r="B57" s="4">
        <v>230</v>
      </c>
      <c r="C57" s="4">
        <v>272</v>
      </c>
      <c r="D57" s="4">
        <v>38</v>
      </c>
      <c r="E57" s="4">
        <v>819</v>
      </c>
      <c r="F57" s="4">
        <v>14816</v>
      </c>
      <c r="G57" s="4">
        <v>168.8</v>
      </c>
      <c r="H57" s="3">
        <v>4.0999999999999996</v>
      </c>
      <c r="I57" s="3">
        <v>1.6</v>
      </c>
    </row>
    <row r="58" spans="1:9" x14ac:dyDescent="0.25">
      <c r="A58" s="9">
        <v>12121</v>
      </c>
      <c r="B58" s="4">
        <v>44</v>
      </c>
      <c r="C58" s="4">
        <v>25</v>
      </c>
      <c r="D58" s="4">
        <v>14</v>
      </c>
      <c r="E58" s="4">
        <v>49</v>
      </c>
      <c r="F58" s="4">
        <v>892</v>
      </c>
      <c r="G58" s="4">
        <v>9.6999999999999993</v>
      </c>
      <c r="H58" s="3">
        <v>4</v>
      </c>
      <c r="I58" s="3">
        <v>1.07</v>
      </c>
    </row>
    <row r="59" spans="1:9" x14ac:dyDescent="0.25">
      <c r="A59" s="9">
        <v>12123</v>
      </c>
      <c r="B59" s="4">
        <v>50</v>
      </c>
      <c r="C59" s="4">
        <v>48</v>
      </c>
      <c r="D59" s="4">
        <v>6</v>
      </c>
      <c r="E59" s="4">
        <v>48</v>
      </c>
      <c r="F59" s="4">
        <v>711</v>
      </c>
      <c r="G59" s="4">
        <v>5.3</v>
      </c>
      <c r="H59" s="3">
        <v>2.7</v>
      </c>
      <c r="I59" s="3">
        <v>1.19</v>
      </c>
    </row>
    <row r="60" spans="1:9" x14ac:dyDescent="0.25">
      <c r="A60" s="9">
        <v>12125</v>
      </c>
      <c r="B60" s="4">
        <v>17</v>
      </c>
      <c r="C60" s="4">
        <v>25</v>
      </c>
      <c r="D60" s="4">
        <v>14</v>
      </c>
      <c r="E60" s="4">
        <v>145</v>
      </c>
      <c r="F60" s="4">
        <v>28</v>
      </c>
      <c r="G60" s="4">
        <v>8.4</v>
      </c>
      <c r="H60" s="3">
        <v>2</v>
      </c>
      <c r="I60" s="3">
        <v>0.83</v>
      </c>
    </row>
    <row r="61" spans="1:9" x14ac:dyDescent="0.25">
      <c r="A61" s="9">
        <v>12127</v>
      </c>
      <c r="B61" s="4">
        <v>1396</v>
      </c>
      <c r="C61" s="4">
        <v>1176</v>
      </c>
      <c r="D61" s="4">
        <v>105</v>
      </c>
      <c r="E61" s="4">
        <v>1238</v>
      </c>
      <c r="F61" s="4">
        <v>61154</v>
      </c>
      <c r="G61" s="4">
        <v>782</v>
      </c>
      <c r="H61" s="3">
        <v>4.6400000000000006</v>
      </c>
      <c r="I61" s="3">
        <v>1.6540000000000004</v>
      </c>
    </row>
    <row r="62" spans="1:9" x14ac:dyDescent="0.25">
      <c r="A62" s="9">
        <v>12131</v>
      </c>
      <c r="B62" s="4">
        <v>233</v>
      </c>
      <c r="C62" s="4">
        <v>112</v>
      </c>
      <c r="D62" s="4">
        <v>28</v>
      </c>
      <c r="E62" s="4">
        <v>112</v>
      </c>
      <c r="F62" s="4">
        <v>5872</v>
      </c>
      <c r="G62" s="4">
        <v>42.1</v>
      </c>
      <c r="H62" s="3">
        <v>3.6</v>
      </c>
      <c r="I62" s="3">
        <v>1.395</v>
      </c>
    </row>
    <row r="63" spans="1:9" x14ac:dyDescent="0.25">
      <c r="A63" s="9">
        <v>12133</v>
      </c>
      <c r="B63" s="4">
        <v>46</v>
      </c>
      <c r="C63" s="4">
        <v>25</v>
      </c>
      <c r="D63" s="4">
        <v>14</v>
      </c>
      <c r="E63" s="4">
        <v>25</v>
      </c>
      <c r="F63" s="4">
        <v>704</v>
      </c>
      <c r="G63" s="4">
        <v>14.6</v>
      </c>
      <c r="H63" s="3">
        <v>4</v>
      </c>
      <c r="I63" s="3">
        <v>1.03</v>
      </c>
    </row>
    <row r="64" spans="1:9" x14ac:dyDescent="0.25">
      <c r="A64" s="9">
        <v>13001</v>
      </c>
      <c r="B64" s="4">
        <v>36</v>
      </c>
      <c r="C64" s="4">
        <v>34</v>
      </c>
      <c r="D64" s="4">
        <v>3</v>
      </c>
      <c r="E64" s="4">
        <v>34</v>
      </c>
      <c r="F64" s="4">
        <v>541</v>
      </c>
      <c r="G64" s="4">
        <v>6.8</v>
      </c>
      <c r="H64" s="3">
        <v>4.5999999999999996</v>
      </c>
      <c r="I64" s="3">
        <v>1.18</v>
      </c>
    </row>
    <row r="65" spans="1:9" x14ac:dyDescent="0.25">
      <c r="A65" s="9">
        <v>13005</v>
      </c>
      <c r="B65" s="4">
        <v>44</v>
      </c>
      <c r="C65" s="4">
        <v>25</v>
      </c>
      <c r="D65" s="4">
        <v>4</v>
      </c>
      <c r="E65" s="4">
        <v>25</v>
      </c>
      <c r="F65" s="4">
        <v>1102</v>
      </c>
      <c r="G65" s="4">
        <v>12.9</v>
      </c>
      <c r="H65" s="3">
        <v>4</v>
      </c>
      <c r="I65" s="3">
        <v>1.07</v>
      </c>
    </row>
    <row r="66" spans="1:9" x14ac:dyDescent="0.25">
      <c r="A66" s="9">
        <v>13009</v>
      </c>
      <c r="B66" s="4">
        <v>121</v>
      </c>
      <c r="C66" s="4">
        <v>103</v>
      </c>
      <c r="D66" s="4">
        <v>12</v>
      </c>
      <c r="E66" s="4">
        <v>103</v>
      </c>
      <c r="F66" s="4">
        <v>3023</v>
      </c>
      <c r="G66" s="4">
        <v>36</v>
      </c>
      <c r="H66" s="3">
        <v>4.7</v>
      </c>
      <c r="I66" s="3">
        <v>1.44</v>
      </c>
    </row>
    <row r="67" spans="1:9" x14ac:dyDescent="0.25">
      <c r="A67" s="9">
        <v>13013</v>
      </c>
      <c r="B67" s="4">
        <v>51</v>
      </c>
      <c r="C67" s="4">
        <v>56</v>
      </c>
      <c r="D67" s="4">
        <v>6</v>
      </c>
      <c r="E67" s="4">
        <v>56</v>
      </c>
      <c r="F67" s="4">
        <v>1384</v>
      </c>
      <c r="G67" s="4">
        <v>11.4</v>
      </c>
      <c r="H67" s="3">
        <v>3</v>
      </c>
      <c r="I67" s="3">
        <v>1.23</v>
      </c>
    </row>
    <row r="68" spans="1:9" x14ac:dyDescent="0.25">
      <c r="A68" s="9">
        <v>13015</v>
      </c>
      <c r="B68" s="4">
        <v>175</v>
      </c>
      <c r="C68" s="4">
        <v>119</v>
      </c>
      <c r="D68" s="4">
        <v>21</v>
      </c>
      <c r="E68" s="4">
        <v>119</v>
      </c>
      <c r="F68" s="4">
        <v>7974</v>
      </c>
      <c r="G68" s="4">
        <v>93.2</v>
      </c>
      <c r="H68" s="3">
        <v>4.5</v>
      </c>
      <c r="I68" s="3">
        <v>1.64</v>
      </c>
    </row>
    <row r="69" spans="1:9" x14ac:dyDescent="0.25">
      <c r="A69" s="9">
        <v>13017</v>
      </c>
      <c r="B69" s="4">
        <v>38</v>
      </c>
      <c r="C69" s="4">
        <v>48</v>
      </c>
      <c r="D69" s="4">
        <v>5</v>
      </c>
      <c r="E69" s="4">
        <v>48</v>
      </c>
      <c r="F69" s="4">
        <v>1102</v>
      </c>
      <c r="G69" s="4">
        <v>10.5</v>
      </c>
      <c r="H69" s="3">
        <v>3.7</v>
      </c>
      <c r="I69" s="3">
        <v>1.1000000000000001</v>
      </c>
    </row>
    <row r="70" spans="1:9" x14ac:dyDescent="0.25">
      <c r="A70" s="9">
        <v>13019</v>
      </c>
      <c r="B70" s="4">
        <v>10</v>
      </c>
      <c r="C70" s="4">
        <v>51</v>
      </c>
      <c r="D70" s="4">
        <v>14</v>
      </c>
      <c r="E70" s="4">
        <v>51</v>
      </c>
      <c r="F70" s="4">
        <v>126</v>
      </c>
      <c r="G70" s="4">
        <v>1.6</v>
      </c>
      <c r="H70" s="3">
        <v>4.5999999999999996</v>
      </c>
      <c r="I70" s="3">
        <v>1.1000000000000001</v>
      </c>
    </row>
    <row r="71" spans="1:9" x14ac:dyDescent="0.25">
      <c r="A71" s="9">
        <v>13021</v>
      </c>
      <c r="B71" s="4">
        <v>1002</v>
      </c>
      <c r="C71" s="4">
        <v>883</v>
      </c>
      <c r="D71" s="4">
        <v>117</v>
      </c>
      <c r="E71" s="4">
        <v>883</v>
      </c>
      <c r="F71" s="4">
        <v>47160</v>
      </c>
      <c r="G71" s="4">
        <v>664.1</v>
      </c>
      <c r="H71" s="3">
        <v>4.7333333333333334</v>
      </c>
      <c r="I71" s="3">
        <v>1.8933333333333335</v>
      </c>
    </row>
    <row r="72" spans="1:9" x14ac:dyDescent="0.25">
      <c r="A72" s="9">
        <v>13023</v>
      </c>
      <c r="B72" s="4">
        <v>12</v>
      </c>
      <c r="C72" s="4">
        <v>15</v>
      </c>
      <c r="D72" s="4">
        <v>14</v>
      </c>
      <c r="E72" s="4">
        <v>15</v>
      </c>
      <c r="F72" s="4">
        <v>73</v>
      </c>
      <c r="G72" s="4">
        <v>12.9</v>
      </c>
      <c r="H72" s="3">
        <v>2.2999999999999998</v>
      </c>
      <c r="I72" s="3">
        <v>0.94</v>
      </c>
    </row>
    <row r="73" spans="1:9" x14ac:dyDescent="0.25">
      <c r="A73" s="9">
        <v>13027</v>
      </c>
      <c r="B73" s="4">
        <v>13</v>
      </c>
      <c r="C73" s="4">
        <v>25</v>
      </c>
      <c r="D73" s="4">
        <v>14</v>
      </c>
      <c r="E73" s="4">
        <v>25</v>
      </c>
      <c r="F73" s="4">
        <v>173</v>
      </c>
      <c r="G73" s="4">
        <v>13.4</v>
      </c>
      <c r="H73" s="3">
        <v>3.2</v>
      </c>
      <c r="I73" s="3">
        <v>0.92</v>
      </c>
    </row>
    <row r="74" spans="1:9" x14ac:dyDescent="0.25">
      <c r="A74" s="9">
        <v>13031</v>
      </c>
      <c r="B74" s="4">
        <v>152</v>
      </c>
      <c r="C74" s="4">
        <v>144</v>
      </c>
      <c r="D74" s="4">
        <v>24</v>
      </c>
      <c r="E74" s="4">
        <v>184</v>
      </c>
      <c r="F74" s="4">
        <v>7952</v>
      </c>
      <c r="G74" s="4">
        <v>76.2</v>
      </c>
      <c r="H74" s="3">
        <v>4.0999999999999996</v>
      </c>
      <c r="I74" s="3">
        <v>1.61</v>
      </c>
    </row>
    <row r="75" spans="1:9" x14ac:dyDescent="0.25">
      <c r="A75" s="9">
        <v>13033</v>
      </c>
      <c r="B75" s="4">
        <v>32</v>
      </c>
      <c r="C75" s="4">
        <v>40</v>
      </c>
      <c r="D75" s="4">
        <v>14</v>
      </c>
      <c r="E75" s="4">
        <v>40</v>
      </c>
      <c r="F75" s="4">
        <v>233</v>
      </c>
      <c r="G75" s="4">
        <v>2.8</v>
      </c>
      <c r="H75" s="3">
        <v>4.4000000000000004</v>
      </c>
      <c r="I75" s="3">
        <v>0.85</v>
      </c>
    </row>
    <row r="76" spans="1:9" x14ac:dyDescent="0.25">
      <c r="A76" s="9">
        <v>13035</v>
      </c>
      <c r="B76" s="4">
        <v>8</v>
      </c>
      <c r="C76" s="4">
        <v>25</v>
      </c>
      <c r="D76" s="4">
        <v>14</v>
      </c>
      <c r="E76" s="4">
        <v>25</v>
      </c>
      <c r="F76" s="4">
        <v>351</v>
      </c>
      <c r="G76" s="4">
        <v>13.1</v>
      </c>
      <c r="H76" s="3">
        <v>13.7</v>
      </c>
      <c r="I76" s="3">
        <v>0.84</v>
      </c>
    </row>
    <row r="77" spans="1:9" x14ac:dyDescent="0.25">
      <c r="A77" s="9">
        <v>13037</v>
      </c>
      <c r="B77" s="4">
        <v>80</v>
      </c>
      <c r="C77" s="4">
        <v>49</v>
      </c>
      <c r="D77" s="4">
        <v>14</v>
      </c>
      <c r="E77" s="4">
        <v>49</v>
      </c>
      <c r="F77" s="4">
        <v>344</v>
      </c>
      <c r="G77" s="4">
        <v>3.7</v>
      </c>
      <c r="H77" s="3">
        <v>2.8</v>
      </c>
      <c r="I77" s="3">
        <v>1</v>
      </c>
    </row>
    <row r="78" spans="1:9" x14ac:dyDescent="0.25">
      <c r="A78" s="9">
        <v>13039</v>
      </c>
      <c r="B78" s="4">
        <v>90</v>
      </c>
      <c r="C78" s="4">
        <v>40</v>
      </c>
      <c r="D78" s="4">
        <v>5</v>
      </c>
      <c r="E78" s="4">
        <v>40</v>
      </c>
      <c r="F78" s="4">
        <v>2563</v>
      </c>
      <c r="G78" s="4">
        <v>18.2</v>
      </c>
      <c r="H78" s="3">
        <v>3.1</v>
      </c>
      <c r="I78" s="3">
        <v>1.41</v>
      </c>
    </row>
    <row r="79" spans="1:9" x14ac:dyDescent="0.25">
      <c r="A79" s="9">
        <v>13043</v>
      </c>
      <c r="B79" s="4">
        <v>22</v>
      </c>
      <c r="C79" s="4">
        <v>25</v>
      </c>
      <c r="D79" s="4">
        <v>6</v>
      </c>
      <c r="E79" s="4">
        <v>25</v>
      </c>
      <c r="F79" s="4">
        <v>275</v>
      </c>
      <c r="G79" s="4">
        <v>7.8</v>
      </c>
      <c r="H79" s="3">
        <v>2.8</v>
      </c>
      <c r="I79" s="3">
        <v>1.17</v>
      </c>
    </row>
    <row r="80" spans="1:9" x14ac:dyDescent="0.25">
      <c r="A80" s="9">
        <v>13045</v>
      </c>
      <c r="B80" s="4">
        <v>350</v>
      </c>
      <c r="C80" s="4">
        <v>197</v>
      </c>
      <c r="D80" s="4">
        <v>18</v>
      </c>
      <c r="E80" s="4">
        <v>197</v>
      </c>
      <c r="F80" s="4">
        <v>11882</v>
      </c>
      <c r="G80" s="4">
        <v>142.30000000000001</v>
      </c>
      <c r="H80" s="3">
        <v>4.5</v>
      </c>
      <c r="I80" s="3">
        <v>1.5449999999999999</v>
      </c>
    </row>
    <row r="81" spans="1:9" x14ac:dyDescent="0.25">
      <c r="A81" s="9">
        <v>13047</v>
      </c>
      <c r="B81" s="4">
        <v>27</v>
      </c>
      <c r="C81" s="4">
        <v>36</v>
      </c>
      <c r="D81" s="4">
        <v>14</v>
      </c>
      <c r="E81" s="4">
        <v>36</v>
      </c>
      <c r="F81" s="4">
        <v>440</v>
      </c>
      <c r="G81" s="4">
        <v>3.9</v>
      </c>
      <c r="H81" s="3">
        <v>3.2</v>
      </c>
      <c r="I81" s="3">
        <v>0.96</v>
      </c>
    </row>
    <row r="82" spans="1:9" x14ac:dyDescent="0.25">
      <c r="A82" s="9">
        <v>13049</v>
      </c>
      <c r="B82" s="4">
        <v>80</v>
      </c>
      <c r="C82" s="4">
        <v>49</v>
      </c>
      <c r="D82" s="4">
        <v>14</v>
      </c>
      <c r="E82" s="4">
        <v>49</v>
      </c>
      <c r="F82" s="4">
        <v>1532</v>
      </c>
      <c r="G82" s="4">
        <v>16</v>
      </c>
      <c r="H82" s="3">
        <v>4</v>
      </c>
      <c r="I82" s="3">
        <v>1</v>
      </c>
    </row>
    <row r="83" spans="1:9" x14ac:dyDescent="0.25">
      <c r="A83" s="9">
        <v>13051</v>
      </c>
      <c r="B83" s="4">
        <v>1053</v>
      </c>
      <c r="C83" s="4">
        <v>939</v>
      </c>
      <c r="D83" s="4">
        <v>62</v>
      </c>
      <c r="E83" s="4">
        <v>939</v>
      </c>
      <c r="F83" s="4">
        <v>46984</v>
      </c>
      <c r="G83" s="4">
        <v>689.4</v>
      </c>
      <c r="H83" s="3">
        <v>5.5</v>
      </c>
      <c r="I83" s="3">
        <v>1.9100000000000001</v>
      </c>
    </row>
    <row r="84" spans="1:9" x14ac:dyDescent="0.25">
      <c r="A84" s="9">
        <v>13057</v>
      </c>
      <c r="B84" s="4">
        <v>353</v>
      </c>
      <c r="C84" s="4">
        <v>150</v>
      </c>
      <c r="D84" s="4">
        <v>19</v>
      </c>
      <c r="E84" s="4">
        <v>150</v>
      </c>
      <c r="F84" s="4">
        <v>10548</v>
      </c>
      <c r="G84" s="4">
        <v>141</v>
      </c>
      <c r="H84" s="3">
        <v>5.4</v>
      </c>
      <c r="I84" s="3">
        <v>1.69</v>
      </c>
    </row>
    <row r="85" spans="1:9" x14ac:dyDescent="0.25">
      <c r="A85" s="9">
        <v>13059</v>
      </c>
      <c r="B85" s="4">
        <v>985</v>
      </c>
      <c r="C85" s="4">
        <v>522</v>
      </c>
      <c r="D85" s="4">
        <v>92</v>
      </c>
      <c r="E85" s="4">
        <v>522</v>
      </c>
      <c r="F85" s="4">
        <v>30650</v>
      </c>
      <c r="G85" s="4">
        <v>364.5</v>
      </c>
      <c r="H85" s="3">
        <v>4.5999999999999996</v>
      </c>
      <c r="I85" s="3">
        <v>1.72</v>
      </c>
    </row>
    <row r="86" spans="1:9" x14ac:dyDescent="0.25">
      <c r="A86" s="9">
        <v>13063</v>
      </c>
      <c r="B86" s="4">
        <v>178</v>
      </c>
      <c r="C86" s="4">
        <v>244</v>
      </c>
      <c r="D86" s="4">
        <v>34</v>
      </c>
      <c r="E86" s="4">
        <v>244</v>
      </c>
      <c r="F86" s="4">
        <v>10572</v>
      </c>
      <c r="G86" s="4">
        <v>118.3</v>
      </c>
      <c r="H86" s="3">
        <v>4.5</v>
      </c>
      <c r="I86" s="3">
        <v>1.81</v>
      </c>
    </row>
    <row r="87" spans="1:9" x14ac:dyDescent="0.25">
      <c r="A87" s="9">
        <v>13065</v>
      </c>
      <c r="B87" s="4">
        <v>10</v>
      </c>
      <c r="C87" s="4">
        <v>15</v>
      </c>
      <c r="D87" s="4">
        <v>14</v>
      </c>
      <c r="E87" s="4">
        <v>15</v>
      </c>
      <c r="F87" s="4">
        <v>170</v>
      </c>
      <c r="G87" s="4">
        <v>7</v>
      </c>
      <c r="H87" s="3">
        <v>2.6</v>
      </c>
      <c r="I87" s="3">
        <v>0.91</v>
      </c>
    </row>
    <row r="88" spans="1:9" x14ac:dyDescent="0.25">
      <c r="A88" s="9">
        <v>13067</v>
      </c>
      <c r="B88" s="4">
        <v>1699</v>
      </c>
      <c r="C88" s="4">
        <v>1009</v>
      </c>
      <c r="D88" s="4">
        <v>81</v>
      </c>
      <c r="E88" s="4">
        <v>1000</v>
      </c>
      <c r="F88" s="4">
        <v>59910</v>
      </c>
      <c r="G88" s="4">
        <v>781.4</v>
      </c>
      <c r="H88" s="3">
        <v>4.5999999999999996</v>
      </c>
      <c r="I88" s="3">
        <v>1.8399999999999999</v>
      </c>
    </row>
    <row r="89" spans="1:9" x14ac:dyDescent="0.25">
      <c r="A89" s="9">
        <v>13069</v>
      </c>
      <c r="B89" s="4">
        <v>98</v>
      </c>
      <c r="C89" s="4">
        <v>86</v>
      </c>
      <c r="D89" s="4">
        <v>10</v>
      </c>
      <c r="E89" s="4">
        <v>86</v>
      </c>
      <c r="F89" s="4">
        <v>4801</v>
      </c>
      <c r="G89" s="4">
        <v>45.4</v>
      </c>
      <c r="H89" s="3">
        <v>3.7</v>
      </c>
      <c r="I89" s="3">
        <v>1.33</v>
      </c>
    </row>
    <row r="90" spans="1:9" x14ac:dyDescent="0.25">
      <c r="A90" s="9">
        <v>13071</v>
      </c>
      <c r="B90" s="4">
        <v>151</v>
      </c>
      <c r="C90" s="4">
        <v>127</v>
      </c>
      <c r="D90" s="4">
        <v>10</v>
      </c>
      <c r="E90" s="4">
        <v>127</v>
      </c>
      <c r="F90" s="4">
        <v>8044</v>
      </c>
      <c r="G90" s="4">
        <v>94.699999999999989</v>
      </c>
      <c r="H90" s="3">
        <v>4.3499999999999996</v>
      </c>
      <c r="I90" s="3">
        <v>1.33</v>
      </c>
    </row>
    <row r="91" spans="1:9" x14ac:dyDescent="0.25">
      <c r="A91" s="9">
        <v>13073</v>
      </c>
      <c r="B91" s="4">
        <v>80</v>
      </c>
      <c r="C91" s="4">
        <v>49</v>
      </c>
      <c r="D91" s="4">
        <v>14</v>
      </c>
      <c r="E91" s="4">
        <v>49</v>
      </c>
      <c r="F91" s="4">
        <v>1532</v>
      </c>
      <c r="G91" s="4">
        <v>16</v>
      </c>
      <c r="H91" s="3">
        <v>4</v>
      </c>
      <c r="I91" s="3">
        <v>1</v>
      </c>
    </row>
    <row r="92" spans="1:9" x14ac:dyDescent="0.25">
      <c r="A92" s="9">
        <v>13075</v>
      </c>
      <c r="B92" s="4">
        <v>10</v>
      </c>
      <c r="C92" s="4">
        <v>33</v>
      </c>
      <c r="D92" s="4">
        <v>14</v>
      </c>
      <c r="E92" s="4">
        <v>33</v>
      </c>
      <c r="F92" s="4">
        <v>123</v>
      </c>
      <c r="G92" s="4">
        <v>2.9</v>
      </c>
      <c r="H92" s="3">
        <v>8.6999999999999993</v>
      </c>
      <c r="I92" s="3">
        <v>1.0900000000000001</v>
      </c>
    </row>
    <row r="93" spans="1:9" x14ac:dyDescent="0.25">
      <c r="A93" s="9">
        <v>13077</v>
      </c>
      <c r="B93" s="4">
        <v>395</v>
      </c>
      <c r="C93" s="4">
        <v>200</v>
      </c>
      <c r="D93" s="4">
        <v>23</v>
      </c>
      <c r="E93" s="4">
        <v>200</v>
      </c>
      <c r="F93" s="4">
        <v>12341</v>
      </c>
      <c r="G93" s="4">
        <v>141.6</v>
      </c>
      <c r="H93" s="3">
        <v>4.6500000000000004</v>
      </c>
      <c r="I93" s="3">
        <v>1.7149999999999999</v>
      </c>
    </row>
    <row r="94" spans="1:9" x14ac:dyDescent="0.25">
      <c r="A94" s="9">
        <v>13081</v>
      </c>
      <c r="B94" s="4">
        <v>95</v>
      </c>
      <c r="C94" s="4">
        <v>65</v>
      </c>
      <c r="D94" s="4">
        <v>16</v>
      </c>
      <c r="E94" s="4">
        <v>65</v>
      </c>
      <c r="F94" s="4">
        <v>3052</v>
      </c>
      <c r="G94" s="4">
        <v>33.6</v>
      </c>
      <c r="H94" s="3">
        <v>4.2</v>
      </c>
      <c r="I94" s="3">
        <v>1.47</v>
      </c>
    </row>
    <row r="95" spans="1:9" x14ac:dyDescent="0.25">
      <c r="A95" s="9">
        <v>13083</v>
      </c>
      <c r="B95" s="4">
        <v>5</v>
      </c>
      <c r="C95" s="4">
        <v>49</v>
      </c>
      <c r="D95" s="4">
        <v>14</v>
      </c>
      <c r="E95" s="4">
        <v>36</v>
      </c>
      <c r="F95" s="4">
        <v>1532</v>
      </c>
      <c r="G95" s="4">
        <v>16</v>
      </c>
      <c r="H95" s="3">
        <v>4</v>
      </c>
      <c r="I95" s="3">
        <v>1</v>
      </c>
    </row>
    <row r="96" spans="1:9" x14ac:dyDescent="0.25">
      <c r="A96" s="9">
        <v>13087</v>
      </c>
      <c r="B96" s="4">
        <v>57</v>
      </c>
      <c r="C96" s="4">
        <v>80</v>
      </c>
      <c r="D96" s="4">
        <v>10</v>
      </c>
      <c r="E96" s="4">
        <v>80</v>
      </c>
      <c r="F96" s="4">
        <v>2201</v>
      </c>
      <c r="G96" s="4">
        <v>15.8</v>
      </c>
      <c r="H96" s="3">
        <v>2.9</v>
      </c>
      <c r="I96" s="3">
        <v>1.08</v>
      </c>
    </row>
    <row r="97" spans="1:9" x14ac:dyDescent="0.25">
      <c r="A97" s="9">
        <v>13089</v>
      </c>
      <c r="B97" s="4">
        <v>1998</v>
      </c>
      <c r="C97" s="4">
        <v>1083</v>
      </c>
      <c r="D97" s="4">
        <v>155</v>
      </c>
      <c r="E97" s="4">
        <v>1232</v>
      </c>
      <c r="F97" s="4">
        <v>52971</v>
      </c>
      <c r="G97" s="4">
        <v>815.19999999999993</v>
      </c>
      <c r="H97" s="3">
        <v>5.0749999999999993</v>
      </c>
      <c r="I97" s="3">
        <v>1.78</v>
      </c>
    </row>
    <row r="98" spans="1:9" x14ac:dyDescent="0.25">
      <c r="A98" s="9">
        <v>13091</v>
      </c>
      <c r="B98" s="4">
        <v>36</v>
      </c>
      <c r="C98" s="4">
        <v>40</v>
      </c>
      <c r="D98" s="4">
        <v>6</v>
      </c>
      <c r="E98" s="4">
        <v>40</v>
      </c>
      <c r="F98" s="4">
        <v>1212</v>
      </c>
      <c r="G98" s="4">
        <v>14.5</v>
      </c>
      <c r="H98" s="3">
        <v>4.5999999999999996</v>
      </c>
      <c r="I98" s="3">
        <v>1.24</v>
      </c>
    </row>
    <row r="99" spans="1:9" x14ac:dyDescent="0.25">
      <c r="A99" s="9">
        <v>13095</v>
      </c>
      <c r="B99" s="4">
        <v>518</v>
      </c>
      <c r="C99" s="4">
        <v>405</v>
      </c>
      <c r="D99" s="4">
        <v>38</v>
      </c>
      <c r="E99" s="4">
        <v>653</v>
      </c>
      <c r="F99" s="4">
        <v>17446</v>
      </c>
      <c r="G99" s="4">
        <v>264.39999999999998</v>
      </c>
      <c r="H99" s="3">
        <v>6</v>
      </c>
      <c r="I99" s="3">
        <v>1.79</v>
      </c>
    </row>
    <row r="100" spans="1:9" x14ac:dyDescent="0.25">
      <c r="A100" s="9">
        <v>13097</v>
      </c>
      <c r="B100" s="4">
        <v>180</v>
      </c>
      <c r="C100" s="4">
        <v>102</v>
      </c>
      <c r="D100" s="4">
        <v>8</v>
      </c>
      <c r="E100" s="4">
        <v>102</v>
      </c>
      <c r="F100" s="4">
        <v>6713</v>
      </c>
      <c r="G100" s="4">
        <v>71.2</v>
      </c>
      <c r="H100" s="3">
        <v>4</v>
      </c>
      <c r="I100" s="3">
        <v>1.68</v>
      </c>
    </row>
    <row r="101" spans="1:9" x14ac:dyDescent="0.25">
      <c r="A101" s="9">
        <v>13099</v>
      </c>
      <c r="B101" s="4">
        <v>81</v>
      </c>
      <c r="C101" s="4">
        <v>25</v>
      </c>
      <c r="D101" s="4">
        <v>14</v>
      </c>
      <c r="E101" s="4">
        <v>25</v>
      </c>
      <c r="F101" s="4">
        <v>182</v>
      </c>
      <c r="G101" s="4">
        <v>9</v>
      </c>
      <c r="H101" s="3">
        <v>3.1</v>
      </c>
      <c r="I101" s="3">
        <v>0.87</v>
      </c>
    </row>
    <row r="102" spans="1:9" x14ac:dyDescent="0.25">
      <c r="A102" s="9">
        <v>13103</v>
      </c>
      <c r="B102" s="4">
        <v>72</v>
      </c>
      <c r="C102" s="4">
        <v>25</v>
      </c>
      <c r="D102" s="4">
        <v>14</v>
      </c>
      <c r="E102" s="4">
        <v>25</v>
      </c>
      <c r="F102" s="4">
        <v>395</v>
      </c>
      <c r="G102" s="4">
        <v>6.6</v>
      </c>
      <c r="H102" s="3">
        <v>3.9</v>
      </c>
      <c r="I102" s="3">
        <v>1.19</v>
      </c>
    </row>
    <row r="103" spans="1:9" x14ac:dyDescent="0.25">
      <c r="A103" s="9">
        <v>13105</v>
      </c>
      <c r="B103" s="4">
        <v>18</v>
      </c>
      <c r="C103" s="4">
        <v>52</v>
      </c>
      <c r="D103" s="4">
        <v>4</v>
      </c>
      <c r="E103" s="4">
        <v>52</v>
      </c>
      <c r="F103" s="4">
        <v>457</v>
      </c>
      <c r="G103" s="4">
        <v>7.5</v>
      </c>
      <c r="H103" s="3">
        <v>6</v>
      </c>
      <c r="I103" s="3">
        <v>1.06</v>
      </c>
    </row>
    <row r="104" spans="1:9" x14ac:dyDescent="0.25">
      <c r="A104" s="9">
        <v>13107</v>
      </c>
      <c r="B104" s="4">
        <v>38</v>
      </c>
      <c r="C104" s="4">
        <v>45</v>
      </c>
      <c r="D104" s="4">
        <v>8</v>
      </c>
      <c r="E104" s="4">
        <v>45</v>
      </c>
      <c r="F104" s="4">
        <v>931</v>
      </c>
      <c r="G104" s="4">
        <v>9</v>
      </c>
      <c r="H104" s="3">
        <v>3.5</v>
      </c>
      <c r="I104" s="3">
        <v>1.1299999999999999</v>
      </c>
    </row>
    <row r="105" spans="1:9" x14ac:dyDescent="0.25">
      <c r="A105" s="9">
        <v>13109</v>
      </c>
      <c r="B105" s="4">
        <v>28</v>
      </c>
      <c r="C105" s="4">
        <v>49</v>
      </c>
      <c r="D105" s="4">
        <v>14</v>
      </c>
      <c r="E105" s="4">
        <v>49</v>
      </c>
      <c r="F105" s="4">
        <v>408</v>
      </c>
      <c r="G105" s="4">
        <v>3.3</v>
      </c>
      <c r="H105" s="3">
        <v>3</v>
      </c>
      <c r="I105" s="3">
        <v>1.1399999999999999</v>
      </c>
    </row>
    <row r="106" spans="1:9" x14ac:dyDescent="0.25">
      <c r="A106" s="9">
        <v>13111</v>
      </c>
      <c r="B106" s="4">
        <v>67</v>
      </c>
      <c r="C106" s="4">
        <v>50</v>
      </c>
      <c r="D106" s="4">
        <v>5</v>
      </c>
      <c r="E106" s="4">
        <v>50</v>
      </c>
      <c r="F106" s="4">
        <v>1137</v>
      </c>
      <c r="G106" s="4">
        <v>8.9</v>
      </c>
      <c r="H106" s="3">
        <v>3</v>
      </c>
      <c r="I106" s="3">
        <v>1.3</v>
      </c>
    </row>
    <row r="107" spans="1:9" x14ac:dyDescent="0.25">
      <c r="A107" s="9">
        <v>13113</v>
      </c>
      <c r="B107" s="4">
        <v>449</v>
      </c>
      <c r="C107" s="4">
        <v>290</v>
      </c>
      <c r="D107" s="4">
        <v>66</v>
      </c>
      <c r="E107" s="4">
        <v>221</v>
      </c>
      <c r="F107" s="4">
        <v>17251</v>
      </c>
      <c r="G107" s="4">
        <v>235.7</v>
      </c>
      <c r="H107" s="3">
        <v>4.5999999999999996</v>
      </c>
      <c r="I107" s="3">
        <v>1.65</v>
      </c>
    </row>
    <row r="108" spans="1:9" x14ac:dyDescent="0.25">
      <c r="A108" s="9">
        <v>13115</v>
      </c>
      <c r="B108" s="4">
        <v>642</v>
      </c>
      <c r="C108" s="4">
        <v>435</v>
      </c>
      <c r="D108" s="4">
        <v>42</v>
      </c>
      <c r="E108" s="4">
        <v>435</v>
      </c>
      <c r="F108" s="4">
        <v>25337</v>
      </c>
      <c r="G108" s="4">
        <v>306</v>
      </c>
      <c r="H108" s="3">
        <v>4.6999999999999993</v>
      </c>
      <c r="I108" s="3">
        <v>1.7050000000000001</v>
      </c>
    </row>
    <row r="109" spans="1:9" x14ac:dyDescent="0.25">
      <c r="A109" s="9">
        <v>13117</v>
      </c>
      <c r="B109" s="4">
        <v>1011</v>
      </c>
      <c r="C109" s="4">
        <v>298</v>
      </c>
      <c r="D109" s="4">
        <v>24</v>
      </c>
      <c r="E109" s="4">
        <v>304</v>
      </c>
      <c r="F109" s="4">
        <v>16022</v>
      </c>
      <c r="G109" s="4">
        <v>212.7</v>
      </c>
      <c r="H109" s="3">
        <v>5.7</v>
      </c>
      <c r="I109" s="3">
        <v>1.67</v>
      </c>
    </row>
    <row r="110" spans="1:9" x14ac:dyDescent="0.25">
      <c r="A110" s="9">
        <v>13119</v>
      </c>
      <c r="B110" s="4">
        <v>59</v>
      </c>
      <c r="C110" s="4">
        <v>56</v>
      </c>
      <c r="D110" s="4">
        <v>8</v>
      </c>
      <c r="E110" s="4">
        <v>56</v>
      </c>
      <c r="F110" s="4">
        <v>1882</v>
      </c>
      <c r="G110" s="4">
        <v>18</v>
      </c>
      <c r="H110" s="3">
        <v>3.8</v>
      </c>
      <c r="I110" s="3">
        <v>1.1399999999999999</v>
      </c>
    </row>
    <row r="111" spans="1:9" x14ac:dyDescent="0.25">
      <c r="A111" s="9">
        <v>13121</v>
      </c>
      <c r="B111" s="4">
        <v>5581</v>
      </c>
      <c r="C111" s="4">
        <v>3340</v>
      </c>
      <c r="D111" s="4">
        <v>424</v>
      </c>
      <c r="E111" s="4">
        <v>3308</v>
      </c>
      <c r="F111" s="4">
        <v>175041</v>
      </c>
      <c r="G111" s="4">
        <v>2374.7999999999997</v>
      </c>
      <c r="H111" s="3">
        <v>5.3124999999999991</v>
      </c>
      <c r="I111" s="3">
        <v>1.94875</v>
      </c>
    </row>
    <row r="112" spans="1:9" x14ac:dyDescent="0.25">
      <c r="A112" s="9">
        <v>13123</v>
      </c>
      <c r="B112" s="4">
        <v>80</v>
      </c>
      <c r="C112" s="4">
        <v>49</v>
      </c>
      <c r="D112" s="4">
        <v>14</v>
      </c>
      <c r="E112" s="4">
        <v>49</v>
      </c>
      <c r="F112" s="4">
        <v>247</v>
      </c>
      <c r="G112" s="4">
        <v>2.2000000000000002</v>
      </c>
      <c r="H112" s="3">
        <v>3.2</v>
      </c>
      <c r="I112" s="3">
        <v>1</v>
      </c>
    </row>
    <row r="113" spans="1:9" x14ac:dyDescent="0.25">
      <c r="A113" s="9">
        <v>13127</v>
      </c>
      <c r="B113" s="4">
        <v>351</v>
      </c>
      <c r="C113" s="4">
        <v>300</v>
      </c>
      <c r="D113" s="4">
        <v>14</v>
      </c>
      <c r="E113" s="4">
        <v>300</v>
      </c>
      <c r="F113" s="4">
        <v>12617</v>
      </c>
      <c r="G113" s="4">
        <v>174.7</v>
      </c>
      <c r="H113" s="3">
        <v>5.3</v>
      </c>
      <c r="I113" s="3">
        <v>1.73</v>
      </c>
    </row>
    <row r="114" spans="1:9" x14ac:dyDescent="0.25">
      <c r="A114" s="9">
        <v>13129</v>
      </c>
      <c r="B114" s="4">
        <v>132</v>
      </c>
      <c r="C114" s="4">
        <v>69</v>
      </c>
      <c r="D114" s="4">
        <v>8</v>
      </c>
      <c r="E114" s="4">
        <v>69</v>
      </c>
      <c r="F114" s="4">
        <v>3996</v>
      </c>
      <c r="G114" s="4">
        <v>44.3</v>
      </c>
      <c r="H114" s="3">
        <v>4.3</v>
      </c>
      <c r="I114" s="3">
        <v>1.66</v>
      </c>
    </row>
    <row r="115" spans="1:9" x14ac:dyDescent="0.25">
      <c r="A115" s="9">
        <v>13131</v>
      </c>
      <c r="B115" s="4">
        <v>37</v>
      </c>
      <c r="C115" s="4">
        <v>44</v>
      </c>
      <c r="D115" s="4">
        <v>2</v>
      </c>
      <c r="E115" s="4">
        <v>44</v>
      </c>
      <c r="F115" s="4">
        <v>1024</v>
      </c>
      <c r="G115" s="4">
        <v>13.4</v>
      </c>
      <c r="H115" s="3">
        <v>5.2</v>
      </c>
      <c r="I115" s="3">
        <v>1.21</v>
      </c>
    </row>
    <row r="116" spans="1:9" x14ac:dyDescent="0.25">
      <c r="A116" s="9">
        <v>13133</v>
      </c>
      <c r="B116" s="4">
        <v>55</v>
      </c>
      <c r="C116" s="4">
        <v>25</v>
      </c>
      <c r="D116" s="4">
        <v>14</v>
      </c>
      <c r="E116" s="4">
        <v>25</v>
      </c>
      <c r="F116" s="4">
        <v>903</v>
      </c>
      <c r="G116" s="4">
        <v>13.7</v>
      </c>
      <c r="H116" s="3">
        <v>3.4</v>
      </c>
      <c r="I116" s="3">
        <v>1.3</v>
      </c>
    </row>
    <row r="117" spans="1:9" x14ac:dyDescent="0.25">
      <c r="A117" s="9">
        <v>13135</v>
      </c>
      <c r="B117" s="4">
        <v>1104</v>
      </c>
      <c r="C117" s="4">
        <v>668</v>
      </c>
      <c r="D117" s="4">
        <v>68</v>
      </c>
      <c r="E117" s="4">
        <v>668</v>
      </c>
      <c r="F117" s="4">
        <v>39849</v>
      </c>
      <c r="G117" s="4">
        <v>483.5</v>
      </c>
      <c r="H117" s="3">
        <v>4.5500000000000007</v>
      </c>
      <c r="I117" s="3">
        <v>1.62</v>
      </c>
    </row>
    <row r="118" spans="1:9" x14ac:dyDescent="0.25">
      <c r="A118" s="9">
        <v>13137</v>
      </c>
      <c r="B118" s="4">
        <v>70</v>
      </c>
      <c r="C118" s="4">
        <v>53</v>
      </c>
      <c r="D118" s="4">
        <v>4</v>
      </c>
      <c r="E118" s="4">
        <v>53</v>
      </c>
      <c r="F118" s="4">
        <v>1640</v>
      </c>
      <c r="G118" s="4">
        <v>15.9</v>
      </c>
      <c r="H118" s="3">
        <v>3.9</v>
      </c>
      <c r="I118" s="3">
        <v>1.27</v>
      </c>
    </row>
    <row r="119" spans="1:9" x14ac:dyDescent="0.25">
      <c r="A119" s="9">
        <v>13139</v>
      </c>
      <c r="B119" s="4">
        <v>1046</v>
      </c>
      <c r="C119" s="4">
        <v>542</v>
      </c>
      <c r="D119" s="4">
        <v>79</v>
      </c>
      <c r="E119" s="4">
        <v>542</v>
      </c>
      <c r="F119" s="4">
        <v>36193</v>
      </c>
      <c r="G119" s="4">
        <v>439.5</v>
      </c>
      <c r="H119" s="3">
        <v>4.9000000000000004</v>
      </c>
      <c r="I119" s="3">
        <v>1.87</v>
      </c>
    </row>
    <row r="120" spans="1:9" x14ac:dyDescent="0.25">
      <c r="A120" s="9">
        <v>13143</v>
      </c>
      <c r="B120" s="4">
        <v>47</v>
      </c>
      <c r="C120" s="4">
        <v>15</v>
      </c>
      <c r="D120" s="4">
        <v>14</v>
      </c>
      <c r="E120" s="4">
        <v>15</v>
      </c>
      <c r="F120" s="4">
        <v>342</v>
      </c>
      <c r="G120" s="4">
        <v>12.4</v>
      </c>
      <c r="H120" s="3">
        <v>4.0999999999999996</v>
      </c>
      <c r="I120" s="3">
        <v>1.1100000000000001</v>
      </c>
    </row>
    <row r="121" spans="1:9" x14ac:dyDescent="0.25">
      <c r="A121" s="9">
        <v>13147</v>
      </c>
      <c r="B121" s="4">
        <v>80</v>
      </c>
      <c r="C121" s="4">
        <v>49</v>
      </c>
      <c r="D121" s="4">
        <v>14</v>
      </c>
      <c r="E121" s="4">
        <v>49</v>
      </c>
      <c r="F121" s="4">
        <v>566</v>
      </c>
      <c r="G121" s="4">
        <v>5.2</v>
      </c>
      <c r="H121" s="3">
        <v>3.4</v>
      </c>
      <c r="I121" s="3">
        <v>1</v>
      </c>
    </row>
    <row r="122" spans="1:9" x14ac:dyDescent="0.25">
      <c r="A122" s="9">
        <v>13151</v>
      </c>
      <c r="B122" s="4">
        <v>469</v>
      </c>
      <c r="C122" s="4">
        <v>252</v>
      </c>
      <c r="D122" s="4">
        <v>14</v>
      </c>
      <c r="E122" s="4">
        <v>215</v>
      </c>
      <c r="F122" s="4">
        <v>15434</v>
      </c>
      <c r="G122" s="4">
        <v>186.5</v>
      </c>
      <c r="H122" s="3">
        <v>4.4000000000000004</v>
      </c>
      <c r="I122" s="3">
        <v>1.61</v>
      </c>
    </row>
    <row r="123" spans="1:9" x14ac:dyDescent="0.25">
      <c r="A123" s="9">
        <v>13153</v>
      </c>
      <c r="B123" s="4">
        <v>332</v>
      </c>
      <c r="C123" s="4">
        <v>276</v>
      </c>
      <c r="D123" s="4">
        <v>36</v>
      </c>
      <c r="E123" s="4">
        <v>276</v>
      </c>
      <c r="F123" s="4">
        <v>14327</v>
      </c>
      <c r="G123" s="4">
        <v>182.39999999999998</v>
      </c>
      <c r="H123" s="3">
        <v>5.3</v>
      </c>
      <c r="I123" s="3">
        <v>1.35</v>
      </c>
    </row>
    <row r="124" spans="1:9" x14ac:dyDescent="0.25">
      <c r="A124" s="9">
        <v>13155</v>
      </c>
      <c r="B124" s="4">
        <v>20</v>
      </c>
      <c r="C124" s="4">
        <v>34</v>
      </c>
      <c r="D124" s="4">
        <v>14</v>
      </c>
      <c r="E124" s="4">
        <v>34</v>
      </c>
      <c r="F124" s="4">
        <v>1006</v>
      </c>
      <c r="G124" s="4">
        <v>4.0999999999999996</v>
      </c>
      <c r="H124" s="3">
        <v>2.2000000000000002</v>
      </c>
      <c r="I124" s="3">
        <v>0.98</v>
      </c>
    </row>
    <row r="125" spans="1:9" x14ac:dyDescent="0.25">
      <c r="A125" s="9">
        <v>13157</v>
      </c>
      <c r="B125" s="4">
        <v>33</v>
      </c>
      <c r="C125" s="4">
        <v>28</v>
      </c>
      <c r="D125" s="4">
        <v>14</v>
      </c>
      <c r="E125" s="4">
        <v>128</v>
      </c>
      <c r="F125" s="4">
        <v>327</v>
      </c>
      <c r="G125" s="4">
        <v>3.4</v>
      </c>
      <c r="H125" s="3">
        <v>3.8</v>
      </c>
      <c r="I125" s="3">
        <v>1.1499999999999999</v>
      </c>
    </row>
    <row r="126" spans="1:9" x14ac:dyDescent="0.25">
      <c r="A126" s="9">
        <v>13159</v>
      </c>
      <c r="B126" s="4">
        <v>15</v>
      </c>
      <c r="C126" s="4">
        <v>12</v>
      </c>
      <c r="D126" s="4">
        <v>14</v>
      </c>
      <c r="E126" s="4">
        <v>12</v>
      </c>
      <c r="F126" s="4">
        <v>5</v>
      </c>
      <c r="G126" s="4">
        <v>3.8</v>
      </c>
      <c r="H126" s="3">
        <v>16.8</v>
      </c>
      <c r="I126" s="3">
        <v>1.1100000000000001</v>
      </c>
    </row>
    <row r="127" spans="1:9" x14ac:dyDescent="0.25">
      <c r="A127" s="9">
        <v>13161</v>
      </c>
      <c r="B127" s="4">
        <v>27</v>
      </c>
      <c r="C127" s="4">
        <v>25</v>
      </c>
      <c r="D127" s="4">
        <v>4</v>
      </c>
      <c r="E127" s="4">
        <v>25</v>
      </c>
      <c r="F127" s="4">
        <v>448</v>
      </c>
      <c r="G127" s="4">
        <v>8.1999999999999993</v>
      </c>
      <c r="H127" s="3">
        <v>3.4</v>
      </c>
      <c r="I127" s="3">
        <v>1.17</v>
      </c>
    </row>
    <row r="128" spans="1:9" x14ac:dyDescent="0.25">
      <c r="A128" s="9">
        <v>13163</v>
      </c>
      <c r="B128" s="4">
        <v>21</v>
      </c>
      <c r="C128" s="4">
        <v>37</v>
      </c>
      <c r="D128" s="4">
        <v>14</v>
      </c>
      <c r="E128" s="4">
        <v>37</v>
      </c>
      <c r="F128" s="4">
        <v>385</v>
      </c>
      <c r="G128" s="4">
        <v>4.5999999999999996</v>
      </c>
      <c r="H128" s="3">
        <v>4.4000000000000004</v>
      </c>
      <c r="I128" s="3">
        <v>1.05</v>
      </c>
    </row>
    <row r="129" spans="1:9" x14ac:dyDescent="0.25">
      <c r="A129" s="9">
        <v>13165</v>
      </c>
      <c r="B129" s="4">
        <v>3</v>
      </c>
      <c r="C129" s="4">
        <v>15</v>
      </c>
      <c r="D129" s="4">
        <v>14</v>
      </c>
      <c r="E129" s="4">
        <v>15</v>
      </c>
      <c r="F129" s="4">
        <v>61</v>
      </c>
      <c r="G129" s="4">
        <v>1.2</v>
      </c>
      <c r="H129" s="3">
        <v>1.1000000000000001</v>
      </c>
      <c r="I129" s="3">
        <v>0.86</v>
      </c>
    </row>
    <row r="130" spans="1:9" x14ac:dyDescent="0.25">
      <c r="A130" s="9">
        <v>13173</v>
      </c>
      <c r="B130" s="4">
        <v>7</v>
      </c>
      <c r="C130" s="4">
        <v>25</v>
      </c>
      <c r="D130" s="4">
        <v>14</v>
      </c>
      <c r="E130" s="4">
        <v>25</v>
      </c>
      <c r="F130" s="4">
        <v>189</v>
      </c>
      <c r="G130" s="4">
        <v>6</v>
      </c>
      <c r="H130" s="3">
        <v>2.6</v>
      </c>
      <c r="I130" s="3">
        <v>1</v>
      </c>
    </row>
    <row r="131" spans="1:9" x14ac:dyDescent="0.25">
      <c r="A131" s="9">
        <v>13175</v>
      </c>
      <c r="B131" s="4">
        <v>151</v>
      </c>
      <c r="C131" s="4">
        <v>145</v>
      </c>
      <c r="D131" s="4">
        <v>16</v>
      </c>
      <c r="E131" s="4">
        <v>145</v>
      </c>
      <c r="F131" s="4">
        <v>7425</v>
      </c>
      <c r="G131" s="4">
        <v>77.7</v>
      </c>
      <c r="H131" s="3">
        <v>4.0999999999999996</v>
      </c>
      <c r="I131" s="3">
        <v>1.52</v>
      </c>
    </row>
    <row r="132" spans="1:9" x14ac:dyDescent="0.25">
      <c r="A132" s="9">
        <v>13179</v>
      </c>
      <c r="B132" s="4">
        <v>64</v>
      </c>
      <c r="C132" s="4">
        <v>25</v>
      </c>
      <c r="D132" s="4">
        <v>14</v>
      </c>
      <c r="E132" s="4">
        <v>25</v>
      </c>
      <c r="F132" s="4">
        <v>963</v>
      </c>
      <c r="G132" s="4">
        <v>7.5</v>
      </c>
      <c r="H132" s="3">
        <v>3.5</v>
      </c>
      <c r="I132" s="3">
        <v>1.2</v>
      </c>
    </row>
    <row r="133" spans="1:9" x14ac:dyDescent="0.25">
      <c r="A133" s="9">
        <v>13185</v>
      </c>
      <c r="B133" s="4">
        <v>349</v>
      </c>
      <c r="C133" s="4">
        <v>257</v>
      </c>
      <c r="D133" s="4">
        <v>82</v>
      </c>
      <c r="E133" s="4">
        <v>257</v>
      </c>
      <c r="F133" s="4">
        <v>14043</v>
      </c>
      <c r="G133" s="4">
        <v>174.1</v>
      </c>
      <c r="H133" s="3">
        <v>4.9000000000000004</v>
      </c>
      <c r="I133" s="3">
        <v>1.69</v>
      </c>
    </row>
    <row r="134" spans="1:9" x14ac:dyDescent="0.25">
      <c r="A134" s="9">
        <v>13187</v>
      </c>
      <c r="B134" s="4">
        <v>80</v>
      </c>
      <c r="C134" s="4">
        <v>49</v>
      </c>
      <c r="D134" s="4">
        <v>14</v>
      </c>
      <c r="E134" s="4">
        <v>49</v>
      </c>
      <c r="F134" s="4">
        <v>308</v>
      </c>
      <c r="G134" s="4">
        <v>6.4</v>
      </c>
      <c r="H134" s="3">
        <v>8.1</v>
      </c>
      <c r="I134" s="3">
        <v>1.1200000000000001</v>
      </c>
    </row>
    <row r="135" spans="1:9" x14ac:dyDescent="0.25">
      <c r="A135" s="9">
        <v>13189</v>
      </c>
      <c r="B135" s="4">
        <v>30</v>
      </c>
      <c r="C135" s="4">
        <v>25</v>
      </c>
      <c r="D135" s="4">
        <v>14</v>
      </c>
      <c r="E135" s="4">
        <v>25</v>
      </c>
      <c r="F135" s="4">
        <v>540</v>
      </c>
      <c r="G135" s="4">
        <v>14.7</v>
      </c>
      <c r="H135" s="3">
        <v>10</v>
      </c>
      <c r="I135" s="3">
        <v>1.34</v>
      </c>
    </row>
    <row r="136" spans="1:9" x14ac:dyDescent="0.25">
      <c r="A136" s="9">
        <v>13193</v>
      </c>
      <c r="B136" s="4">
        <v>9</v>
      </c>
      <c r="C136" s="4">
        <v>22</v>
      </c>
      <c r="D136" s="4">
        <v>14</v>
      </c>
      <c r="E136" s="4">
        <v>22</v>
      </c>
      <c r="F136" s="4">
        <v>41</v>
      </c>
      <c r="G136" s="4">
        <v>0.5</v>
      </c>
      <c r="H136" s="3">
        <v>4.8</v>
      </c>
      <c r="I136" s="3">
        <v>1.1499999999999999</v>
      </c>
    </row>
    <row r="137" spans="1:9" x14ac:dyDescent="0.25">
      <c r="A137" s="9">
        <v>13199</v>
      </c>
      <c r="B137" s="4">
        <v>11</v>
      </c>
      <c r="C137" s="4">
        <v>25</v>
      </c>
      <c r="D137" s="4">
        <v>14</v>
      </c>
      <c r="E137" s="4">
        <v>25</v>
      </c>
      <c r="F137" s="4">
        <v>150</v>
      </c>
      <c r="G137" s="4">
        <v>12.4</v>
      </c>
      <c r="H137" s="3">
        <v>3.4</v>
      </c>
      <c r="I137" s="3">
        <v>0.92</v>
      </c>
    </row>
    <row r="138" spans="1:9" x14ac:dyDescent="0.25">
      <c r="A138" s="9">
        <v>13201</v>
      </c>
      <c r="B138" s="4">
        <v>22</v>
      </c>
      <c r="C138" s="4">
        <v>25</v>
      </c>
      <c r="D138" s="4">
        <v>14</v>
      </c>
      <c r="E138" s="4">
        <v>25</v>
      </c>
      <c r="F138" s="4">
        <v>301</v>
      </c>
      <c r="G138" s="4">
        <v>21</v>
      </c>
      <c r="H138" s="3">
        <v>3.8</v>
      </c>
      <c r="I138" s="3">
        <v>1.05</v>
      </c>
    </row>
    <row r="139" spans="1:9" x14ac:dyDescent="0.25">
      <c r="A139" s="9">
        <v>13205</v>
      </c>
      <c r="B139" s="4">
        <v>15</v>
      </c>
      <c r="C139" s="4">
        <v>25</v>
      </c>
      <c r="D139" s="4">
        <v>14</v>
      </c>
      <c r="E139" s="4">
        <v>25</v>
      </c>
      <c r="F139" s="4">
        <v>74</v>
      </c>
      <c r="G139" s="4">
        <v>15.2</v>
      </c>
      <c r="H139" s="3">
        <v>2.6</v>
      </c>
      <c r="I139" s="3">
        <v>0.94</v>
      </c>
    </row>
    <row r="140" spans="1:9" x14ac:dyDescent="0.25">
      <c r="A140" s="9">
        <v>13207</v>
      </c>
      <c r="B140" s="4">
        <v>11</v>
      </c>
      <c r="C140" s="4">
        <v>25</v>
      </c>
      <c r="D140" s="4">
        <v>14</v>
      </c>
      <c r="E140" s="4">
        <v>25</v>
      </c>
      <c r="F140" s="4">
        <v>185</v>
      </c>
      <c r="G140" s="4">
        <v>11.3</v>
      </c>
      <c r="H140" s="3">
        <v>3</v>
      </c>
      <c r="I140" s="3">
        <v>0.92</v>
      </c>
    </row>
    <row r="141" spans="1:9" x14ac:dyDescent="0.25">
      <c r="A141" s="9">
        <v>13211</v>
      </c>
      <c r="B141" s="4">
        <v>20</v>
      </c>
      <c r="C141" s="4">
        <v>25</v>
      </c>
      <c r="D141" s="4">
        <v>14</v>
      </c>
      <c r="E141" s="4">
        <v>25</v>
      </c>
      <c r="F141" s="4">
        <v>87</v>
      </c>
      <c r="G141" s="4">
        <v>13.9</v>
      </c>
      <c r="H141" s="3">
        <v>2.2999999999999998</v>
      </c>
      <c r="I141" s="3">
        <v>1.04</v>
      </c>
    </row>
    <row r="142" spans="1:9" x14ac:dyDescent="0.25">
      <c r="A142" s="9">
        <v>13213</v>
      </c>
      <c r="B142" s="4">
        <v>31</v>
      </c>
      <c r="C142" s="4">
        <v>29</v>
      </c>
      <c r="D142" s="4">
        <v>14</v>
      </c>
      <c r="E142" s="4">
        <v>29</v>
      </c>
      <c r="F142" s="4">
        <v>536</v>
      </c>
      <c r="G142" s="4">
        <v>4.3</v>
      </c>
      <c r="H142" s="3">
        <v>2.9</v>
      </c>
      <c r="I142" s="3">
        <v>1.27</v>
      </c>
    </row>
    <row r="143" spans="1:9" x14ac:dyDescent="0.25">
      <c r="A143" s="9">
        <v>13215</v>
      </c>
      <c r="B143" s="4">
        <v>818</v>
      </c>
      <c r="C143" s="4">
        <v>704</v>
      </c>
      <c r="D143" s="4">
        <v>61</v>
      </c>
      <c r="E143" s="4">
        <v>704</v>
      </c>
      <c r="F143" s="4">
        <v>34054</v>
      </c>
      <c r="G143" s="4">
        <v>417.6</v>
      </c>
      <c r="H143" s="3">
        <v>4.1749999999999998</v>
      </c>
      <c r="I143" s="3">
        <v>1.8633333333333333</v>
      </c>
    </row>
    <row r="144" spans="1:9" x14ac:dyDescent="0.25">
      <c r="A144" s="9">
        <v>13217</v>
      </c>
      <c r="B144" s="4">
        <v>156</v>
      </c>
      <c r="C144" s="4">
        <v>94</v>
      </c>
      <c r="D144" s="4">
        <v>10</v>
      </c>
      <c r="E144" s="4">
        <v>94</v>
      </c>
      <c r="F144" s="4">
        <v>5172</v>
      </c>
      <c r="G144" s="4">
        <v>45.7</v>
      </c>
      <c r="H144" s="3">
        <v>3.6</v>
      </c>
      <c r="I144" s="3">
        <v>1.43</v>
      </c>
    </row>
    <row r="145" spans="1:9" x14ac:dyDescent="0.25">
      <c r="A145" s="9">
        <v>13223</v>
      </c>
      <c r="B145" s="4">
        <v>139</v>
      </c>
      <c r="C145" s="4">
        <v>112</v>
      </c>
      <c r="D145" s="4">
        <v>8</v>
      </c>
      <c r="E145" s="4">
        <v>112</v>
      </c>
      <c r="F145" s="4">
        <v>8229</v>
      </c>
      <c r="G145" s="4">
        <v>77.400000000000006</v>
      </c>
      <c r="H145" s="3">
        <v>3.4</v>
      </c>
      <c r="I145" s="3">
        <v>1.35</v>
      </c>
    </row>
    <row r="146" spans="1:9" x14ac:dyDescent="0.25">
      <c r="A146" s="9">
        <v>13225</v>
      </c>
      <c r="B146" s="4">
        <v>21</v>
      </c>
      <c r="C146" s="4">
        <v>25</v>
      </c>
      <c r="D146" s="4">
        <v>14</v>
      </c>
      <c r="E146" s="4">
        <v>25</v>
      </c>
      <c r="F146" s="4">
        <v>843</v>
      </c>
      <c r="G146" s="4">
        <v>19.100000000000001</v>
      </c>
      <c r="H146" s="3">
        <v>2.9</v>
      </c>
      <c r="I146" s="3">
        <v>0.97</v>
      </c>
    </row>
    <row r="147" spans="1:9" x14ac:dyDescent="0.25">
      <c r="A147" s="9">
        <v>13227</v>
      </c>
      <c r="B147" s="4">
        <v>144</v>
      </c>
      <c r="C147" s="4">
        <v>52</v>
      </c>
      <c r="D147" s="4">
        <v>6</v>
      </c>
      <c r="E147" s="4">
        <v>52</v>
      </c>
      <c r="F147" s="4">
        <v>3767</v>
      </c>
      <c r="G147" s="4">
        <v>36.4</v>
      </c>
      <c r="H147" s="3">
        <v>3.7</v>
      </c>
      <c r="I147" s="3">
        <v>1.36</v>
      </c>
    </row>
    <row r="148" spans="1:9" x14ac:dyDescent="0.25">
      <c r="A148" s="9">
        <v>13233</v>
      </c>
      <c r="B148" s="4">
        <v>27</v>
      </c>
      <c r="C148" s="4">
        <v>25</v>
      </c>
      <c r="D148" s="4">
        <v>14</v>
      </c>
      <c r="E148" s="4">
        <v>25</v>
      </c>
      <c r="F148" s="4">
        <v>130</v>
      </c>
      <c r="G148" s="4">
        <v>21.1</v>
      </c>
      <c r="H148" s="3">
        <v>2.4</v>
      </c>
      <c r="I148" s="3">
        <v>0.87</v>
      </c>
    </row>
    <row r="149" spans="1:9" x14ac:dyDescent="0.25">
      <c r="A149" s="9">
        <v>13235</v>
      </c>
      <c r="B149" s="4">
        <v>62</v>
      </c>
      <c r="C149" s="4">
        <v>55</v>
      </c>
      <c r="D149" s="4">
        <v>6</v>
      </c>
      <c r="E149" s="4">
        <v>55</v>
      </c>
      <c r="F149" s="4">
        <v>1065</v>
      </c>
      <c r="G149" s="4">
        <v>8.6999999999999993</v>
      </c>
      <c r="H149" s="3">
        <v>3.3</v>
      </c>
      <c r="I149" s="3">
        <v>1.3</v>
      </c>
    </row>
    <row r="150" spans="1:9" x14ac:dyDescent="0.25">
      <c r="A150" s="9">
        <v>13237</v>
      </c>
      <c r="B150" s="4">
        <v>28</v>
      </c>
      <c r="C150" s="4">
        <v>25</v>
      </c>
      <c r="D150" s="4">
        <v>14</v>
      </c>
      <c r="E150" s="4">
        <v>25</v>
      </c>
      <c r="F150" s="4">
        <v>259</v>
      </c>
      <c r="G150" s="4">
        <v>9.6</v>
      </c>
      <c r="H150" s="3">
        <v>3.2</v>
      </c>
      <c r="I150" s="3">
        <v>1</v>
      </c>
    </row>
    <row r="151" spans="1:9" x14ac:dyDescent="0.25">
      <c r="A151" s="9">
        <v>13241</v>
      </c>
      <c r="B151" s="4">
        <v>38</v>
      </c>
      <c r="C151" s="4">
        <v>25</v>
      </c>
      <c r="D151" s="4">
        <v>14</v>
      </c>
      <c r="E151" s="4">
        <v>25</v>
      </c>
      <c r="F151" s="4">
        <v>425</v>
      </c>
      <c r="G151" s="4">
        <v>5.9</v>
      </c>
      <c r="H151" s="3">
        <v>2.6</v>
      </c>
      <c r="I151" s="3">
        <v>0.97</v>
      </c>
    </row>
    <row r="152" spans="1:9" x14ac:dyDescent="0.25">
      <c r="A152" s="9">
        <v>13243</v>
      </c>
      <c r="B152" s="4">
        <v>5</v>
      </c>
      <c r="C152" s="4">
        <v>25</v>
      </c>
      <c r="D152" s="4">
        <v>14</v>
      </c>
      <c r="E152" s="4">
        <v>25</v>
      </c>
      <c r="F152" s="4">
        <v>297</v>
      </c>
      <c r="G152" s="4">
        <v>4.0999999999999996</v>
      </c>
      <c r="H152" s="3">
        <v>3.4</v>
      </c>
      <c r="I152" s="3">
        <v>0.85</v>
      </c>
    </row>
    <row r="153" spans="1:9" x14ac:dyDescent="0.25">
      <c r="A153" s="9">
        <v>13245</v>
      </c>
      <c r="B153" s="4">
        <v>1826</v>
      </c>
      <c r="C153" s="4">
        <v>1300</v>
      </c>
      <c r="D153" s="4">
        <v>209</v>
      </c>
      <c r="E153" s="4">
        <v>1300</v>
      </c>
      <c r="F153" s="4">
        <v>63368</v>
      </c>
      <c r="G153" s="4">
        <v>890.9</v>
      </c>
      <c r="H153" s="3">
        <v>5.2666666666666666</v>
      </c>
      <c r="I153" s="3">
        <v>1.9100000000000001</v>
      </c>
    </row>
    <row r="154" spans="1:9" x14ac:dyDescent="0.25">
      <c r="A154" s="9">
        <v>13247</v>
      </c>
      <c r="B154" s="4">
        <v>312</v>
      </c>
      <c r="C154" s="4">
        <v>141</v>
      </c>
      <c r="D154" s="4">
        <v>16</v>
      </c>
      <c r="E154" s="4">
        <v>138</v>
      </c>
      <c r="F154" s="4">
        <v>8820</v>
      </c>
      <c r="G154" s="4">
        <v>106.9</v>
      </c>
      <c r="H154" s="3">
        <v>5.0999999999999996</v>
      </c>
      <c r="I154" s="3">
        <v>1.53</v>
      </c>
    </row>
    <row r="155" spans="1:9" x14ac:dyDescent="0.25">
      <c r="A155" s="9">
        <v>13251</v>
      </c>
      <c r="B155" s="4">
        <v>18</v>
      </c>
      <c r="C155" s="4">
        <v>25</v>
      </c>
      <c r="D155" s="4">
        <v>14</v>
      </c>
      <c r="E155" s="4">
        <v>25</v>
      </c>
      <c r="F155" s="4">
        <v>185</v>
      </c>
      <c r="G155" s="4">
        <v>5.4</v>
      </c>
      <c r="H155" s="3">
        <v>3</v>
      </c>
      <c r="I155" s="3">
        <v>1.06</v>
      </c>
    </row>
    <row r="156" spans="1:9" x14ac:dyDescent="0.25">
      <c r="A156" s="9">
        <v>13253</v>
      </c>
      <c r="B156" s="4">
        <v>30</v>
      </c>
      <c r="C156" s="4">
        <v>45</v>
      </c>
      <c r="D156" s="4">
        <v>14</v>
      </c>
      <c r="E156" s="4">
        <v>45</v>
      </c>
      <c r="F156" s="4">
        <v>1101</v>
      </c>
      <c r="G156" s="4">
        <v>10.3</v>
      </c>
      <c r="H156" s="3">
        <v>3.8</v>
      </c>
      <c r="I156" s="3">
        <v>1.01</v>
      </c>
    </row>
    <row r="157" spans="1:9" x14ac:dyDescent="0.25">
      <c r="A157" s="9">
        <v>13255</v>
      </c>
      <c r="B157" s="4">
        <v>148</v>
      </c>
      <c r="C157" s="4">
        <v>160</v>
      </c>
      <c r="D157" s="4">
        <v>22</v>
      </c>
      <c r="E157" s="4">
        <v>160</v>
      </c>
      <c r="F157" s="4">
        <v>8337</v>
      </c>
      <c r="G157" s="4">
        <v>92.5</v>
      </c>
      <c r="H157" s="3">
        <v>4.4000000000000004</v>
      </c>
      <c r="I157" s="3">
        <v>1.43</v>
      </c>
    </row>
    <row r="158" spans="1:9" x14ac:dyDescent="0.25">
      <c r="A158" s="9">
        <v>13257</v>
      </c>
      <c r="B158" s="4">
        <v>69</v>
      </c>
      <c r="C158" s="4">
        <v>74</v>
      </c>
      <c r="D158" s="4">
        <v>6</v>
      </c>
      <c r="E158" s="4">
        <v>74</v>
      </c>
      <c r="F158" s="4">
        <v>1632</v>
      </c>
      <c r="G158" s="4">
        <v>18.8</v>
      </c>
      <c r="H158" s="3">
        <v>4.4000000000000004</v>
      </c>
      <c r="I158" s="3">
        <v>1.33</v>
      </c>
    </row>
    <row r="159" spans="1:9" x14ac:dyDescent="0.25">
      <c r="A159" s="9">
        <v>13259</v>
      </c>
      <c r="B159" s="4">
        <v>80</v>
      </c>
      <c r="C159" s="4">
        <v>49</v>
      </c>
      <c r="D159" s="4">
        <v>14</v>
      </c>
      <c r="E159" s="4">
        <v>49</v>
      </c>
      <c r="F159" s="4">
        <v>265</v>
      </c>
      <c r="G159" s="4">
        <v>3.4</v>
      </c>
      <c r="H159" s="3">
        <v>2.5</v>
      </c>
      <c r="I159" s="3">
        <v>1</v>
      </c>
    </row>
    <row r="160" spans="1:9" x14ac:dyDescent="0.25">
      <c r="A160" s="9">
        <v>13261</v>
      </c>
      <c r="B160" s="4">
        <v>108</v>
      </c>
      <c r="C160" s="4">
        <v>54</v>
      </c>
      <c r="D160" s="4">
        <v>14</v>
      </c>
      <c r="E160" s="4">
        <v>54</v>
      </c>
      <c r="F160" s="4">
        <v>2902</v>
      </c>
      <c r="G160" s="4">
        <v>29.9</v>
      </c>
      <c r="H160" s="3">
        <v>4.0999999999999996</v>
      </c>
      <c r="I160" s="3">
        <v>1.35</v>
      </c>
    </row>
    <row r="161" spans="1:9" x14ac:dyDescent="0.25">
      <c r="A161" s="9">
        <v>13267</v>
      </c>
      <c r="B161" s="4">
        <v>55</v>
      </c>
      <c r="C161" s="4">
        <v>25</v>
      </c>
      <c r="D161" s="4">
        <v>14</v>
      </c>
      <c r="E161" s="4">
        <v>25</v>
      </c>
      <c r="F161" s="4">
        <v>1341</v>
      </c>
      <c r="G161" s="4">
        <v>7.3</v>
      </c>
      <c r="H161" s="3">
        <v>2</v>
      </c>
      <c r="I161" s="3">
        <v>2.2200000000000002</v>
      </c>
    </row>
    <row r="162" spans="1:9" x14ac:dyDescent="0.25">
      <c r="A162" s="9">
        <v>13275</v>
      </c>
      <c r="B162" s="4">
        <v>261</v>
      </c>
      <c r="C162" s="4">
        <v>226</v>
      </c>
      <c r="D162" s="4">
        <v>35</v>
      </c>
      <c r="E162" s="4">
        <v>226</v>
      </c>
      <c r="F162" s="4">
        <v>8555</v>
      </c>
      <c r="G162" s="4">
        <v>143.69999999999999</v>
      </c>
      <c r="H162" s="3">
        <v>6.3</v>
      </c>
      <c r="I162" s="3">
        <v>1.74</v>
      </c>
    </row>
    <row r="163" spans="1:9" x14ac:dyDescent="0.25">
      <c r="A163" s="9">
        <v>13277</v>
      </c>
      <c r="B163" s="4">
        <v>291</v>
      </c>
      <c r="C163" s="4">
        <v>181</v>
      </c>
      <c r="D163" s="4">
        <v>20</v>
      </c>
      <c r="E163" s="4">
        <v>181</v>
      </c>
      <c r="F163" s="4">
        <v>9327</v>
      </c>
      <c r="G163" s="4">
        <v>115.4</v>
      </c>
      <c r="H163" s="3">
        <v>4.9000000000000004</v>
      </c>
      <c r="I163" s="3">
        <v>1.54</v>
      </c>
    </row>
    <row r="164" spans="1:9" x14ac:dyDescent="0.25">
      <c r="A164" s="9">
        <v>13279</v>
      </c>
      <c r="B164" s="4">
        <v>131</v>
      </c>
      <c r="C164" s="4">
        <v>52</v>
      </c>
      <c r="D164" s="4">
        <v>8</v>
      </c>
      <c r="E164" s="4">
        <v>52</v>
      </c>
      <c r="F164" s="4">
        <v>4160</v>
      </c>
      <c r="G164" s="4">
        <v>40</v>
      </c>
      <c r="H164" s="3">
        <v>3.9</v>
      </c>
      <c r="I164" s="3">
        <v>1.37</v>
      </c>
    </row>
    <row r="165" spans="1:9" x14ac:dyDescent="0.25">
      <c r="A165" s="9">
        <v>13281</v>
      </c>
      <c r="B165" s="4">
        <v>20</v>
      </c>
      <c r="C165" s="4">
        <v>25</v>
      </c>
      <c r="D165" s="4">
        <v>14</v>
      </c>
      <c r="E165" s="4">
        <v>25</v>
      </c>
      <c r="F165" s="4">
        <v>345</v>
      </c>
      <c r="G165" s="4">
        <v>8.1999999999999993</v>
      </c>
      <c r="H165" s="3">
        <v>3.6</v>
      </c>
      <c r="I165" s="3">
        <v>1.1100000000000001</v>
      </c>
    </row>
    <row r="166" spans="1:9" x14ac:dyDescent="0.25">
      <c r="A166" s="9">
        <v>13285</v>
      </c>
      <c r="B166" s="4">
        <v>181</v>
      </c>
      <c r="C166" s="4">
        <v>276</v>
      </c>
      <c r="D166" s="4">
        <v>20</v>
      </c>
      <c r="E166" s="4">
        <v>276</v>
      </c>
      <c r="F166" s="4">
        <v>7824</v>
      </c>
      <c r="G166" s="4">
        <v>80.900000000000006</v>
      </c>
      <c r="H166" s="3">
        <v>4.0999999999999996</v>
      </c>
      <c r="I166" s="3">
        <v>1.44</v>
      </c>
    </row>
    <row r="167" spans="1:9" x14ac:dyDescent="0.25">
      <c r="A167" s="9">
        <v>13291</v>
      </c>
      <c r="B167" s="4">
        <v>116</v>
      </c>
      <c r="C167" s="4">
        <v>39</v>
      </c>
      <c r="D167" s="4">
        <v>5</v>
      </c>
      <c r="E167" s="4">
        <v>39</v>
      </c>
      <c r="F167" s="4">
        <v>2423</v>
      </c>
      <c r="G167" s="4">
        <v>19.600000000000001</v>
      </c>
      <c r="H167" s="3">
        <v>3.4</v>
      </c>
      <c r="I167" s="3">
        <v>1.27</v>
      </c>
    </row>
    <row r="168" spans="1:9" x14ac:dyDescent="0.25">
      <c r="A168" s="9">
        <v>13293</v>
      </c>
      <c r="B168" s="4">
        <v>103</v>
      </c>
      <c r="C168" s="4">
        <v>87</v>
      </c>
      <c r="D168" s="4">
        <v>28</v>
      </c>
      <c r="E168" s="4">
        <v>87</v>
      </c>
      <c r="F168" s="4">
        <v>3234</v>
      </c>
      <c r="G168" s="4">
        <v>32.4</v>
      </c>
      <c r="H168" s="3">
        <v>4</v>
      </c>
      <c r="I168" s="3">
        <v>1.42</v>
      </c>
    </row>
    <row r="169" spans="1:9" x14ac:dyDescent="0.25">
      <c r="A169" s="9">
        <v>13297</v>
      </c>
      <c r="B169" s="4">
        <v>111</v>
      </c>
      <c r="C169" s="4">
        <v>76</v>
      </c>
      <c r="D169" s="4">
        <v>7</v>
      </c>
      <c r="E169" s="4">
        <v>76</v>
      </c>
      <c r="F169" s="4">
        <v>2614</v>
      </c>
      <c r="G169" s="4">
        <v>25.2</v>
      </c>
      <c r="H169" s="3">
        <v>3.7</v>
      </c>
      <c r="I169" s="3">
        <v>1.54</v>
      </c>
    </row>
    <row r="170" spans="1:9" x14ac:dyDescent="0.25">
      <c r="A170" s="9">
        <v>13299</v>
      </c>
      <c r="B170" s="4">
        <v>153</v>
      </c>
      <c r="C170" s="4">
        <v>134</v>
      </c>
      <c r="D170" s="4">
        <v>10</v>
      </c>
      <c r="E170" s="4">
        <v>134</v>
      </c>
      <c r="F170" s="4">
        <v>7143</v>
      </c>
      <c r="G170" s="4">
        <v>69.5</v>
      </c>
      <c r="H170" s="3">
        <v>3.6</v>
      </c>
      <c r="I170" s="3">
        <v>1.37</v>
      </c>
    </row>
    <row r="171" spans="1:9" x14ac:dyDescent="0.25">
      <c r="A171" s="9">
        <v>13303</v>
      </c>
      <c r="B171" s="4">
        <v>42</v>
      </c>
      <c r="C171" s="4">
        <v>56</v>
      </c>
      <c r="D171" s="4">
        <v>14</v>
      </c>
      <c r="E171" s="4">
        <v>56</v>
      </c>
      <c r="F171" s="4">
        <v>457</v>
      </c>
      <c r="G171" s="4">
        <v>6.6</v>
      </c>
      <c r="H171" s="3">
        <v>5.3</v>
      </c>
      <c r="I171" s="3">
        <v>1.05</v>
      </c>
    </row>
    <row r="172" spans="1:9" x14ac:dyDescent="0.25">
      <c r="A172" s="9">
        <v>13305</v>
      </c>
      <c r="B172" s="4">
        <v>73</v>
      </c>
      <c r="C172" s="4">
        <v>88</v>
      </c>
      <c r="D172" s="4">
        <v>12</v>
      </c>
      <c r="E172" s="4">
        <v>88</v>
      </c>
      <c r="F172" s="4">
        <v>3123</v>
      </c>
      <c r="G172" s="4">
        <v>33.299999999999997</v>
      </c>
      <c r="H172" s="3">
        <v>4.3</v>
      </c>
      <c r="I172" s="3">
        <v>1.29</v>
      </c>
    </row>
    <row r="173" spans="1:9" x14ac:dyDescent="0.25">
      <c r="A173" s="9">
        <v>13309</v>
      </c>
      <c r="B173" s="4">
        <v>80</v>
      </c>
      <c r="C173" s="4">
        <v>49</v>
      </c>
      <c r="D173" s="4">
        <v>14</v>
      </c>
      <c r="E173" s="4">
        <v>49</v>
      </c>
      <c r="F173" s="4">
        <v>609</v>
      </c>
      <c r="G173" s="4">
        <v>7.1</v>
      </c>
      <c r="H173" s="3">
        <v>3.8</v>
      </c>
      <c r="I173" s="3">
        <v>1</v>
      </c>
    </row>
    <row r="174" spans="1:9" x14ac:dyDescent="0.25">
      <c r="A174" s="9">
        <v>13313</v>
      </c>
      <c r="B174" s="4">
        <v>384</v>
      </c>
      <c r="C174" s="4">
        <v>245</v>
      </c>
      <c r="D174" s="4">
        <v>46</v>
      </c>
      <c r="E174" s="4">
        <v>245</v>
      </c>
      <c r="F174" s="4">
        <v>9308</v>
      </c>
      <c r="G174" s="4">
        <v>112.2</v>
      </c>
      <c r="H174" s="3">
        <v>4.7</v>
      </c>
      <c r="I174" s="3">
        <v>1.58</v>
      </c>
    </row>
    <row r="175" spans="1:9" x14ac:dyDescent="0.25">
      <c r="A175" s="9">
        <v>13317</v>
      </c>
      <c r="B175" s="4">
        <v>15</v>
      </c>
      <c r="C175" s="4">
        <v>25</v>
      </c>
      <c r="D175" s="4">
        <v>14</v>
      </c>
      <c r="E175" s="4">
        <v>25</v>
      </c>
      <c r="F175" s="4">
        <v>488</v>
      </c>
      <c r="G175" s="4">
        <v>9.8000000000000007</v>
      </c>
      <c r="H175" s="3">
        <v>3</v>
      </c>
      <c r="I175" s="3">
        <v>0.99</v>
      </c>
    </row>
    <row r="176" spans="1:9" x14ac:dyDescent="0.25">
      <c r="A176" s="9">
        <v>13321</v>
      </c>
      <c r="B176" s="4">
        <v>14</v>
      </c>
      <c r="C176" s="4">
        <v>25</v>
      </c>
      <c r="D176" s="4">
        <v>14</v>
      </c>
      <c r="E176" s="4">
        <v>25</v>
      </c>
      <c r="F176" s="4">
        <v>205</v>
      </c>
      <c r="G176" s="4">
        <v>11.9</v>
      </c>
      <c r="H176" s="3">
        <v>2.8</v>
      </c>
      <c r="I176" s="3">
        <v>0.95</v>
      </c>
    </row>
    <row r="177" spans="1:9" x14ac:dyDescent="0.25">
      <c r="A177" s="9">
        <v>15001</v>
      </c>
      <c r="B177" s="4">
        <v>463</v>
      </c>
      <c r="C177" s="4">
        <v>296</v>
      </c>
      <c r="D177" s="4">
        <v>24</v>
      </c>
      <c r="E177" s="4">
        <v>296</v>
      </c>
      <c r="F177" s="4">
        <v>12499</v>
      </c>
      <c r="G177" s="4">
        <v>201.70000000000002</v>
      </c>
      <c r="H177" s="3">
        <v>4.333333333333333</v>
      </c>
      <c r="I177" s="3">
        <v>1.2716666666666667</v>
      </c>
    </row>
    <row r="178" spans="1:9" x14ac:dyDescent="0.25">
      <c r="A178" s="9">
        <v>15003</v>
      </c>
      <c r="B178" s="4">
        <v>2970</v>
      </c>
      <c r="C178" s="4">
        <v>1610</v>
      </c>
      <c r="D178" s="4">
        <v>121</v>
      </c>
      <c r="E178" s="4">
        <v>1610</v>
      </c>
      <c r="F178" s="4">
        <v>66680</v>
      </c>
      <c r="G178" s="4">
        <v>1080.3</v>
      </c>
      <c r="H178" s="3">
        <v>5.4</v>
      </c>
      <c r="I178" s="3">
        <v>1.78</v>
      </c>
    </row>
    <row r="179" spans="1:9" x14ac:dyDescent="0.25">
      <c r="A179" s="9">
        <v>15007</v>
      </c>
      <c r="B179" s="4">
        <v>187</v>
      </c>
      <c r="C179" s="4">
        <v>102</v>
      </c>
      <c r="D179" s="4">
        <v>9</v>
      </c>
      <c r="E179" s="4">
        <v>102</v>
      </c>
      <c r="F179" s="4">
        <v>3878</v>
      </c>
      <c r="G179" s="4">
        <v>53</v>
      </c>
      <c r="H179" s="3">
        <v>3.6999999999999997</v>
      </c>
      <c r="I179" s="3">
        <v>1.2833333333333332</v>
      </c>
    </row>
    <row r="180" spans="1:9" x14ac:dyDescent="0.25">
      <c r="A180" s="9">
        <v>15009</v>
      </c>
      <c r="B180" s="4">
        <v>243</v>
      </c>
      <c r="C180" s="4">
        <v>247</v>
      </c>
      <c r="D180" s="4">
        <v>20</v>
      </c>
      <c r="E180" s="4">
        <v>247</v>
      </c>
      <c r="F180" s="4">
        <v>8963</v>
      </c>
      <c r="G180" s="4">
        <v>158.69999999999999</v>
      </c>
      <c r="H180" s="3">
        <v>5.3</v>
      </c>
      <c r="I180" s="3">
        <v>1.4350000000000001</v>
      </c>
    </row>
    <row r="181" spans="1:9" x14ac:dyDescent="0.25">
      <c r="A181" s="9">
        <v>16001</v>
      </c>
      <c r="B181" s="4">
        <v>2513</v>
      </c>
      <c r="C181" s="4">
        <v>916</v>
      </c>
      <c r="D181" s="4">
        <v>88</v>
      </c>
      <c r="E181" s="4">
        <v>1074</v>
      </c>
      <c r="F181" s="4">
        <v>46490</v>
      </c>
      <c r="G181" s="4">
        <v>538.4</v>
      </c>
      <c r="H181" s="3">
        <v>3.5999999999999996</v>
      </c>
      <c r="I181" s="3">
        <v>2.2433333333333336</v>
      </c>
    </row>
    <row r="182" spans="1:9" x14ac:dyDescent="0.25">
      <c r="A182" s="9">
        <v>16005</v>
      </c>
      <c r="B182" s="4">
        <v>284</v>
      </c>
      <c r="C182" s="4">
        <v>137</v>
      </c>
      <c r="D182" s="4">
        <v>20</v>
      </c>
      <c r="E182" s="4">
        <v>137</v>
      </c>
      <c r="F182" s="4">
        <v>7540</v>
      </c>
      <c r="G182" s="4">
        <v>80.2</v>
      </c>
      <c r="H182" s="3">
        <v>4.0999999999999996</v>
      </c>
      <c r="I182" s="3">
        <v>1.77</v>
      </c>
    </row>
    <row r="183" spans="1:9" x14ac:dyDescent="0.25">
      <c r="A183" s="9">
        <v>16007</v>
      </c>
      <c r="B183" s="4">
        <v>25</v>
      </c>
      <c r="C183" s="4">
        <v>21</v>
      </c>
      <c r="D183" s="4">
        <v>14</v>
      </c>
      <c r="E183" s="4">
        <v>21</v>
      </c>
      <c r="F183" s="4">
        <v>324</v>
      </c>
      <c r="G183" s="4">
        <v>5.2</v>
      </c>
      <c r="H183" s="3">
        <v>2.7</v>
      </c>
      <c r="I183" s="3">
        <v>1.36</v>
      </c>
    </row>
    <row r="184" spans="1:9" x14ac:dyDescent="0.25">
      <c r="A184" s="9">
        <v>16009</v>
      </c>
      <c r="B184" s="4">
        <v>19</v>
      </c>
      <c r="C184" s="4">
        <v>19</v>
      </c>
      <c r="D184" s="4">
        <v>14</v>
      </c>
      <c r="E184" s="4">
        <v>19</v>
      </c>
      <c r="F184" s="4">
        <v>264</v>
      </c>
      <c r="G184" s="4">
        <v>3.6</v>
      </c>
      <c r="H184" s="3">
        <v>2.9</v>
      </c>
      <c r="I184" s="3">
        <v>1.1399999999999999</v>
      </c>
    </row>
    <row r="185" spans="1:9" x14ac:dyDescent="0.25">
      <c r="A185" s="9">
        <v>16011</v>
      </c>
      <c r="B185" s="4">
        <v>128</v>
      </c>
      <c r="C185" s="4">
        <v>25</v>
      </c>
      <c r="D185" s="4">
        <v>5</v>
      </c>
      <c r="E185" s="4">
        <v>25</v>
      </c>
      <c r="F185" s="4">
        <v>2277</v>
      </c>
      <c r="G185" s="4">
        <v>16.5</v>
      </c>
      <c r="H185" s="3">
        <v>2.8</v>
      </c>
      <c r="I185" s="3">
        <v>2.1749999999999998</v>
      </c>
    </row>
    <row r="186" spans="1:9" x14ac:dyDescent="0.25">
      <c r="A186" s="9">
        <v>16013</v>
      </c>
      <c r="B186" s="4">
        <v>86</v>
      </c>
      <c r="C186" s="4">
        <v>25</v>
      </c>
      <c r="D186" s="4">
        <v>14</v>
      </c>
      <c r="E186" s="4">
        <v>25</v>
      </c>
      <c r="F186" s="4">
        <v>1164</v>
      </c>
      <c r="G186" s="4">
        <v>8.9</v>
      </c>
      <c r="H186" s="3">
        <v>2.6</v>
      </c>
      <c r="I186" s="3">
        <v>1.55</v>
      </c>
    </row>
    <row r="187" spans="1:9" x14ac:dyDescent="0.25">
      <c r="A187" s="9">
        <v>16017</v>
      </c>
      <c r="B187" s="4">
        <v>116</v>
      </c>
      <c r="C187" s="4">
        <v>25</v>
      </c>
      <c r="D187" s="4">
        <v>4</v>
      </c>
      <c r="E187" s="4">
        <v>25</v>
      </c>
      <c r="F187" s="4">
        <v>1740</v>
      </c>
      <c r="G187" s="4">
        <v>11.3</v>
      </c>
      <c r="H187" s="3">
        <v>2.9</v>
      </c>
      <c r="I187" s="3">
        <v>1.39</v>
      </c>
    </row>
    <row r="188" spans="1:9" x14ac:dyDescent="0.25">
      <c r="A188" s="9">
        <v>16019</v>
      </c>
      <c r="B188" s="4">
        <v>501</v>
      </c>
      <c r="C188" s="4">
        <v>254</v>
      </c>
      <c r="D188" s="4">
        <v>35</v>
      </c>
      <c r="E188" s="4">
        <v>254</v>
      </c>
      <c r="F188" s="4">
        <v>12575</v>
      </c>
      <c r="G188" s="4">
        <v>139.19999999999999</v>
      </c>
      <c r="H188" s="3">
        <v>3.95</v>
      </c>
      <c r="I188" s="3">
        <v>2.1150000000000002</v>
      </c>
    </row>
    <row r="189" spans="1:9" x14ac:dyDescent="0.25">
      <c r="A189" s="9">
        <v>16021</v>
      </c>
      <c r="B189" s="4">
        <v>29</v>
      </c>
      <c r="C189" s="4">
        <v>20</v>
      </c>
      <c r="D189" s="4">
        <v>14</v>
      </c>
      <c r="E189" s="4">
        <v>20</v>
      </c>
      <c r="F189" s="4">
        <v>92</v>
      </c>
      <c r="G189" s="4">
        <v>2.8</v>
      </c>
      <c r="H189" s="3">
        <v>3.2</v>
      </c>
      <c r="I189" s="3">
        <v>1.05</v>
      </c>
    </row>
    <row r="190" spans="1:9" x14ac:dyDescent="0.25">
      <c r="A190" s="9">
        <v>16023</v>
      </c>
      <c r="B190" s="4">
        <v>23</v>
      </c>
      <c r="C190" s="4">
        <v>14</v>
      </c>
      <c r="D190" s="4">
        <v>14</v>
      </c>
      <c r="E190" s="4">
        <v>14</v>
      </c>
      <c r="F190" s="4">
        <v>31</v>
      </c>
      <c r="G190" s="4">
        <v>0.7</v>
      </c>
      <c r="H190" s="3">
        <v>2</v>
      </c>
      <c r="I190" s="3">
        <v>0.85</v>
      </c>
    </row>
    <row r="191" spans="1:9" x14ac:dyDescent="0.25">
      <c r="A191" s="9">
        <v>16027</v>
      </c>
      <c r="B191" s="4">
        <v>355</v>
      </c>
      <c r="C191" s="4">
        <v>289</v>
      </c>
      <c r="D191" s="4">
        <v>41</v>
      </c>
      <c r="E191" s="4">
        <v>293</v>
      </c>
      <c r="F191" s="4">
        <v>13453</v>
      </c>
      <c r="G191" s="4">
        <v>123.2</v>
      </c>
      <c r="H191" s="3">
        <v>3.1749999999999998</v>
      </c>
      <c r="I191" s="3">
        <v>1.6033333333333335</v>
      </c>
    </row>
    <row r="192" spans="1:9" x14ac:dyDescent="0.25">
      <c r="A192" s="9">
        <v>16029</v>
      </c>
      <c r="B192" s="4">
        <v>16</v>
      </c>
      <c r="C192" s="4">
        <v>25</v>
      </c>
      <c r="D192" s="4">
        <v>14</v>
      </c>
      <c r="E192" s="4">
        <v>25</v>
      </c>
      <c r="F192" s="4">
        <v>292</v>
      </c>
      <c r="G192" s="4">
        <v>4</v>
      </c>
      <c r="H192" s="3">
        <v>2.6</v>
      </c>
      <c r="I192" s="3">
        <v>1.0900000000000001</v>
      </c>
    </row>
    <row r="193" spans="1:9" x14ac:dyDescent="0.25">
      <c r="A193" s="9">
        <v>16031</v>
      </c>
      <c r="B193" s="4">
        <v>71</v>
      </c>
      <c r="C193" s="4">
        <v>31</v>
      </c>
      <c r="D193" s="4">
        <v>6</v>
      </c>
      <c r="E193" s="4">
        <v>31</v>
      </c>
      <c r="F193" s="4">
        <v>1435</v>
      </c>
      <c r="G193" s="4">
        <v>10.5</v>
      </c>
      <c r="H193" s="3">
        <v>1.9</v>
      </c>
      <c r="I193" s="3">
        <v>1.35</v>
      </c>
    </row>
    <row r="194" spans="1:9" x14ac:dyDescent="0.25">
      <c r="A194" s="9">
        <v>16035</v>
      </c>
      <c r="B194" s="4">
        <v>22</v>
      </c>
      <c r="C194" s="4">
        <v>23</v>
      </c>
      <c r="D194" s="4">
        <v>14</v>
      </c>
      <c r="E194" s="4">
        <v>23</v>
      </c>
      <c r="F194" s="4">
        <v>506</v>
      </c>
      <c r="G194" s="4">
        <v>6</v>
      </c>
      <c r="H194" s="3">
        <v>2.8</v>
      </c>
      <c r="I194" s="3">
        <v>0.97</v>
      </c>
    </row>
    <row r="195" spans="1:9" x14ac:dyDescent="0.25">
      <c r="A195" s="9">
        <v>16039</v>
      </c>
      <c r="B195" s="4">
        <v>37</v>
      </c>
      <c r="C195" s="4">
        <v>21</v>
      </c>
      <c r="D195" s="4">
        <v>14</v>
      </c>
      <c r="E195" s="4">
        <v>21</v>
      </c>
      <c r="F195" s="4">
        <v>676</v>
      </c>
      <c r="G195" s="4">
        <v>8</v>
      </c>
      <c r="H195" s="3">
        <v>2.6</v>
      </c>
      <c r="I195" s="3">
        <v>0.97</v>
      </c>
    </row>
    <row r="196" spans="1:9" x14ac:dyDescent="0.25">
      <c r="A196" s="9">
        <v>16041</v>
      </c>
      <c r="B196" s="4">
        <v>11</v>
      </c>
      <c r="C196" s="4">
        <v>20</v>
      </c>
      <c r="D196" s="4">
        <v>14</v>
      </c>
      <c r="E196" s="4">
        <v>20</v>
      </c>
      <c r="F196" s="4">
        <v>529</v>
      </c>
      <c r="G196" s="4">
        <v>6.4</v>
      </c>
      <c r="H196" s="3">
        <v>1.9</v>
      </c>
      <c r="I196" s="3">
        <v>1.18</v>
      </c>
    </row>
    <row r="197" spans="1:9" x14ac:dyDescent="0.25">
      <c r="A197" s="9">
        <v>16045</v>
      </c>
      <c r="B197" s="4">
        <v>37</v>
      </c>
      <c r="C197" s="4">
        <v>13</v>
      </c>
      <c r="D197" s="4">
        <v>14</v>
      </c>
      <c r="E197" s="4">
        <v>13</v>
      </c>
      <c r="F197" s="4">
        <v>197</v>
      </c>
      <c r="G197" s="4">
        <v>2.2999999999999998</v>
      </c>
      <c r="H197" s="3">
        <v>2.6</v>
      </c>
      <c r="I197" s="3">
        <v>1.1599999999999999</v>
      </c>
    </row>
    <row r="198" spans="1:9" x14ac:dyDescent="0.25">
      <c r="A198" s="9">
        <v>16047</v>
      </c>
      <c r="B198" s="4">
        <v>47</v>
      </c>
      <c r="C198" s="4">
        <v>16</v>
      </c>
      <c r="D198" s="4">
        <v>14</v>
      </c>
      <c r="E198" s="4">
        <v>16</v>
      </c>
      <c r="F198" s="4">
        <v>491</v>
      </c>
      <c r="G198" s="4">
        <v>7.4</v>
      </c>
      <c r="H198" s="3">
        <v>2.7</v>
      </c>
      <c r="I198" s="3">
        <v>1.1599999999999999</v>
      </c>
    </row>
    <row r="199" spans="1:9" x14ac:dyDescent="0.25">
      <c r="A199" s="9">
        <v>16049</v>
      </c>
      <c r="B199" s="4">
        <v>36</v>
      </c>
      <c r="C199" s="4">
        <v>40</v>
      </c>
      <c r="D199" s="4">
        <v>14</v>
      </c>
      <c r="E199" s="4">
        <v>40</v>
      </c>
      <c r="F199" s="4">
        <v>756</v>
      </c>
      <c r="G199" s="4">
        <v>10.3</v>
      </c>
      <c r="H199" s="3">
        <v>2.75</v>
      </c>
      <c r="I199" s="3">
        <v>0.9</v>
      </c>
    </row>
    <row r="200" spans="1:9" x14ac:dyDescent="0.25">
      <c r="A200" s="9">
        <v>16053</v>
      </c>
      <c r="B200" s="4">
        <v>26</v>
      </c>
      <c r="C200" s="4">
        <v>18</v>
      </c>
      <c r="D200" s="4">
        <v>14</v>
      </c>
      <c r="E200" s="4">
        <v>18</v>
      </c>
      <c r="F200" s="4">
        <v>359</v>
      </c>
      <c r="G200" s="4">
        <v>6.5</v>
      </c>
      <c r="H200" s="3">
        <v>2.1</v>
      </c>
      <c r="I200" s="3">
        <v>1.08</v>
      </c>
    </row>
    <row r="201" spans="1:9" x14ac:dyDescent="0.25">
      <c r="A201" s="9">
        <v>16055</v>
      </c>
      <c r="B201" s="4">
        <v>650</v>
      </c>
      <c r="C201" s="4">
        <v>331</v>
      </c>
      <c r="D201" s="4">
        <v>55</v>
      </c>
      <c r="E201" s="4">
        <v>331</v>
      </c>
      <c r="F201" s="4">
        <v>15910</v>
      </c>
      <c r="G201" s="4">
        <v>190.2</v>
      </c>
      <c r="H201" s="3">
        <v>3.3</v>
      </c>
      <c r="I201" s="3">
        <v>2.2800000000000002</v>
      </c>
    </row>
    <row r="202" spans="1:9" x14ac:dyDescent="0.25">
      <c r="A202" s="9">
        <v>16057</v>
      </c>
      <c r="B202" s="4">
        <v>90</v>
      </c>
      <c r="C202" s="4">
        <v>25</v>
      </c>
      <c r="D202" s="4">
        <v>3</v>
      </c>
      <c r="E202" s="4">
        <v>25</v>
      </c>
      <c r="F202" s="4">
        <v>1364</v>
      </c>
      <c r="G202" s="4">
        <v>12.3</v>
      </c>
      <c r="H202" s="3">
        <v>3.1</v>
      </c>
      <c r="I202" s="3">
        <v>1.4</v>
      </c>
    </row>
    <row r="203" spans="1:9" x14ac:dyDescent="0.25">
      <c r="A203" s="9">
        <v>16059</v>
      </c>
      <c r="B203" s="4">
        <v>33</v>
      </c>
      <c r="C203" s="4">
        <v>18</v>
      </c>
      <c r="D203" s="4">
        <v>14</v>
      </c>
      <c r="E203" s="4">
        <v>18</v>
      </c>
      <c r="F203" s="4">
        <v>350</v>
      </c>
      <c r="G203" s="4">
        <v>3.2</v>
      </c>
      <c r="H203" s="3">
        <v>2.4</v>
      </c>
      <c r="I203" s="3">
        <v>1.31</v>
      </c>
    </row>
    <row r="204" spans="1:9" x14ac:dyDescent="0.25">
      <c r="A204" s="9">
        <v>16065</v>
      </c>
      <c r="B204" s="4">
        <v>85</v>
      </c>
      <c r="C204" s="4">
        <v>67</v>
      </c>
      <c r="D204" s="4">
        <v>4</v>
      </c>
      <c r="E204" s="4">
        <v>67</v>
      </c>
      <c r="F204" s="4">
        <v>2521</v>
      </c>
      <c r="G204" s="4">
        <v>18.100000000000001</v>
      </c>
      <c r="H204" s="3">
        <v>3.4</v>
      </c>
      <c r="I204" s="3">
        <v>1.57</v>
      </c>
    </row>
    <row r="205" spans="1:9" x14ac:dyDescent="0.25">
      <c r="A205" s="9">
        <v>16067</v>
      </c>
      <c r="B205" s="4">
        <v>27</v>
      </c>
      <c r="C205" s="4">
        <v>16</v>
      </c>
      <c r="D205" s="4">
        <v>14</v>
      </c>
      <c r="E205" s="4">
        <v>16</v>
      </c>
      <c r="F205" s="4">
        <v>488</v>
      </c>
      <c r="G205" s="4">
        <v>5.4</v>
      </c>
      <c r="H205" s="3">
        <v>3.5</v>
      </c>
      <c r="I205" s="3">
        <v>1.3</v>
      </c>
    </row>
    <row r="206" spans="1:9" x14ac:dyDescent="0.25">
      <c r="A206" s="9">
        <v>16069</v>
      </c>
      <c r="B206" s="4">
        <v>180</v>
      </c>
      <c r="C206" s="4">
        <v>110</v>
      </c>
      <c r="D206" s="4">
        <v>9</v>
      </c>
      <c r="E206" s="4">
        <v>110</v>
      </c>
      <c r="F206" s="4">
        <v>4134</v>
      </c>
      <c r="G206" s="4">
        <v>38.4</v>
      </c>
      <c r="H206" s="3">
        <v>3.6</v>
      </c>
      <c r="I206" s="3">
        <v>1.79</v>
      </c>
    </row>
    <row r="207" spans="1:9" x14ac:dyDescent="0.25">
      <c r="A207" s="9">
        <v>16071</v>
      </c>
      <c r="B207" s="4">
        <v>8</v>
      </c>
      <c r="C207" s="4">
        <v>11</v>
      </c>
      <c r="D207" s="4">
        <v>14</v>
      </c>
      <c r="E207" s="4">
        <v>11</v>
      </c>
      <c r="F207" s="4">
        <v>173</v>
      </c>
      <c r="G207" s="4">
        <v>3.6</v>
      </c>
      <c r="H207" s="3">
        <v>2.8</v>
      </c>
      <c r="I207" s="3">
        <v>0.98</v>
      </c>
    </row>
    <row r="208" spans="1:9" x14ac:dyDescent="0.25">
      <c r="A208" s="9">
        <v>16077</v>
      </c>
      <c r="B208" s="4">
        <v>8</v>
      </c>
      <c r="C208" s="4">
        <v>10</v>
      </c>
      <c r="D208" s="4">
        <v>14</v>
      </c>
      <c r="E208" s="4">
        <v>10</v>
      </c>
      <c r="F208" s="4">
        <v>31</v>
      </c>
      <c r="G208" s="4">
        <v>1.7</v>
      </c>
      <c r="H208" s="3">
        <v>2.9</v>
      </c>
      <c r="I208" s="3">
        <v>1.1499999999999999</v>
      </c>
    </row>
    <row r="209" spans="1:9" x14ac:dyDescent="0.25">
      <c r="A209" s="9">
        <v>16079</v>
      </c>
      <c r="B209" s="4">
        <v>33</v>
      </c>
      <c r="C209" s="4">
        <v>21</v>
      </c>
      <c r="D209" s="4">
        <v>14</v>
      </c>
      <c r="E209" s="4">
        <v>21</v>
      </c>
      <c r="F209" s="4">
        <v>256</v>
      </c>
      <c r="G209" s="4">
        <v>3.9</v>
      </c>
      <c r="H209" s="3">
        <v>2.5</v>
      </c>
      <c r="I209" s="3">
        <v>1.03</v>
      </c>
    </row>
    <row r="210" spans="1:9" x14ac:dyDescent="0.25">
      <c r="A210" s="9">
        <v>16081</v>
      </c>
      <c r="B210" s="4">
        <v>20</v>
      </c>
      <c r="C210" s="4">
        <v>13</v>
      </c>
      <c r="D210" s="4">
        <v>14</v>
      </c>
      <c r="E210" s="4">
        <v>13</v>
      </c>
      <c r="F210" s="4">
        <v>155</v>
      </c>
      <c r="G210" s="4">
        <v>1.6</v>
      </c>
      <c r="H210" s="3">
        <v>2.2999999999999998</v>
      </c>
      <c r="I210" s="3">
        <v>1.1000000000000001</v>
      </c>
    </row>
    <row r="211" spans="1:9" x14ac:dyDescent="0.25">
      <c r="A211" s="9">
        <v>16083</v>
      </c>
      <c r="B211" s="4">
        <v>359</v>
      </c>
      <c r="C211" s="4">
        <v>169</v>
      </c>
      <c r="D211" s="4">
        <v>26</v>
      </c>
      <c r="E211" s="4">
        <v>186</v>
      </c>
      <c r="F211" s="4">
        <v>11406</v>
      </c>
      <c r="G211" s="4">
        <v>87</v>
      </c>
      <c r="H211" s="3">
        <v>3</v>
      </c>
      <c r="I211" s="3">
        <v>1.68</v>
      </c>
    </row>
    <row r="212" spans="1:9" x14ac:dyDescent="0.25">
      <c r="A212" s="9">
        <v>16085</v>
      </c>
      <c r="B212" s="4">
        <v>49</v>
      </c>
      <c r="C212" s="4">
        <v>23</v>
      </c>
      <c r="D212" s="4">
        <v>14</v>
      </c>
      <c r="E212" s="4">
        <v>23</v>
      </c>
      <c r="F212" s="4">
        <v>611</v>
      </c>
      <c r="G212" s="4">
        <v>4.5999999999999996</v>
      </c>
      <c r="H212" s="3">
        <v>1.9500000000000002</v>
      </c>
      <c r="I212" s="3">
        <v>1.125</v>
      </c>
    </row>
    <row r="213" spans="1:9" x14ac:dyDescent="0.25">
      <c r="A213" s="9">
        <v>16087</v>
      </c>
      <c r="B213" s="4">
        <v>17</v>
      </c>
      <c r="C213" s="4">
        <v>19</v>
      </c>
      <c r="D213" s="4">
        <v>14</v>
      </c>
      <c r="E213" s="4">
        <v>19</v>
      </c>
      <c r="F213" s="4">
        <v>301</v>
      </c>
      <c r="G213" s="4">
        <v>2.5</v>
      </c>
      <c r="H213" s="3">
        <v>2</v>
      </c>
      <c r="I213" s="3">
        <v>1.18</v>
      </c>
    </row>
    <row r="214" spans="1:9" x14ac:dyDescent="0.25">
      <c r="A214" s="9">
        <v>17001</v>
      </c>
      <c r="B214" s="4">
        <v>336</v>
      </c>
      <c r="C214" s="4">
        <v>248</v>
      </c>
      <c r="D214" s="4">
        <v>25</v>
      </c>
      <c r="E214" s="4">
        <v>248</v>
      </c>
      <c r="F214" s="4">
        <v>11606</v>
      </c>
      <c r="G214" s="4">
        <v>121.3</v>
      </c>
      <c r="H214" s="3">
        <v>4</v>
      </c>
      <c r="I214" s="3">
        <v>1.62</v>
      </c>
    </row>
    <row r="215" spans="1:9" x14ac:dyDescent="0.25">
      <c r="A215" s="9">
        <v>17005</v>
      </c>
      <c r="B215" s="4">
        <v>48</v>
      </c>
      <c r="C215" s="4">
        <v>32</v>
      </c>
      <c r="D215" s="4">
        <v>14</v>
      </c>
      <c r="E215" s="4">
        <v>32</v>
      </c>
      <c r="F215" s="4">
        <v>825</v>
      </c>
      <c r="G215" s="4">
        <v>10.199999999999999</v>
      </c>
      <c r="H215" s="3">
        <v>4.9000000000000004</v>
      </c>
      <c r="I215" s="3">
        <v>1.23</v>
      </c>
    </row>
    <row r="216" spans="1:9" x14ac:dyDescent="0.25">
      <c r="A216" s="9">
        <v>17007</v>
      </c>
      <c r="B216" s="4">
        <v>1</v>
      </c>
      <c r="C216" s="4">
        <v>49</v>
      </c>
      <c r="D216" s="4">
        <v>14</v>
      </c>
      <c r="E216" s="4">
        <v>49</v>
      </c>
      <c r="F216" s="4">
        <v>1532</v>
      </c>
      <c r="G216" s="4">
        <v>16</v>
      </c>
      <c r="H216" s="3">
        <v>4</v>
      </c>
      <c r="I216" s="3">
        <v>1</v>
      </c>
    </row>
    <row r="217" spans="1:9" x14ac:dyDescent="0.25">
      <c r="A217" s="9">
        <v>17011</v>
      </c>
      <c r="B217" s="4">
        <v>125</v>
      </c>
      <c r="C217" s="4">
        <v>69</v>
      </c>
      <c r="D217" s="4">
        <v>9</v>
      </c>
      <c r="E217" s="4">
        <v>69</v>
      </c>
      <c r="F217" s="4">
        <v>2537</v>
      </c>
      <c r="G217" s="4">
        <v>22.900000000000002</v>
      </c>
      <c r="H217" s="3">
        <v>3.1</v>
      </c>
      <c r="I217" s="3">
        <v>1.3399999999999999</v>
      </c>
    </row>
    <row r="218" spans="1:9" x14ac:dyDescent="0.25">
      <c r="A218" s="9">
        <v>17019</v>
      </c>
      <c r="B218" s="4">
        <v>1052</v>
      </c>
      <c r="C218" s="4">
        <v>570</v>
      </c>
      <c r="D218" s="4">
        <v>15</v>
      </c>
      <c r="E218" s="4">
        <v>570</v>
      </c>
      <c r="F218" s="4">
        <v>33950</v>
      </c>
      <c r="G218" s="4">
        <v>341.5</v>
      </c>
      <c r="H218" s="3">
        <v>3.65</v>
      </c>
      <c r="I218" s="3">
        <v>1.645</v>
      </c>
    </row>
    <row r="219" spans="1:9" x14ac:dyDescent="0.25">
      <c r="A219" s="9">
        <v>17021</v>
      </c>
      <c r="B219" s="4">
        <v>79</v>
      </c>
      <c r="C219" s="4">
        <v>47</v>
      </c>
      <c r="D219" s="4">
        <v>14</v>
      </c>
      <c r="E219" s="4">
        <v>47</v>
      </c>
      <c r="F219" s="4">
        <v>1014</v>
      </c>
      <c r="G219" s="4">
        <v>18.100000000000001</v>
      </c>
      <c r="H219" s="3">
        <v>3.35</v>
      </c>
      <c r="I219" s="3">
        <v>0.9850000000000001</v>
      </c>
    </row>
    <row r="220" spans="1:9" x14ac:dyDescent="0.25">
      <c r="A220" s="9">
        <v>17025</v>
      </c>
      <c r="B220" s="4">
        <v>34</v>
      </c>
      <c r="C220" s="4">
        <v>20</v>
      </c>
      <c r="D220" s="4">
        <v>14</v>
      </c>
      <c r="E220" s="4">
        <v>20</v>
      </c>
      <c r="F220" s="4">
        <v>536</v>
      </c>
      <c r="G220" s="4">
        <v>6.2</v>
      </c>
      <c r="H220" s="3">
        <v>3.7</v>
      </c>
      <c r="I220" s="3">
        <v>1</v>
      </c>
    </row>
    <row r="221" spans="1:9" x14ac:dyDescent="0.25">
      <c r="A221" s="9">
        <v>17027</v>
      </c>
      <c r="B221" s="4">
        <v>88</v>
      </c>
      <c r="C221" s="4">
        <v>46</v>
      </c>
      <c r="D221" s="4">
        <v>14</v>
      </c>
      <c r="E221" s="4">
        <v>46</v>
      </c>
      <c r="F221" s="4">
        <v>1425</v>
      </c>
      <c r="G221" s="4">
        <v>9.6</v>
      </c>
      <c r="H221" s="3">
        <v>3.4</v>
      </c>
      <c r="I221" s="3">
        <v>1.32</v>
      </c>
    </row>
    <row r="222" spans="1:9" x14ac:dyDescent="0.25">
      <c r="A222" s="9">
        <v>17029</v>
      </c>
      <c r="B222" s="4">
        <v>271</v>
      </c>
      <c r="C222" s="4">
        <v>82</v>
      </c>
      <c r="D222" s="4">
        <v>14</v>
      </c>
      <c r="E222" s="4">
        <v>82</v>
      </c>
      <c r="F222" s="4">
        <v>5844</v>
      </c>
      <c r="G222" s="4">
        <v>48.9</v>
      </c>
      <c r="H222" s="3">
        <v>3.3</v>
      </c>
      <c r="I222" s="3">
        <v>1.46</v>
      </c>
    </row>
    <row r="223" spans="1:9" x14ac:dyDescent="0.25">
      <c r="A223" s="9">
        <v>17031</v>
      </c>
      <c r="B223" s="4">
        <v>21359</v>
      </c>
      <c r="C223" s="4">
        <v>12935</v>
      </c>
      <c r="D223" s="4">
        <v>1321</v>
      </c>
      <c r="E223" s="4">
        <v>13509</v>
      </c>
      <c r="F223" s="4">
        <v>603564</v>
      </c>
      <c r="G223" s="4">
        <v>7773.7000000000007</v>
      </c>
      <c r="H223" s="3">
        <v>4.7137254901960777</v>
      </c>
      <c r="I223" s="3">
        <v>1.6043478260869568</v>
      </c>
    </row>
    <row r="224" spans="1:9" x14ac:dyDescent="0.25">
      <c r="A224" s="9">
        <v>17033</v>
      </c>
      <c r="B224" s="4">
        <v>36</v>
      </c>
      <c r="C224" s="4">
        <v>25</v>
      </c>
      <c r="D224" s="4">
        <v>14</v>
      </c>
      <c r="E224" s="4">
        <v>25</v>
      </c>
      <c r="F224" s="4">
        <v>1312</v>
      </c>
      <c r="G224" s="4">
        <v>9</v>
      </c>
      <c r="H224" s="3">
        <v>1.9</v>
      </c>
      <c r="I224" s="3">
        <v>1.38</v>
      </c>
    </row>
    <row r="225" spans="1:9" x14ac:dyDescent="0.25">
      <c r="A225" s="9">
        <v>17037</v>
      </c>
      <c r="B225" s="4">
        <v>202</v>
      </c>
      <c r="C225" s="4">
        <v>123</v>
      </c>
      <c r="D225" s="4">
        <v>16</v>
      </c>
      <c r="E225" s="4">
        <v>123</v>
      </c>
      <c r="F225" s="4">
        <v>5874</v>
      </c>
      <c r="G225" s="4">
        <v>59.8</v>
      </c>
      <c r="H225" s="3">
        <v>3.3</v>
      </c>
      <c r="I225" s="3">
        <v>1.41</v>
      </c>
    </row>
    <row r="226" spans="1:9" x14ac:dyDescent="0.25">
      <c r="A226" s="9">
        <v>17039</v>
      </c>
      <c r="B226" s="4">
        <v>20</v>
      </c>
      <c r="C226" s="4">
        <v>15</v>
      </c>
      <c r="D226" s="4">
        <v>14</v>
      </c>
      <c r="E226" s="4">
        <v>15</v>
      </c>
      <c r="F226" s="4">
        <v>145</v>
      </c>
      <c r="G226" s="4">
        <v>1.2</v>
      </c>
      <c r="H226" s="3">
        <v>3.2</v>
      </c>
      <c r="I226" s="3">
        <v>1.1000000000000001</v>
      </c>
    </row>
    <row r="227" spans="1:9" x14ac:dyDescent="0.25">
      <c r="A227" s="9">
        <v>17043</v>
      </c>
      <c r="B227" s="4">
        <v>4487</v>
      </c>
      <c r="C227" s="4">
        <v>1728</v>
      </c>
      <c r="D227" s="4">
        <v>241</v>
      </c>
      <c r="E227" s="4">
        <v>1705</v>
      </c>
      <c r="F227" s="4">
        <v>103955</v>
      </c>
      <c r="G227" s="4">
        <v>1107</v>
      </c>
      <c r="H227" s="3">
        <v>4.2571428571428571</v>
      </c>
      <c r="I227" s="3">
        <v>1.7657142857142856</v>
      </c>
    </row>
    <row r="228" spans="1:9" x14ac:dyDescent="0.25">
      <c r="A228" s="9">
        <v>17045</v>
      </c>
      <c r="B228" s="4">
        <v>66</v>
      </c>
      <c r="C228" s="4">
        <v>25</v>
      </c>
      <c r="D228" s="4">
        <v>14</v>
      </c>
      <c r="E228" s="4">
        <v>25</v>
      </c>
      <c r="F228" s="4">
        <v>711</v>
      </c>
      <c r="G228" s="4">
        <v>14.9</v>
      </c>
      <c r="H228" s="3">
        <v>2.9</v>
      </c>
      <c r="I228" s="3">
        <v>1.05</v>
      </c>
    </row>
    <row r="229" spans="1:9" x14ac:dyDescent="0.25">
      <c r="A229" s="9">
        <v>17049</v>
      </c>
      <c r="B229" s="4">
        <v>169</v>
      </c>
      <c r="C229" s="4">
        <v>133</v>
      </c>
      <c r="D229" s="4">
        <v>10</v>
      </c>
      <c r="E229" s="4">
        <v>133</v>
      </c>
      <c r="F229" s="4">
        <v>4592</v>
      </c>
      <c r="G229" s="4">
        <v>38.200000000000003</v>
      </c>
      <c r="H229" s="3">
        <v>3.4</v>
      </c>
      <c r="I229" s="3">
        <v>1.47</v>
      </c>
    </row>
    <row r="230" spans="1:9" x14ac:dyDescent="0.25">
      <c r="A230" s="9">
        <v>17051</v>
      </c>
      <c r="B230" s="4">
        <v>27</v>
      </c>
      <c r="C230" s="4">
        <v>29</v>
      </c>
      <c r="D230" s="4">
        <v>4</v>
      </c>
      <c r="E230" s="4">
        <v>29</v>
      </c>
      <c r="F230" s="4">
        <v>489</v>
      </c>
      <c r="G230" s="4">
        <v>10</v>
      </c>
      <c r="H230" s="3">
        <v>3.3</v>
      </c>
      <c r="I230" s="3">
        <v>0.95</v>
      </c>
    </row>
    <row r="231" spans="1:9" x14ac:dyDescent="0.25">
      <c r="A231" s="9">
        <v>17053</v>
      </c>
      <c r="B231" s="4">
        <v>84</v>
      </c>
      <c r="C231" s="4">
        <v>25</v>
      </c>
      <c r="D231" s="4">
        <v>2</v>
      </c>
      <c r="E231" s="4">
        <v>25</v>
      </c>
      <c r="F231" s="4">
        <v>779</v>
      </c>
      <c r="G231" s="4">
        <v>9.3000000000000007</v>
      </c>
      <c r="H231" s="3">
        <v>2.5</v>
      </c>
      <c r="I231" s="3">
        <v>1.56</v>
      </c>
    </row>
    <row r="232" spans="1:9" x14ac:dyDescent="0.25">
      <c r="A232" s="9">
        <v>17055</v>
      </c>
      <c r="B232" s="4">
        <v>26</v>
      </c>
      <c r="C232" s="4">
        <v>25</v>
      </c>
      <c r="D232" s="4">
        <v>14</v>
      </c>
      <c r="E232" s="4">
        <v>16</v>
      </c>
      <c r="F232" s="4">
        <v>185</v>
      </c>
      <c r="G232" s="4">
        <v>2.2999999999999998</v>
      </c>
      <c r="H232" s="3">
        <v>2.8</v>
      </c>
      <c r="I232" s="3">
        <v>0.96</v>
      </c>
    </row>
    <row r="233" spans="1:9" x14ac:dyDescent="0.25">
      <c r="A233" s="9">
        <v>17057</v>
      </c>
      <c r="B233" s="4">
        <v>61</v>
      </c>
      <c r="C233" s="4">
        <v>43</v>
      </c>
      <c r="D233" s="4">
        <v>5</v>
      </c>
      <c r="E233" s="4">
        <v>43</v>
      </c>
      <c r="F233" s="4">
        <v>2069</v>
      </c>
      <c r="G233" s="4">
        <v>19.3</v>
      </c>
      <c r="H233" s="3">
        <v>3.6</v>
      </c>
      <c r="I233" s="3">
        <v>1.32</v>
      </c>
    </row>
    <row r="234" spans="1:9" x14ac:dyDescent="0.25">
      <c r="A234" s="9">
        <v>17061</v>
      </c>
      <c r="B234" s="4">
        <v>14</v>
      </c>
      <c r="C234" s="4">
        <v>25</v>
      </c>
      <c r="D234" s="4">
        <v>14</v>
      </c>
      <c r="E234" s="4">
        <v>25</v>
      </c>
      <c r="F234" s="4">
        <v>130</v>
      </c>
      <c r="G234" s="4">
        <v>2.5</v>
      </c>
      <c r="H234" s="3">
        <v>2.5</v>
      </c>
      <c r="I234" s="3">
        <v>0.91</v>
      </c>
    </row>
    <row r="235" spans="1:9" x14ac:dyDescent="0.25">
      <c r="A235" s="9">
        <v>17063</v>
      </c>
      <c r="B235" s="4">
        <v>181</v>
      </c>
      <c r="C235" s="4">
        <v>89</v>
      </c>
      <c r="D235" s="4">
        <v>8</v>
      </c>
      <c r="E235" s="4">
        <v>89</v>
      </c>
      <c r="F235" s="4">
        <v>4547</v>
      </c>
      <c r="G235" s="4">
        <v>37.6</v>
      </c>
      <c r="H235" s="3">
        <v>3.3</v>
      </c>
      <c r="I235" s="3">
        <v>1.54</v>
      </c>
    </row>
    <row r="236" spans="1:9" x14ac:dyDescent="0.25">
      <c r="A236" s="9">
        <v>17065</v>
      </c>
      <c r="B236" s="4">
        <v>34</v>
      </c>
      <c r="C236" s="4">
        <v>25</v>
      </c>
      <c r="D236" s="4">
        <v>14</v>
      </c>
      <c r="E236" s="4">
        <v>25</v>
      </c>
      <c r="F236" s="4">
        <v>321</v>
      </c>
      <c r="G236" s="4">
        <v>8.6999999999999993</v>
      </c>
      <c r="H236" s="3">
        <v>2.6</v>
      </c>
      <c r="I236" s="3">
        <v>0.88</v>
      </c>
    </row>
    <row r="237" spans="1:9" x14ac:dyDescent="0.25">
      <c r="A237" s="9">
        <v>17067</v>
      </c>
      <c r="B237" s="4">
        <v>30</v>
      </c>
      <c r="C237" s="4">
        <v>18</v>
      </c>
      <c r="D237" s="4">
        <v>14</v>
      </c>
      <c r="E237" s="4">
        <v>18</v>
      </c>
      <c r="F237" s="4">
        <v>502</v>
      </c>
      <c r="G237" s="4">
        <v>5.8</v>
      </c>
      <c r="H237" s="3">
        <v>2.7</v>
      </c>
      <c r="I237" s="3">
        <v>0.97</v>
      </c>
    </row>
    <row r="238" spans="1:9" x14ac:dyDescent="0.25">
      <c r="A238" s="9">
        <v>17069</v>
      </c>
      <c r="B238" s="4">
        <v>7</v>
      </c>
      <c r="C238" s="4">
        <v>25</v>
      </c>
      <c r="D238" s="4">
        <v>14</v>
      </c>
      <c r="E238" s="4">
        <v>25</v>
      </c>
      <c r="F238" s="4">
        <v>379</v>
      </c>
      <c r="G238" s="4">
        <v>7.1</v>
      </c>
      <c r="H238" s="3">
        <v>3.7</v>
      </c>
      <c r="I238" s="3">
        <v>0.89</v>
      </c>
    </row>
    <row r="239" spans="1:9" x14ac:dyDescent="0.25">
      <c r="A239" s="9">
        <v>17073</v>
      </c>
      <c r="B239" s="4">
        <v>62</v>
      </c>
      <c r="C239" s="4">
        <v>50</v>
      </c>
      <c r="D239" s="4">
        <v>3</v>
      </c>
      <c r="E239" s="4">
        <v>50</v>
      </c>
      <c r="F239" s="4">
        <v>1324</v>
      </c>
      <c r="G239" s="4">
        <v>12.4</v>
      </c>
      <c r="H239" s="3">
        <v>2.5</v>
      </c>
      <c r="I239" s="3">
        <v>1.145</v>
      </c>
    </row>
    <row r="240" spans="1:9" x14ac:dyDescent="0.25">
      <c r="A240" s="9">
        <v>17075</v>
      </c>
      <c r="B240" s="4">
        <v>27</v>
      </c>
      <c r="C240" s="4">
        <v>25</v>
      </c>
      <c r="D240" s="4">
        <v>14</v>
      </c>
      <c r="E240" s="4">
        <v>25</v>
      </c>
      <c r="F240" s="4">
        <v>402</v>
      </c>
      <c r="G240" s="4">
        <v>2.8</v>
      </c>
      <c r="H240" s="3">
        <v>2.5</v>
      </c>
      <c r="I240" s="3">
        <v>1.47</v>
      </c>
    </row>
    <row r="241" spans="1:9" x14ac:dyDescent="0.25">
      <c r="A241" s="9">
        <v>17077</v>
      </c>
      <c r="B241" s="4">
        <v>333</v>
      </c>
      <c r="C241" s="4">
        <v>192</v>
      </c>
      <c r="D241" s="4">
        <v>21</v>
      </c>
      <c r="E241" s="4">
        <v>179</v>
      </c>
      <c r="F241" s="4">
        <v>10835</v>
      </c>
      <c r="G241" s="4">
        <v>109.3</v>
      </c>
      <c r="H241" s="3">
        <v>3.2</v>
      </c>
      <c r="I241" s="3">
        <v>1.615</v>
      </c>
    </row>
    <row r="242" spans="1:9" x14ac:dyDescent="0.25">
      <c r="A242" s="9">
        <v>17081</v>
      </c>
      <c r="B242" s="4">
        <v>221</v>
      </c>
      <c r="C242" s="4">
        <v>171</v>
      </c>
      <c r="D242" s="4">
        <v>22</v>
      </c>
      <c r="E242" s="4">
        <v>171</v>
      </c>
      <c r="F242" s="4">
        <v>12897</v>
      </c>
      <c r="G242" s="4">
        <v>81.400000000000006</v>
      </c>
      <c r="H242" s="3">
        <v>2.7</v>
      </c>
      <c r="I242" s="3">
        <v>1.585</v>
      </c>
    </row>
    <row r="243" spans="1:9" x14ac:dyDescent="0.25">
      <c r="A243" s="9">
        <v>17083</v>
      </c>
      <c r="B243" s="4">
        <v>64</v>
      </c>
      <c r="C243" s="4">
        <v>46</v>
      </c>
      <c r="D243" s="4">
        <v>4</v>
      </c>
      <c r="E243" s="4">
        <v>46</v>
      </c>
      <c r="F243" s="4">
        <v>729</v>
      </c>
      <c r="G243" s="4">
        <v>7</v>
      </c>
      <c r="H243" s="3">
        <v>3.5</v>
      </c>
      <c r="I243" s="3">
        <v>1.0900000000000001</v>
      </c>
    </row>
    <row r="244" spans="1:9" x14ac:dyDescent="0.25">
      <c r="A244" s="9">
        <v>17085</v>
      </c>
      <c r="B244" s="4">
        <v>21</v>
      </c>
      <c r="C244" s="4">
        <v>25</v>
      </c>
      <c r="D244" s="4">
        <v>14</v>
      </c>
      <c r="E244" s="4">
        <v>18</v>
      </c>
      <c r="F244" s="4">
        <v>146</v>
      </c>
      <c r="G244" s="4">
        <v>6.6</v>
      </c>
      <c r="H244" s="3">
        <v>3.1</v>
      </c>
      <c r="I244" s="3">
        <v>0.96</v>
      </c>
    </row>
    <row r="245" spans="1:9" x14ac:dyDescent="0.25">
      <c r="A245" s="9">
        <v>17089</v>
      </c>
      <c r="B245" s="4">
        <v>1055</v>
      </c>
      <c r="C245" s="4">
        <v>731</v>
      </c>
      <c r="D245" s="4">
        <v>81</v>
      </c>
      <c r="E245" s="4">
        <v>731</v>
      </c>
      <c r="F245" s="4">
        <v>36843</v>
      </c>
      <c r="G245" s="4">
        <v>365.79999999999995</v>
      </c>
      <c r="H245" s="3">
        <v>4.0750000000000002</v>
      </c>
      <c r="I245" s="3">
        <v>1.6475</v>
      </c>
    </row>
    <row r="246" spans="1:9" x14ac:dyDescent="0.25">
      <c r="A246" s="9">
        <v>17091</v>
      </c>
      <c r="B246" s="4">
        <v>441</v>
      </c>
      <c r="C246" s="4">
        <v>460</v>
      </c>
      <c r="D246" s="4">
        <v>34</v>
      </c>
      <c r="E246" s="4">
        <v>460</v>
      </c>
      <c r="F246" s="4">
        <v>16569</v>
      </c>
      <c r="G246" s="4">
        <v>193.8</v>
      </c>
      <c r="H246" s="3">
        <v>4.3</v>
      </c>
      <c r="I246" s="3">
        <v>1.625</v>
      </c>
    </row>
    <row r="247" spans="1:9" x14ac:dyDescent="0.25">
      <c r="A247" s="9">
        <v>17095</v>
      </c>
      <c r="B247" s="4">
        <v>178</v>
      </c>
      <c r="C247" s="4">
        <v>177</v>
      </c>
      <c r="D247" s="4">
        <v>18</v>
      </c>
      <c r="E247" s="4">
        <v>177</v>
      </c>
      <c r="F247" s="4">
        <v>5315</v>
      </c>
      <c r="G247" s="4">
        <v>53.3</v>
      </c>
      <c r="H247" s="3">
        <v>3.9</v>
      </c>
      <c r="I247" s="3">
        <v>1.3450000000000002</v>
      </c>
    </row>
    <row r="248" spans="1:9" x14ac:dyDescent="0.25">
      <c r="A248" s="9">
        <v>17097</v>
      </c>
      <c r="B248" s="4">
        <v>1544</v>
      </c>
      <c r="C248" s="4">
        <v>826</v>
      </c>
      <c r="D248" s="4">
        <v>108</v>
      </c>
      <c r="E248" s="4">
        <v>975</v>
      </c>
      <c r="F248" s="4">
        <v>46332</v>
      </c>
      <c r="G248" s="4">
        <v>496.5</v>
      </c>
      <c r="H248" s="3">
        <v>4.4000000000000004</v>
      </c>
      <c r="I248" s="3">
        <v>1.722</v>
      </c>
    </row>
    <row r="249" spans="1:9" x14ac:dyDescent="0.25">
      <c r="A249" s="9">
        <v>17099</v>
      </c>
      <c r="B249" s="4">
        <v>248</v>
      </c>
      <c r="C249" s="4">
        <v>164</v>
      </c>
      <c r="D249" s="4">
        <v>13</v>
      </c>
      <c r="E249" s="4">
        <v>164</v>
      </c>
      <c r="F249" s="4">
        <v>6764</v>
      </c>
      <c r="G249" s="4">
        <v>63.099999999999994</v>
      </c>
      <c r="H249" s="3">
        <v>3.375</v>
      </c>
      <c r="I249" s="3">
        <v>1.24</v>
      </c>
    </row>
    <row r="250" spans="1:9" x14ac:dyDescent="0.25">
      <c r="A250" s="9">
        <v>17101</v>
      </c>
      <c r="B250" s="4">
        <v>15</v>
      </c>
      <c r="C250" s="4">
        <v>25</v>
      </c>
      <c r="D250" s="4">
        <v>14</v>
      </c>
      <c r="E250" s="4">
        <v>25</v>
      </c>
      <c r="F250" s="4">
        <v>351</v>
      </c>
      <c r="G250" s="4">
        <v>5.5</v>
      </c>
      <c r="H250" s="3">
        <v>4</v>
      </c>
      <c r="I250" s="3">
        <v>0.98</v>
      </c>
    </row>
    <row r="251" spans="1:9" x14ac:dyDescent="0.25">
      <c r="A251" s="9">
        <v>17103</v>
      </c>
      <c r="B251" s="4">
        <v>135</v>
      </c>
      <c r="C251" s="4">
        <v>66</v>
      </c>
      <c r="D251" s="4">
        <v>6</v>
      </c>
      <c r="E251" s="4">
        <v>66</v>
      </c>
      <c r="F251" s="4">
        <v>2556</v>
      </c>
      <c r="G251" s="4">
        <v>21.5</v>
      </c>
      <c r="H251" s="3">
        <v>3.3</v>
      </c>
      <c r="I251" s="3">
        <v>1.37</v>
      </c>
    </row>
    <row r="252" spans="1:9" x14ac:dyDescent="0.25">
      <c r="A252" s="9">
        <v>17105</v>
      </c>
      <c r="B252" s="4">
        <v>83</v>
      </c>
      <c r="C252" s="4">
        <v>42</v>
      </c>
      <c r="D252" s="4">
        <v>5</v>
      </c>
      <c r="E252" s="4">
        <v>42</v>
      </c>
      <c r="F252" s="4">
        <v>1780</v>
      </c>
      <c r="G252" s="4">
        <v>16.399999999999999</v>
      </c>
      <c r="H252" s="3">
        <v>3.6</v>
      </c>
      <c r="I252" s="3">
        <v>1.38</v>
      </c>
    </row>
    <row r="253" spans="1:9" x14ac:dyDescent="0.25">
      <c r="A253" s="9">
        <v>17107</v>
      </c>
      <c r="B253" s="4">
        <v>67</v>
      </c>
      <c r="C253" s="4">
        <v>25</v>
      </c>
      <c r="D253" s="4">
        <v>14</v>
      </c>
      <c r="E253" s="4">
        <v>25</v>
      </c>
      <c r="F253" s="4">
        <v>759</v>
      </c>
      <c r="G253" s="4">
        <v>12</v>
      </c>
      <c r="H253" s="3">
        <v>3.9</v>
      </c>
      <c r="I253" s="3">
        <v>1.19</v>
      </c>
    </row>
    <row r="254" spans="1:9" x14ac:dyDescent="0.25">
      <c r="A254" s="9">
        <v>17109</v>
      </c>
      <c r="B254" s="4">
        <v>89</v>
      </c>
      <c r="C254" s="4">
        <v>45</v>
      </c>
      <c r="D254" s="4">
        <v>7</v>
      </c>
      <c r="E254" s="4">
        <v>45</v>
      </c>
      <c r="F254" s="4">
        <v>1313</v>
      </c>
      <c r="G254" s="4">
        <v>14</v>
      </c>
      <c r="H254" s="3">
        <v>4.3</v>
      </c>
      <c r="I254" s="3">
        <v>1.24</v>
      </c>
    </row>
    <row r="255" spans="1:9" x14ac:dyDescent="0.25">
      <c r="A255" s="9">
        <v>17111</v>
      </c>
      <c r="B255" s="4">
        <v>480</v>
      </c>
      <c r="C255" s="4">
        <v>309</v>
      </c>
      <c r="D255" s="4">
        <v>33</v>
      </c>
      <c r="E255" s="4">
        <v>437</v>
      </c>
      <c r="F255" s="4">
        <v>18259</v>
      </c>
      <c r="G255" s="4">
        <v>202.5</v>
      </c>
      <c r="H255" s="3">
        <v>3.5999999999999996</v>
      </c>
      <c r="I255" s="3">
        <v>1.3233333333333335</v>
      </c>
    </row>
    <row r="256" spans="1:9" x14ac:dyDescent="0.25">
      <c r="A256" s="9">
        <v>17113</v>
      </c>
      <c r="B256" s="4">
        <v>529</v>
      </c>
      <c r="C256" s="4">
        <v>343</v>
      </c>
      <c r="D256" s="4">
        <v>30</v>
      </c>
      <c r="E256" s="4">
        <v>343</v>
      </c>
      <c r="F256" s="4">
        <v>15318</v>
      </c>
      <c r="G256" s="4">
        <v>154.39999999999998</v>
      </c>
      <c r="H256" s="3">
        <v>4.05</v>
      </c>
      <c r="I256" s="3">
        <v>1.63</v>
      </c>
    </row>
    <row r="257" spans="1:9" x14ac:dyDescent="0.25">
      <c r="A257" s="9">
        <v>17115</v>
      </c>
      <c r="B257" s="4">
        <v>503</v>
      </c>
      <c r="C257" s="4">
        <v>333</v>
      </c>
      <c r="D257" s="4">
        <v>35</v>
      </c>
      <c r="E257" s="4">
        <v>446</v>
      </c>
      <c r="F257" s="4">
        <v>14078</v>
      </c>
      <c r="G257" s="4">
        <v>158.60000000000002</v>
      </c>
      <c r="H257" s="3">
        <v>4.3000000000000007</v>
      </c>
      <c r="I257" s="3">
        <v>1.6</v>
      </c>
    </row>
    <row r="258" spans="1:9" x14ac:dyDescent="0.25">
      <c r="A258" s="9">
        <v>17117</v>
      </c>
      <c r="B258" s="4">
        <v>53</v>
      </c>
      <c r="C258" s="4">
        <v>50</v>
      </c>
      <c r="D258" s="4">
        <v>14</v>
      </c>
      <c r="E258" s="4">
        <v>50</v>
      </c>
      <c r="F258" s="4">
        <v>606</v>
      </c>
      <c r="G258" s="4">
        <v>10.4</v>
      </c>
      <c r="H258" s="3">
        <v>3</v>
      </c>
      <c r="I258" s="3">
        <v>0.95</v>
      </c>
    </row>
    <row r="259" spans="1:9" x14ac:dyDescent="0.25">
      <c r="A259" s="9">
        <v>17119</v>
      </c>
      <c r="B259" s="4">
        <v>641</v>
      </c>
      <c r="C259" s="4">
        <v>624</v>
      </c>
      <c r="D259" s="4">
        <v>59</v>
      </c>
      <c r="E259" s="4">
        <v>624</v>
      </c>
      <c r="F259" s="4">
        <v>24155</v>
      </c>
      <c r="G259" s="4">
        <v>252.29999999999998</v>
      </c>
      <c r="H259" s="3">
        <v>3.78</v>
      </c>
      <c r="I259" s="3">
        <v>1.4119999999999999</v>
      </c>
    </row>
    <row r="260" spans="1:9" x14ac:dyDescent="0.25">
      <c r="A260" s="9">
        <v>17121</v>
      </c>
      <c r="B260" s="4">
        <v>138</v>
      </c>
      <c r="C260" s="4">
        <v>107</v>
      </c>
      <c r="D260" s="4">
        <v>9</v>
      </c>
      <c r="E260" s="4">
        <v>107</v>
      </c>
      <c r="F260" s="4">
        <v>4877</v>
      </c>
      <c r="G260" s="4">
        <v>45</v>
      </c>
      <c r="H260" s="3">
        <v>3.5</v>
      </c>
      <c r="I260" s="3">
        <v>1.2749999999999999</v>
      </c>
    </row>
    <row r="261" spans="1:9" x14ac:dyDescent="0.25">
      <c r="A261" s="9">
        <v>17125</v>
      </c>
      <c r="B261" s="4">
        <v>13</v>
      </c>
      <c r="C261" s="4">
        <v>25</v>
      </c>
      <c r="D261" s="4">
        <v>14</v>
      </c>
      <c r="E261" s="4">
        <v>25</v>
      </c>
      <c r="F261" s="4">
        <v>140</v>
      </c>
      <c r="G261" s="4">
        <v>3.2</v>
      </c>
      <c r="H261" s="3">
        <v>3.1</v>
      </c>
      <c r="I261" s="3">
        <v>1.1000000000000001</v>
      </c>
    </row>
    <row r="262" spans="1:9" x14ac:dyDescent="0.25">
      <c r="A262" s="9">
        <v>17127</v>
      </c>
      <c r="B262" s="4">
        <v>15</v>
      </c>
      <c r="C262" s="4">
        <v>25</v>
      </c>
      <c r="D262" s="4">
        <v>14</v>
      </c>
      <c r="E262" s="4">
        <v>25</v>
      </c>
      <c r="F262" s="4">
        <v>782</v>
      </c>
      <c r="G262" s="4">
        <v>10.1</v>
      </c>
      <c r="H262" s="3">
        <v>4.2</v>
      </c>
      <c r="I262" s="3">
        <v>0.94</v>
      </c>
    </row>
    <row r="263" spans="1:9" x14ac:dyDescent="0.25">
      <c r="A263" s="9">
        <v>17131</v>
      </c>
      <c r="B263" s="4">
        <v>15</v>
      </c>
      <c r="C263" s="4">
        <v>22</v>
      </c>
      <c r="D263" s="4">
        <v>14</v>
      </c>
      <c r="E263" s="4">
        <v>22</v>
      </c>
      <c r="F263" s="4">
        <v>146</v>
      </c>
      <c r="G263" s="4">
        <v>2.8</v>
      </c>
      <c r="H263" s="3">
        <v>1.7</v>
      </c>
      <c r="I263" s="3">
        <v>0.92</v>
      </c>
    </row>
    <row r="264" spans="1:9" x14ac:dyDescent="0.25">
      <c r="A264" s="9">
        <v>17135</v>
      </c>
      <c r="B264" s="4">
        <v>83</v>
      </c>
      <c r="C264" s="4">
        <v>50</v>
      </c>
      <c r="D264" s="4">
        <v>14</v>
      </c>
      <c r="E264" s="4">
        <v>50</v>
      </c>
      <c r="F264" s="4">
        <v>1711</v>
      </c>
      <c r="G264" s="4">
        <v>18.399999999999999</v>
      </c>
      <c r="H264" s="3">
        <v>2.7</v>
      </c>
      <c r="I264" s="3">
        <v>1.105</v>
      </c>
    </row>
    <row r="265" spans="1:9" x14ac:dyDescent="0.25">
      <c r="A265" s="9">
        <v>17137</v>
      </c>
      <c r="B265" s="4">
        <v>117</v>
      </c>
      <c r="C265" s="4">
        <v>102</v>
      </c>
      <c r="D265" s="4">
        <v>9</v>
      </c>
      <c r="E265" s="4">
        <v>102</v>
      </c>
      <c r="F265" s="4">
        <v>2782</v>
      </c>
      <c r="G265" s="4">
        <v>24.1</v>
      </c>
      <c r="H265" s="3">
        <v>3.4</v>
      </c>
      <c r="I265" s="3">
        <v>1.38</v>
      </c>
    </row>
    <row r="266" spans="1:9" x14ac:dyDescent="0.25">
      <c r="A266" s="9">
        <v>17141</v>
      </c>
      <c r="B266" s="4">
        <v>31</v>
      </c>
      <c r="C266" s="4">
        <v>17</v>
      </c>
      <c r="D266" s="4">
        <v>4</v>
      </c>
      <c r="E266" s="4">
        <v>17</v>
      </c>
      <c r="F266" s="4">
        <v>374</v>
      </c>
      <c r="G266" s="4">
        <v>3</v>
      </c>
      <c r="H266" s="3">
        <v>2.6</v>
      </c>
      <c r="I266" s="3">
        <v>0.95</v>
      </c>
    </row>
    <row r="267" spans="1:9" x14ac:dyDescent="0.25">
      <c r="A267" s="9">
        <v>17143</v>
      </c>
      <c r="B267" s="4">
        <v>1879</v>
      </c>
      <c r="C267" s="4">
        <v>936</v>
      </c>
      <c r="D267" s="4">
        <v>95</v>
      </c>
      <c r="E267" s="4">
        <v>936</v>
      </c>
      <c r="F267" s="4">
        <v>48602</v>
      </c>
      <c r="G267" s="4">
        <v>648.5</v>
      </c>
      <c r="H267" s="3">
        <v>4.5</v>
      </c>
      <c r="I267" s="3">
        <v>1.7366666666666666</v>
      </c>
    </row>
    <row r="268" spans="1:9" x14ac:dyDescent="0.25">
      <c r="A268" s="9">
        <v>17145</v>
      </c>
      <c r="B268" s="4">
        <v>53</v>
      </c>
      <c r="C268" s="4">
        <v>42</v>
      </c>
      <c r="D268" s="4">
        <v>14</v>
      </c>
      <c r="E268" s="4">
        <v>42</v>
      </c>
      <c r="F268" s="4">
        <v>695</v>
      </c>
      <c r="G268" s="4">
        <v>14.399999999999999</v>
      </c>
      <c r="H268" s="3">
        <v>2.7</v>
      </c>
      <c r="I268" s="3">
        <v>1.0049999999999999</v>
      </c>
    </row>
    <row r="269" spans="1:9" x14ac:dyDescent="0.25">
      <c r="A269" s="9">
        <v>17147</v>
      </c>
      <c r="B269" s="4">
        <v>25</v>
      </c>
      <c r="C269" s="4">
        <v>16</v>
      </c>
      <c r="D269" s="4">
        <v>14</v>
      </c>
      <c r="E269" s="4">
        <v>16</v>
      </c>
      <c r="F269" s="4">
        <v>134</v>
      </c>
      <c r="G269" s="4">
        <v>4.9000000000000004</v>
      </c>
      <c r="H269" s="3">
        <v>2.2999999999999998</v>
      </c>
      <c r="I269" s="3">
        <v>1.48</v>
      </c>
    </row>
    <row r="270" spans="1:9" x14ac:dyDescent="0.25">
      <c r="A270" s="9">
        <v>17149</v>
      </c>
      <c r="B270" s="4">
        <v>31</v>
      </c>
      <c r="C270" s="4">
        <v>25</v>
      </c>
      <c r="D270" s="4">
        <v>14</v>
      </c>
      <c r="E270" s="4">
        <v>25</v>
      </c>
      <c r="F270" s="4">
        <v>254</v>
      </c>
      <c r="G270" s="4">
        <v>3</v>
      </c>
      <c r="H270" s="3">
        <v>2.9</v>
      </c>
      <c r="I270" s="3">
        <v>1.1000000000000001</v>
      </c>
    </row>
    <row r="271" spans="1:9" x14ac:dyDescent="0.25">
      <c r="A271" s="9">
        <v>17157</v>
      </c>
      <c r="B271" s="4">
        <v>101</v>
      </c>
      <c r="C271" s="4">
        <v>75</v>
      </c>
      <c r="D271" s="4">
        <v>14</v>
      </c>
      <c r="E271" s="4">
        <v>171</v>
      </c>
      <c r="F271" s="4">
        <v>1325</v>
      </c>
      <c r="G271" s="4">
        <v>24.6</v>
      </c>
      <c r="H271" s="3">
        <v>3.1666666666666665</v>
      </c>
      <c r="I271" s="3">
        <v>1.0666666666666667</v>
      </c>
    </row>
    <row r="272" spans="1:9" x14ac:dyDescent="0.25">
      <c r="A272" s="9">
        <v>17159</v>
      </c>
      <c r="B272" s="4">
        <v>60</v>
      </c>
      <c r="C272" s="4">
        <v>47</v>
      </c>
      <c r="D272" s="4">
        <v>8</v>
      </c>
      <c r="E272" s="4">
        <v>47</v>
      </c>
      <c r="F272" s="4">
        <v>958</v>
      </c>
      <c r="G272" s="4">
        <v>12.6</v>
      </c>
      <c r="H272" s="3">
        <v>5.2</v>
      </c>
      <c r="I272" s="3">
        <v>1.28</v>
      </c>
    </row>
    <row r="273" spans="1:9" x14ac:dyDescent="0.25">
      <c r="A273" s="9">
        <v>17161</v>
      </c>
      <c r="B273" s="4">
        <v>548</v>
      </c>
      <c r="C273" s="4">
        <v>442</v>
      </c>
      <c r="D273" s="4">
        <v>27</v>
      </c>
      <c r="E273" s="4">
        <v>480</v>
      </c>
      <c r="F273" s="4">
        <v>15988</v>
      </c>
      <c r="G273" s="4">
        <v>161</v>
      </c>
      <c r="H273" s="3">
        <v>3.55</v>
      </c>
      <c r="I273" s="3">
        <v>1.62</v>
      </c>
    </row>
    <row r="274" spans="1:9" x14ac:dyDescent="0.25">
      <c r="A274" s="9">
        <v>17163</v>
      </c>
      <c r="B274" s="4">
        <v>776</v>
      </c>
      <c r="C274" s="4">
        <v>556</v>
      </c>
      <c r="D274" s="4">
        <v>42</v>
      </c>
      <c r="E274" s="4">
        <v>556</v>
      </c>
      <c r="F274" s="4">
        <v>30757</v>
      </c>
      <c r="G274" s="4">
        <v>312.49999999999994</v>
      </c>
      <c r="H274" s="3">
        <v>4</v>
      </c>
      <c r="I274" s="3">
        <v>1.4925000000000002</v>
      </c>
    </row>
    <row r="275" spans="1:9" x14ac:dyDescent="0.25">
      <c r="A275" s="9">
        <v>17165</v>
      </c>
      <c r="B275" s="4">
        <v>92</v>
      </c>
      <c r="C275" s="4">
        <v>65</v>
      </c>
      <c r="D275" s="4">
        <v>14</v>
      </c>
      <c r="E275" s="4">
        <v>65</v>
      </c>
      <c r="F275" s="4">
        <v>2056</v>
      </c>
      <c r="G275" s="4">
        <v>20.7</v>
      </c>
      <c r="H275" s="3">
        <v>3.35</v>
      </c>
      <c r="I275" s="3">
        <v>1.05</v>
      </c>
    </row>
    <row r="276" spans="1:9" x14ac:dyDescent="0.25">
      <c r="A276" s="9">
        <v>17167</v>
      </c>
      <c r="B276" s="4">
        <v>1470</v>
      </c>
      <c r="C276" s="4">
        <v>759</v>
      </c>
      <c r="D276" s="4">
        <v>83</v>
      </c>
      <c r="E276" s="4">
        <v>759</v>
      </c>
      <c r="F276" s="4">
        <v>40003</v>
      </c>
      <c r="G276" s="4">
        <v>548</v>
      </c>
      <c r="H276" s="3">
        <v>5.15</v>
      </c>
      <c r="I276" s="3">
        <v>1.94</v>
      </c>
    </row>
    <row r="277" spans="1:9" x14ac:dyDescent="0.25">
      <c r="A277" s="9">
        <v>17169</v>
      </c>
      <c r="B277" s="4">
        <v>28</v>
      </c>
      <c r="C277" s="4">
        <v>22</v>
      </c>
      <c r="D277" s="4">
        <v>14</v>
      </c>
      <c r="E277" s="4">
        <v>22</v>
      </c>
      <c r="F277" s="4">
        <v>223</v>
      </c>
      <c r="G277" s="4">
        <v>3.7</v>
      </c>
      <c r="H277" s="3">
        <v>3.4</v>
      </c>
      <c r="I277" s="3">
        <v>0.89</v>
      </c>
    </row>
    <row r="278" spans="1:9" x14ac:dyDescent="0.25">
      <c r="A278" s="9">
        <v>17173</v>
      </c>
      <c r="B278" s="4">
        <v>32</v>
      </c>
      <c r="C278" s="4">
        <v>30</v>
      </c>
      <c r="D278" s="4">
        <v>14</v>
      </c>
      <c r="E278" s="4">
        <v>30</v>
      </c>
      <c r="F278" s="4">
        <v>371</v>
      </c>
      <c r="G278" s="4">
        <v>3.8</v>
      </c>
      <c r="H278" s="3">
        <v>3.7</v>
      </c>
      <c r="I278" s="3">
        <v>1.1200000000000001</v>
      </c>
    </row>
    <row r="279" spans="1:9" x14ac:dyDescent="0.25">
      <c r="A279" s="9">
        <v>17177</v>
      </c>
      <c r="B279" s="4">
        <v>153</v>
      </c>
      <c r="C279" s="4">
        <v>100</v>
      </c>
      <c r="D279" s="4">
        <v>8</v>
      </c>
      <c r="E279" s="4">
        <v>100</v>
      </c>
      <c r="F279" s="4">
        <v>3830</v>
      </c>
      <c r="G279" s="4">
        <v>37.4</v>
      </c>
      <c r="H279" s="3">
        <v>3.7</v>
      </c>
      <c r="I279" s="3">
        <v>1.39</v>
      </c>
    </row>
    <row r="280" spans="1:9" x14ac:dyDescent="0.25">
      <c r="A280" s="9">
        <v>17179</v>
      </c>
      <c r="B280" s="4">
        <v>379</v>
      </c>
      <c r="C280" s="4">
        <v>132</v>
      </c>
      <c r="D280" s="4">
        <v>8</v>
      </c>
      <c r="E280" s="4">
        <v>132</v>
      </c>
      <c r="F280" s="4">
        <v>3111</v>
      </c>
      <c r="G280" s="4">
        <v>28.1</v>
      </c>
      <c r="H280" s="3">
        <v>3.2</v>
      </c>
      <c r="I280" s="3">
        <v>1.45</v>
      </c>
    </row>
    <row r="281" spans="1:9" x14ac:dyDescent="0.25">
      <c r="A281" s="9">
        <v>17181</v>
      </c>
      <c r="B281" s="4">
        <v>20</v>
      </c>
      <c r="C281" s="4">
        <v>25</v>
      </c>
      <c r="D281" s="4">
        <v>14</v>
      </c>
      <c r="E281" s="4">
        <v>25</v>
      </c>
      <c r="F281" s="4">
        <v>517</v>
      </c>
      <c r="G281" s="4">
        <v>6.4</v>
      </c>
      <c r="H281" s="3">
        <v>3.4</v>
      </c>
      <c r="I281" s="3">
        <v>1.1200000000000001</v>
      </c>
    </row>
    <row r="282" spans="1:9" x14ac:dyDescent="0.25">
      <c r="A282" s="9">
        <v>17183</v>
      </c>
      <c r="B282" s="4">
        <v>156</v>
      </c>
      <c r="C282" s="4">
        <v>196</v>
      </c>
      <c r="D282" s="4">
        <v>14</v>
      </c>
      <c r="E282" s="4">
        <v>196</v>
      </c>
      <c r="F282" s="4">
        <v>5945</v>
      </c>
      <c r="G282" s="4">
        <v>48.2</v>
      </c>
      <c r="H282" s="3">
        <v>2.9000000000000004</v>
      </c>
      <c r="I282" s="3">
        <v>1.17</v>
      </c>
    </row>
    <row r="283" spans="1:9" x14ac:dyDescent="0.25">
      <c r="A283" s="9">
        <v>17185</v>
      </c>
      <c r="B283" s="4">
        <v>42</v>
      </c>
      <c r="C283" s="4">
        <v>25</v>
      </c>
      <c r="D283" s="4">
        <v>4</v>
      </c>
      <c r="E283" s="4">
        <v>25</v>
      </c>
      <c r="F283" s="4">
        <v>676</v>
      </c>
      <c r="G283" s="4">
        <v>6.9</v>
      </c>
      <c r="H283" s="3">
        <v>3.3</v>
      </c>
      <c r="I283" s="3">
        <v>1.42</v>
      </c>
    </row>
    <row r="284" spans="1:9" x14ac:dyDescent="0.25">
      <c r="A284" s="9">
        <v>17187</v>
      </c>
      <c r="B284" s="4">
        <v>15</v>
      </c>
      <c r="C284" s="4">
        <v>23</v>
      </c>
      <c r="D284" s="4">
        <v>14</v>
      </c>
      <c r="E284" s="4">
        <v>23</v>
      </c>
      <c r="F284" s="4">
        <v>199</v>
      </c>
      <c r="G284" s="4">
        <v>3.5</v>
      </c>
      <c r="H284" s="3">
        <v>3</v>
      </c>
      <c r="I284" s="3">
        <v>0.94</v>
      </c>
    </row>
    <row r="285" spans="1:9" x14ac:dyDescent="0.25">
      <c r="A285" s="9">
        <v>17189</v>
      </c>
      <c r="B285" s="4">
        <v>13</v>
      </c>
      <c r="C285" s="4">
        <v>22</v>
      </c>
      <c r="D285" s="4">
        <v>14</v>
      </c>
      <c r="E285" s="4">
        <v>22</v>
      </c>
      <c r="F285" s="4">
        <v>68</v>
      </c>
      <c r="G285" s="4">
        <v>5</v>
      </c>
      <c r="H285" s="3">
        <v>2.2000000000000002</v>
      </c>
      <c r="I285" s="3">
        <v>0.94</v>
      </c>
    </row>
    <row r="286" spans="1:9" x14ac:dyDescent="0.25">
      <c r="A286" s="9">
        <v>17191</v>
      </c>
      <c r="B286" s="4">
        <v>32</v>
      </c>
      <c r="C286" s="4">
        <v>25</v>
      </c>
      <c r="D286" s="4">
        <v>4</v>
      </c>
      <c r="E286" s="4">
        <v>25</v>
      </c>
      <c r="F286" s="4">
        <v>561</v>
      </c>
      <c r="G286" s="4">
        <v>4.5999999999999996</v>
      </c>
      <c r="H286" s="3">
        <v>3</v>
      </c>
      <c r="I286" s="3">
        <v>1.04</v>
      </c>
    </row>
    <row r="287" spans="1:9" x14ac:dyDescent="0.25">
      <c r="A287" s="9">
        <v>17195</v>
      </c>
      <c r="B287" s="4">
        <v>194</v>
      </c>
      <c r="C287" s="4">
        <v>121</v>
      </c>
      <c r="D287" s="4">
        <v>9</v>
      </c>
      <c r="E287" s="4">
        <v>121</v>
      </c>
      <c r="F287" s="4">
        <v>3995</v>
      </c>
      <c r="G287" s="4">
        <v>44.5</v>
      </c>
      <c r="H287" s="3">
        <v>3.2</v>
      </c>
      <c r="I287" s="3">
        <v>1.1850000000000001</v>
      </c>
    </row>
    <row r="288" spans="1:9" x14ac:dyDescent="0.25">
      <c r="A288" s="9">
        <v>17197</v>
      </c>
      <c r="B288" s="4">
        <v>870</v>
      </c>
      <c r="C288" s="4">
        <v>752</v>
      </c>
      <c r="D288" s="4">
        <v>75</v>
      </c>
      <c r="E288" s="4">
        <v>752</v>
      </c>
      <c r="F288" s="4">
        <v>43183</v>
      </c>
      <c r="G288" s="4">
        <v>409.2</v>
      </c>
      <c r="H288" s="3">
        <v>3.8666666666666667</v>
      </c>
      <c r="I288" s="3">
        <v>1.5133333333333334</v>
      </c>
    </row>
    <row r="289" spans="1:9" x14ac:dyDescent="0.25">
      <c r="A289" s="9">
        <v>17199</v>
      </c>
      <c r="B289" s="4">
        <v>297</v>
      </c>
      <c r="C289" s="4">
        <v>179</v>
      </c>
      <c r="D289" s="4">
        <v>26</v>
      </c>
      <c r="E289" s="4">
        <v>179</v>
      </c>
      <c r="F289" s="4">
        <v>9967</v>
      </c>
      <c r="G289" s="4">
        <v>85.5</v>
      </c>
      <c r="H289" s="3">
        <v>3.2</v>
      </c>
      <c r="I289" s="3">
        <v>1.615</v>
      </c>
    </row>
    <row r="290" spans="1:9" x14ac:dyDescent="0.25">
      <c r="A290" s="9">
        <v>17201</v>
      </c>
      <c r="B290" s="4">
        <v>1231</v>
      </c>
      <c r="C290" s="4">
        <v>812</v>
      </c>
      <c r="D290" s="4">
        <v>90</v>
      </c>
      <c r="E290" s="4">
        <v>864</v>
      </c>
      <c r="F290" s="4">
        <v>36861</v>
      </c>
      <c r="G290" s="4">
        <v>444.70000000000005</v>
      </c>
      <c r="H290" s="3">
        <v>4.7</v>
      </c>
      <c r="I290" s="3">
        <v>1.67</v>
      </c>
    </row>
    <row r="291" spans="1:9" x14ac:dyDescent="0.25">
      <c r="A291" s="9">
        <v>17203</v>
      </c>
      <c r="B291" s="4">
        <v>15</v>
      </c>
      <c r="C291" s="4">
        <v>25</v>
      </c>
      <c r="D291" s="4">
        <v>14</v>
      </c>
      <c r="E291" s="4">
        <v>25</v>
      </c>
      <c r="F291" s="4">
        <v>173</v>
      </c>
      <c r="G291" s="4">
        <v>3.3</v>
      </c>
      <c r="H291" s="3">
        <v>2.9</v>
      </c>
      <c r="I291" s="3">
        <v>1.1399999999999999</v>
      </c>
    </row>
    <row r="292" spans="1:9" x14ac:dyDescent="0.25">
      <c r="A292" s="9">
        <v>18001</v>
      </c>
      <c r="B292" s="4">
        <v>77</v>
      </c>
      <c r="C292" s="4">
        <v>25</v>
      </c>
      <c r="D292" s="4">
        <v>4</v>
      </c>
      <c r="E292" s="4">
        <v>25</v>
      </c>
      <c r="F292" s="4">
        <v>1305</v>
      </c>
      <c r="G292" s="4">
        <v>15.3</v>
      </c>
      <c r="H292" s="3">
        <v>3.4</v>
      </c>
      <c r="I292" s="3">
        <v>1.23</v>
      </c>
    </row>
    <row r="293" spans="1:9" x14ac:dyDescent="0.25">
      <c r="A293" s="9">
        <v>18003</v>
      </c>
      <c r="B293" s="4">
        <v>1727</v>
      </c>
      <c r="C293" s="4">
        <v>1257</v>
      </c>
      <c r="D293" s="4">
        <v>134</v>
      </c>
      <c r="E293" s="4">
        <v>1456</v>
      </c>
      <c r="F293" s="4">
        <v>68180</v>
      </c>
      <c r="G293" s="4">
        <v>797.1</v>
      </c>
      <c r="H293" s="3">
        <v>3.7333333333333329</v>
      </c>
      <c r="I293" s="3">
        <v>1.9883333333333333</v>
      </c>
    </row>
    <row r="294" spans="1:9" x14ac:dyDescent="0.25">
      <c r="A294" s="9">
        <v>18005</v>
      </c>
      <c r="B294" s="4">
        <v>311</v>
      </c>
      <c r="C294" s="4">
        <v>211</v>
      </c>
      <c r="D294" s="4">
        <v>17</v>
      </c>
      <c r="E294" s="4">
        <v>225</v>
      </c>
      <c r="F294" s="4">
        <v>9158</v>
      </c>
      <c r="G294" s="4">
        <v>83.4</v>
      </c>
      <c r="H294" s="3">
        <v>3.7</v>
      </c>
      <c r="I294" s="3">
        <v>1.56</v>
      </c>
    </row>
    <row r="295" spans="1:9" x14ac:dyDescent="0.25">
      <c r="A295" s="9">
        <v>18009</v>
      </c>
      <c r="B295" s="4">
        <v>15</v>
      </c>
      <c r="C295" s="4">
        <v>15</v>
      </c>
      <c r="D295" s="4">
        <v>14</v>
      </c>
      <c r="E295" s="4">
        <v>15</v>
      </c>
      <c r="F295" s="4">
        <v>274</v>
      </c>
      <c r="G295" s="4">
        <v>6.1</v>
      </c>
      <c r="H295" s="3">
        <v>3.5</v>
      </c>
      <c r="I295" s="3">
        <v>0.98</v>
      </c>
    </row>
    <row r="296" spans="1:9" x14ac:dyDescent="0.25">
      <c r="A296" s="9">
        <v>18011</v>
      </c>
      <c r="B296" s="4">
        <v>181</v>
      </c>
      <c r="C296" s="4">
        <v>68</v>
      </c>
      <c r="D296" s="4">
        <v>8</v>
      </c>
      <c r="E296" s="4">
        <v>68</v>
      </c>
      <c r="F296" s="4">
        <v>2316</v>
      </c>
      <c r="G296" s="4">
        <v>19.8</v>
      </c>
      <c r="H296" s="3">
        <v>3.6</v>
      </c>
      <c r="I296" s="3">
        <v>1.35</v>
      </c>
    </row>
    <row r="297" spans="1:9" x14ac:dyDescent="0.25">
      <c r="A297" s="9">
        <v>18017</v>
      </c>
      <c r="B297" s="4">
        <v>88</v>
      </c>
      <c r="C297" s="4">
        <v>44</v>
      </c>
      <c r="D297" s="4">
        <v>5</v>
      </c>
      <c r="E297" s="4">
        <v>44</v>
      </c>
      <c r="F297" s="4">
        <v>1659</v>
      </c>
      <c r="G297" s="4">
        <v>12.5</v>
      </c>
      <c r="H297" s="3">
        <v>3.2</v>
      </c>
      <c r="I297" s="3">
        <v>1.24</v>
      </c>
    </row>
    <row r="298" spans="1:9" x14ac:dyDescent="0.25">
      <c r="A298" s="9">
        <v>18019</v>
      </c>
      <c r="B298" s="4">
        <v>196</v>
      </c>
      <c r="C298" s="4">
        <v>153</v>
      </c>
      <c r="D298" s="4">
        <v>22</v>
      </c>
      <c r="E298" s="4">
        <v>153</v>
      </c>
      <c r="F298" s="4">
        <v>12351</v>
      </c>
      <c r="G298" s="4">
        <v>111.19999999999999</v>
      </c>
      <c r="H298" s="3">
        <v>4.0666666666666664</v>
      </c>
      <c r="I298" s="3">
        <v>1.9450000000000001</v>
      </c>
    </row>
    <row r="299" spans="1:9" x14ac:dyDescent="0.25">
      <c r="A299" s="9">
        <v>18021</v>
      </c>
      <c r="B299" s="4">
        <v>28</v>
      </c>
      <c r="C299" s="4">
        <v>25</v>
      </c>
      <c r="D299" s="4">
        <v>14</v>
      </c>
      <c r="E299" s="4">
        <v>25</v>
      </c>
      <c r="F299" s="4">
        <v>124</v>
      </c>
      <c r="G299" s="4">
        <v>2</v>
      </c>
      <c r="H299" s="3">
        <v>3.3</v>
      </c>
      <c r="I299" s="3">
        <v>0.95</v>
      </c>
    </row>
    <row r="300" spans="1:9" x14ac:dyDescent="0.25">
      <c r="A300" s="9">
        <v>18023</v>
      </c>
      <c r="B300" s="4">
        <v>21</v>
      </c>
      <c r="C300" s="4">
        <v>25</v>
      </c>
      <c r="D300" s="4">
        <v>14</v>
      </c>
      <c r="E300" s="4">
        <v>25</v>
      </c>
      <c r="F300" s="4">
        <v>371</v>
      </c>
      <c r="G300" s="4">
        <v>4.2</v>
      </c>
      <c r="H300" s="3">
        <v>3.3</v>
      </c>
      <c r="I300" s="3">
        <v>1.1399999999999999</v>
      </c>
    </row>
    <row r="301" spans="1:9" x14ac:dyDescent="0.25">
      <c r="A301" s="9">
        <v>18027</v>
      </c>
      <c r="B301" s="4">
        <v>64</v>
      </c>
      <c r="C301" s="4">
        <v>42</v>
      </c>
      <c r="D301" s="4">
        <v>5</v>
      </c>
      <c r="E301" s="4">
        <v>42</v>
      </c>
      <c r="F301" s="4">
        <v>1455</v>
      </c>
      <c r="G301" s="4">
        <v>11.4</v>
      </c>
      <c r="H301" s="3">
        <v>3.4</v>
      </c>
      <c r="I301" s="3">
        <v>1.21</v>
      </c>
    </row>
    <row r="302" spans="1:9" x14ac:dyDescent="0.25">
      <c r="A302" s="9">
        <v>18029</v>
      </c>
      <c r="B302" s="4">
        <v>128</v>
      </c>
      <c r="C302" s="4">
        <v>86</v>
      </c>
      <c r="D302" s="4">
        <v>8</v>
      </c>
      <c r="E302" s="4">
        <v>86</v>
      </c>
      <c r="F302" s="4">
        <v>3089</v>
      </c>
      <c r="G302" s="4">
        <v>29.1</v>
      </c>
      <c r="H302" s="3">
        <v>3.7</v>
      </c>
      <c r="I302" s="3">
        <v>1.5</v>
      </c>
    </row>
    <row r="303" spans="1:9" x14ac:dyDescent="0.25">
      <c r="A303" s="9">
        <v>18031</v>
      </c>
      <c r="B303" s="4">
        <v>63</v>
      </c>
      <c r="C303" s="4">
        <v>25</v>
      </c>
      <c r="D303" s="4">
        <v>14</v>
      </c>
      <c r="E303" s="4">
        <v>25</v>
      </c>
      <c r="F303" s="4">
        <v>1237</v>
      </c>
      <c r="G303" s="4">
        <v>11.1</v>
      </c>
      <c r="H303" s="3">
        <v>3.1</v>
      </c>
      <c r="I303" s="3">
        <v>1.18</v>
      </c>
    </row>
    <row r="304" spans="1:9" x14ac:dyDescent="0.25">
      <c r="A304" s="9">
        <v>18033</v>
      </c>
      <c r="B304" s="4">
        <v>124</v>
      </c>
      <c r="C304" s="4">
        <v>37</v>
      </c>
      <c r="D304" s="4">
        <v>8</v>
      </c>
      <c r="E304" s="4">
        <v>37</v>
      </c>
      <c r="F304" s="4">
        <v>1672</v>
      </c>
      <c r="G304" s="4">
        <v>11.9</v>
      </c>
      <c r="H304" s="3">
        <v>3</v>
      </c>
      <c r="I304" s="3">
        <v>1.17</v>
      </c>
    </row>
    <row r="305" spans="1:9" x14ac:dyDescent="0.25">
      <c r="A305" s="9">
        <v>18035</v>
      </c>
      <c r="B305" s="4">
        <v>387</v>
      </c>
      <c r="C305" s="4">
        <v>320</v>
      </c>
      <c r="D305" s="4">
        <v>36</v>
      </c>
      <c r="E305" s="4">
        <v>320</v>
      </c>
      <c r="F305" s="4">
        <v>16806</v>
      </c>
      <c r="G305" s="4">
        <v>217.6</v>
      </c>
      <c r="H305" s="3">
        <v>4.9000000000000004</v>
      </c>
      <c r="I305" s="3">
        <v>1.67</v>
      </c>
    </row>
    <row r="306" spans="1:9" x14ac:dyDescent="0.25">
      <c r="A306" s="9">
        <v>18037</v>
      </c>
      <c r="B306" s="4">
        <v>233</v>
      </c>
      <c r="C306" s="4">
        <v>111</v>
      </c>
      <c r="D306" s="4">
        <v>26</v>
      </c>
      <c r="E306" s="4">
        <v>111</v>
      </c>
      <c r="F306" s="4">
        <v>3643</v>
      </c>
      <c r="G306" s="4">
        <v>36.5</v>
      </c>
      <c r="H306" s="3">
        <v>4.0999999999999996</v>
      </c>
      <c r="I306" s="3">
        <v>1.61</v>
      </c>
    </row>
    <row r="307" spans="1:9" x14ac:dyDescent="0.25">
      <c r="A307" s="9">
        <v>18039</v>
      </c>
      <c r="B307" s="4">
        <v>501</v>
      </c>
      <c r="C307" s="4">
        <v>322</v>
      </c>
      <c r="D307" s="4">
        <v>35</v>
      </c>
      <c r="E307" s="4">
        <v>322</v>
      </c>
      <c r="F307" s="4">
        <v>16892</v>
      </c>
      <c r="G307" s="4">
        <v>163.6</v>
      </c>
      <c r="H307" s="3">
        <v>3.75</v>
      </c>
      <c r="I307" s="3">
        <v>1.7850000000000001</v>
      </c>
    </row>
    <row r="308" spans="1:9" x14ac:dyDescent="0.25">
      <c r="A308" s="9">
        <v>18041</v>
      </c>
      <c r="B308" s="4">
        <v>80</v>
      </c>
      <c r="C308" s="4">
        <v>49</v>
      </c>
      <c r="D308" s="4">
        <v>14</v>
      </c>
      <c r="E308" s="4">
        <v>49</v>
      </c>
      <c r="F308" s="4">
        <v>1007</v>
      </c>
      <c r="G308" s="4">
        <v>8.8000000000000007</v>
      </c>
      <c r="H308" s="3">
        <v>3.5</v>
      </c>
      <c r="I308" s="3">
        <v>1.1299999999999999</v>
      </c>
    </row>
    <row r="309" spans="1:9" x14ac:dyDescent="0.25">
      <c r="A309" s="9">
        <v>18043</v>
      </c>
      <c r="B309" s="4">
        <v>491</v>
      </c>
      <c r="C309" s="4">
        <v>235</v>
      </c>
      <c r="D309" s="4">
        <v>16</v>
      </c>
      <c r="E309" s="4">
        <v>235</v>
      </c>
      <c r="F309" s="4">
        <v>14438</v>
      </c>
      <c r="G309" s="4">
        <v>140.1</v>
      </c>
      <c r="H309" s="3">
        <v>3.25</v>
      </c>
      <c r="I309" s="3">
        <v>2.0149999999999997</v>
      </c>
    </row>
    <row r="310" spans="1:9" x14ac:dyDescent="0.25">
      <c r="A310" s="9">
        <v>18049</v>
      </c>
      <c r="B310" s="4">
        <v>46</v>
      </c>
      <c r="C310" s="4">
        <v>25</v>
      </c>
      <c r="D310" s="4">
        <v>4</v>
      </c>
      <c r="E310" s="4">
        <v>25</v>
      </c>
      <c r="F310" s="4">
        <v>1009</v>
      </c>
      <c r="G310" s="4">
        <v>9.9</v>
      </c>
      <c r="H310" s="3">
        <v>3.3</v>
      </c>
      <c r="I310" s="3">
        <v>1.28</v>
      </c>
    </row>
    <row r="311" spans="1:9" x14ac:dyDescent="0.25">
      <c r="A311" s="9">
        <v>18051</v>
      </c>
      <c r="B311" s="4">
        <v>28</v>
      </c>
      <c r="C311" s="4">
        <v>25</v>
      </c>
      <c r="D311" s="4">
        <v>5</v>
      </c>
      <c r="E311" s="4">
        <v>25</v>
      </c>
      <c r="F311" s="4">
        <v>284</v>
      </c>
      <c r="G311" s="4">
        <v>8.5</v>
      </c>
      <c r="H311" s="3">
        <v>3.4</v>
      </c>
      <c r="I311" s="3">
        <v>0.92</v>
      </c>
    </row>
    <row r="312" spans="1:9" x14ac:dyDescent="0.25">
      <c r="A312" s="9">
        <v>18053</v>
      </c>
      <c r="B312" s="4">
        <v>173</v>
      </c>
      <c r="C312" s="4">
        <v>106</v>
      </c>
      <c r="D312" s="4">
        <v>19</v>
      </c>
      <c r="E312" s="4">
        <v>106</v>
      </c>
      <c r="F312" s="4">
        <v>4850</v>
      </c>
      <c r="G312" s="4">
        <v>47.3</v>
      </c>
      <c r="H312" s="3">
        <v>4</v>
      </c>
      <c r="I312" s="3">
        <v>1.33</v>
      </c>
    </row>
    <row r="313" spans="1:9" x14ac:dyDescent="0.25">
      <c r="A313" s="9">
        <v>18055</v>
      </c>
      <c r="B313" s="4">
        <v>42</v>
      </c>
      <c r="C313" s="4">
        <v>25</v>
      </c>
      <c r="D313" s="4">
        <v>5</v>
      </c>
      <c r="E313" s="4">
        <v>25</v>
      </c>
      <c r="F313" s="4">
        <v>864</v>
      </c>
      <c r="G313" s="4">
        <v>7.1</v>
      </c>
      <c r="H313" s="3">
        <v>2.5</v>
      </c>
      <c r="I313" s="3">
        <v>0.96</v>
      </c>
    </row>
    <row r="314" spans="1:9" x14ac:dyDescent="0.25">
      <c r="A314" s="9">
        <v>18057</v>
      </c>
      <c r="B314" s="4">
        <v>793</v>
      </c>
      <c r="C314" s="4">
        <v>570</v>
      </c>
      <c r="D314" s="4">
        <v>25</v>
      </c>
      <c r="E314" s="4">
        <v>654</v>
      </c>
      <c r="F314" s="4">
        <v>26326</v>
      </c>
      <c r="G314" s="4">
        <v>229.69999999999993</v>
      </c>
      <c r="H314" s="3">
        <v>3.2000000000000006</v>
      </c>
      <c r="I314" s="3">
        <v>2.0550000000000002</v>
      </c>
    </row>
    <row r="315" spans="1:9" x14ac:dyDescent="0.25">
      <c r="A315" s="9">
        <v>18059</v>
      </c>
      <c r="B315" s="4">
        <v>206</v>
      </c>
      <c r="C315" s="4">
        <v>61</v>
      </c>
      <c r="D315" s="4">
        <v>24</v>
      </c>
      <c r="E315" s="4">
        <v>73</v>
      </c>
      <c r="F315" s="4">
        <v>2388</v>
      </c>
      <c r="G315" s="4">
        <v>22.5</v>
      </c>
      <c r="H315" s="3">
        <v>3.4</v>
      </c>
      <c r="I315" s="3">
        <v>1.4</v>
      </c>
    </row>
    <row r="316" spans="1:9" x14ac:dyDescent="0.25">
      <c r="A316" s="9">
        <v>18061</v>
      </c>
      <c r="B316" s="4">
        <v>59</v>
      </c>
      <c r="C316" s="4">
        <v>25</v>
      </c>
      <c r="D316" s="4">
        <v>4</v>
      </c>
      <c r="E316" s="4">
        <v>25</v>
      </c>
      <c r="F316" s="4">
        <v>1417</v>
      </c>
      <c r="G316" s="4">
        <v>13.1</v>
      </c>
      <c r="H316" s="3">
        <v>3.3</v>
      </c>
      <c r="I316" s="3">
        <v>1.22</v>
      </c>
    </row>
    <row r="317" spans="1:9" x14ac:dyDescent="0.25">
      <c r="A317" s="9">
        <v>18063</v>
      </c>
      <c r="B317" s="4">
        <v>591</v>
      </c>
      <c r="C317" s="4">
        <v>260</v>
      </c>
      <c r="D317" s="4">
        <v>28</v>
      </c>
      <c r="E317" s="4">
        <v>266</v>
      </c>
      <c r="F317" s="4">
        <v>13807</v>
      </c>
      <c r="G317" s="4">
        <v>133.29999999999998</v>
      </c>
      <c r="H317" s="3">
        <v>3.1999999999999997</v>
      </c>
      <c r="I317" s="3">
        <v>1.3866666666666667</v>
      </c>
    </row>
    <row r="318" spans="1:9" x14ac:dyDescent="0.25">
      <c r="A318" s="9">
        <v>18065</v>
      </c>
      <c r="B318" s="4">
        <v>103</v>
      </c>
      <c r="C318" s="4">
        <v>48</v>
      </c>
      <c r="D318" s="4">
        <v>10</v>
      </c>
      <c r="E318" s="4">
        <v>48</v>
      </c>
      <c r="F318" s="4">
        <v>2386</v>
      </c>
      <c r="G318" s="4">
        <v>21.8</v>
      </c>
      <c r="H318" s="3">
        <v>3.7</v>
      </c>
      <c r="I318" s="3">
        <v>1.46</v>
      </c>
    </row>
    <row r="319" spans="1:9" x14ac:dyDescent="0.25">
      <c r="A319" s="9">
        <v>18067</v>
      </c>
      <c r="B319" s="4">
        <v>304</v>
      </c>
      <c r="C319" s="4">
        <v>220</v>
      </c>
      <c r="D319" s="4">
        <v>21</v>
      </c>
      <c r="E319" s="4">
        <v>220</v>
      </c>
      <c r="F319" s="4">
        <v>9051</v>
      </c>
      <c r="G319" s="4">
        <v>87.9</v>
      </c>
      <c r="H319" s="3">
        <v>3.8499999999999996</v>
      </c>
      <c r="I319" s="3">
        <v>1.57</v>
      </c>
    </row>
    <row r="320" spans="1:9" x14ac:dyDescent="0.25">
      <c r="A320" s="9">
        <v>18069</v>
      </c>
      <c r="B320" s="4">
        <v>67</v>
      </c>
      <c r="C320" s="4">
        <v>36</v>
      </c>
      <c r="D320" s="4">
        <v>14</v>
      </c>
      <c r="E320" s="4">
        <v>36</v>
      </c>
      <c r="F320" s="4">
        <v>1853</v>
      </c>
      <c r="G320" s="4">
        <v>11.9</v>
      </c>
      <c r="H320" s="3">
        <v>2.7</v>
      </c>
      <c r="I320" s="3">
        <v>1.19</v>
      </c>
    </row>
    <row r="321" spans="1:9" x14ac:dyDescent="0.25">
      <c r="A321" s="9">
        <v>18071</v>
      </c>
      <c r="B321" s="4">
        <v>158</v>
      </c>
      <c r="C321" s="4">
        <v>91</v>
      </c>
      <c r="D321" s="4">
        <v>7</v>
      </c>
      <c r="E321" s="4">
        <v>91</v>
      </c>
      <c r="F321" s="4">
        <v>2607</v>
      </c>
      <c r="G321" s="4">
        <v>23.9</v>
      </c>
      <c r="H321" s="3">
        <v>3.9</v>
      </c>
      <c r="I321" s="3">
        <v>1.61</v>
      </c>
    </row>
    <row r="322" spans="1:9" x14ac:dyDescent="0.25">
      <c r="A322" s="9">
        <v>18073</v>
      </c>
      <c r="B322" s="4">
        <v>28</v>
      </c>
      <c r="C322" s="4">
        <v>25</v>
      </c>
      <c r="D322" s="4">
        <v>4</v>
      </c>
      <c r="E322" s="4">
        <v>25</v>
      </c>
      <c r="F322" s="4">
        <v>412</v>
      </c>
      <c r="G322" s="4">
        <v>4.4000000000000004</v>
      </c>
      <c r="H322" s="3">
        <v>3.3</v>
      </c>
      <c r="I322" s="3">
        <v>1.1200000000000001</v>
      </c>
    </row>
    <row r="323" spans="1:9" x14ac:dyDescent="0.25">
      <c r="A323" s="9">
        <v>18075</v>
      </c>
      <c r="B323" s="4">
        <v>43</v>
      </c>
      <c r="C323" s="4">
        <v>25</v>
      </c>
      <c r="D323" s="4">
        <v>14</v>
      </c>
      <c r="E323" s="4">
        <v>25</v>
      </c>
      <c r="F323" s="4">
        <v>752</v>
      </c>
      <c r="G323" s="4">
        <v>5.9</v>
      </c>
      <c r="H323" s="3">
        <v>2.2000000000000002</v>
      </c>
      <c r="I323" s="3">
        <v>1.1000000000000001</v>
      </c>
    </row>
    <row r="324" spans="1:9" x14ac:dyDescent="0.25">
      <c r="A324" s="9">
        <v>18077</v>
      </c>
      <c r="B324" s="4">
        <v>103</v>
      </c>
      <c r="C324" s="4">
        <v>88</v>
      </c>
      <c r="D324" s="4">
        <v>6</v>
      </c>
      <c r="E324" s="4">
        <v>88</v>
      </c>
      <c r="F324" s="4">
        <v>3085</v>
      </c>
      <c r="G324" s="4">
        <v>29.8</v>
      </c>
      <c r="H324" s="3">
        <v>3.9</v>
      </c>
      <c r="I324" s="3">
        <v>1.36</v>
      </c>
    </row>
    <row r="325" spans="1:9" x14ac:dyDescent="0.25">
      <c r="A325" s="9">
        <v>18079</v>
      </c>
      <c r="B325" s="4">
        <v>33</v>
      </c>
      <c r="C325" s="4">
        <v>25</v>
      </c>
      <c r="D325" s="4">
        <v>14</v>
      </c>
      <c r="E325" s="4">
        <v>25</v>
      </c>
      <c r="F325" s="4">
        <v>201</v>
      </c>
      <c r="G325" s="4">
        <v>1.8</v>
      </c>
      <c r="H325" s="3">
        <v>2.7</v>
      </c>
      <c r="I325" s="3">
        <v>1.04</v>
      </c>
    </row>
    <row r="326" spans="1:9" x14ac:dyDescent="0.25">
      <c r="A326" s="9">
        <v>18081</v>
      </c>
      <c r="B326" s="4">
        <v>128</v>
      </c>
      <c r="C326" s="4">
        <v>83</v>
      </c>
      <c r="D326" s="4">
        <v>6</v>
      </c>
      <c r="E326" s="4">
        <v>83</v>
      </c>
      <c r="F326" s="4">
        <v>1917</v>
      </c>
      <c r="G326" s="4">
        <v>16.3</v>
      </c>
      <c r="H326" s="3">
        <v>3.5</v>
      </c>
      <c r="I326" s="3">
        <v>1.44</v>
      </c>
    </row>
    <row r="327" spans="1:9" x14ac:dyDescent="0.25">
      <c r="A327" s="9">
        <v>18083</v>
      </c>
      <c r="B327" s="4">
        <v>249</v>
      </c>
      <c r="C327" s="4">
        <v>99</v>
      </c>
      <c r="D327" s="4">
        <v>30</v>
      </c>
      <c r="E327" s="4">
        <v>99</v>
      </c>
      <c r="F327" s="4">
        <v>5385</v>
      </c>
      <c r="G327" s="4">
        <v>55.2</v>
      </c>
      <c r="H327" s="3">
        <v>3.9</v>
      </c>
      <c r="I327" s="3">
        <v>1.45</v>
      </c>
    </row>
    <row r="328" spans="1:9" x14ac:dyDescent="0.25">
      <c r="A328" s="9">
        <v>18085</v>
      </c>
      <c r="B328" s="4">
        <v>100</v>
      </c>
      <c r="C328" s="4">
        <v>72</v>
      </c>
      <c r="D328" s="4">
        <v>14</v>
      </c>
      <c r="E328" s="4">
        <v>72</v>
      </c>
      <c r="F328" s="4">
        <v>2759</v>
      </c>
      <c r="G328" s="4">
        <v>22.9</v>
      </c>
      <c r="H328" s="3">
        <v>3.4</v>
      </c>
      <c r="I328" s="3">
        <v>1.35</v>
      </c>
    </row>
    <row r="329" spans="1:9" x14ac:dyDescent="0.25">
      <c r="A329" s="9">
        <v>18087</v>
      </c>
      <c r="B329" s="4">
        <v>29</v>
      </c>
      <c r="C329" s="4">
        <v>25</v>
      </c>
      <c r="D329" s="4">
        <v>14</v>
      </c>
      <c r="E329" s="4">
        <v>25</v>
      </c>
      <c r="F329" s="4">
        <v>1071</v>
      </c>
      <c r="G329" s="4">
        <v>8.3000000000000007</v>
      </c>
      <c r="H329" s="3">
        <v>3.2</v>
      </c>
      <c r="I329" s="3">
        <v>1.1299999999999999</v>
      </c>
    </row>
    <row r="330" spans="1:9" x14ac:dyDescent="0.25">
      <c r="A330" s="9">
        <v>18089</v>
      </c>
      <c r="B330" s="4">
        <v>1901</v>
      </c>
      <c r="C330" s="4">
        <v>1796</v>
      </c>
      <c r="D330" s="4">
        <v>181</v>
      </c>
      <c r="E330" s="4">
        <v>1794</v>
      </c>
      <c r="F330" s="4">
        <v>67655</v>
      </c>
      <c r="G330" s="4">
        <v>910.1</v>
      </c>
      <c r="H330" s="3">
        <v>4.54</v>
      </c>
      <c r="I330" s="3">
        <v>1.6955555555555553</v>
      </c>
    </row>
    <row r="331" spans="1:9" x14ac:dyDescent="0.25">
      <c r="A331" s="9">
        <v>18091</v>
      </c>
      <c r="B331" s="4">
        <v>332</v>
      </c>
      <c r="C331" s="4">
        <v>278</v>
      </c>
      <c r="D331" s="4">
        <v>34</v>
      </c>
      <c r="E331" s="4">
        <v>278</v>
      </c>
      <c r="F331" s="4">
        <v>10023</v>
      </c>
      <c r="G331" s="4">
        <v>99.300000000000011</v>
      </c>
      <c r="H331" s="3">
        <v>3.8499999999999996</v>
      </c>
      <c r="I331" s="3">
        <v>1.5750000000000002</v>
      </c>
    </row>
    <row r="332" spans="1:9" x14ac:dyDescent="0.25">
      <c r="A332" s="9">
        <v>18093</v>
      </c>
      <c r="B332" s="4">
        <v>94</v>
      </c>
      <c r="C332" s="4">
        <v>50</v>
      </c>
      <c r="D332" s="4">
        <v>6</v>
      </c>
      <c r="E332" s="4">
        <v>50</v>
      </c>
      <c r="F332" s="4">
        <v>1706</v>
      </c>
      <c r="G332" s="4">
        <v>16.100000000000001</v>
      </c>
      <c r="H332" s="3">
        <v>3.35</v>
      </c>
      <c r="I332" s="3">
        <v>1.135</v>
      </c>
    </row>
    <row r="333" spans="1:9" x14ac:dyDescent="0.25">
      <c r="A333" s="9">
        <v>18095</v>
      </c>
      <c r="B333" s="4">
        <v>412</v>
      </c>
      <c r="C333" s="4">
        <v>303</v>
      </c>
      <c r="D333" s="4">
        <v>38</v>
      </c>
      <c r="E333" s="4">
        <v>303</v>
      </c>
      <c r="F333" s="4">
        <v>12971</v>
      </c>
      <c r="G333" s="4">
        <v>138.19999999999999</v>
      </c>
      <c r="H333" s="3">
        <v>4</v>
      </c>
      <c r="I333" s="3">
        <v>1.46</v>
      </c>
    </row>
    <row r="334" spans="1:9" x14ac:dyDescent="0.25">
      <c r="A334" s="9">
        <v>18097</v>
      </c>
      <c r="B334" s="4">
        <v>5575</v>
      </c>
      <c r="C334" s="4">
        <v>3629</v>
      </c>
      <c r="D334" s="4">
        <v>318</v>
      </c>
      <c r="E334" s="4">
        <v>3601</v>
      </c>
      <c r="F334" s="4">
        <v>179510</v>
      </c>
      <c r="G334" s="4">
        <v>2508.8000000000002</v>
      </c>
      <c r="H334" s="3">
        <v>4.5363636363636362</v>
      </c>
      <c r="I334" s="3">
        <v>1.8255555555555556</v>
      </c>
    </row>
    <row r="335" spans="1:9" x14ac:dyDescent="0.25">
      <c r="A335" s="9">
        <v>18099</v>
      </c>
      <c r="B335" s="4">
        <v>179</v>
      </c>
      <c r="C335" s="4">
        <v>69</v>
      </c>
      <c r="D335" s="4">
        <v>7</v>
      </c>
      <c r="E335" s="4">
        <v>69</v>
      </c>
      <c r="F335" s="4">
        <v>3023</v>
      </c>
      <c r="G335" s="4">
        <v>25.7</v>
      </c>
      <c r="H335" s="3">
        <v>3.1</v>
      </c>
      <c r="I335" s="3">
        <v>1.2749999999999999</v>
      </c>
    </row>
    <row r="336" spans="1:9" x14ac:dyDescent="0.25">
      <c r="A336" s="9">
        <v>18103</v>
      </c>
      <c r="B336" s="4">
        <v>40</v>
      </c>
      <c r="C336" s="4">
        <v>25</v>
      </c>
      <c r="D336" s="4">
        <v>4</v>
      </c>
      <c r="E336" s="4">
        <v>25</v>
      </c>
      <c r="F336" s="4">
        <v>884</v>
      </c>
      <c r="G336" s="4">
        <v>8.3000000000000007</v>
      </c>
      <c r="H336" s="3">
        <v>3.1</v>
      </c>
      <c r="I336" s="3">
        <v>1.21</v>
      </c>
    </row>
    <row r="337" spans="1:9" x14ac:dyDescent="0.25">
      <c r="A337" s="9">
        <v>18105</v>
      </c>
      <c r="B337" s="4">
        <v>487</v>
      </c>
      <c r="C337" s="4">
        <v>286</v>
      </c>
      <c r="D337" s="4">
        <v>24</v>
      </c>
      <c r="E337" s="4">
        <v>286</v>
      </c>
      <c r="F337" s="4">
        <v>15346</v>
      </c>
      <c r="G337" s="4">
        <v>162.6</v>
      </c>
      <c r="H337" s="3">
        <v>3.9</v>
      </c>
      <c r="I337" s="3">
        <v>1.7549999999999999</v>
      </c>
    </row>
    <row r="338" spans="1:9" x14ac:dyDescent="0.25">
      <c r="A338" s="9">
        <v>18107</v>
      </c>
      <c r="B338" s="4">
        <v>60</v>
      </c>
      <c r="C338" s="4">
        <v>29</v>
      </c>
      <c r="D338" s="4">
        <v>5</v>
      </c>
      <c r="E338" s="4">
        <v>29</v>
      </c>
      <c r="F338" s="4">
        <v>856</v>
      </c>
      <c r="G338" s="4">
        <v>8.3000000000000007</v>
      </c>
      <c r="H338" s="3">
        <v>3.5</v>
      </c>
      <c r="I338" s="3">
        <v>1.3</v>
      </c>
    </row>
    <row r="339" spans="1:9" x14ac:dyDescent="0.25">
      <c r="A339" s="9">
        <v>18109</v>
      </c>
      <c r="B339" s="4">
        <v>84</v>
      </c>
      <c r="C339" s="4">
        <v>83</v>
      </c>
      <c r="D339" s="4">
        <v>14</v>
      </c>
      <c r="E339" s="4">
        <v>199</v>
      </c>
      <c r="F339" s="4">
        <v>2753</v>
      </c>
      <c r="G339" s="4">
        <v>18.899999999999999</v>
      </c>
      <c r="H339" s="3">
        <v>2.8</v>
      </c>
      <c r="I339" s="3">
        <v>1.85</v>
      </c>
    </row>
    <row r="340" spans="1:9" x14ac:dyDescent="0.25">
      <c r="A340" s="9">
        <v>18113</v>
      </c>
      <c r="B340" s="4">
        <v>54</v>
      </c>
      <c r="C340" s="4">
        <v>31</v>
      </c>
      <c r="D340" s="4">
        <v>14</v>
      </c>
      <c r="E340" s="4">
        <v>31</v>
      </c>
      <c r="F340" s="4">
        <v>1865</v>
      </c>
      <c r="G340" s="4">
        <v>12.9</v>
      </c>
      <c r="H340" s="3">
        <v>2.7</v>
      </c>
      <c r="I340" s="3">
        <v>1.19</v>
      </c>
    </row>
    <row r="341" spans="1:9" x14ac:dyDescent="0.25">
      <c r="A341" s="9">
        <v>18117</v>
      </c>
      <c r="B341" s="4">
        <v>32</v>
      </c>
      <c r="C341" s="4">
        <v>24</v>
      </c>
      <c r="D341" s="4">
        <v>14</v>
      </c>
      <c r="E341" s="4">
        <v>24</v>
      </c>
      <c r="F341" s="4">
        <v>360</v>
      </c>
      <c r="G341" s="4">
        <v>1.9</v>
      </c>
      <c r="H341" s="3">
        <v>1.6</v>
      </c>
      <c r="I341" s="3">
        <v>0.99</v>
      </c>
    </row>
    <row r="342" spans="1:9" x14ac:dyDescent="0.25">
      <c r="A342" s="9">
        <v>18123</v>
      </c>
      <c r="B342" s="4">
        <v>45</v>
      </c>
      <c r="C342" s="4">
        <v>25</v>
      </c>
      <c r="D342" s="4">
        <v>4</v>
      </c>
      <c r="E342" s="4">
        <v>25</v>
      </c>
      <c r="F342" s="4">
        <v>767</v>
      </c>
      <c r="G342" s="4">
        <v>8.1999999999999993</v>
      </c>
      <c r="H342" s="3">
        <v>3.1</v>
      </c>
      <c r="I342" s="3">
        <v>1.04</v>
      </c>
    </row>
    <row r="343" spans="1:9" x14ac:dyDescent="0.25">
      <c r="A343" s="9">
        <v>18127</v>
      </c>
      <c r="B343" s="4">
        <v>294</v>
      </c>
      <c r="C343" s="4">
        <v>238</v>
      </c>
      <c r="D343" s="4">
        <v>32</v>
      </c>
      <c r="E343" s="4">
        <v>301</v>
      </c>
      <c r="F343" s="4">
        <v>11351</v>
      </c>
      <c r="G343" s="4">
        <v>148.4</v>
      </c>
      <c r="H343" s="3">
        <v>5</v>
      </c>
      <c r="I343" s="3">
        <v>1.77</v>
      </c>
    </row>
    <row r="344" spans="1:9" x14ac:dyDescent="0.25">
      <c r="A344" s="9">
        <v>18131</v>
      </c>
      <c r="B344" s="4">
        <v>38</v>
      </c>
      <c r="C344" s="4">
        <v>25</v>
      </c>
      <c r="D344" s="4">
        <v>14</v>
      </c>
      <c r="E344" s="4">
        <v>25</v>
      </c>
      <c r="F344" s="4">
        <v>543</v>
      </c>
      <c r="G344" s="4">
        <v>7.7</v>
      </c>
      <c r="H344" s="3">
        <v>3.5</v>
      </c>
      <c r="I344" s="3">
        <v>1.07</v>
      </c>
    </row>
    <row r="345" spans="1:9" x14ac:dyDescent="0.25">
      <c r="A345" s="9">
        <v>18133</v>
      </c>
      <c r="B345" s="4">
        <v>60</v>
      </c>
      <c r="C345" s="4">
        <v>25</v>
      </c>
      <c r="D345" s="4">
        <v>6</v>
      </c>
      <c r="E345" s="4">
        <v>25</v>
      </c>
      <c r="F345" s="4">
        <v>771</v>
      </c>
      <c r="G345" s="4">
        <v>7.2</v>
      </c>
      <c r="H345" s="3">
        <v>2.8</v>
      </c>
      <c r="I345" s="3">
        <v>1.21</v>
      </c>
    </row>
    <row r="346" spans="1:9" x14ac:dyDescent="0.25">
      <c r="A346" s="9">
        <v>18135</v>
      </c>
      <c r="B346" s="4">
        <v>33</v>
      </c>
      <c r="C346" s="4">
        <v>25</v>
      </c>
      <c r="D346" s="4">
        <v>14</v>
      </c>
      <c r="E346" s="4">
        <v>25</v>
      </c>
      <c r="F346" s="4">
        <v>422</v>
      </c>
      <c r="G346" s="4">
        <v>3.1</v>
      </c>
      <c r="H346" s="3">
        <v>2.6</v>
      </c>
      <c r="I346" s="3">
        <v>1.04</v>
      </c>
    </row>
    <row r="347" spans="1:9" x14ac:dyDescent="0.25">
      <c r="A347" s="9">
        <v>18137</v>
      </c>
      <c r="B347" s="4">
        <v>102</v>
      </c>
      <c r="C347" s="4">
        <v>25</v>
      </c>
      <c r="D347" s="4">
        <v>7</v>
      </c>
      <c r="E347" s="4">
        <v>25</v>
      </c>
      <c r="F347" s="4">
        <v>1598</v>
      </c>
      <c r="G347" s="4">
        <v>12.6</v>
      </c>
      <c r="H347" s="3">
        <v>2.9</v>
      </c>
      <c r="I347" s="3">
        <v>1.36</v>
      </c>
    </row>
    <row r="348" spans="1:9" x14ac:dyDescent="0.25">
      <c r="A348" s="9">
        <v>18139</v>
      </c>
      <c r="B348" s="4">
        <v>54</v>
      </c>
      <c r="C348" s="4">
        <v>25</v>
      </c>
      <c r="D348" s="4">
        <v>14</v>
      </c>
      <c r="E348" s="4">
        <v>25</v>
      </c>
      <c r="F348" s="4">
        <v>381</v>
      </c>
      <c r="G348" s="4">
        <v>3.7</v>
      </c>
      <c r="H348" s="3">
        <v>3.3</v>
      </c>
      <c r="I348" s="3">
        <v>0.99</v>
      </c>
    </row>
    <row r="349" spans="1:9" x14ac:dyDescent="0.25">
      <c r="A349" s="9">
        <v>18141</v>
      </c>
      <c r="B349" s="4">
        <v>881</v>
      </c>
      <c r="C349" s="4">
        <v>673</v>
      </c>
      <c r="D349" s="4">
        <v>74</v>
      </c>
      <c r="E349" s="4">
        <v>895</v>
      </c>
      <c r="F349" s="4">
        <v>33687</v>
      </c>
      <c r="G349" s="4">
        <v>427</v>
      </c>
      <c r="H349" s="3">
        <v>4.1333333333333337</v>
      </c>
      <c r="I349" s="3">
        <v>2.2400000000000002</v>
      </c>
    </row>
    <row r="350" spans="1:9" x14ac:dyDescent="0.25">
      <c r="A350" s="9">
        <v>18143</v>
      </c>
      <c r="B350" s="4">
        <v>38</v>
      </c>
      <c r="C350" s="4">
        <v>25</v>
      </c>
      <c r="D350" s="4">
        <v>4</v>
      </c>
      <c r="E350" s="4">
        <v>25</v>
      </c>
      <c r="F350" s="4">
        <v>807</v>
      </c>
      <c r="G350" s="4">
        <v>8</v>
      </c>
      <c r="H350" s="3">
        <v>3.8</v>
      </c>
      <c r="I350" s="3">
        <v>1.06</v>
      </c>
    </row>
    <row r="351" spans="1:9" x14ac:dyDescent="0.25">
      <c r="A351" s="9">
        <v>18145</v>
      </c>
      <c r="B351" s="4">
        <v>144</v>
      </c>
      <c r="C351" s="4">
        <v>46</v>
      </c>
      <c r="D351" s="4">
        <v>6</v>
      </c>
      <c r="E351" s="4">
        <v>46</v>
      </c>
      <c r="F351" s="4">
        <v>2749</v>
      </c>
      <c r="G351" s="4">
        <v>27.2</v>
      </c>
      <c r="H351" s="3">
        <v>3.6</v>
      </c>
      <c r="I351" s="3">
        <v>1.33</v>
      </c>
    </row>
    <row r="352" spans="1:9" x14ac:dyDescent="0.25">
      <c r="A352" s="9">
        <v>18149</v>
      </c>
      <c r="B352" s="4">
        <v>25</v>
      </c>
      <c r="C352" s="4">
        <v>15</v>
      </c>
      <c r="D352" s="4">
        <v>1</v>
      </c>
      <c r="E352" s="4">
        <v>15</v>
      </c>
      <c r="F352" s="4">
        <v>486</v>
      </c>
      <c r="G352" s="4">
        <v>3.4</v>
      </c>
      <c r="H352" s="3">
        <v>2.5</v>
      </c>
      <c r="I352" s="3">
        <v>1.0900000000000001</v>
      </c>
    </row>
    <row r="353" spans="1:9" x14ac:dyDescent="0.25">
      <c r="A353" s="9">
        <v>18151</v>
      </c>
      <c r="B353" s="4">
        <v>73</v>
      </c>
      <c r="C353" s="4">
        <v>25</v>
      </c>
      <c r="D353" s="4">
        <v>2</v>
      </c>
      <c r="E353" s="4">
        <v>25</v>
      </c>
      <c r="F353" s="4">
        <v>1262</v>
      </c>
      <c r="G353" s="4">
        <v>10.7</v>
      </c>
      <c r="H353" s="3">
        <v>2.7</v>
      </c>
      <c r="I353" s="3">
        <v>1.1599999999999999</v>
      </c>
    </row>
    <row r="354" spans="1:9" x14ac:dyDescent="0.25">
      <c r="A354" s="9">
        <v>18153</v>
      </c>
      <c r="B354" s="4">
        <v>46</v>
      </c>
      <c r="C354" s="4">
        <v>25</v>
      </c>
      <c r="D354" s="4">
        <v>4</v>
      </c>
      <c r="E354" s="4">
        <v>25</v>
      </c>
      <c r="F354" s="4">
        <v>653</v>
      </c>
      <c r="G354" s="4">
        <v>6.6</v>
      </c>
      <c r="H354" s="3">
        <v>2.9</v>
      </c>
      <c r="I354" s="3">
        <v>1.1000000000000001</v>
      </c>
    </row>
    <row r="355" spans="1:9" x14ac:dyDescent="0.25">
      <c r="A355" s="9">
        <v>18157</v>
      </c>
      <c r="B355" s="4">
        <v>645</v>
      </c>
      <c r="C355" s="4">
        <v>373</v>
      </c>
      <c r="D355" s="4">
        <v>30</v>
      </c>
      <c r="E355" s="4">
        <v>472</v>
      </c>
      <c r="F355" s="4">
        <v>21562</v>
      </c>
      <c r="G355" s="4">
        <v>228.3</v>
      </c>
      <c r="H355" s="3">
        <v>4.2</v>
      </c>
      <c r="I355" s="3">
        <v>1.7949999999999999</v>
      </c>
    </row>
    <row r="356" spans="1:9" x14ac:dyDescent="0.25">
      <c r="A356" s="9">
        <v>18159</v>
      </c>
      <c r="B356" s="4">
        <v>31</v>
      </c>
      <c r="C356" s="4">
        <v>25</v>
      </c>
      <c r="D356" s="4">
        <v>14</v>
      </c>
      <c r="E356" s="4">
        <v>25</v>
      </c>
      <c r="F356" s="4">
        <v>702</v>
      </c>
      <c r="G356" s="4">
        <v>7.8</v>
      </c>
      <c r="H356" s="3">
        <v>3.5</v>
      </c>
      <c r="I356" s="3">
        <v>1.33</v>
      </c>
    </row>
    <row r="357" spans="1:9" x14ac:dyDescent="0.25">
      <c r="A357" s="9">
        <v>18163</v>
      </c>
      <c r="B357" s="4">
        <v>1267</v>
      </c>
      <c r="C357" s="4">
        <v>939</v>
      </c>
      <c r="D357" s="4">
        <v>127</v>
      </c>
      <c r="E357" s="4">
        <v>825</v>
      </c>
      <c r="F357" s="4">
        <v>47114</v>
      </c>
      <c r="G357" s="4">
        <v>539.5</v>
      </c>
      <c r="H357" s="3">
        <v>4.1500000000000004</v>
      </c>
      <c r="I357" s="3">
        <v>1.74</v>
      </c>
    </row>
    <row r="358" spans="1:9" x14ac:dyDescent="0.25">
      <c r="A358" s="9">
        <v>18165</v>
      </c>
      <c r="B358" s="4">
        <v>35</v>
      </c>
      <c r="C358" s="4">
        <v>25</v>
      </c>
      <c r="D358" s="4">
        <v>6</v>
      </c>
      <c r="E358" s="4">
        <v>25</v>
      </c>
      <c r="F358" s="4">
        <v>630</v>
      </c>
      <c r="G358" s="4">
        <v>5.0999999999999996</v>
      </c>
      <c r="H358" s="3">
        <v>2.7</v>
      </c>
      <c r="I358" s="3">
        <v>1.05</v>
      </c>
    </row>
    <row r="359" spans="1:9" x14ac:dyDescent="0.25">
      <c r="A359" s="9">
        <v>18167</v>
      </c>
      <c r="B359" s="4">
        <v>439</v>
      </c>
      <c r="C359" s="4">
        <v>397</v>
      </c>
      <c r="D359" s="4">
        <v>54</v>
      </c>
      <c r="E359" s="4">
        <v>397</v>
      </c>
      <c r="F359" s="4">
        <v>19984</v>
      </c>
      <c r="G359" s="4">
        <v>199.9</v>
      </c>
      <c r="H359" s="3">
        <v>3.9</v>
      </c>
      <c r="I359" s="3">
        <v>1.6600000000000001</v>
      </c>
    </row>
    <row r="360" spans="1:9" x14ac:dyDescent="0.25">
      <c r="A360" s="9">
        <v>18169</v>
      </c>
      <c r="B360" s="4">
        <v>49</v>
      </c>
      <c r="C360" s="4">
        <v>18</v>
      </c>
      <c r="D360" s="4">
        <v>14</v>
      </c>
      <c r="E360" s="4">
        <v>18</v>
      </c>
      <c r="F360" s="4">
        <v>1018</v>
      </c>
      <c r="G360" s="4">
        <v>6.1</v>
      </c>
      <c r="H360" s="3">
        <v>2.6</v>
      </c>
      <c r="I360" s="3">
        <v>1.1499999999999999</v>
      </c>
    </row>
    <row r="361" spans="1:9" x14ac:dyDescent="0.25">
      <c r="A361" s="9">
        <v>18171</v>
      </c>
      <c r="B361" s="4">
        <v>26</v>
      </c>
      <c r="C361" s="4">
        <v>16</v>
      </c>
      <c r="D361" s="4">
        <v>14</v>
      </c>
      <c r="E361" s="4">
        <v>16</v>
      </c>
      <c r="F361" s="4">
        <v>457</v>
      </c>
      <c r="G361" s="4">
        <v>5.7</v>
      </c>
      <c r="H361" s="3">
        <v>3.3</v>
      </c>
      <c r="I361" s="3">
        <v>0.96</v>
      </c>
    </row>
    <row r="362" spans="1:9" x14ac:dyDescent="0.25">
      <c r="A362" s="9">
        <v>18173</v>
      </c>
      <c r="B362" s="4">
        <v>88</v>
      </c>
      <c r="C362" s="4">
        <v>123</v>
      </c>
      <c r="D362" s="4">
        <v>24</v>
      </c>
      <c r="E362" s="4">
        <v>303</v>
      </c>
      <c r="F362" s="4">
        <v>5294</v>
      </c>
      <c r="G362" s="4">
        <v>68.400000000000006</v>
      </c>
      <c r="H362" s="3">
        <v>4.4333333333333336</v>
      </c>
      <c r="I362" s="3">
        <v>1.8699999999999999</v>
      </c>
    </row>
    <row r="363" spans="1:9" x14ac:dyDescent="0.25">
      <c r="A363" s="9">
        <v>18175</v>
      </c>
      <c r="B363" s="4">
        <v>32</v>
      </c>
      <c r="C363" s="4">
        <v>25</v>
      </c>
      <c r="D363" s="4">
        <v>14</v>
      </c>
      <c r="E363" s="4">
        <v>25</v>
      </c>
      <c r="F363" s="4">
        <v>64</v>
      </c>
      <c r="G363" s="4">
        <v>1.4</v>
      </c>
      <c r="H363" s="3">
        <v>3.9</v>
      </c>
      <c r="I363" s="3">
        <v>1.17</v>
      </c>
    </row>
    <row r="364" spans="1:9" x14ac:dyDescent="0.25">
      <c r="A364" s="9">
        <v>18177</v>
      </c>
      <c r="B364" s="4">
        <v>418</v>
      </c>
      <c r="C364" s="4">
        <v>163</v>
      </c>
      <c r="D364" s="4">
        <v>30</v>
      </c>
      <c r="E364" s="4">
        <v>163</v>
      </c>
      <c r="F364" s="4">
        <v>10402</v>
      </c>
      <c r="G364" s="4">
        <v>102.8</v>
      </c>
      <c r="H364" s="3">
        <v>3.8</v>
      </c>
      <c r="I364" s="3">
        <v>1.69</v>
      </c>
    </row>
    <row r="365" spans="1:9" x14ac:dyDescent="0.25">
      <c r="A365" s="9">
        <v>18179</v>
      </c>
      <c r="B365" s="4">
        <v>46</v>
      </c>
      <c r="C365" s="4">
        <v>55</v>
      </c>
      <c r="D365" s="4">
        <v>7</v>
      </c>
      <c r="E365" s="4">
        <v>55</v>
      </c>
      <c r="F365" s="4">
        <v>1215</v>
      </c>
      <c r="G365" s="4">
        <v>9.6999999999999993</v>
      </c>
      <c r="H365" s="3">
        <v>3.2</v>
      </c>
      <c r="I365" s="3">
        <v>1.19</v>
      </c>
    </row>
    <row r="366" spans="1:9" x14ac:dyDescent="0.25">
      <c r="A366" s="9">
        <v>18181</v>
      </c>
      <c r="B366" s="4">
        <v>53</v>
      </c>
      <c r="C366" s="4">
        <v>25</v>
      </c>
      <c r="D366" s="4">
        <v>14</v>
      </c>
      <c r="E366" s="4">
        <v>25</v>
      </c>
      <c r="F366" s="4">
        <v>550</v>
      </c>
      <c r="G366" s="4">
        <v>6.2</v>
      </c>
      <c r="H366" s="3">
        <v>3.1</v>
      </c>
      <c r="I366" s="3">
        <v>1.2</v>
      </c>
    </row>
    <row r="367" spans="1:9" x14ac:dyDescent="0.25">
      <c r="A367" s="9">
        <v>18183</v>
      </c>
      <c r="B367" s="4">
        <v>65</v>
      </c>
      <c r="C367" s="4">
        <v>30</v>
      </c>
      <c r="D367" s="4">
        <v>14</v>
      </c>
      <c r="E367" s="4">
        <v>30</v>
      </c>
      <c r="F367" s="4">
        <v>1880</v>
      </c>
      <c r="G367" s="4">
        <v>11.8</v>
      </c>
      <c r="H367" s="3">
        <v>2.7</v>
      </c>
      <c r="I367" s="3">
        <v>1.07</v>
      </c>
    </row>
    <row r="368" spans="1:9" x14ac:dyDescent="0.25">
      <c r="A368" s="9">
        <v>19001</v>
      </c>
      <c r="B368" s="4">
        <v>13</v>
      </c>
      <c r="C368" s="4">
        <v>25</v>
      </c>
      <c r="D368" s="4">
        <v>14</v>
      </c>
      <c r="E368" s="4">
        <v>25</v>
      </c>
      <c r="F368" s="4">
        <v>50</v>
      </c>
      <c r="G368" s="4">
        <v>1.1000000000000001</v>
      </c>
      <c r="H368" s="3">
        <v>2.7</v>
      </c>
      <c r="I368" s="3">
        <v>1</v>
      </c>
    </row>
    <row r="369" spans="1:9" x14ac:dyDescent="0.25">
      <c r="A369" s="9">
        <v>19003</v>
      </c>
      <c r="B369" s="4">
        <v>22</v>
      </c>
      <c r="C369" s="4">
        <v>22</v>
      </c>
      <c r="D369" s="4">
        <v>14</v>
      </c>
      <c r="E369" s="4">
        <v>22</v>
      </c>
      <c r="F369" s="4">
        <v>126</v>
      </c>
      <c r="G369" s="4">
        <v>1.6</v>
      </c>
      <c r="H369" s="3">
        <v>2</v>
      </c>
      <c r="I369" s="3">
        <v>1.04</v>
      </c>
    </row>
    <row r="370" spans="1:9" x14ac:dyDescent="0.25">
      <c r="A370" s="9">
        <v>19005</v>
      </c>
      <c r="B370" s="4">
        <v>17</v>
      </c>
      <c r="C370" s="4">
        <v>25</v>
      </c>
      <c r="D370" s="4">
        <v>14</v>
      </c>
      <c r="E370" s="4">
        <v>25</v>
      </c>
      <c r="F370" s="4">
        <v>501</v>
      </c>
      <c r="G370" s="4">
        <v>6.6</v>
      </c>
      <c r="H370" s="3">
        <v>2.5</v>
      </c>
      <c r="I370" s="3">
        <v>0.98</v>
      </c>
    </row>
    <row r="371" spans="1:9" x14ac:dyDescent="0.25">
      <c r="A371" s="9">
        <v>19007</v>
      </c>
      <c r="B371" s="4">
        <v>39</v>
      </c>
      <c r="C371" s="4">
        <v>25</v>
      </c>
      <c r="D371" s="4">
        <v>3</v>
      </c>
      <c r="E371" s="4">
        <v>25</v>
      </c>
      <c r="F371" s="4">
        <v>272</v>
      </c>
      <c r="G371" s="4">
        <v>3.8</v>
      </c>
      <c r="H371" s="3">
        <v>2.6</v>
      </c>
      <c r="I371" s="3">
        <v>1.1299999999999999</v>
      </c>
    </row>
    <row r="372" spans="1:9" x14ac:dyDescent="0.25">
      <c r="A372" s="9">
        <v>19009</v>
      </c>
      <c r="B372" s="4">
        <v>21</v>
      </c>
      <c r="C372" s="4">
        <v>25</v>
      </c>
      <c r="D372" s="4">
        <v>14</v>
      </c>
      <c r="E372" s="4">
        <v>25</v>
      </c>
      <c r="F372" s="4">
        <v>124</v>
      </c>
      <c r="G372" s="4">
        <v>1.8</v>
      </c>
      <c r="H372" s="3">
        <v>2.4</v>
      </c>
      <c r="I372" s="3">
        <v>0.95</v>
      </c>
    </row>
    <row r="373" spans="1:9" x14ac:dyDescent="0.25">
      <c r="A373" s="9">
        <v>19011</v>
      </c>
      <c r="B373" s="4">
        <v>31</v>
      </c>
      <c r="C373" s="4">
        <v>25</v>
      </c>
      <c r="D373" s="4">
        <v>14</v>
      </c>
      <c r="E373" s="4">
        <v>25</v>
      </c>
      <c r="F373" s="4">
        <v>259</v>
      </c>
      <c r="G373" s="4">
        <v>4.5999999999999996</v>
      </c>
      <c r="H373" s="3">
        <v>2.9</v>
      </c>
      <c r="I373" s="3">
        <v>0.95</v>
      </c>
    </row>
    <row r="374" spans="1:9" x14ac:dyDescent="0.25">
      <c r="A374" s="9">
        <v>19013</v>
      </c>
      <c r="B374" s="4">
        <v>664</v>
      </c>
      <c r="C374" s="4">
        <v>384</v>
      </c>
      <c r="D374" s="4">
        <v>29</v>
      </c>
      <c r="E374" s="4">
        <v>384</v>
      </c>
      <c r="F374" s="4">
        <v>14993</v>
      </c>
      <c r="G374" s="4">
        <v>151.9</v>
      </c>
      <c r="H374" s="3">
        <v>3.9666666666666668</v>
      </c>
      <c r="I374" s="3">
        <v>1.5866666666666667</v>
      </c>
    </row>
    <row r="375" spans="1:9" x14ac:dyDescent="0.25">
      <c r="A375" s="9">
        <v>19015</v>
      </c>
      <c r="B375" s="4">
        <v>56</v>
      </c>
      <c r="C375" s="4">
        <v>25</v>
      </c>
      <c r="D375" s="4">
        <v>14</v>
      </c>
      <c r="E375" s="4">
        <v>25</v>
      </c>
      <c r="F375" s="4">
        <v>732</v>
      </c>
      <c r="G375" s="4">
        <v>9.4</v>
      </c>
      <c r="H375" s="3">
        <v>3.2</v>
      </c>
      <c r="I375" s="3">
        <v>1.02</v>
      </c>
    </row>
    <row r="376" spans="1:9" x14ac:dyDescent="0.25">
      <c r="A376" s="9">
        <v>19017</v>
      </c>
      <c r="B376" s="4">
        <v>84</v>
      </c>
      <c r="C376" s="4">
        <v>37</v>
      </c>
      <c r="D376" s="4">
        <v>14</v>
      </c>
      <c r="E376" s="4">
        <v>37</v>
      </c>
      <c r="F376" s="4">
        <v>979</v>
      </c>
      <c r="G376" s="4">
        <v>9.4</v>
      </c>
      <c r="H376" s="3">
        <v>2.4</v>
      </c>
      <c r="I376" s="3">
        <v>1.0550000000000002</v>
      </c>
    </row>
    <row r="377" spans="1:9" x14ac:dyDescent="0.25">
      <c r="A377" s="9">
        <v>19019</v>
      </c>
      <c r="B377" s="4">
        <v>33</v>
      </c>
      <c r="C377" s="4">
        <v>25</v>
      </c>
      <c r="D377" s="4">
        <v>14</v>
      </c>
      <c r="E377" s="4">
        <v>25</v>
      </c>
      <c r="F377" s="4">
        <v>210</v>
      </c>
      <c r="G377" s="4">
        <v>3.6</v>
      </c>
      <c r="H377" s="3">
        <v>3.1</v>
      </c>
      <c r="I377" s="3">
        <v>0.95</v>
      </c>
    </row>
    <row r="378" spans="1:9" x14ac:dyDescent="0.25">
      <c r="A378" s="9">
        <v>19021</v>
      </c>
      <c r="B378" s="4">
        <v>42</v>
      </c>
      <c r="C378" s="4">
        <v>25</v>
      </c>
      <c r="D378" s="4">
        <v>14</v>
      </c>
      <c r="E378" s="4">
        <v>25</v>
      </c>
      <c r="F378" s="4">
        <v>965</v>
      </c>
      <c r="G378" s="4">
        <v>7.5</v>
      </c>
      <c r="H378" s="3">
        <v>2.8</v>
      </c>
      <c r="I378" s="3">
        <v>1.27</v>
      </c>
    </row>
    <row r="379" spans="1:9" x14ac:dyDescent="0.25">
      <c r="A379" s="9">
        <v>19025</v>
      </c>
      <c r="B379" s="4">
        <v>21</v>
      </c>
      <c r="C379" s="4">
        <v>25</v>
      </c>
      <c r="D379" s="4">
        <v>2</v>
      </c>
      <c r="E379" s="4">
        <v>25</v>
      </c>
      <c r="F379" s="4">
        <v>332</v>
      </c>
      <c r="G379" s="4">
        <v>3.1</v>
      </c>
      <c r="H379" s="3">
        <v>2.8</v>
      </c>
      <c r="I379" s="3">
        <v>1.04</v>
      </c>
    </row>
    <row r="380" spans="1:9" x14ac:dyDescent="0.25">
      <c r="A380" s="9">
        <v>19027</v>
      </c>
      <c r="B380" s="4">
        <v>86</v>
      </c>
      <c r="C380" s="4">
        <v>66</v>
      </c>
      <c r="D380" s="4">
        <v>6</v>
      </c>
      <c r="E380" s="4">
        <v>66</v>
      </c>
      <c r="F380" s="4">
        <v>1627</v>
      </c>
      <c r="G380" s="4">
        <v>20.299999999999997</v>
      </c>
      <c r="H380" s="3">
        <v>4.1500000000000004</v>
      </c>
      <c r="I380" s="3">
        <v>1.0900000000000001</v>
      </c>
    </row>
    <row r="381" spans="1:9" x14ac:dyDescent="0.25">
      <c r="A381" s="9">
        <v>19029</v>
      </c>
      <c r="B381" s="4">
        <v>56</v>
      </c>
      <c r="C381" s="4">
        <v>25</v>
      </c>
      <c r="D381" s="4">
        <v>4</v>
      </c>
      <c r="E381" s="4">
        <v>25</v>
      </c>
      <c r="F381" s="4">
        <v>667</v>
      </c>
      <c r="G381" s="4">
        <v>8.8000000000000007</v>
      </c>
      <c r="H381" s="3">
        <v>2.2999999999999998</v>
      </c>
      <c r="I381" s="3">
        <v>1.1599999999999999</v>
      </c>
    </row>
    <row r="382" spans="1:9" x14ac:dyDescent="0.25">
      <c r="A382" s="9">
        <v>19033</v>
      </c>
      <c r="B382" s="4">
        <v>363</v>
      </c>
      <c r="C382" s="4">
        <v>205</v>
      </c>
      <c r="D382" s="4">
        <v>18</v>
      </c>
      <c r="E382" s="4">
        <v>205</v>
      </c>
      <c r="F382" s="4">
        <v>10900</v>
      </c>
      <c r="G382" s="4">
        <v>115</v>
      </c>
      <c r="H382" s="3">
        <v>4</v>
      </c>
      <c r="I382" s="3">
        <v>1.88</v>
      </c>
    </row>
    <row r="383" spans="1:9" x14ac:dyDescent="0.25">
      <c r="A383" s="9">
        <v>19035</v>
      </c>
      <c r="B383" s="4">
        <v>23</v>
      </c>
      <c r="C383" s="4">
        <v>25</v>
      </c>
      <c r="D383" s="4">
        <v>14</v>
      </c>
      <c r="E383" s="4">
        <v>25</v>
      </c>
      <c r="F383" s="4">
        <v>692</v>
      </c>
      <c r="G383" s="4">
        <v>9.3000000000000007</v>
      </c>
      <c r="H383" s="3">
        <v>3.1</v>
      </c>
      <c r="I383" s="3">
        <v>1</v>
      </c>
    </row>
    <row r="384" spans="1:9" x14ac:dyDescent="0.25">
      <c r="A384" s="9">
        <v>19037</v>
      </c>
      <c r="B384" s="4">
        <v>54</v>
      </c>
      <c r="C384" s="4">
        <v>8</v>
      </c>
      <c r="D384" s="4">
        <v>14</v>
      </c>
      <c r="E384" s="4">
        <v>8</v>
      </c>
      <c r="F384" s="4">
        <v>175</v>
      </c>
      <c r="G384" s="4">
        <v>2.8</v>
      </c>
      <c r="H384" s="3">
        <v>2.2000000000000002</v>
      </c>
      <c r="I384" s="3">
        <v>1.04</v>
      </c>
    </row>
    <row r="385" spans="1:9" x14ac:dyDescent="0.25">
      <c r="A385" s="9">
        <v>19039</v>
      </c>
      <c r="B385" s="4">
        <v>35</v>
      </c>
      <c r="C385" s="4">
        <v>25</v>
      </c>
      <c r="D385" s="4">
        <v>14</v>
      </c>
      <c r="E385" s="4">
        <v>25</v>
      </c>
      <c r="F385" s="4">
        <v>206</v>
      </c>
      <c r="G385" s="4">
        <v>7</v>
      </c>
      <c r="H385" s="3">
        <v>3.1</v>
      </c>
      <c r="I385" s="3">
        <v>0.94</v>
      </c>
    </row>
    <row r="386" spans="1:9" x14ac:dyDescent="0.25">
      <c r="A386" s="9">
        <v>19041</v>
      </c>
      <c r="B386" s="4">
        <v>91</v>
      </c>
      <c r="C386" s="4">
        <v>49</v>
      </c>
      <c r="D386" s="4">
        <v>14</v>
      </c>
      <c r="E386" s="4">
        <v>49</v>
      </c>
      <c r="F386" s="4">
        <v>1851</v>
      </c>
      <c r="G386" s="4">
        <v>17.7</v>
      </c>
      <c r="H386" s="3">
        <v>3.8</v>
      </c>
      <c r="I386" s="3">
        <v>1.55</v>
      </c>
    </row>
    <row r="387" spans="1:9" x14ac:dyDescent="0.25">
      <c r="A387" s="9">
        <v>19043</v>
      </c>
      <c r="B387" s="4">
        <v>33</v>
      </c>
      <c r="C387" s="4">
        <v>40</v>
      </c>
      <c r="D387" s="4">
        <v>14</v>
      </c>
      <c r="E387" s="4">
        <v>40</v>
      </c>
      <c r="F387" s="4">
        <v>257</v>
      </c>
      <c r="G387" s="4">
        <v>6.1</v>
      </c>
      <c r="H387" s="3">
        <v>3.3</v>
      </c>
      <c r="I387" s="3">
        <v>1.0899999999999999</v>
      </c>
    </row>
    <row r="388" spans="1:9" x14ac:dyDescent="0.25">
      <c r="A388" s="9">
        <v>19045</v>
      </c>
      <c r="B388" s="4">
        <v>135</v>
      </c>
      <c r="C388" s="4">
        <v>120</v>
      </c>
      <c r="D388" s="4">
        <v>10</v>
      </c>
      <c r="E388" s="4">
        <v>120</v>
      </c>
      <c r="F388" s="4">
        <v>3745</v>
      </c>
      <c r="G388" s="4">
        <v>29.3</v>
      </c>
      <c r="H388" s="3">
        <v>2</v>
      </c>
      <c r="I388" s="3">
        <v>1.325</v>
      </c>
    </row>
    <row r="389" spans="1:9" x14ac:dyDescent="0.25">
      <c r="A389" s="9">
        <v>19047</v>
      </c>
      <c r="B389" s="4">
        <v>32</v>
      </c>
      <c r="C389" s="4">
        <v>25</v>
      </c>
      <c r="D389" s="4">
        <v>14</v>
      </c>
      <c r="E389" s="4">
        <v>25</v>
      </c>
      <c r="F389" s="4">
        <v>568</v>
      </c>
      <c r="G389" s="4">
        <v>5.3</v>
      </c>
      <c r="H389" s="3">
        <v>2.8</v>
      </c>
      <c r="I389" s="3">
        <v>1.1399999999999999</v>
      </c>
    </row>
    <row r="390" spans="1:9" x14ac:dyDescent="0.25">
      <c r="A390" s="9">
        <v>19049</v>
      </c>
      <c r="B390" s="4">
        <v>26</v>
      </c>
      <c r="C390" s="4">
        <v>25</v>
      </c>
      <c r="D390" s="4">
        <v>14</v>
      </c>
      <c r="E390" s="4">
        <v>25</v>
      </c>
      <c r="F390" s="4">
        <v>103</v>
      </c>
      <c r="G390" s="4">
        <v>2.1</v>
      </c>
      <c r="H390" s="3">
        <v>3.4</v>
      </c>
      <c r="I390" s="3">
        <v>0.96</v>
      </c>
    </row>
    <row r="391" spans="1:9" x14ac:dyDescent="0.25">
      <c r="A391" s="9">
        <v>19051</v>
      </c>
      <c r="B391" s="4">
        <v>23</v>
      </c>
      <c r="C391" s="4">
        <v>25</v>
      </c>
      <c r="D391" s="4">
        <v>14</v>
      </c>
      <c r="E391" s="4">
        <v>25</v>
      </c>
      <c r="F391" s="4">
        <v>161</v>
      </c>
      <c r="G391" s="4">
        <v>2.5</v>
      </c>
      <c r="H391" s="3">
        <v>2.8</v>
      </c>
      <c r="I391" s="3">
        <v>1.24</v>
      </c>
    </row>
    <row r="392" spans="1:9" x14ac:dyDescent="0.25">
      <c r="A392" s="9">
        <v>19053</v>
      </c>
      <c r="B392" s="4">
        <v>17</v>
      </c>
      <c r="C392" s="4">
        <v>11</v>
      </c>
      <c r="D392" s="4">
        <v>14</v>
      </c>
      <c r="E392" s="4">
        <v>11</v>
      </c>
      <c r="F392" s="4">
        <v>142</v>
      </c>
      <c r="G392" s="4">
        <v>2.4</v>
      </c>
      <c r="H392" s="3">
        <v>3</v>
      </c>
      <c r="I392" s="3">
        <v>0.98</v>
      </c>
    </row>
    <row r="393" spans="1:9" x14ac:dyDescent="0.25">
      <c r="A393" s="9">
        <v>19055</v>
      </c>
      <c r="B393" s="4">
        <v>71</v>
      </c>
      <c r="C393" s="4">
        <v>25</v>
      </c>
      <c r="D393" s="4">
        <v>14</v>
      </c>
      <c r="E393" s="4">
        <v>25</v>
      </c>
      <c r="F393" s="4">
        <v>590</v>
      </c>
      <c r="G393" s="4">
        <v>6.5</v>
      </c>
      <c r="H393" s="3">
        <v>3.1</v>
      </c>
      <c r="I393" s="3">
        <v>1.2</v>
      </c>
    </row>
    <row r="394" spans="1:9" x14ac:dyDescent="0.25">
      <c r="A394" s="9">
        <v>19057</v>
      </c>
      <c r="B394" s="4">
        <v>212</v>
      </c>
      <c r="C394" s="4">
        <v>136</v>
      </c>
      <c r="D394" s="4">
        <v>12</v>
      </c>
      <c r="E394" s="4">
        <v>136</v>
      </c>
      <c r="F394" s="4">
        <v>7914</v>
      </c>
      <c r="G394" s="4">
        <v>62.8</v>
      </c>
      <c r="H394" s="3">
        <v>3.1</v>
      </c>
      <c r="I394" s="3">
        <v>1.6</v>
      </c>
    </row>
    <row r="395" spans="1:9" x14ac:dyDescent="0.25">
      <c r="A395" s="9">
        <v>19059</v>
      </c>
      <c r="B395" s="4">
        <v>40</v>
      </c>
      <c r="C395" s="4">
        <v>44</v>
      </c>
      <c r="D395" s="4">
        <v>14</v>
      </c>
      <c r="E395" s="4">
        <v>44</v>
      </c>
      <c r="F395" s="4">
        <v>988</v>
      </c>
      <c r="G395" s="4">
        <v>8</v>
      </c>
      <c r="H395" s="3">
        <v>3.4</v>
      </c>
      <c r="I395" s="3">
        <v>1.4</v>
      </c>
    </row>
    <row r="396" spans="1:9" x14ac:dyDescent="0.25">
      <c r="A396" s="9">
        <v>19061</v>
      </c>
      <c r="B396" s="4">
        <v>375</v>
      </c>
      <c r="C396" s="4">
        <v>257</v>
      </c>
      <c r="D396" s="4">
        <v>18</v>
      </c>
      <c r="E396" s="4">
        <v>257</v>
      </c>
      <c r="F396" s="4">
        <v>11934</v>
      </c>
      <c r="G396" s="4">
        <v>122.5</v>
      </c>
      <c r="H396" s="3">
        <v>3.5333333333333332</v>
      </c>
      <c r="I396" s="3">
        <v>1.3033333333333335</v>
      </c>
    </row>
    <row r="397" spans="1:9" x14ac:dyDescent="0.25">
      <c r="A397" s="9">
        <v>19063</v>
      </c>
      <c r="B397" s="4">
        <v>28</v>
      </c>
      <c r="C397" s="4">
        <v>22</v>
      </c>
      <c r="D397" s="4">
        <v>14</v>
      </c>
      <c r="E397" s="4">
        <v>22</v>
      </c>
      <c r="F397" s="4">
        <v>342</v>
      </c>
      <c r="G397" s="4">
        <v>4.9000000000000004</v>
      </c>
      <c r="H397" s="3">
        <v>2.8</v>
      </c>
      <c r="I397" s="3">
        <v>1.1100000000000001</v>
      </c>
    </row>
    <row r="398" spans="1:9" x14ac:dyDescent="0.25">
      <c r="A398" s="9">
        <v>19065</v>
      </c>
      <c r="B398" s="4">
        <v>38</v>
      </c>
      <c r="C398" s="4">
        <v>50</v>
      </c>
      <c r="D398" s="4">
        <v>14</v>
      </c>
      <c r="E398" s="4">
        <v>50</v>
      </c>
      <c r="F398" s="4">
        <v>364</v>
      </c>
      <c r="G398" s="4">
        <v>6.8</v>
      </c>
      <c r="H398" s="3">
        <v>2.75</v>
      </c>
      <c r="I398" s="3">
        <v>0.97500000000000009</v>
      </c>
    </row>
    <row r="399" spans="1:9" x14ac:dyDescent="0.25">
      <c r="A399" s="9">
        <v>19067</v>
      </c>
      <c r="B399" s="4">
        <v>21</v>
      </c>
      <c r="C399" s="4">
        <v>25</v>
      </c>
      <c r="D399" s="4">
        <v>14</v>
      </c>
      <c r="E399" s="4">
        <v>25</v>
      </c>
      <c r="F399" s="4">
        <v>379</v>
      </c>
      <c r="G399" s="4">
        <v>7.7</v>
      </c>
      <c r="H399" s="3">
        <v>3.3</v>
      </c>
      <c r="I399" s="3">
        <v>1.05</v>
      </c>
    </row>
    <row r="400" spans="1:9" x14ac:dyDescent="0.25">
      <c r="A400" s="9">
        <v>19069</v>
      </c>
      <c r="B400" s="4">
        <v>19</v>
      </c>
      <c r="C400" s="4">
        <v>25</v>
      </c>
      <c r="D400" s="4">
        <v>14</v>
      </c>
      <c r="E400" s="4">
        <v>25</v>
      </c>
      <c r="F400" s="4">
        <v>139</v>
      </c>
      <c r="G400" s="4">
        <v>3.9</v>
      </c>
      <c r="H400" s="3">
        <v>3.3</v>
      </c>
      <c r="I400" s="3">
        <v>0.94</v>
      </c>
    </row>
    <row r="401" spans="1:9" x14ac:dyDescent="0.25">
      <c r="A401" s="9">
        <v>19071</v>
      </c>
      <c r="B401" s="4">
        <v>8</v>
      </c>
      <c r="C401" s="4">
        <v>25</v>
      </c>
      <c r="D401" s="4">
        <v>14</v>
      </c>
      <c r="E401" s="4">
        <v>25</v>
      </c>
      <c r="F401" s="4">
        <v>63</v>
      </c>
      <c r="G401" s="4">
        <v>2.2999999999999998</v>
      </c>
      <c r="H401" s="3">
        <v>3.3</v>
      </c>
      <c r="I401" s="3">
        <v>1</v>
      </c>
    </row>
    <row r="402" spans="1:9" x14ac:dyDescent="0.25">
      <c r="A402" s="9">
        <v>19073</v>
      </c>
      <c r="B402" s="4">
        <v>25</v>
      </c>
      <c r="C402" s="4">
        <v>25</v>
      </c>
      <c r="D402" s="4">
        <v>14</v>
      </c>
      <c r="E402" s="4">
        <v>25</v>
      </c>
      <c r="F402" s="4">
        <v>247</v>
      </c>
      <c r="G402" s="4">
        <v>4.7</v>
      </c>
      <c r="H402" s="3">
        <v>3.3</v>
      </c>
      <c r="I402" s="3">
        <v>1.2</v>
      </c>
    </row>
    <row r="403" spans="1:9" x14ac:dyDescent="0.25">
      <c r="A403" s="9">
        <v>19075</v>
      </c>
      <c r="B403" s="4">
        <v>88</v>
      </c>
      <c r="C403" s="4">
        <v>25</v>
      </c>
      <c r="D403" s="4">
        <v>14</v>
      </c>
      <c r="E403" s="4">
        <v>25</v>
      </c>
      <c r="F403" s="4">
        <v>154</v>
      </c>
      <c r="G403" s="4">
        <v>2.4</v>
      </c>
      <c r="H403" s="3">
        <v>1.9</v>
      </c>
      <c r="I403" s="3">
        <v>1.3</v>
      </c>
    </row>
    <row r="404" spans="1:9" x14ac:dyDescent="0.25">
      <c r="A404" s="9">
        <v>19077</v>
      </c>
      <c r="B404" s="4">
        <v>15</v>
      </c>
      <c r="C404" s="4">
        <v>25</v>
      </c>
      <c r="D404" s="4">
        <v>14</v>
      </c>
      <c r="E404" s="4">
        <v>25</v>
      </c>
      <c r="F404" s="4">
        <v>264</v>
      </c>
      <c r="G404" s="4">
        <v>4.2</v>
      </c>
      <c r="H404" s="3">
        <v>3.3</v>
      </c>
      <c r="I404" s="3">
        <v>1.03</v>
      </c>
    </row>
    <row r="405" spans="1:9" x14ac:dyDescent="0.25">
      <c r="A405" s="9">
        <v>19079</v>
      </c>
      <c r="B405" s="4">
        <v>34</v>
      </c>
      <c r="C405" s="4">
        <v>25</v>
      </c>
      <c r="D405" s="4">
        <v>14</v>
      </c>
      <c r="E405" s="4">
        <v>25</v>
      </c>
      <c r="F405" s="4">
        <v>558</v>
      </c>
      <c r="G405" s="4">
        <v>8.1999999999999993</v>
      </c>
      <c r="H405" s="3">
        <v>3.2</v>
      </c>
      <c r="I405" s="3">
        <v>1.01</v>
      </c>
    </row>
    <row r="406" spans="1:9" x14ac:dyDescent="0.25">
      <c r="A406" s="9">
        <v>19081</v>
      </c>
      <c r="B406" s="4">
        <v>25</v>
      </c>
      <c r="C406" s="4">
        <v>25</v>
      </c>
      <c r="D406" s="4">
        <v>14</v>
      </c>
      <c r="E406" s="4">
        <v>25</v>
      </c>
      <c r="F406" s="4">
        <v>157</v>
      </c>
      <c r="G406" s="4">
        <v>7</v>
      </c>
      <c r="H406" s="3">
        <v>2.6</v>
      </c>
      <c r="I406" s="3">
        <v>1.02</v>
      </c>
    </row>
    <row r="407" spans="1:9" x14ac:dyDescent="0.25">
      <c r="A407" s="9">
        <v>19083</v>
      </c>
      <c r="B407" s="4">
        <v>26</v>
      </c>
      <c r="C407" s="4">
        <v>19</v>
      </c>
      <c r="D407" s="4">
        <v>14</v>
      </c>
      <c r="E407" s="4">
        <v>19</v>
      </c>
      <c r="F407" s="4">
        <v>301</v>
      </c>
      <c r="G407" s="4">
        <v>6.6</v>
      </c>
      <c r="H407" s="3">
        <v>3.6</v>
      </c>
      <c r="I407" s="3">
        <v>1.02</v>
      </c>
    </row>
    <row r="408" spans="1:9" x14ac:dyDescent="0.25">
      <c r="A408" s="9">
        <v>19085</v>
      </c>
      <c r="B408" s="4">
        <v>25</v>
      </c>
      <c r="C408" s="4">
        <v>25</v>
      </c>
      <c r="D408" s="4">
        <v>14</v>
      </c>
      <c r="E408" s="4">
        <v>25</v>
      </c>
      <c r="F408" s="4">
        <v>289</v>
      </c>
      <c r="G408" s="4">
        <v>4.0999999999999996</v>
      </c>
      <c r="H408" s="3">
        <v>1.6</v>
      </c>
      <c r="I408" s="3">
        <v>1.04</v>
      </c>
    </row>
    <row r="409" spans="1:9" x14ac:dyDescent="0.25">
      <c r="A409" s="9">
        <v>19087</v>
      </c>
      <c r="B409" s="4">
        <v>44</v>
      </c>
      <c r="C409" s="4">
        <v>25</v>
      </c>
      <c r="D409" s="4">
        <v>14</v>
      </c>
      <c r="E409" s="4">
        <v>25</v>
      </c>
      <c r="F409" s="4">
        <v>418</v>
      </c>
      <c r="G409" s="4">
        <v>4.5</v>
      </c>
      <c r="H409" s="3">
        <v>0.3</v>
      </c>
      <c r="I409" s="3">
        <v>1.1200000000000001</v>
      </c>
    </row>
    <row r="410" spans="1:9" x14ac:dyDescent="0.25">
      <c r="A410" s="9">
        <v>19089</v>
      </c>
      <c r="B410" s="4">
        <v>17</v>
      </c>
      <c r="C410" s="4">
        <v>18</v>
      </c>
      <c r="D410" s="4">
        <v>14</v>
      </c>
      <c r="E410" s="4">
        <v>18</v>
      </c>
      <c r="F410" s="4">
        <v>205</v>
      </c>
      <c r="G410" s="4">
        <v>3.4</v>
      </c>
      <c r="H410" s="3">
        <v>2.2999999999999998</v>
      </c>
      <c r="I410" s="3">
        <v>0.99</v>
      </c>
    </row>
    <row r="411" spans="1:9" x14ac:dyDescent="0.25">
      <c r="A411" s="9">
        <v>19091</v>
      </c>
      <c r="B411" s="4">
        <v>22</v>
      </c>
      <c r="C411" s="4">
        <v>17</v>
      </c>
      <c r="D411" s="4">
        <v>14</v>
      </c>
      <c r="E411" s="4">
        <v>17</v>
      </c>
      <c r="F411" s="4">
        <v>179</v>
      </c>
      <c r="G411" s="4">
        <v>3.5</v>
      </c>
      <c r="H411" s="3">
        <v>2.8</v>
      </c>
      <c r="I411" s="3">
        <v>1.04</v>
      </c>
    </row>
    <row r="412" spans="1:9" x14ac:dyDescent="0.25">
      <c r="A412" s="9">
        <v>19093</v>
      </c>
      <c r="B412" s="4">
        <v>22</v>
      </c>
      <c r="C412" s="4">
        <v>25</v>
      </c>
      <c r="D412" s="4">
        <v>14</v>
      </c>
      <c r="E412" s="4">
        <v>25</v>
      </c>
      <c r="F412" s="4">
        <v>235</v>
      </c>
      <c r="G412" s="4">
        <v>5.6</v>
      </c>
      <c r="H412" s="3">
        <v>3.9</v>
      </c>
      <c r="I412" s="3">
        <v>0.98</v>
      </c>
    </row>
    <row r="413" spans="1:9" x14ac:dyDescent="0.25">
      <c r="A413" s="9">
        <v>19095</v>
      </c>
      <c r="B413" s="4">
        <v>22</v>
      </c>
      <c r="C413" s="4">
        <v>25</v>
      </c>
      <c r="D413" s="4">
        <v>14</v>
      </c>
      <c r="E413" s="4">
        <v>25</v>
      </c>
      <c r="F413" s="4">
        <v>224</v>
      </c>
      <c r="G413" s="4">
        <v>6.9</v>
      </c>
      <c r="H413" s="3">
        <v>2.7</v>
      </c>
      <c r="I413" s="3">
        <v>1.1399999999999999</v>
      </c>
    </row>
    <row r="414" spans="1:9" x14ac:dyDescent="0.25">
      <c r="A414" s="9">
        <v>19097</v>
      </c>
      <c r="B414" s="4">
        <v>23</v>
      </c>
      <c r="C414" s="4">
        <v>25</v>
      </c>
      <c r="D414" s="4">
        <v>14</v>
      </c>
      <c r="E414" s="4">
        <v>25</v>
      </c>
      <c r="F414" s="4">
        <v>134</v>
      </c>
      <c r="G414" s="4">
        <v>4.9000000000000004</v>
      </c>
      <c r="H414" s="3">
        <v>3</v>
      </c>
      <c r="I414" s="3">
        <v>0.92</v>
      </c>
    </row>
    <row r="415" spans="1:9" x14ac:dyDescent="0.25">
      <c r="A415" s="9">
        <v>19099</v>
      </c>
      <c r="B415" s="4">
        <v>63</v>
      </c>
      <c r="C415" s="4">
        <v>48</v>
      </c>
      <c r="D415" s="4">
        <v>14</v>
      </c>
      <c r="E415" s="4">
        <v>48</v>
      </c>
      <c r="F415" s="4">
        <v>676</v>
      </c>
      <c r="G415" s="4">
        <v>7.9</v>
      </c>
      <c r="H415" s="3">
        <v>4.8</v>
      </c>
      <c r="I415" s="3">
        <v>1.22</v>
      </c>
    </row>
    <row r="416" spans="1:9" x14ac:dyDescent="0.25">
      <c r="A416" s="9">
        <v>19101</v>
      </c>
      <c r="B416" s="4">
        <v>63</v>
      </c>
      <c r="C416" s="4">
        <v>25</v>
      </c>
      <c r="D416" s="4">
        <v>14</v>
      </c>
      <c r="E416" s="4">
        <v>25</v>
      </c>
      <c r="F416" s="4">
        <v>450</v>
      </c>
      <c r="G416" s="4">
        <v>9.4</v>
      </c>
      <c r="H416" s="3">
        <v>3.6</v>
      </c>
      <c r="I416" s="3">
        <v>1.17</v>
      </c>
    </row>
    <row r="417" spans="1:9" x14ac:dyDescent="0.25">
      <c r="A417" s="9">
        <v>19103</v>
      </c>
      <c r="B417" s="4">
        <v>2101</v>
      </c>
      <c r="C417" s="4">
        <v>934</v>
      </c>
      <c r="D417" s="4">
        <v>18</v>
      </c>
      <c r="E417" s="4">
        <v>962</v>
      </c>
      <c r="F417" s="4">
        <v>39901</v>
      </c>
      <c r="G417" s="4">
        <v>600.6</v>
      </c>
      <c r="H417" s="3">
        <v>5.05</v>
      </c>
      <c r="I417" s="3">
        <v>1.99</v>
      </c>
    </row>
    <row r="418" spans="1:9" x14ac:dyDescent="0.25">
      <c r="A418" s="9">
        <v>19105</v>
      </c>
      <c r="B418" s="4">
        <v>45</v>
      </c>
      <c r="C418" s="4">
        <v>22</v>
      </c>
      <c r="D418" s="4">
        <v>14</v>
      </c>
      <c r="E418" s="4">
        <v>22</v>
      </c>
      <c r="F418" s="4">
        <v>248</v>
      </c>
      <c r="G418" s="4">
        <v>5</v>
      </c>
      <c r="H418" s="3">
        <v>2.8</v>
      </c>
      <c r="I418" s="3">
        <v>1.19</v>
      </c>
    </row>
    <row r="419" spans="1:9" x14ac:dyDescent="0.25">
      <c r="A419" s="9">
        <v>19107</v>
      </c>
      <c r="B419" s="4">
        <v>25</v>
      </c>
      <c r="C419" s="4">
        <v>25</v>
      </c>
      <c r="D419" s="4">
        <v>14</v>
      </c>
      <c r="E419" s="4">
        <v>25</v>
      </c>
      <c r="F419" s="4">
        <v>51</v>
      </c>
      <c r="G419" s="4">
        <v>5</v>
      </c>
      <c r="H419" s="3">
        <v>3.1</v>
      </c>
      <c r="I419" s="3">
        <v>0.99</v>
      </c>
    </row>
    <row r="420" spans="1:9" x14ac:dyDescent="0.25">
      <c r="A420" s="9">
        <v>19109</v>
      </c>
      <c r="B420" s="4">
        <v>13</v>
      </c>
      <c r="C420" s="4">
        <v>24</v>
      </c>
      <c r="D420" s="4">
        <v>14</v>
      </c>
      <c r="E420" s="4">
        <v>24</v>
      </c>
      <c r="F420" s="4">
        <v>611</v>
      </c>
      <c r="G420" s="4">
        <v>9.6</v>
      </c>
      <c r="H420" s="3">
        <v>3.1</v>
      </c>
      <c r="I420" s="3">
        <v>1.05</v>
      </c>
    </row>
    <row r="421" spans="1:9" x14ac:dyDescent="0.25">
      <c r="A421" s="9">
        <v>19111</v>
      </c>
      <c r="B421" s="4">
        <v>121</v>
      </c>
      <c r="C421" s="4">
        <v>99</v>
      </c>
      <c r="D421" s="4">
        <v>3</v>
      </c>
      <c r="E421" s="4">
        <v>99</v>
      </c>
      <c r="F421" s="4">
        <v>1501</v>
      </c>
      <c r="G421" s="4">
        <v>11.4</v>
      </c>
      <c r="H421" s="3">
        <v>3.2</v>
      </c>
      <c r="I421" s="3">
        <v>1.26</v>
      </c>
    </row>
    <row r="422" spans="1:9" x14ac:dyDescent="0.25">
      <c r="A422" s="9">
        <v>19113</v>
      </c>
      <c r="B422" s="4">
        <v>900</v>
      </c>
      <c r="C422" s="4">
        <v>495</v>
      </c>
      <c r="D422" s="4">
        <v>36</v>
      </c>
      <c r="E422" s="4">
        <v>495</v>
      </c>
      <c r="F422" s="4">
        <v>23581</v>
      </c>
      <c r="G422" s="4">
        <v>268.5</v>
      </c>
      <c r="H422" s="3">
        <v>12.199999999999998</v>
      </c>
      <c r="I422" s="3">
        <v>1.6850000000000001</v>
      </c>
    </row>
    <row r="423" spans="1:9" x14ac:dyDescent="0.25">
      <c r="A423" s="9">
        <v>19117</v>
      </c>
      <c r="B423" s="4">
        <v>28</v>
      </c>
      <c r="C423" s="4">
        <v>25</v>
      </c>
      <c r="D423" s="4">
        <v>14</v>
      </c>
      <c r="E423" s="4">
        <v>25</v>
      </c>
      <c r="F423" s="4">
        <v>210</v>
      </c>
      <c r="G423" s="4">
        <v>2.9</v>
      </c>
      <c r="H423" s="3">
        <v>3</v>
      </c>
      <c r="I423" s="3">
        <v>0.95</v>
      </c>
    </row>
    <row r="424" spans="1:9" x14ac:dyDescent="0.25">
      <c r="A424" s="9">
        <v>19119</v>
      </c>
      <c r="B424" s="4">
        <v>3</v>
      </c>
      <c r="C424" s="4">
        <v>14</v>
      </c>
      <c r="D424" s="4">
        <v>14</v>
      </c>
      <c r="E424" s="4">
        <v>11</v>
      </c>
      <c r="F424" s="4">
        <v>116</v>
      </c>
      <c r="G424" s="4">
        <v>1.6</v>
      </c>
      <c r="H424" s="3">
        <v>1.85</v>
      </c>
      <c r="I424" s="3">
        <v>0.97</v>
      </c>
    </row>
    <row r="425" spans="1:9" x14ac:dyDescent="0.25">
      <c r="A425" s="9">
        <v>19121</v>
      </c>
      <c r="B425" s="4">
        <v>22</v>
      </c>
      <c r="C425" s="4">
        <v>25</v>
      </c>
      <c r="D425" s="4">
        <v>14</v>
      </c>
      <c r="E425" s="4">
        <v>25</v>
      </c>
      <c r="F425" s="4">
        <v>194</v>
      </c>
      <c r="G425" s="4">
        <v>4.3</v>
      </c>
      <c r="H425" s="3">
        <v>3.5</v>
      </c>
      <c r="I425" s="3">
        <v>0.93</v>
      </c>
    </row>
    <row r="426" spans="1:9" x14ac:dyDescent="0.25">
      <c r="A426" s="9">
        <v>19123</v>
      </c>
      <c r="B426" s="4">
        <v>67</v>
      </c>
      <c r="C426" s="4">
        <v>25</v>
      </c>
      <c r="D426" s="4">
        <v>14</v>
      </c>
      <c r="E426" s="4">
        <v>25</v>
      </c>
      <c r="F426" s="4">
        <v>950</v>
      </c>
      <c r="G426" s="4">
        <v>10.5</v>
      </c>
      <c r="H426" s="3">
        <v>3.3</v>
      </c>
      <c r="I426" s="3">
        <v>1.28</v>
      </c>
    </row>
    <row r="427" spans="1:9" x14ac:dyDescent="0.25">
      <c r="A427" s="9">
        <v>19125</v>
      </c>
      <c r="B427" s="4">
        <v>136</v>
      </c>
      <c r="C427" s="4">
        <v>50</v>
      </c>
      <c r="D427" s="4">
        <v>3</v>
      </c>
      <c r="E427" s="4">
        <v>50</v>
      </c>
      <c r="F427" s="4">
        <v>1604</v>
      </c>
      <c r="G427" s="4">
        <v>18.8</v>
      </c>
      <c r="H427" s="3">
        <v>2.95</v>
      </c>
      <c r="I427" s="3">
        <v>1.19</v>
      </c>
    </row>
    <row r="428" spans="1:9" x14ac:dyDescent="0.25">
      <c r="A428" s="9">
        <v>19127</v>
      </c>
      <c r="B428" s="4">
        <v>110</v>
      </c>
      <c r="C428" s="4">
        <v>41</v>
      </c>
      <c r="D428" s="4">
        <v>14</v>
      </c>
      <c r="E428" s="4">
        <v>41</v>
      </c>
      <c r="F428" s="4">
        <v>1702</v>
      </c>
      <c r="G428" s="4">
        <v>12.5</v>
      </c>
      <c r="H428" s="3">
        <v>3.6</v>
      </c>
      <c r="I428" s="3">
        <v>1.51</v>
      </c>
    </row>
    <row r="429" spans="1:9" x14ac:dyDescent="0.25">
      <c r="A429" s="9">
        <v>19131</v>
      </c>
      <c r="B429" s="4">
        <v>14</v>
      </c>
      <c r="C429" s="4">
        <v>25</v>
      </c>
      <c r="D429" s="4">
        <v>14</v>
      </c>
      <c r="E429" s="4">
        <v>25</v>
      </c>
      <c r="F429" s="4">
        <v>285</v>
      </c>
      <c r="G429" s="4">
        <v>4.5</v>
      </c>
      <c r="H429" s="3">
        <v>2.8</v>
      </c>
      <c r="I429" s="3">
        <v>0.91</v>
      </c>
    </row>
    <row r="430" spans="1:9" x14ac:dyDescent="0.25">
      <c r="A430" s="9">
        <v>19133</v>
      </c>
      <c r="B430" s="4">
        <v>29</v>
      </c>
      <c r="C430" s="4">
        <v>25</v>
      </c>
      <c r="D430" s="4">
        <v>14</v>
      </c>
      <c r="E430" s="4">
        <v>25</v>
      </c>
      <c r="F430" s="4">
        <v>506</v>
      </c>
      <c r="G430" s="4">
        <v>6.7</v>
      </c>
      <c r="H430" s="3">
        <v>3.6</v>
      </c>
      <c r="I430" s="3">
        <v>0.98</v>
      </c>
    </row>
    <row r="431" spans="1:9" x14ac:dyDescent="0.25">
      <c r="A431" s="9">
        <v>19135</v>
      </c>
      <c r="B431" s="4">
        <v>18</v>
      </c>
      <c r="C431" s="4">
        <v>25</v>
      </c>
      <c r="D431" s="4">
        <v>14</v>
      </c>
      <c r="E431" s="4">
        <v>25</v>
      </c>
      <c r="F431" s="4">
        <v>132</v>
      </c>
      <c r="G431" s="4">
        <v>3.3</v>
      </c>
      <c r="H431" s="3">
        <v>4.2</v>
      </c>
      <c r="I431" s="3">
        <v>1.1399999999999999</v>
      </c>
    </row>
    <row r="432" spans="1:9" x14ac:dyDescent="0.25">
      <c r="A432" s="9">
        <v>19137</v>
      </c>
      <c r="B432" s="4">
        <v>62</v>
      </c>
      <c r="C432" s="4">
        <v>25</v>
      </c>
      <c r="D432" s="4">
        <v>8</v>
      </c>
      <c r="E432" s="4">
        <v>25</v>
      </c>
      <c r="F432" s="4">
        <v>856</v>
      </c>
      <c r="G432" s="4">
        <v>11.6</v>
      </c>
      <c r="H432" s="3">
        <v>3.5</v>
      </c>
      <c r="I432" s="3">
        <v>0.99</v>
      </c>
    </row>
    <row r="433" spans="1:9" x14ac:dyDescent="0.25">
      <c r="A433" s="9">
        <v>19139</v>
      </c>
      <c r="B433" s="4">
        <v>75</v>
      </c>
      <c r="C433" s="4">
        <v>45</v>
      </c>
      <c r="D433" s="4">
        <v>5</v>
      </c>
      <c r="E433" s="4">
        <v>45</v>
      </c>
      <c r="F433" s="4">
        <v>1360</v>
      </c>
      <c r="G433" s="4">
        <v>10</v>
      </c>
      <c r="H433" s="3">
        <v>3.1</v>
      </c>
      <c r="I433" s="3">
        <v>1.28</v>
      </c>
    </row>
    <row r="434" spans="1:9" x14ac:dyDescent="0.25">
      <c r="A434" s="9">
        <v>19141</v>
      </c>
      <c r="B434" s="4">
        <v>122</v>
      </c>
      <c r="C434" s="4">
        <v>39</v>
      </c>
      <c r="D434" s="4">
        <v>14</v>
      </c>
      <c r="E434" s="4">
        <v>39</v>
      </c>
      <c r="F434" s="4">
        <v>535</v>
      </c>
      <c r="G434" s="4">
        <v>9.9</v>
      </c>
      <c r="H434" s="3">
        <v>2.8</v>
      </c>
      <c r="I434" s="3">
        <v>1.01</v>
      </c>
    </row>
    <row r="435" spans="1:9" x14ac:dyDescent="0.25">
      <c r="A435" s="9">
        <v>19143</v>
      </c>
      <c r="B435" s="4">
        <v>10</v>
      </c>
      <c r="C435" s="4">
        <v>25</v>
      </c>
      <c r="D435" s="4">
        <v>14</v>
      </c>
      <c r="E435" s="4">
        <v>25</v>
      </c>
      <c r="F435" s="4">
        <v>179</v>
      </c>
      <c r="G435" s="4">
        <v>2.9</v>
      </c>
      <c r="H435" s="3">
        <v>3.3</v>
      </c>
      <c r="I435" s="3">
        <v>0.98</v>
      </c>
    </row>
    <row r="436" spans="1:9" x14ac:dyDescent="0.25">
      <c r="A436" s="9">
        <v>19145</v>
      </c>
      <c r="B436" s="4">
        <v>92</v>
      </c>
      <c r="C436" s="4">
        <v>50</v>
      </c>
      <c r="D436" s="4">
        <v>2</v>
      </c>
      <c r="E436" s="4">
        <v>50</v>
      </c>
      <c r="F436" s="4">
        <v>1034</v>
      </c>
      <c r="G436" s="4">
        <v>9.8000000000000007</v>
      </c>
      <c r="H436" s="3">
        <v>3</v>
      </c>
      <c r="I436" s="3">
        <v>1.085</v>
      </c>
    </row>
    <row r="437" spans="1:9" x14ac:dyDescent="0.25">
      <c r="A437" s="9">
        <v>19147</v>
      </c>
      <c r="B437" s="4">
        <v>19</v>
      </c>
      <c r="C437" s="4">
        <v>24</v>
      </c>
      <c r="D437" s="4">
        <v>14</v>
      </c>
      <c r="E437" s="4">
        <v>24</v>
      </c>
      <c r="F437" s="4">
        <v>266</v>
      </c>
      <c r="G437" s="4">
        <v>4.5999999999999996</v>
      </c>
      <c r="H437" s="3">
        <v>2.4</v>
      </c>
      <c r="I437" s="3">
        <v>0.98</v>
      </c>
    </row>
    <row r="438" spans="1:9" x14ac:dyDescent="0.25">
      <c r="A438" s="9">
        <v>19149</v>
      </c>
      <c r="B438" s="4">
        <v>38</v>
      </c>
      <c r="C438" s="4">
        <v>25</v>
      </c>
      <c r="D438" s="4">
        <v>14</v>
      </c>
      <c r="E438" s="4">
        <v>25</v>
      </c>
      <c r="F438" s="4">
        <v>492</v>
      </c>
      <c r="G438" s="4">
        <v>5.7</v>
      </c>
      <c r="H438" s="3">
        <v>3.1</v>
      </c>
      <c r="I438" s="3">
        <v>1.18</v>
      </c>
    </row>
    <row r="439" spans="1:9" x14ac:dyDescent="0.25">
      <c r="A439" s="9">
        <v>19151</v>
      </c>
      <c r="B439" s="4">
        <v>10</v>
      </c>
      <c r="C439" s="4">
        <v>25</v>
      </c>
      <c r="D439" s="4">
        <v>14</v>
      </c>
      <c r="E439" s="4">
        <v>25</v>
      </c>
      <c r="F439" s="4">
        <v>163</v>
      </c>
      <c r="G439" s="4">
        <v>3.2</v>
      </c>
      <c r="H439" s="3">
        <v>5.8</v>
      </c>
      <c r="I439" s="3">
        <v>0.91</v>
      </c>
    </row>
    <row r="440" spans="1:9" x14ac:dyDescent="0.25">
      <c r="A440" s="9">
        <v>19153</v>
      </c>
      <c r="B440" s="4">
        <v>2246</v>
      </c>
      <c r="C440" s="4">
        <v>1298</v>
      </c>
      <c r="D440" s="4">
        <v>84</v>
      </c>
      <c r="E440" s="4">
        <v>1630</v>
      </c>
      <c r="F440" s="4">
        <v>75105</v>
      </c>
      <c r="G440" s="4">
        <v>912</v>
      </c>
      <c r="H440" s="3">
        <v>5.25</v>
      </c>
      <c r="I440" s="3">
        <v>1.6875</v>
      </c>
    </row>
    <row r="441" spans="1:9" x14ac:dyDescent="0.25">
      <c r="A441" s="9">
        <v>19155</v>
      </c>
      <c r="B441" s="4">
        <v>236</v>
      </c>
      <c r="C441" s="4">
        <v>255</v>
      </c>
      <c r="D441" s="4">
        <v>29</v>
      </c>
      <c r="E441" s="4">
        <v>255</v>
      </c>
      <c r="F441" s="4">
        <v>12332</v>
      </c>
      <c r="G441" s="4">
        <v>117.7</v>
      </c>
      <c r="H441" s="3">
        <v>3.6500000000000004</v>
      </c>
      <c r="I441" s="3">
        <v>1.51</v>
      </c>
    </row>
    <row r="442" spans="1:9" x14ac:dyDescent="0.25">
      <c r="A442" s="9">
        <v>19157</v>
      </c>
      <c r="B442" s="4">
        <v>61</v>
      </c>
      <c r="C442" s="4">
        <v>49</v>
      </c>
      <c r="D442" s="4">
        <v>5</v>
      </c>
      <c r="E442" s="4">
        <v>49</v>
      </c>
      <c r="F442" s="4">
        <v>1108</v>
      </c>
      <c r="G442" s="4">
        <v>11.5</v>
      </c>
      <c r="H442" s="3">
        <v>4.0999999999999996</v>
      </c>
      <c r="I442" s="3">
        <v>1.3</v>
      </c>
    </row>
    <row r="443" spans="1:9" x14ac:dyDescent="0.25">
      <c r="A443" s="9">
        <v>19159</v>
      </c>
      <c r="B443" s="4">
        <v>19</v>
      </c>
      <c r="C443" s="4">
        <v>16</v>
      </c>
      <c r="D443" s="4">
        <v>14</v>
      </c>
      <c r="E443" s="4">
        <v>16</v>
      </c>
      <c r="F443" s="4">
        <v>177</v>
      </c>
      <c r="G443" s="4">
        <v>2.9</v>
      </c>
      <c r="H443" s="3">
        <v>3.5</v>
      </c>
      <c r="I443" s="3">
        <v>1.03</v>
      </c>
    </row>
    <row r="444" spans="1:9" x14ac:dyDescent="0.25">
      <c r="A444" s="9">
        <v>19161</v>
      </c>
      <c r="B444" s="4">
        <v>9</v>
      </c>
      <c r="C444" s="4">
        <v>25</v>
      </c>
      <c r="D444" s="4">
        <v>14</v>
      </c>
      <c r="E444" s="4">
        <v>25</v>
      </c>
      <c r="F444" s="4">
        <v>210</v>
      </c>
      <c r="G444" s="4">
        <v>2.1</v>
      </c>
      <c r="H444" s="3">
        <v>3.3</v>
      </c>
      <c r="I444" s="3">
        <v>1</v>
      </c>
    </row>
    <row r="445" spans="1:9" x14ac:dyDescent="0.25">
      <c r="A445" s="9">
        <v>19163</v>
      </c>
      <c r="B445" s="4">
        <v>526</v>
      </c>
      <c r="C445" s="4">
        <v>382</v>
      </c>
      <c r="D445" s="4">
        <v>39</v>
      </c>
      <c r="E445" s="4">
        <v>446</v>
      </c>
      <c r="F445" s="4">
        <v>20153</v>
      </c>
      <c r="G445" s="4">
        <v>191.89999999999998</v>
      </c>
      <c r="H445" s="3">
        <v>3.5</v>
      </c>
      <c r="I445" s="3">
        <v>1.8050000000000002</v>
      </c>
    </row>
    <row r="446" spans="1:9" x14ac:dyDescent="0.25">
      <c r="A446" s="9">
        <v>19165</v>
      </c>
      <c r="B446" s="4">
        <v>39</v>
      </c>
      <c r="C446" s="4">
        <v>25</v>
      </c>
      <c r="D446" s="4">
        <v>14</v>
      </c>
      <c r="E446" s="4">
        <v>25</v>
      </c>
      <c r="F446" s="4">
        <v>666</v>
      </c>
      <c r="G446" s="4">
        <v>9</v>
      </c>
      <c r="H446" s="3">
        <v>3.5</v>
      </c>
      <c r="I446" s="3">
        <v>1.1399999999999999</v>
      </c>
    </row>
    <row r="447" spans="1:9" x14ac:dyDescent="0.25">
      <c r="A447" s="9">
        <v>19167</v>
      </c>
      <c r="B447" s="4">
        <v>112</v>
      </c>
      <c r="C447" s="4">
        <v>94</v>
      </c>
      <c r="D447" s="4">
        <v>14</v>
      </c>
      <c r="E447" s="4">
        <v>94</v>
      </c>
      <c r="F447" s="4">
        <v>1598</v>
      </c>
      <c r="G447" s="4">
        <v>20.399999999999999</v>
      </c>
      <c r="H447" s="3">
        <v>2.9749999999999996</v>
      </c>
      <c r="I447" s="3">
        <v>1.0925</v>
      </c>
    </row>
    <row r="448" spans="1:9" x14ac:dyDescent="0.25">
      <c r="A448" s="9">
        <v>19169</v>
      </c>
      <c r="B448" s="4">
        <v>258</v>
      </c>
      <c r="C448" s="4">
        <v>175</v>
      </c>
      <c r="D448" s="4">
        <v>14</v>
      </c>
      <c r="E448" s="4">
        <v>175</v>
      </c>
      <c r="F448" s="4">
        <v>8232</v>
      </c>
      <c r="G448" s="4">
        <v>84.4</v>
      </c>
      <c r="H448" s="3">
        <v>3.15</v>
      </c>
      <c r="I448" s="3">
        <v>1.2450000000000001</v>
      </c>
    </row>
    <row r="449" spans="1:9" x14ac:dyDescent="0.25">
      <c r="A449" s="9">
        <v>19175</v>
      </c>
      <c r="B449" s="4">
        <v>64</v>
      </c>
      <c r="C449" s="4">
        <v>25</v>
      </c>
      <c r="D449" s="4">
        <v>4</v>
      </c>
      <c r="E449" s="4">
        <v>25</v>
      </c>
      <c r="F449" s="4">
        <v>883</v>
      </c>
      <c r="G449" s="4">
        <v>9.4</v>
      </c>
      <c r="H449" s="3">
        <v>3.1</v>
      </c>
      <c r="I449" s="3">
        <v>1.42</v>
      </c>
    </row>
    <row r="450" spans="1:9" x14ac:dyDescent="0.25">
      <c r="A450" s="9">
        <v>19177</v>
      </c>
      <c r="B450" s="4">
        <v>13</v>
      </c>
      <c r="C450" s="4">
        <v>25</v>
      </c>
      <c r="D450" s="4">
        <v>14</v>
      </c>
      <c r="E450" s="4">
        <v>25</v>
      </c>
      <c r="F450" s="4">
        <v>148</v>
      </c>
      <c r="G450" s="4">
        <v>2.2000000000000002</v>
      </c>
      <c r="H450" s="3">
        <v>3</v>
      </c>
      <c r="I450" s="3">
        <v>1.04</v>
      </c>
    </row>
    <row r="451" spans="1:9" x14ac:dyDescent="0.25">
      <c r="A451" s="9">
        <v>19179</v>
      </c>
      <c r="B451" s="4">
        <v>102</v>
      </c>
      <c r="C451" s="4">
        <v>88</v>
      </c>
      <c r="D451" s="4">
        <v>11</v>
      </c>
      <c r="E451" s="4">
        <v>88</v>
      </c>
      <c r="F451" s="4">
        <v>2219</v>
      </c>
      <c r="G451" s="4">
        <v>19.5</v>
      </c>
      <c r="H451" s="3">
        <v>3.7</v>
      </c>
      <c r="I451" s="3">
        <v>1.53</v>
      </c>
    </row>
    <row r="452" spans="1:9" x14ac:dyDescent="0.25">
      <c r="A452" s="9">
        <v>19183</v>
      </c>
      <c r="B452" s="4">
        <v>42</v>
      </c>
      <c r="C452" s="4">
        <v>25</v>
      </c>
      <c r="D452" s="4">
        <v>14</v>
      </c>
      <c r="E452" s="4">
        <v>25</v>
      </c>
      <c r="F452" s="4">
        <v>426</v>
      </c>
      <c r="G452" s="4">
        <v>7.3</v>
      </c>
      <c r="H452" s="3">
        <v>2.8</v>
      </c>
      <c r="I452" s="3">
        <v>1.1200000000000001</v>
      </c>
    </row>
    <row r="453" spans="1:9" x14ac:dyDescent="0.25">
      <c r="A453" s="9">
        <v>19185</v>
      </c>
      <c r="B453" s="4">
        <v>25</v>
      </c>
      <c r="C453" s="4">
        <v>25</v>
      </c>
      <c r="D453" s="4">
        <v>14</v>
      </c>
      <c r="E453" s="4">
        <v>25</v>
      </c>
      <c r="F453" s="4">
        <v>804</v>
      </c>
      <c r="G453" s="4">
        <v>6.9</v>
      </c>
      <c r="H453" s="3">
        <v>2.1</v>
      </c>
      <c r="I453" s="3">
        <v>1.22</v>
      </c>
    </row>
    <row r="454" spans="1:9" x14ac:dyDescent="0.25">
      <c r="A454" s="9">
        <v>19187</v>
      </c>
      <c r="B454" s="4">
        <v>143</v>
      </c>
      <c r="C454" s="4">
        <v>46</v>
      </c>
      <c r="D454" s="4">
        <v>8</v>
      </c>
      <c r="E454" s="4">
        <v>46</v>
      </c>
      <c r="F454" s="4">
        <v>3300</v>
      </c>
      <c r="G454" s="4">
        <v>31.2</v>
      </c>
      <c r="H454" s="3">
        <v>3.8</v>
      </c>
      <c r="I454" s="3">
        <v>1.56</v>
      </c>
    </row>
    <row r="455" spans="1:9" x14ac:dyDescent="0.25">
      <c r="A455" s="9">
        <v>19191</v>
      </c>
      <c r="B455" s="4">
        <v>65</v>
      </c>
      <c r="C455" s="4">
        <v>25</v>
      </c>
      <c r="D455" s="4">
        <v>14</v>
      </c>
      <c r="E455" s="4">
        <v>25</v>
      </c>
      <c r="F455" s="4">
        <v>690</v>
      </c>
      <c r="G455" s="4">
        <v>9.1</v>
      </c>
      <c r="H455" s="3">
        <v>2.9</v>
      </c>
      <c r="I455" s="3">
        <v>1.1599999999999999</v>
      </c>
    </row>
    <row r="456" spans="1:9" x14ac:dyDescent="0.25">
      <c r="A456" s="9">
        <v>19193</v>
      </c>
      <c r="B456" s="4">
        <v>461</v>
      </c>
      <c r="C456" s="4">
        <v>316</v>
      </c>
      <c r="D456" s="4">
        <v>34</v>
      </c>
      <c r="E456" s="4">
        <v>316</v>
      </c>
      <c r="F456" s="4">
        <v>17036</v>
      </c>
      <c r="G456" s="4">
        <v>205.4</v>
      </c>
      <c r="H456" s="3">
        <v>4.6500000000000004</v>
      </c>
      <c r="I456" s="3">
        <v>1.68</v>
      </c>
    </row>
    <row r="457" spans="1:9" x14ac:dyDescent="0.25">
      <c r="A457" s="9">
        <v>19197</v>
      </c>
      <c r="B457" s="4">
        <v>67</v>
      </c>
      <c r="C457" s="4">
        <v>47</v>
      </c>
      <c r="D457" s="4">
        <v>14</v>
      </c>
      <c r="E457" s="4">
        <v>47</v>
      </c>
      <c r="F457" s="4">
        <v>1562</v>
      </c>
      <c r="G457" s="4">
        <v>11.600000000000001</v>
      </c>
      <c r="H457" s="3">
        <v>2</v>
      </c>
      <c r="I457" s="3">
        <v>1.4500000000000002</v>
      </c>
    </row>
    <row r="458" spans="1:9" x14ac:dyDescent="0.25">
      <c r="A458" s="9">
        <v>20001</v>
      </c>
      <c r="B458" s="4">
        <v>21</v>
      </c>
      <c r="C458" s="4">
        <v>25</v>
      </c>
      <c r="D458" s="4">
        <v>14</v>
      </c>
      <c r="E458" s="4">
        <v>25</v>
      </c>
      <c r="F458" s="4">
        <v>536</v>
      </c>
      <c r="G458" s="4">
        <v>8.6999999999999993</v>
      </c>
      <c r="H458" s="3">
        <v>3</v>
      </c>
      <c r="I458" s="3">
        <v>1.01</v>
      </c>
    </row>
    <row r="459" spans="1:9" x14ac:dyDescent="0.25">
      <c r="A459" s="9">
        <v>20003</v>
      </c>
      <c r="B459" s="4">
        <v>24</v>
      </c>
      <c r="C459" s="4">
        <v>12</v>
      </c>
      <c r="D459" s="4">
        <v>14</v>
      </c>
      <c r="E459" s="4">
        <v>12</v>
      </c>
      <c r="F459" s="4">
        <v>124</v>
      </c>
      <c r="G459" s="4">
        <v>4.7</v>
      </c>
      <c r="H459" s="3">
        <v>3</v>
      </c>
      <c r="I459" s="3">
        <v>0.95</v>
      </c>
    </row>
    <row r="460" spans="1:9" x14ac:dyDescent="0.25">
      <c r="A460" s="9">
        <v>20005</v>
      </c>
      <c r="B460" s="4">
        <v>60</v>
      </c>
      <c r="C460" s="4">
        <v>25</v>
      </c>
      <c r="D460" s="4">
        <v>14</v>
      </c>
      <c r="E460" s="4">
        <v>25</v>
      </c>
      <c r="F460" s="4">
        <v>1099</v>
      </c>
      <c r="G460" s="4">
        <v>9.1</v>
      </c>
      <c r="H460" s="3">
        <v>2</v>
      </c>
      <c r="I460" s="3">
        <v>1.2</v>
      </c>
    </row>
    <row r="461" spans="1:9" x14ac:dyDescent="0.25">
      <c r="A461" s="9">
        <v>20007</v>
      </c>
      <c r="B461" s="4">
        <v>17</v>
      </c>
      <c r="C461" s="4">
        <v>32</v>
      </c>
      <c r="D461" s="4">
        <v>14</v>
      </c>
      <c r="E461" s="4">
        <v>32</v>
      </c>
      <c r="F461" s="4">
        <v>163</v>
      </c>
      <c r="G461" s="4">
        <v>19.900000000000002</v>
      </c>
      <c r="H461" s="3">
        <v>3.1</v>
      </c>
      <c r="I461" s="3">
        <v>0.91</v>
      </c>
    </row>
    <row r="462" spans="1:9" x14ac:dyDescent="0.25">
      <c r="A462" s="9">
        <v>20009</v>
      </c>
      <c r="B462" s="4">
        <v>102</v>
      </c>
      <c r="C462" s="4">
        <v>76</v>
      </c>
      <c r="D462" s="4">
        <v>4</v>
      </c>
      <c r="E462" s="4">
        <v>76</v>
      </c>
      <c r="F462" s="4">
        <v>2838</v>
      </c>
      <c r="G462" s="4">
        <v>34.700000000000003</v>
      </c>
      <c r="H462" s="3">
        <v>3.55</v>
      </c>
      <c r="I462" s="3">
        <v>1.18</v>
      </c>
    </row>
    <row r="463" spans="1:9" x14ac:dyDescent="0.25">
      <c r="A463" s="9">
        <v>20011</v>
      </c>
      <c r="B463" s="4">
        <v>80</v>
      </c>
      <c r="C463" s="4">
        <v>49</v>
      </c>
      <c r="D463" s="4">
        <v>14</v>
      </c>
      <c r="E463" s="4">
        <v>49</v>
      </c>
      <c r="F463" s="4">
        <v>610</v>
      </c>
      <c r="G463" s="4">
        <v>4.5</v>
      </c>
      <c r="H463" s="3">
        <v>3.2</v>
      </c>
      <c r="I463" s="3">
        <v>1.29</v>
      </c>
    </row>
    <row r="464" spans="1:9" x14ac:dyDescent="0.25">
      <c r="A464" s="9">
        <v>20013</v>
      </c>
      <c r="B464" s="4">
        <v>22</v>
      </c>
      <c r="C464" s="4">
        <v>25</v>
      </c>
      <c r="D464" s="4">
        <v>14</v>
      </c>
      <c r="E464" s="4">
        <v>25</v>
      </c>
      <c r="F464" s="4">
        <v>812</v>
      </c>
      <c r="G464" s="4">
        <v>10.700000000000001</v>
      </c>
      <c r="H464" s="3">
        <v>1.95</v>
      </c>
      <c r="I464" s="3">
        <v>0.98</v>
      </c>
    </row>
    <row r="465" spans="1:9" x14ac:dyDescent="0.25">
      <c r="A465" s="9">
        <v>20015</v>
      </c>
      <c r="B465" s="4">
        <v>166</v>
      </c>
      <c r="C465" s="4">
        <v>108</v>
      </c>
      <c r="D465" s="4">
        <v>16</v>
      </c>
      <c r="E465" s="4">
        <v>108</v>
      </c>
      <c r="F465" s="4">
        <v>3941</v>
      </c>
      <c r="G465" s="4">
        <v>44.2</v>
      </c>
      <c r="H465" s="3">
        <v>4.3499999999999996</v>
      </c>
      <c r="I465" s="3">
        <v>1.7450000000000001</v>
      </c>
    </row>
    <row r="466" spans="1:9" x14ac:dyDescent="0.25">
      <c r="A466" s="9">
        <v>20019</v>
      </c>
      <c r="B466" s="4">
        <v>4</v>
      </c>
      <c r="C466" s="4">
        <v>17</v>
      </c>
      <c r="D466" s="4">
        <v>14</v>
      </c>
      <c r="E466" s="4">
        <v>17</v>
      </c>
      <c r="F466" s="4">
        <v>141</v>
      </c>
      <c r="G466" s="4">
        <v>1.9</v>
      </c>
      <c r="H466" s="3">
        <v>2.8</v>
      </c>
      <c r="I466" s="3">
        <v>0.92</v>
      </c>
    </row>
    <row r="467" spans="1:9" x14ac:dyDescent="0.25">
      <c r="A467" s="9">
        <v>20021</v>
      </c>
      <c r="B467" s="4">
        <v>43</v>
      </c>
      <c r="C467" s="4">
        <v>46</v>
      </c>
      <c r="D467" s="4">
        <v>14</v>
      </c>
      <c r="E467" s="4">
        <v>46</v>
      </c>
      <c r="F467" s="4">
        <v>1419</v>
      </c>
      <c r="G467" s="4">
        <v>10</v>
      </c>
      <c r="H467" s="3">
        <v>2.0999999999999996</v>
      </c>
      <c r="I467" s="3">
        <v>1.9550000000000001</v>
      </c>
    </row>
    <row r="468" spans="1:9" x14ac:dyDescent="0.25">
      <c r="A468" s="9">
        <v>20023</v>
      </c>
      <c r="B468" s="4">
        <v>10</v>
      </c>
      <c r="C468" s="4">
        <v>16</v>
      </c>
      <c r="D468" s="4">
        <v>14</v>
      </c>
      <c r="E468" s="4">
        <v>16</v>
      </c>
      <c r="F468" s="4">
        <v>129</v>
      </c>
      <c r="G468" s="4">
        <v>3.2</v>
      </c>
      <c r="H468" s="3">
        <v>3</v>
      </c>
      <c r="I468" s="3">
        <v>0.94</v>
      </c>
    </row>
    <row r="469" spans="1:9" x14ac:dyDescent="0.25">
      <c r="A469" s="9">
        <v>20025</v>
      </c>
      <c r="B469" s="4">
        <v>15</v>
      </c>
      <c r="C469" s="4">
        <v>39</v>
      </c>
      <c r="D469" s="4">
        <v>14</v>
      </c>
      <c r="E469" s="4">
        <v>39</v>
      </c>
      <c r="F469" s="4">
        <v>275</v>
      </c>
      <c r="G469" s="4">
        <v>20.099999999999998</v>
      </c>
      <c r="H469" s="3">
        <v>2.8</v>
      </c>
      <c r="I469" s="3">
        <v>0.97500000000000009</v>
      </c>
    </row>
    <row r="470" spans="1:9" x14ac:dyDescent="0.25">
      <c r="A470" s="9">
        <v>20027</v>
      </c>
      <c r="B470" s="4">
        <v>25</v>
      </c>
      <c r="C470" s="4">
        <v>17</v>
      </c>
      <c r="D470" s="4">
        <v>14</v>
      </c>
      <c r="E470" s="4">
        <v>17</v>
      </c>
      <c r="F470" s="4">
        <v>628</v>
      </c>
      <c r="G470" s="4">
        <v>10.7</v>
      </c>
      <c r="H470" s="3">
        <v>3.2</v>
      </c>
      <c r="I470" s="3">
        <v>0.9</v>
      </c>
    </row>
    <row r="471" spans="1:9" x14ac:dyDescent="0.25">
      <c r="A471" s="9">
        <v>20029</v>
      </c>
      <c r="B471" s="4">
        <v>13</v>
      </c>
      <c r="C471" s="4">
        <v>22</v>
      </c>
      <c r="D471" s="4">
        <v>14</v>
      </c>
      <c r="E471" s="4">
        <v>22</v>
      </c>
      <c r="F471" s="4">
        <v>259</v>
      </c>
      <c r="G471" s="4">
        <v>5.7</v>
      </c>
      <c r="H471" s="3">
        <v>3.6</v>
      </c>
      <c r="I471" s="3">
        <v>0.96</v>
      </c>
    </row>
    <row r="472" spans="1:9" x14ac:dyDescent="0.25">
      <c r="A472" s="9">
        <v>20031</v>
      </c>
      <c r="B472" s="4">
        <v>21</v>
      </c>
      <c r="C472" s="4">
        <v>25</v>
      </c>
      <c r="D472" s="4">
        <v>14</v>
      </c>
      <c r="E472" s="4">
        <v>25</v>
      </c>
      <c r="F472" s="4">
        <v>371</v>
      </c>
      <c r="G472" s="4">
        <v>4.5999999999999996</v>
      </c>
      <c r="H472" s="3">
        <v>3.1</v>
      </c>
      <c r="I472" s="3">
        <v>1.1399999999999999</v>
      </c>
    </row>
    <row r="473" spans="1:9" x14ac:dyDescent="0.25">
      <c r="A473" s="9">
        <v>20033</v>
      </c>
      <c r="B473" s="4">
        <v>6</v>
      </c>
      <c r="C473" s="4">
        <v>12</v>
      </c>
      <c r="D473" s="4">
        <v>14</v>
      </c>
      <c r="E473" s="4">
        <v>12</v>
      </c>
      <c r="F473" s="4">
        <v>55</v>
      </c>
      <c r="G473" s="4">
        <v>2.5</v>
      </c>
      <c r="H473" s="3">
        <v>2.5</v>
      </c>
      <c r="I473" s="3">
        <v>0.88</v>
      </c>
    </row>
    <row r="474" spans="1:9" x14ac:dyDescent="0.25">
      <c r="A474" s="9">
        <v>20035</v>
      </c>
      <c r="B474" s="4">
        <v>137</v>
      </c>
      <c r="C474" s="4">
        <v>53</v>
      </c>
      <c r="D474" s="4">
        <v>4</v>
      </c>
      <c r="E474" s="4">
        <v>53</v>
      </c>
      <c r="F474" s="4">
        <v>2165</v>
      </c>
      <c r="G474" s="4">
        <v>18.2</v>
      </c>
      <c r="H474" s="3">
        <v>2.8</v>
      </c>
      <c r="I474" s="3">
        <v>1.1549999999999998</v>
      </c>
    </row>
    <row r="475" spans="1:9" x14ac:dyDescent="0.25">
      <c r="A475" s="9">
        <v>20037</v>
      </c>
      <c r="B475" s="4">
        <v>143</v>
      </c>
      <c r="C475" s="4">
        <v>89</v>
      </c>
      <c r="D475" s="4">
        <v>12</v>
      </c>
      <c r="E475" s="4">
        <v>89</v>
      </c>
      <c r="F475" s="4">
        <v>3471</v>
      </c>
      <c r="G475" s="4">
        <v>27.9</v>
      </c>
      <c r="H475" s="3">
        <v>3.1</v>
      </c>
      <c r="I475" s="3">
        <v>1.3599999999999999</v>
      </c>
    </row>
    <row r="476" spans="1:9" x14ac:dyDescent="0.25">
      <c r="A476" s="9">
        <v>20039</v>
      </c>
      <c r="B476" s="4">
        <v>5</v>
      </c>
      <c r="C476" s="4">
        <v>21</v>
      </c>
      <c r="D476" s="4">
        <v>14</v>
      </c>
      <c r="E476" s="4">
        <v>21</v>
      </c>
      <c r="F476" s="4">
        <v>123</v>
      </c>
      <c r="G476" s="4">
        <v>3.2</v>
      </c>
      <c r="H476" s="3">
        <v>3.1</v>
      </c>
      <c r="I476" s="3">
        <v>0.95</v>
      </c>
    </row>
    <row r="477" spans="1:9" x14ac:dyDescent="0.25">
      <c r="A477" s="9">
        <v>20041</v>
      </c>
      <c r="B477" s="4">
        <v>28</v>
      </c>
      <c r="C477" s="4">
        <v>34</v>
      </c>
      <c r="D477" s="4">
        <v>14</v>
      </c>
      <c r="E477" s="4">
        <v>34</v>
      </c>
      <c r="F477" s="4">
        <v>606</v>
      </c>
      <c r="G477" s="4">
        <v>13.2</v>
      </c>
      <c r="H477" s="3">
        <v>3.3499999999999996</v>
      </c>
      <c r="I477" s="3">
        <v>0.93500000000000005</v>
      </c>
    </row>
    <row r="478" spans="1:9" x14ac:dyDescent="0.25">
      <c r="A478" s="9">
        <v>20045</v>
      </c>
      <c r="B478" s="4">
        <v>337</v>
      </c>
      <c r="C478" s="4">
        <v>110</v>
      </c>
      <c r="D478" s="4">
        <v>10</v>
      </c>
      <c r="E478" s="4">
        <v>110</v>
      </c>
      <c r="F478" s="4">
        <v>6431</v>
      </c>
      <c r="G478" s="4">
        <v>50.3</v>
      </c>
      <c r="H478" s="3">
        <v>3.2</v>
      </c>
      <c r="I478" s="3">
        <v>1.53</v>
      </c>
    </row>
    <row r="479" spans="1:9" x14ac:dyDescent="0.25">
      <c r="A479" s="9">
        <v>20047</v>
      </c>
      <c r="B479" s="4">
        <v>11</v>
      </c>
      <c r="C479" s="4">
        <v>12</v>
      </c>
      <c r="D479" s="4">
        <v>14</v>
      </c>
      <c r="E479" s="4">
        <v>12</v>
      </c>
      <c r="F479" s="4">
        <v>82</v>
      </c>
      <c r="G479" s="4">
        <v>5.3</v>
      </c>
      <c r="H479" s="3">
        <v>3</v>
      </c>
      <c r="I479" s="3">
        <v>1.1299999999999999</v>
      </c>
    </row>
    <row r="480" spans="1:9" x14ac:dyDescent="0.25">
      <c r="A480" s="9">
        <v>20051</v>
      </c>
      <c r="B480" s="4">
        <v>144</v>
      </c>
      <c r="C480" s="4">
        <v>149</v>
      </c>
      <c r="D480" s="4">
        <v>34</v>
      </c>
      <c r="E480" s="4">
        <v>149</v>
      </c>
      <c r="F480" s="4">
        <v>4929</v>
      </c>
      <c r="G480" s="4">
        <v>55.2</v>
      </c>
      <c r="H480" s="3">
        <v>4.4000000000000004</v>
      </c>
      <c r="I480" s="3">
        <v>1.78</v>
      </c>
    </row>
    <row r="481" spans="1:9" x14ac:dyDescent="0.25">
      <c r="A481" s="9">
        <v>20053</v>
      </c>
      <c r="B481" s="4">
        <v>16</v>
      </c>
      <c r="C481" s="4">
        <v>18</v>
      </c>
      <c r="D481" s="4">
        <v>14</v>
      </c>
      <c r="E481" s="4">
        <v>18</v>
      </c>
      <c r="F481" s="4">
        <v>333</v>
      </c>
      <c r="G481" s="4">
        <v>4.9000000000000004</v>
      </c>
      <c r="H481" s="3">
        <v>3.1</v>
      </c>
      <c r="I481" s="3">
        <v>0.9</v>
      </c>
    </row>
    <row r="482" spans="1:9" x14ac:dyDescent="0.25">
      <c r="A482" s="9">
        <v>20055</v>
      </c>
      <c r="B482" s="4">
        <v>118</v>
      </c>
      <c r="C482" s="4">
        <v>90</v>
      </c>
      <c r="D482" s="4">
        <v>8</v>
      </c>
      <c r="E482" s="4">
        <v>90</v>
      </c>
      <c r="F482" s="4">
        <v>3702</v>
      </c>
      <c r="G482" s="4">
        <v>37.200000000000003</v>
      </c>
      <c r="H482" s="3">
        <v>3.9</v>
      </c>
      <c r="I482" s="3">
        <v>1.42</v>
      </c>
    </row>
    <row r="483" spans="1:9" x14ac:dyDescent="0.25">
      <c r="A483" s="9">
        <v>20057</v>
      </c>
      <c r="B483" s="4">
        <v>65</v>
      </c>
      <c r="C483" s="4">
        <v>60</v>
      </c>
      <c r="D483" s="4">
        <v>10</v>
      </c>
      <c r="E483" s="4">
        <v>60</v>
      </c>
      <c r="F483" s="4">
        <v>1738</v>
      </c>
      <c r="G483" s="4">
        <v>11.3</v>
      </c>
      <c r="H483" s="3">
        <v>2.9</v>
      </c>
      <c r="I483" s="3">
        <v>1.47</v>
      </c>
    </row>
    <row r="484" spans="1:9" x14ac:dyDescent="0.25">
      <c r="A484" s="9">
        <v>20059</v>
      </c>
      <c r="B484" s="4">
        <v>73</v>
      </c>
      <c r="C484" s="4">
        <v>47</v>
      </c>
      <c r="D484" s="4">
        <v>5</v>
      </c>
      <c r="E484" s="4">
        <v>44</v>
      </c>
      <c r="F484" s="4">
        <v>1257</v>
      </c>
      <c r="G484" s="4">
        <v>9.1999999999999993</v>
      </c>
      <c r="H484" s="3">
        <v>2.9</v>
      </c>
      <c r="I484" s="3">
        <v>1.44</v>
      </c>
    </row>
    <row r="485" spans="1:9" x14ac:dyDescent="0.25">
      <c r="A485" s="9">
        <v>20061</v>
      </c>
      <c r="B485" s="4">
        <v>58</v>
      </c>
      <c r="C485" s="4">
        <v>49</v>
      </c>
      <c r="D485" s="4">
        <v>6</v>
      </c>
      <c r="E485" s="4">
        <v>49</v>
      </c>
      <c r="F485" s="4">
        <v>979</v>
      </c>
      <c r="G485" s="4">
        <v>7.9</v>
      </c>
      <c r="H485" s="3">
        <v>3.4</v>
      </c>
      <c r="I485" s="3">
        <v>1.24</v>
      </c>
    </row>
    <row r="486" spans="1:9" x14ac:dyDescent="0.25">
      <c r="A486" s="9">
        <v>20063</v>
      </c>
      <c r="B486" s="4">
        <v>8</v>
      </c>
      <c r="C486" s="4">
        <v>21</v>
      </c>
      <c r="D486" s="4">
        <v>14</v>
      </c>
      <c r="E486" s="4">
        <v>21</v>
      </c>
      <c r="F486" s="4">
        <v>334</v>
      </c>
      <c r="G486" s="4">
        <v>5</v>
      </c>
      <c r="H486" s="3">
        <v>3</v>
      </c>
      <c r="I486" s="3">
        <v>1</v>
      </c>
    </row>
    <row r="487" spans="1:9" x14ac:dyDescent="0.25">
      <c r="A487" s="9">
        <v>20065</v>
      </c>
      <c r="B487" s="4">
        <v>6</v>
      </c>
      <c r="C487" s="4">
        <v>20</v>
      </c>
      <c r="D487" s="4">
        <v>14</v>
      </c>
      <c r="E487" s="4">
        <v>20</v>
      </c>
      <c r="F487" s="4">
        <v>212</v>
      </c>
      <c r="G487" s="4">
        <v>4</v>
      </c>
      <c r="H487" s="3">
        <v>3.2</v>
      </c>
      <c r="I487" s="3">
        <v>0.99</v>
      </c>
    </row>
    <row r="488" spans="1:9" x14ac:dyDescent="0.25">
      <c r="A488" s="9">
        <v>20067</v>
      </c>
      <c r="B488" s="4">
        <v>10</v>
      </c>
      <c r="C488" s="4">
        <v>26</v>
      </c>
      <c r="D488" s="4">
        <v>14</v>
      </c>
      <c r="E488" s="4">
        <v>26</v>
      </c>
      <c r="F488" s="4">
        <v>278</v>
      </c>
      <c r="G488" s="4">
        <v>6.3</v>
      </c>
      <c r="H488" s="3">
        <v>8.4</v>
      </c>
      <c r="I488" s="3">
        <v>1.02</v>
      </c>
    </row>
    <row r="489" spans="1:9" x14ac:dyDescent="0.25">
      <c r="A489" s="9">
        <v>20071</v>
      </c>
      <c r="B489" s="4">
        <v>10</v>
      </c>
      <c r="C489" s="4">
        <v>18</v>
      </c>
      <c r="D489" s="4">
        <v>14</v>
      </c>
      <c r="E489" s="4">
        <v>18</v>
      </c>
      <c r="F489" s="4">
        <v>145</v>
      </c>
      <c r="G489" s="4">
        <v>4.7</v>
      </c>
      <c r="H489" s="3">
        <v>2.7</v>
      </c>
      <c r="I489" s="3">
        <v>0.94</v>
      </c>
    </row>
    <row r="490" spans="1:9" x14ac:dyDescent="0.25">
      <c r="A490" s="9">
        <v>20073</v>
      </c>
      <c r="B490" s="4">
        <v>13</v>
      </c>
      <c r="C490" s="4">
        <v>25</v>
      </c>
      <c r="D490" s="4">
        <v>14</v>
      </c>
      <c r="E490" s="4">
        <v>25</v>
      </c>
      <c r="F490" s="4">
        <v>300</v>
      </c>
      <c r="G490" s="4">
        <v>6.7</v>
      </c>
      <c r="H490" s="3">
        <v>3.5</v>
      </c>
      <c r="I490" s="3">
        <v>0.98</v>
      </c>
    </row>
    <row r="491" spans="1:9" x14ac:dyDescent="0.25">
      <c r="A491" s="9">
        <v>20075</v>
      </c>
      <c r="B491" s="4">
        <v>9</v>
      </c>
      <c r="C491" s="4">
        <v>25</v>
      </c>
      <c r="D491" s="4">
        <v>14</v>
      </c>
      <c r="E491" s="4">
        <v>25</v>
      </c>
      <c r="F491" s="4">
        <v>23</v>
      </c>
      <c r="G491" s="4">
        <v>5.8</v>
      </c>
      <c r="H491" s="3">
        <v>0.2</v>
      </c>
      <c r="I491" s="3">
        <v>0.93</v>
      </c>
    </row>
    <row r="492" spans="1:9" x14ac:dyDescent="0.25">
      <c r="A492" s="9">
        <v>20077</v>
      </c>
      <c r="B492" s="4">
        <v>12</v>
      </c>
      <c r="C492" s="4">
        <v>25</v>
      </c>
      <c r="D492" s="4">
        <v>14</v>
      </c>
      <c r="E492" s="4">
        <v>25</v>
      </c>
      <c r="F492" s="4">
        <v>382</v>
      </c>
      <c r="G492" s="4">
        <v>21.4</v>
      </c>
      <c r="H492" s="3">
        <v>2.7</v>
      </c>
      <c r="I492" s="3">
        <v>0.92</v>
      </c>
    </row>
    <row r="493" spans="1:9" x14ac:dyDescent="0.25">
      <c r="A493" s="9">
        <v>20079</v>
      </c>
      <c r="B493" s="4">
        <v>138</v>
      </c>
      <c r="C493" s="4">
        <v>74</v>
      </c>
      <c r="D493" s="4">
        <v>6</v>
      </c>
      <c r="E493" s="4">
        <v>74</v>
      </c>
      <c r="F493" s="4">
        <v>2446</v>
      </c>
      <c r="G493" s="4">
        <v>24.7</v>
      </c>
      <c r="H493" s="3">
        <v>4.0999999999999996</v>
      </c>
      <c r="I493" s="3">
        <v>1.49</v>
      </c>
    </row>
    <row r="494" spans="1:9" x14ac:dyDescent="0.25">
      <c r="A494" s="9">
        <v>20081</v>
      </c>
      <c r="B494" s="4">
        <v>6</v>
      </c>
      <c r="C494" s="4">
        <v>13</v>
      </c>
      <c r="D494" s="4">
        <v>14</v>
      </c>
      <c r="E494" s="4">
        <v>13</v>
      </c>
      <c r="F494" s="4">
        <v>79</v>
      </c>
      <c r="G494" s="4">
        <v>2.2999999999999998</v>
      </c>
      <c r="H494" s="3">
        <v>3.1</v>
      </c>
      <c r="I494" s="3">
        <v>0.95</v>
      </c>
    </row>
    <row r="495" spans="1:9" x14ac:dyDescent="0.25">
      <c r="A495" s="9">
        <v>20083</v>
      </c>
      <c r="B495" s="4">
        <v>5</v>
      </c>
      <c r="C495" s="4">
        <v>25</v>
      </c>
      <c r="D495" s="4">
        <v>14</v>
      </c>
      <c r="E495" s="4">
        <v>25</v>
      </c>
      <c r="F495" s="4">
        <v>118</v>
      </c>
      <c r="G495" s="4">
        <v>14.5</v>
      </c>
      <c r="H495" s="3">
        <v>2.5</v>
      </c>
      <c r="I495" s="3">
        <v>0.88</v>
      </c>
    </row>
    <row r="496" spans="1:9" x14ac:dyDescent="0.25">
      <c r="A496" s="9">
        <v>20085</v>
      </c>
      <c r="B496" s="4">
        <v>25</v>
      </c>
      <c r="C496" s="4">
        <v>12</v>
      </c>
      <c r="D496" s="4">
        <v>14</v>
      </c>
      <c r="E496" s="4">
        <v>12</v>
      </c>
      <c r="F496" s="4">
        <v>159</v>
      </c>
      <c r="G496" s="4">
        <v>3.9</v>
      </c>
      <c r="H496" s="3">
        <v>3.6</v>
      </c>
      <c r="I496" s="3">
        <v>0.99</v>
      </c>
    </row>
    <row r="497" spans="1:9" x14ac:dyDescent="0.25">
      <c r="A497" s="9">
        <v>20087</v>
      </c>
      <c r="B497" s="4">
        <v>7</v>
      </c>
      <c r="C497" s="4">
        <v>25</v>
      </c>
      <c r="D497" s="4">
        <v>14</v>
      </c>
      <c r="E497" s="4">
        <v>25</v>
      </c>
      <c r="F497" s="4">
        <v>3</v>
      </c>
      <c r="G497" s="4">
        <v>2.1</v>
      </c>
      <c r="H497" s="3">
        <v>2.8</v>
      </c>
      <c r="I497" s="3">
        <v>0.63</v>
      </c>
    </row>
    <row r="498" spans="1:9" x14ac:dyDescent="0.25">
      <c r="A498" s="9">
        <v>20089</v>
      </c>
      <c r="B498" s="4">
        <v>5</v>
      </c>
      <c r="C498" s="4">
        <v>24</v>
      </c>
      <c r="D498" s="4">
        <v>14</v>
      </c>
      <c r="E498" s="4">
        <v>24</v>
      </c>
      <c r="F498" s="4">
        <v>51</v>
      </c>
      <c r="G498" s="4">
        <v>18.3</v>
      </c>
      <c r="H498" s="3">
        <v>2.7</v>
      </c>
      <c r="I498" s="3">
        <v>0.85</v>
      </c>
    </row>
    <row r="499" spans="1:9" x14ac:dyDescent="0.25">
      <c r="A499" s="9">
        <v>20091</v>
      </c>
      <c r="B499" s="4">
        <v>1791</v>
      </c>
      <c r="C499" s="4">
        <v>1118</v>
      </c>
      <c r="D499" s="4">
        <v>97</v>
      </c>
      <c r="E499" s="4">
        <v>1134</v>
      </c>
      <c r="F499" s="4">
        <v>58803</v>
      </c>
      <c r="G499" s="4">
        <v>617.5</v>
      </c>
      <c r="H499" s="3">
        <v>3.2444444444444445</v>
      </c>
      <c r="I499" s="3">
        <v>1.9888888888888887</v>
      </c>
    </row>
    <row r="500" spans="1:9" x14ac:dyDescent="0.25">
      <c r="A500" s="9">
        <v>20093</v>
      </c>
      <c r="B500" s="4">
        <v>19</v>
      </c>
      <c r="C500" s="4">
        <v>25</v>
      </c>
      <c r="D500" s="4">
        <v>14</v>
      </c>
      <c r="E500" s="4">
        <v>25</v>
      </c>
      <c r="F500" s="4">
        <v>488</v>
      </c>
      <c r="G500" s="4">
        <v>5.5</v>
      </c>
      <c r="H500" s="3">
        <v>3.1</v>
      </c>
      <c r="I500" s="3">
        <v>1.17</v>
      </c>
    </row>
    <row r="501" spans="1:9" x14ac:dyDescent="0.25">
      <c r="A501" s="9">
        <v>20095</v>
      </c>
      <c r="B501" s="4">
        <v>23</v>
      </c>
      <c r="C501" s="4">
        <v>25</v>
      </c>
      <c r="D501" s="4">
        <v>14</v>
      </c>
      <c r="E501" s="4">
        <v>25</v>
      </c>
      <c r="F501" s="4">
        <v>261</v>
      </c>
      <c r="G501" s="4">
        <v>4.5999999999999996</v>
      </c>
      <c r="H501" s="3">
        <v>3.1</v>
      </c>
      <c r="I501" s="3">
        <v>0.99</v>
      </c>
    </row>
    <row r="502" spans="1:9" x14ac:dyDescent="0.25">
      <c r="A502" s="9">
        <v>20097</v>
      </c>
      <c r="B502" s="4">
        <v>5</v>
      </c>
      <c r="C502" s="4">
        <v>15</v>
      </c>
      <c r="D502" s="4">
        <v>14</v>
      </c>
      <c r="E502" s="4">
        <v>15</v>
      </c>
      <c r="F502" s="4">
        <v>58</v>
      </c>
      <c r="G502" s="4">
        <v>6.2</v>
      </c>
      <c r="H502" s="3">
        <v>2.5</v>
      </c>
      <c r="I502" s="3">
        <v>0.86</v>
      </c>
    </row>
    <row r="503" spans="1:9" x14ac:dyDescent="0.25">
      <c r="A503" s="9">
        <v>20099</v>
      </c>
      <c r="B503" s="4">
        <v>99</v>
      </c>
      <c r="C503" s="4">
        <v>46</v>
      </c>
      <c r="D503" s="4">
        <v>5</v>
      </c>
      <c r="E503" s="4">
        <v>46</v>
      </c>
      <c r="F503" s="4">
        <v>1971</v>
      </c>
      <c r="G503" s="4">
        <v>16.8</v>
      </c>
      <c r="H503" s="3">
        <v>2.25</v>
      </c>
      <c r="I503" s="3">
        <v>1.31</v>
      </c>
    </row>
    <row r="504" spans="1:9" x14ac:dyDescent="0.25">
      <c r="A504" s="9">
        <v>20101</v>
      </c>
      <c r="B504" s="4">
        <v>6</v>
      </c>
      <c r="C504" s="4">
        <v>25</v>
      </c>
      <c r="D504" s="4">
        <v>14</v>
      </c>
      <c r="E504" s="4">
        <v>25</v>
      </c>
      <c r="F504" s="4">
        <v>29</v>
      </c>
      <c r="G504" s="4">
        <v>15.5</v>
      </c>
      <c r="H504" s="3">
        <v>2.6</v>
      </c>
      <c r="I504" s="3">
        <v>0.89</v>
      </c>
    </row>
    <row r="505" spans="1:9" x14ac:dyDescent="0.25">
      <c r="A505" s="9">
        <v>20103</v>
      </c>
      <c r="B505" s="4">
        <v>60</v>
      </c>
      <c r="C505" s="4">
        <v>46</v>
      </c>
      <c r="D505" s="4">
        <v>10</v>
      </c>
      <c r="E505" s="4">
        <v>46</v>
      </c>
      <c r="F505" s="4">
        <v>2295</v>
      </c>
      <c r="G505" s="4">
        <v>19.200000000000003</v>
      </c>
      <c r="H505" s="3">
        <v>3.2</v>
      </c>
      <c r="I505" s="3">
        <v>1.2850000000000001</v>
      </c>
    </row>
    <row r="506" spans="1:9" x14ac:dyDescent="0.25">
      <c r="A506" s="9">
        <v>20105</v>
      </c>
      <c r="B506" s="4">
        <v>11</v>
      </c>
      <c r="C506" s="4">
        <v>10</v>
      </c>
      <c r="D506" s="4">
        <v>14</v>
      </c>
      <c r="E506" s="4">
        <v>10</v>
      </c>
      <c r="F506" s="4">
        <v>111</v>
      </c>
      <c r="G506" s="4">
        <v>4.5</v>
      </c>
      <c r="H506" s="3">
        <v>3.3</v>
      </c>
      <c r="I506" s="3">
        <v>0.98</v>
      </c>
    </row>
    <row r="507" spans="1:9" x14ac:dyDescent="0.25">
      <c r="A507" s="9">
        <v>20109</v>
      </c>
      <c r="B507" s="4">
        <v>9</v>
      </c>
      <c r="C507" s="4">
        <v>25</v>
      </c>
      <c r="D507" s="4">
        <v>14</v>
      </c>
      <c r="E507" s="4">
        <v>25</v>
      </c>
      <c r="F507" s="4">
        <v>172</v>
      </c>
      <c r="G507" s="4">
        <v>4.5999999999999996</v>
      </c>
      <c r="H507" s="3">
        <v>2.8</v>
      </c>
      <c r="I507" s="3">
        <v>1</v>
      </c>
    </row>
    <row r="508" spans="1:9" x14ac:dyDescent="0.25">
      <c r="A508" s="9">
        <v>20111</v>
      </c>
      <c r="B508" s="4">
        <v>79</v>
      </c>
      <c r="C508" s="4">
        <v>21</v>
      </c>
      <c r="D508" s="4">
        <v>6</v>
      </c>
      <c r="E508" s="4">
        <v>21</v>
      </c>
      <c r="F508" s="4">
        <v>2028</v>
      </c>
      <c r="G508" s="4">
        <v>18</v>
      </c>
      <c r="H508" s="3">
        <v>2.6</v>
      </c>
      <c r="I508" s="3">
        <v>1.29</v>
      </c>
    </row>
    <row r="509" spans="1:9" x14ac:dyDescent="0.25">
      <c r="A509" s="9">
        <v>20113</v>
      </c>
      <c r="B509" s="4">
        <v>71</v>
      </c>
      <c r="C509" s="4">
        <v>81</v>
      </c>
      <c r="D509" s="4">
        <v>7</v>
      </c>
      <c r="E509" s="4">
        <v>81</v>
      </c>
      <c r="F509" s="4">
        <v>1102</v>
      </c>
      <c r="G509" s="4">
        <v>15.7</v>
      </c>
      <c r="H509" s="3">
        <v>4.3666666666666663</v>
      </c>
      <c r="I509" s="3">
        <v>1.06</v>
      </c>
    </row>
    <row r="510" spans="1:9" x14ac:dyDescent="0.25">
      <c r="A510" s="9">
        <v>20115</v>
      </c>
      <c r="B510" s="4">
        <v>31</v>
      </c>
      <c r="C510" s="4">
        <v>25</v>
      </c>
      <c r="D510" s="4">
        <v>14</v>
      </c>
      <c r="E510" s="4">
        <v>25</v>
      </c>
      <c r="F510" s="4">
        <v>236</v>
      </c>
      <c r="G510" s="4">
        <v>5.0999999999999996</v>
      </c>
      <c r="H510" s="3">
        <v>2.4500000000000002</v>
      </c>
      <c r="I510" s="3">
        <v>0.92</v>
      </c>
    </row>
    <row r="511" spans="1:9" x14ac:dyDescent="0.25">
      <c r="A511" s="9">
        <v>20117</v>
      </c>
      <c r="B511" s="4">
        <v>27</v>
      </c>
      <c r="C511" s="4">
        <v>23</v>
      </c>
      <c r="D511" s="4">
        <v>14</v>
      </c>
      <c r="E511" s="4">
        <v>23</v>
      </c>
      <c r="F511" s="4">
        <v>497</v>
      </c>
      <c r="G511" s="4">
        <v>10.199999999999999</v>
      </c>
      <c r="H511" s="3">
        <v>3.4</v>
      </c>
      <c r="I511" s="3">
        <v>0.94</v>
      </c>
    </row>
    <row r="512" spans="1:9" x14ac:dyDescent="0.25">
      <c r="A512" s="9">
        <v>20119</v>
      </c>
      <c r="B512" s="4">
        <v>11</v>
      </c>
      <c r="C512" s="4">
        <v>20</v>
      </c>
      <c r="D512" s="4">
        <v>14</v>
      </c>
      <c r="E512" s="4">
        <v>20</v>
      </c>
      <c r="F512" s="4">
        <v>192</v>
      </c>
      <c r="G512" s="4">
        <v>2.1</v>
      </c>
      <c r="H512" s="3">
        <v>2</v>
      </c>
      <c r="I512" s="3">
        <v>1.29</v>
      </c>
    </row>
    <row r="513" spans="1:9" x14ac:dyDescent="0.25">
      <c r="A513" s="9">
        <v>20121</v>
      </c>
      <c r="B513" s="4">
        <v>57</v>
      </c>
      <c r="C513" s="4">
        <v>18</v>
      </c>
      <c r="D513" s="4">
        <v>14</v>
      </c>
      <c r="E513" s="4">
        <v>18</v>
      </c>
      <c r="F513" s="4">
        <v>485</v>
      </c>
      <c r="G513" s="4">
        <v>2.7</v>
      </c>
      <c r="H513" s="3">
        <v>2</v>
      </c>
      <c r="I513" s="3">
        <v>1.17</v>
      </c>
    </row>
    <row r="514" spans="1:9" x14ac:dyDescent="0.25">
      <c r="A514" s="9">
        <v>20123</v>
      </c>
      <c r="B514" s="4">
        <v>16</v>
      </c>
      <c r="C514" s="4">
        <v>16</v>
      </c>
      <c r="D514" s="4">
        <v>4</v>
      </c>
      <c r="E514" s="4">
        <v>16</v>
      </c>
      <c r="F514" s="4">
        <v>883</v>
      </c>
      <c r="G514" s="4">
        <v>18</v>
      </c>
      <c r="H514" s="3">
        <v>3.7</v>
      </c>
      <c r="I514" s="3">
        <v>1.05</v>
      </c>
    </row>
    <row r="515" spans="1:9" x14ac:dyDescent="0.25">
      <c r="A515" s="9">
        <v>20125</v>
      </c>
      <c r="B515" s="4">
        <v>57</v>
      </c>
      <c r="C515" s="4">
        <v>47</v>
      </c>
      <c r="D515" s="4">
        <v>7</v>
      </c>
      <c r="E515" s="4">
        <v>47</v>
      </c>
      <c r="F515" s="4">
        <v>2218</v>
      </c>
      <c r="G515" s="4">
        <v>18.600000000000001</v>
      </c>
      <c r="H515" s="3">
        <v>3.5</v>
      </c>
      <c r="I515" s="3">
        <v>1.34</v>
      </c>
    </row>
    <row r="516" spans="1:9" x14ac:dyDescent="0.25">
      <c r="A516" s="9">
        <v>20127</v>
      </c>
      <c r="B516" s="4">
        <v>9</v>
      </c>
      <c r="C516" s="4">
        <v>25</v>
      </c>
      <c r="D516" s="4">
        <v>14</v>
      </c>
      <c r="E516" s="4">
        <v>25</v>
      </c>
      <c r="F516" s="4">
        <v>260</v>
      </c>
      <c r="G516" s="4">
        <v>3.7</v>
      </c>
      <c r="H516" s="3">
        <v>2.5</v>
      </c>
      <c r="I516" s="3">
        <v>0.97</v>
      </c>
    </row>
    <row r="517" spans="1:9" x14ac:dyDescent="0.25">
      <c r="A517" s="9">
        <v>20129</v>
      </c>
      <c r="B517" s="4">
        <v>7</v>
      </c>
      <c r="C517" s="4">
        <v>26</v>
      </c>
      <c r="D517" s="4">
        <v>14</v>
      </c>
      <c r="E517" s="4">
        <v>26</v>
      </c>
      <c r="F517" s="4">
        <v>169</v>
      </c>
      <c r="G517" s="4">
        <v>2.2999999999999998</v>
      </c>
      <c r="H517" s="3">
        <v>4.9000000000000004</v>
      </c>
      <c r="I517" s="3">
        <v>1.01</v>
      </c>
    </row>
    <row r="518" spans="1:9" x14ac:dyDescent="0.25">
      <c r="A518" s="9">
        <v>20131</v>
      </c>
      <c r="B518" s="4">
        <v>25</v>
      </c>
      <c r="C518" s="4">
        <v>41</v>
      </c>
      <c r="D518" s="4">
        <v>14</v>
      </c>
      <c r="E518" s="4">
        <v>41</v>
      </c>
      <c r="F518" s="4">
        <v>579</v>
      </c>
      <c r="G518" s="4">
        <v>9.8000000000000007</v>
      </c>
      <c r="H518" s="3">
        <v>2.7</v>
      </c>
      <c r="I518" s="3">
        <v>0.97</v>
      </c>
    </row>
    <row r="519" spans="1:9" x14ac:dyDescent="0.25">
      <c r="A519" s="9">
        <v>20133</v>
      </c>
      <c r="B519" s="4">
        <v>47</v>
      </c>
      <c r="C519" s="4">
        <v>22</v>
      </c>
      <c r="D519" s="4">
        <v>5</v>
      </c>
      <c r="E519" s="4">
        <v>22</v>
      </c>
      <c r="F519" s="4">
        <v>1390</v>
      </c>
      <c r="G519" s="4">
        <v>14.6</v>
      </c>
      <c r="H519" s="3">
        <v>3.1</v>
      </c>
      <c r="I519" s="3">
        <v>1.01</v>
      </c>
    </row>
    <row r="520" spans="1:9" x14ac:dyDescent="0.25">
      <c r="A520" s="9">
        <v>20135</v>
      </c>
      <c r="B520" s="4">
        <v>7</v>
      </c>
      <c r="C520" s="4">
        <v>37</v>
      </c>
      <c r="D520" s="4">
        <v>14</v>
      </c>
      <c r="E520" s="4">
        <v>37</v>
      </c>
      <c r="F520" s="4">
        <v>147</v>
      </c>
      <c r="G520" s="4">
        <v>13.6</v>
      </c>
      <c r="H520" s="3">
        <v>3</v>
      </c>
      <c r="I520" s="3">
        <v>0.98</v>
      </c>
    </row>
    <row r="521" spans="1:9" x14ac:dyDescent="0.25">
      <c r="A521" s="9">
        <v>20137</v>
      </c>
      <c r="B521" s="4">
        <v>24</v>
      </c>
      <c r="C521" s="4">
        <v>25</v>
      </c>
      <c r="D521" s="4">
        <v>14</v>
      </c>
      <c r="E521" s="4">
        <v>25</v>
      </c>
      <c r="F521" s="4">
        <v>152</v>
      </c>
      <c r="G521" s="4">
        <v>3.2</v>
      </c>
      <c r="H521" s="3">
        <v>2.4</v>
      </c>
      <c r="I521" s="3">
        <v>0.95</v>
      </c>
    </row>
    <row r="522" spans="1:9" x14ac:dyDescent="0.25">
      <c r="A522" s="9">
        <v>20141</v>
      </c>
      <c r="B522" s="4">
        <v>6</v>
      </c>
      <c r="C522" s="4">
        <v>24</v>
      </c>
      <c r="D522" s="4">
        <v>14</v>
      </c>
      <c r="E522" s="4">
        <v>24</v>
      </c>
      <c r="F522" s="4">
        <v>157</v>
      </c>
      <c r="G522" s="4">
        <v>3.8</v>
      </c>
      <c r="H522" s="3">
        <v>3</v>
      </c>
      <c r="I522" s="3">
        <v>0.88</v>
      </c>
    </row>
    <row r="523" spans="1:9" x14ac:dyDescent="0.25">
      <c r="A523" s="9">
        <v>20143</v>
      </c>
      <c r="B523" s="4">
        <v>4</v>
      </c>
      <c r="C523" s="4">
        <v>25</v>
      </c>
      <c r="D523" s="4">
        <v>14</v>
      </c>
      <c r="E523" s="4">
        <v>25</v>
      </c>
      <c r="F523" s="4">
        <v>95</v>
      </c>
      <c r="G523" s="4">
        <v>16.399999999999999</v>
      </c>
      <c r="H523" s="3">
        <v>3.4</v>
      </c>
      <c r="I523" s="3">
        <v>0.95</v>
      </c>
    </row>
    <row r="524" spans="1:9" x14ac:dyDescent="0.25">
      <c r="A524" s="9">
        <v>20145</v>
      </c>
      <c r="B524" s="4">
        <v>15</v>
      </c>
      <c r="C524" s="4">
        <v>22</v>
      </c>
      <c r="D524" s="4">
        <v>14</v>
      </c>
      <c r="E524" s="4">
        <v>22</v>
      </c>
      <c r="F524" s="4">
        <v>95</v>
      </c>
      <c r="G524" s="4">
        <v>5.0999999999999996</v>
      </c>
      <c r="H524" s="3">
        <v>3.5</v>
      </c>
      <c r="I524" s="3">
        <v>0.96</v>
      </c>
    </row>
    <row r="525" spans="1:9" x14ac:dyDescent="0.25">
      <c r="A525" s="9">
        <v>20147</v>
      </c>
      <c r="B525" s="4">
        <v>15</v>
      </c>
      <c r="C525" s="4">
        <v>25</v>
      </c>
      <c r="D525" s="4">
        <v>14</v>
      </c>
      <c r="E525" s="4">
        <v>25</v>
      </c>
      <c r="F525" s="4">
        <v>199</v>
      </c>
      <c r="G525" s="4">
        <v>7</v>
      </c>
      <c r="H525" s="3">
        <v>2.2999999999999998</v>
      </c>
      <c r="I525" s="3">
        <v>0.88</v>
      </c>
    </row>
    <row r="526" spans="1:9" x14ac:dyDescent="0.25">
      <c r="A526" s="9">
        <v>20149</v>
      </c>
      <c r="B526" s="4">
        <v>47</v>
      </c>
      <c r="C526" s="4">
        <v>43</v>
      </c>
      <c r="D526" s="4">
        <v>14</v>
      </c>
      <c r="E526" s="4">
        <v>43</v>
      </c>
      <c r="F526" s="4">
        <v>604</v>
      </c>
      <c r="G526" s="4">
        <v>12.3</v>
      </c>
      <c r="H526" s="3">
        <v>2.5</v>
      </c>
      <c r="I526" s="3">
        <v>1</v>
      </c>
    </row>
    <row r="527" spans="1:9" x14ac:dyDescent="0.25">
      <c r="A527" s="9">
        <v>20151</v>
      </c>
      <c r="B527" s="4">
        <v>48</v>
      </c>
      <c r="C527" s="4">
        <v>35</v>
      </c>
      <c r="D527" s="4">
        <v>6</v>
      </c>
      <c r="E527" s="4">
        <v>35</v>
      </c>
      <c r="F527" s="4">
        <v>1357</v>
      </c>
      <c r="G527" s="4">
        <v>10.7</v>
      </c>
      <c r="H527" s="3">
        <v>3.1</v>
      </c>
      <c r="I527" s="3">
        <v>1.71</v>
      </c>
    </row>
    <row r="528" spans="1:9" x14ac:dyDescent="0.25">
      <c r="A528" s="9">
        <v>20153</v>
      </c>
      <c r="B528" s="4">
        <v>4</v>
      </c>
      <c r="C528" s="4">
        <v>15</v>
      </c>
      <c r="D528" s="4">
        <v>14</v>
      </c>
      <c r="E528" s="4">
        <v>15</v>
      </c>
      <c r="F528" s="4">
        <v>145</v>
      </c>
      <c r="G528" s="4">
        <v>3.6</v>
      </c>
      <c r="H528" s="3">
        <v>2.2000000000000002</v>
      </c>
      <c r="I528" s="3">
        <v>0.95</v>
      </c>
    </row>
    <row r="529" spans="1:9" x14ac:dyDescent="0.25">
      <c r="A529" s="9">
        <v>20155</v>
      </c>
      <c r="B529" s="4">
        <v>158</v>
      </c>
      <c r="C529" s="4">
        <v>137</v>
      </c>
      <c r="D529" s="4">
        <v>18</v>
      </c>
      <c r="E529" s="4">
        <v>137</v>
      </c>
      <c r="F529" s="4">
        <v>5029</v>
      </c>
      <c r="G529" s="4">
        <v>43.8</v>
      </c>
      <c r="H529" s="3">
        <v>2.6</v>
      </c>
      <c r="I529" s="3">
        <v>1.8599999999999999</v>
      </c>
    </row>
    <row r="530" spans="1:9" x14ac:dyDescent="0.25">
      <c r="A530" s="9">
        <v>20157</v>
      </c>
      <c r="B530" s="4">
        <v>7</v>
      </c>
      <c r="C530" s="4">
        <v>25</v>
      </c>
      <c r="D530" s="4">
        <v>14</v>
      </c>
      <c r="E530" s="4">
        <v>25</v>
      </c>
      <c r="F530" s="4">
        <v>521</v>
      </c>
      <c r="G530" s="4">
        <v>15.5</v>
      </c>
      <c r="H530" s="3">
        <v>3.2</v>
      </c>
      <c r="I530" s="3">
        <v>1.04</v>
      </c>
    </row>
    <row r="531" spans="1:9" x14ac:dyDescent="0.25">
      <c r="A531" s="9">
        <v>20159</v>
      </c>
      <c r="B531" s="4">
        <v>17</v>
      </c>
      <c r="C531" s="4">
        <v>25</v>
      </c>
      <c r="D531" s="4">
        <v>14</v>
      </c>
      <c r="E531" s="4">
        <v>25</v>
      </c>
      <c r="F531" s="4">
        <v>309</v>
      </c>
      <c r="G531" s="4">
        <v>12.5</v>
      </c>
      <c r="H531" s="3">
        <v>2.8</v>
      </c>
      <c r="I531" s="3">
        <v>0.99</v>
      </c>
    </row>
    <row r="532" spans="1:9" x14ac:dyDescent="0.25">
      <c r="A532" s="9">
        <v>20161</v>
      </c>
      <c r="B532" s="4">
        <v>184</v>
      </c>
      <c r="C532" s="4">
        <v>99</v>
      </c>
      <c r="D532" s="4">
        <v>8</v>
      </c>
      <c r="E532" s="4">
        <v>99</v>
      </c>
      <c r="F532" s="4">
        <v>4458</v>
      </c>
      <c r="G532" s="4">
        <v>36.5</v>
      </c>
      <c r="H532" s="3">
        <v>2.75</v>
      </c>
      <c r="I532" s="3">
        <v>1.8399999999999999</v>
      </c>
    </row>
    <row r="533" spans="1:9" x14ac:dyDescent="0.25">
      <c r="A533" s="9">
        <v>20163</v>
      </c>
      <c r="B533" s="4">
        <v>21</v>
      </c>
      <c r="C533" s="4">
        <v>16</v>
      </c>
      <c r="D533" s="4">
        <v>14</v>
      </c>
      <c r="E533" s="4">
        <v>16</v>
      </c>
      <c r="F533" s="4">
        <v>307</v>
      </c>
      <c r="G533" s="4">
        <v>5.4</v>
      </c>
      <c r="H533" s="3">
        <v>3.1</v>
      </c>
      <c r="I533" s="3">
        <v>1.28</v>
      </c>
    </row>
    <row r="534" spans="1:9" x14ac:dyDescent="0.25">
      <c r="A534" s="9">
        <v>20165</v>
      </c>
      <c r="B534" s="4">
        <v>4</v>
      </c>
      <c r="C534" s="4">
        <v>16</v>
      </c>
      <c r="D534" s="4">
        <v>14</v>
      </c>
      <c r="E534" s="4">
        <v>16</v>
      </c>
      <c r="F534" s="4">
        <v>104</v>
      </c>
      <c r="G534" s="4">
        <v>19.8</v>
      </c>
      <c r="H534" s="3">
        <v>2.8</v>
      </c>
      <c r="I534" s="3">
        <v>1</v>
      </c>
    </row>
    <row r="535" spans="1:9" x14ac:dyDescent="0.25">
      <c r="A535" s="9">
        <v>20167</v>
      </c>
      <c r="B535" s="4">
        <v>14</v>
      </c>
      <c r="C535" s="4">
        <v>20</v>
      </c>
      <c r="D535" s="4">
        <v>14</v>
      </c>
      <c r="E535" s="4">
        <v>20</v>
      </c>
      <c r="F535" s="4">
        <v>252</v>
      </c>
      <c r="G535" s="4">
        <v>6.5</v>
      </c>
      <c r="H535" s="3">
        <v>2.7</v>
      </c>
      <c r="I535" s="3">
        <v>1.05</v>
      </c>
    </row>
    <row r="536" spans="1:9" x14ac:dyDescent="0.25">
      <c r="A536" s="9">
        <v>20169</v>
      </c>
      <c r="B536" s="4">
        <v>239</v>
      </c>
      <c r="C536" s="4">
        <v>193</v>
      </c>
      <c r="D536" s="4">
        <v>18</v>
      </c>
      <c r="E536" s="4">
        <v>193</v>
      </c>
      <c r="F536" s="4">
        <v>9412</v>
      </c>
      <c r="G536" s="4">
        <v>102.8</v>
      </c>
      <c r="H536" s="3">
        <v>3.25</v>
      </c>
      <c r="I536" s="3">
        <v>1.925</v>
      </c>
    </row>
    <row r="537" spans="1:9" x14ac:dyDescent="0.25">
      <c r="A537" s="9">
        <v>20171</v>
      </c>
      <c r="B537" s="4">
        <v>19</v>
      </c>
      <c r="C537" s="4">
        <v>25</v>
      </c>
      <c r="D537" s="4">
        <v>14</v>
      </c>
      <c r="E537" s="4">
        <v>25</v>
      </c>
      <c r="F537" s="4">
        <v>354</v>
      </c>
      <c r="G537" s="4">
        <v>10.1</v>
      </c>
      <c r="H537" s="3">
        <v>2.9</v>
      </c>
      <c r="I537" s="3">
        <v>1.05</v>
      </c>
    </row>
    <row r="538" spans="1:9" x14ac:dyDescent="0.25">
      <c r="A538" s="9">
        <v>20173</v>
      </c>
      <c r="B538" s="4">
        <v>1519</v>
      </c>
      <c r="C538" s="4">
        <v>1371</v>
      </c>
      <c r="D538" s="4">
        <v>164</v>
      </c>
      <c r="E538" s="4">
        <v>1750</v>
      </c>
      <c r="F538" s="4">
        <v>68537</v>
      </c>
      <c r="G538" s="4">
        <v>887.60000000000014</v>
      </c>
      <c r="H538" s="3">
        <v>3.9428571428571426</v>
      </c>
      <c r="I538" s="3">
        <v>2.16</v>
      </c>
    </row>
    <row r="539" spans="1:9" x14ac:dyDescent="0.25">
      <c r="A539" s="9">
        <v>20175</v>
      </c>
      <c r="B539" s="4">
        <v>60</v>
      </c>
      <c r="C539" s="4">
        <v>71</v>
      </c>
      <c r="D539" s="4">
        <v>8</v>
      </c>
      <c r="E539" s="4">
        <v>71</v>
      </c>
      <c r="F539" s="4">
        <v>2361</v>
      </c>
      <c r="G539" s="4">
        <v>20.100000000000001</v>
      </c>
      <c r="H539" s="3">
        <v>3.7</v>
      </c>
      <c r="I539" s="3">
        <v>1.6</v>
      </c>
    </row>
    <row r="540" spans="1:9" x14ac:dyDescent="0.25">
      <c r="A540" s="9">
        <v>20177</v>
      </c>
      <c r="B540" s="4">
        <v>787</v>
      </c>
      <c r="C540" s="4">
        <v>654</v>
      </c>
      <c r="D540" s="4">
        <v>52</v>
      </c>
      <c r="E540" s="4">
        <v>654</v>
      </c>
      <c r="F540" s="4">
        <v>32659</v>
      </c>
      <c r="G540" s="4">
        <v>336.9</v>
      </c>
      <c r="H540" s="3">
        <v>3.9</v>
      </c>
      <c r="I540" s="3">
        <v>1.7250000000000001</v>
      </c>
    </row>
    <row r="541" spans="1:9" x14ac:dyDescent="0.25">
      <c r="A541" s="9">
        <v>20179</v>
      </c>
      <c r="B541" s="4">
        <v>8</v>
      </c>
      <c r="C541" s="4">
        <v>18</v>
      </c>
      <c r="D541" s="4">
        <v>14</v>
      </c>
      <c r="E541" s="4">
        <v>18</v>
      </c>
      <c r="F541" s="4">
        <v>193</v>
      </c>
      <c r="G541" s="4">
        <v>4.0999999999999996</v>
      </c>
      <c r="H541" s="3">
        <v>3.2</v>
      </c>
      <c r="I541" s="3">
        <v>1.03</v>
      </c>
    </row>
    <row r="542" spans="1:9" x14ac:dyDescent="0.25">
      <c r="A542" s="9">
        <v>20181</v>
      </c>
      <c r="B542" s="4">
        <v>30</v>
      </c>
      <c r="C542" s="4">
        <v>21</v>
      </c>
      <c r="D542" s="4">
        <v>14</v>
      </c>
      <c r="E542" s="4">
        <v>21</v>
      </c>
      <c r="F542" s="4">
        <v>344</v>
      </c>
      <c r="G542" s="4">
        <v>5</v>
      </c>
      <c r="H542" s="3">
        <v>2.6</v>
      </c>
      <c r="I542" s="3">
        <v>0.95</v>
      </c>
    </row>
    <row r="543" spans="1:9" x14ac:dyDescent="0.25">
      <c r="A543" s="9">
        <v>20183</v>
      </c>
      <c r="B543" s="4">
        <v>14</v>
      </c>
      <c r="C543" s="4">
        <v>16</v>
      </c>
      <c r="D543" s="4">
        <v>14</v>
      </c>
      <c r="E543" s="4">
        <v>16</v>
      </c>
      <c r="F543" s="4">
        <v>412</v>
      </c>
      <c r="G543" s="4">
        <v>5.2</v>
      </c>
      <c r="H543" s="3">
        <v>2.4</v>
      </c>
      <c r="I543" s="3">
        <v>0.89</v>
      </c>
    </row>
    <row r="544" spans="1:9" x14ac:dyDescent="0.25">
      <c r="A544" s="9">
        <v>20185</v>
      </c>
      <c r="B544" s="4">
        <v>9</v>
      </c>
      <c r="C544" s="4">
        <v>25</v>
      </c>
      <c r="D544" s="4">
        <v>14</v>
      </c>
      <c r="E544" s="4">
        <v>25</v>
      </c>
      <c r="F544" s="4">
        <v>45</v>
      </c>
      <c r="G544" s="4">
        <v>4.9000000000000004</v>
      </c>
      <c r="H544" s="3">
        <v>2.5</v>
      </c>
      <c r="I544" s="3">
        <v>0.94</v>
      </c>
    </row>
    <row r="545" spans="1:9" x14ac:dyDescent="0.25">
      <c r="A545" s="9">
        <v>20187</v>
      </c>
      <c r="B545" s="4">
        <v>6</v>
      </c>
      <c r="C545" s="4">
        <v>16</v>
      </c>
      <c r="D545" s="4">
        <v>14</v>
      </c>
      <c r="E545" s="4">
        <v>16</v>
      </c>
      <c r="F545" s="4">
        <v>89</v>
      </c>
      <c r="G545" s="4">
        <v>2.2999999999999998</v>
      </c>
      <c r="H545" s="3">
        <v>2.5</v>
      </c>
      <c r="I545" s="3">
        <v>1.02</v>
      </c>
    </row>
    <row r="546" spans="1:9" x14ac:dyDescent="0.25">
      <c r="A546" s="9">
        <v>20189</v>
      </c>
      <c r="B546" s="4">
        <v>6</v>
      </c>
      <c r="C546" s="4">
        <v>17</v>
      </c>
      <c r="D546" s="4">
        <v>14</v>
      </c>
      <c r="E546" s="4">
        <v>17</v>
      </c>
      <c r="F546" s="4">
        <v>159</v>
      </c>
      <c r="G546" s="4">
        <v>3.3</v>
      </c>
      <c r="H546" s="3">
        <v>1.7</v>
      </c>
      <c r="I546" s="3">
        <v>0.94</v>
      </c>
    </row>
    <row r="547" spans="1:9" x14ac:dyDescent="0.25">
      <c r="A547" s="9">
        <v>20191</v>
      </c>
      <c r="B547" s="4">
        <v>8</v>
      </c>
      <c r="C547" s="4">
        <v>25</v>
      </c>
      <c r="D547" s="4">
        <v>14</v>
      </c>
      <c r="E547" s="4">
        <v>25</v>
      </c>
      <c r="F547" s="4">
        <v>304</v>
      </c>
      <c r="G547" s="4">
        <v>8.9</v>
      </c>
      <c r="H547" s="3">
        <v>2.85</v>
      </c>
      <c r="I547" s="3">
        <v>1.03</v>
      </c>
    </row>
    <row r="548" spans="1:9" x14ac:dyDescent="0.25">
      <c r="A548" s="9">
        <v>20193</v>
      </c>
      <c r="B548" s="4">
        <v>44</v>
      </c>
      <c r="C548" s="4">
        <v>21</v>
      </c>
      <c r="D548" s="4">
        <v>1</v>
      </c>
      <c r="E548" s="4">
        <v>21</v>
      </c>
      <c r="F548" s="4">
        <v>701</v>
      </c>
      <c r="G548" s="4">
        <v>10</v>
      </c>
      <c r="H548" s="3">
        <v>3</v>
      </c>
      <c r="I548" s="3">
        <v>1.05</v>
      </c>
    </row>
    <row r="549" spans="1:9" x14ac:dyDescent="0.25">
      <c r="A549" s="9">
        <v>20195</v>
      </c>
      <c r="B549" s="4">
        <v>9</v>
      </c>
      <c r="C549" s="4">
        <v>25</v>
      </c>
      <c r="D549" s="4">
        <v>14</v>
      </c>
      <c r="E549" s="4">
        <v>25</v>
      </c>
      <c r="F549" s="4">
        <v>342</v>
      </c>
      <c r="G549" s="4">
        <v>10.7</v>
      </c>
      <c r="H549" s="3">
        <v>3</v>
      </c>
      <c r="I549" s="3">
        <v>0.89</v>
      </c>
    </row>
    <row r="550" spans="1:9" x14ac:dyDescent="0.25">
      <c r="A550" s="9">
        <v>20201</v>
      </c>
      <c r="B550" s="4">
        <v>8</v>
      </c>
      <c r="C550" s="4">
        <v>50</v>
      </c>
      <c r="D550" s="4">
        <v>14</v>
      </c>
      <c r="E550" s="4">
        <v>50</v>
      </c>
      <c r="F550" s="4">
        <v>234</v>
      </c>
      <c r="G550" s="4">
        <v>26.5</v>
      </c>
      <c r="H550" s="3">
        <v>4.5999999999999996</v>
      </c>
      <c r="I550" s="3">
        <v>0.91500000000000004</v>
      </c>
    </row>
    <row r="551" spans="1:9" x14ac:dyDescent="0.25">
      <c r="A551" s="9">
        <v>20203</v>
      </c>
      <c r="B551" s="4">
        <v>6</v>
      </c>
      <c r="C551" s="4">
        <v>25</v>
      </c>
      <c r="D551" s="4">
        <v>14</v>
      </c>
      <c r="E551" s="4">
        <v>25</v>
      </c>
      <c r="F551" s="4">
        <v>61</v>
      </c>
      <c r="G551" s="4">
        <v>16.100000000000001</v>
      </c>
      <c r="H551" s="3">
        <v>2.7</v>
      </c>
      <c r="I551" s="3">
        <v>0.98</v>
      </c>
    </row>
    <row r="552" spans="1:9" x14ac:dyDescent="0.25">
      <c r="A552" s="9">
        <v>20205</v>
      </c>
      <c r="B552" s="4">
        <v>46</v>
      </c>
      <c r="C552" s="4">
        <v>40</v>
      </c>
      <c r="D552" s="4">
        <v>14</v>
      </c>
      <c r="E552" s="4">
        <v>40</v>
      </c>
      <c r="F552" s="4">
        <v>467</v>
      </c>
      <c r="G552" s="4">
        <v>10.6</v>
      </c>
      <c r="H552" s="3">
        <v>3.2</v>
      </c>
      <c r="I552" s="3">
        <v>1.105</v>
      </c>
    </row>
    <row r="553" spans="1:9" x14ac:dyDescent="0.25">
      <c r="A553" s="9">
        <v>20209</v>
      </c>
      <c r="B553" s="4">
        <v>1682</v>
      </c>
      <c r="C553" s="4">
        <v>1019</v>
      </c>
      <c r="D553" s="4">
        <v>129</v>
      </c>
      <c r="E553" s="4">
        <v>1019</v>
      </c>
      <c r="F553" s="4">
        <v>50249</v>
      </c>
      <c r="G553" s="4">
        <v>707.6</v>
      </c>
      <c r="H553" s="3">
        <v>4.7</v>
      </c>
      <c r="I553" s="3">
        <v>2.0049999999999999</v>
      </c>
    </row>
    <row r="554" spans="1:9" x14ac:dyDescent="0.25">
      <c r="A554" s="9">
        <v>21001</v>
      </c>
      <c r="B554" s="4">
        <v>80</v>
      </c>
      <c r="C554" s="4">
        <v>49</v>
      </c>
      <c r="D554" s="4">
        <v>14</v>
      </c>
      <c r="E554" s="4">
        <v>49</v>
      </c>
      <c r="F554" s="4">
        <v>187</v>
      </c>
      <c r="G554" s="4">
        <v>1.3</v>
      </c>
      <c r="H554" s="3">
        <v>2.6</v>
      </c>
      <c r="I554" s="3">
        <v>1.06</v>
      </c>
    </row>
    <row r="555" spans="1:9" x14ac:dyDescent="0.25">
      <c r="A555" s="9">
        <v>21003</v>
      </c>
      <c r="B555" s="4">
        <v>69</v>
      </c>
      <c r="C555" s="4">
        <v>25</v>
      </c>
      <c r="D555" s="4">
        <v>14</v>
      </c>
      <c r="E555" s="4">
        <v>25</v>
      </c>
      <c r="F555" s="4">
        <v>318</v>
      </c>
      <c r="G555" s="4">
        <v>18.8</v>
      </c>
      <c r="H555" s="3">
        <v>3.5</v>
      </c>
      <c r="I555" s="3">
        <v>1</v>
      </c>
    </row>
    <row r="556" spans="1:9" x14ac:dyDescent="0.25">
      <c r="A556" s="9">
        <v>21009</v>
      </c>
      <c r="B556" s="4">
        <v>172</v>
      </c>
      <c r="C556" s="4">
        <v>108</v>
      </c>
      <c r="D556" s="4">
        <v>10</v>
      </c>
      <c r="E556" s="4">
        <v>108</v>
      </c>
      <c r="F556" s="4">
        <v>5535</v>
      </c>
      <c r="G556" s="4">
        <v>49.3</v>
      </c>
      <c r="H556" s="3">
        <v>3.6</v>
      </c>
      <c r="I556" s="3">
        <v>1.57</v>
      </c>
    </row>
    <row r="557" spans="1:9" x14ac:dyDescent="0.25">
      <c r="A557" s="9">
        <v>21013</v>
      </c>
      <c r="B557" s="4">
        <v>121</v>
      </c>
      <c r="C557" s="4">
        <v>87</v>
      </c>
      <c r="D557" s="4">
        <v>7</v>
      </c>
      <c r="E557" s="4">
        <v>87</v>
      </c>
      <c r="F557" s="4">
        <v>1772</v>
      </c>
      <c r="G557" s="4">
        <v>29.4</v>
      </c>
      <c r="H557" s="3">
        <v>6.1</v>
      </c>
      <c r="I557" s="3">
        <v>1.2850000000000001</v>
      </c>
    </row>
    <row r="558" spans="1:9" x14ac:dyDescent="0.25">
      <c r="A558" s="9">
        <v>21015</v>
      </c>
      <c r="B558" s="4">
        <v>132</v>
      </c>
      <c r="C558" s="4">
        <v>126</v>
      </c>
      <c r="D558" s="4">
        <v>18</v>
      </c>
      <c r="E558" s="4">
        <v>126</v>
      </c>
      <c r="F558" s="4">
        <v>9672</v>
      </c>
      <c r="G558" s="4">
        <v>91.4</v>
      </c>
      <c r="H558" s="3">
        <v>3.7</v>
      </c>
      <c r="I558" s="3">
        <v>1.44</v>
      </c>
    </row>
    <row r="559" spans="1:9" x14ac:dyDescent="0.25">
      <c r="A559" s="9">
        <v>21017</v>
      </c>
      <c r="B559" s="4">
        <v>38</v>
      </c>
      <c r="C559" s="4">
        <v>34</v>
      </c>
      <c r="D559" s="4">
        <v>4</v>
      </c>
      <c r="E559" s="4">
        <v>34</v>
      </c>
      <c r="F559" s="4">
        <v>931</v>
      </c>
      <c r="G559" s="4">
        <v>10.199999999999999</v>
      </c>
      <c r="H559" s="3">
        <v>4</v>
      </c>
      <c r="I559" s="3">
        <v>1.21</v>
      </c>
    </row>
    <row r="560" spans="1:9" x14ac:dyDescent="0.25">
      <c r="A560" s="9">
        <v>21019</v>
      </c>
      <c r="B560" s="4">
        <v>478</v>
      </c>
      <c r="C560" s="4">
        <v>573</v>
      </c>
      <c r="D560" s="4">
        <v>48</v>
      </c>
      <c r="E560" s="4">
        <v>438</v>
      </c>
      <c r="F560" s="4">
        <v>19993</v>
      </c>
      <c r="G560" s="4">
        <v>238.2</v>
      </c>
      <c r="H560" s="3">
        <v>4.55</v>
      </c>
      <c r="I560" s="3">
        <v>1.575</v>
      </c>
    </row>
    <row r="561" spans="1:9" x14ac:dyDescent="0.25">
      <c r="A561" s="9">
        <v>21021</v>
      </c>
      <c r="B561" s="4">
        <v>186</v>
      </c>
      <c r="C561" s="4">
        <v>170</v>
      </c>
      <c r="D561" s="4">
        <v>22</v>
      </c>
      <c r="E561" s="4">
        <v>170</v>
      </c>
      <c r="F561" s="4">
        <v>6197</v>
      </c>
      <c r="G561" s="4">
        <v>73.5</v>
      </c>
      <c r="H561" s="3">
        <v>4.5</v>
      </c>
      <c r="I561" s="3">
        <v>1.62</v>
      </c>
    </row>
    <row r="562" spans="1:9" x14ac:dyDescent="0.25">
      <c r="A562" s="9">
        <v>21025</v>
      </c>
      <c r="B562" s="4">
        <v>43</v>
      </c>
      <c r="C562" s="4">
        <v>49</v>
      </c>
      <c r="D562" s="4">
        <v>4</v>
      </c>
      <c r="E562" s="4">
        <v>49</v>
      </c>
      <c r="F562" s="4">
        <v>1712</v>
      </c>
      <c r="G562" s="4">
        <v>12.5</v>
      </c>
      <c r="H562" s="3">
        <v>2.7</v>
      </c>
      <c r="I562" s="3">
        <v>1.1499999999999999</v>
      </c>
    </row>
    <row r="563" spans="1:9" x14ac:dyDescent="0.25">
      <c r="A563" s="9">
        <v>21027</v>
      </c>
      <c r="B563" s="4">
        <v>32</v>
      </c>
      <c r="C563" s="4">
        <v>25</v>
      </c>
      <c r="D563" s="4">
        <v>14</v>
      </c>
      <c r="E563" s="4">
        <v>25</v>
      </c>
      <c r="F563" s="4">
        <v>578</v>
      </c>
      <c r="G563" s="4">
        <v>11.1</v>
      </c>
      <c r="H563" s="3">
        <v>3.7</v>
      </c>
      <c r="I563" s="3">
        <v>0.87</v>
      </c>
    </row>
    <row r="564" spans="1:9" x14ac:dyDescent="0.25">
      <c r="A564" s="9">
        <v>21033</v>
      </c>
      <c r="B564" s="4">
        <v>28</v>
      </c>
      <c r="C564" s="4">
        <v>25</v>
      </c>
      <c r="D564" s="4">
        <v>14</v>
      </c>
      <c r="E564" s="4">
        <v>25</v>
      </c>
      <c r="F564" s="4">
        <v>261</v>
      </c>
      <c r="G564" s="4">
        <v>6.6</v>
      </c>
      <c r="H564" s="3">
        <v>3</v>
      </c>
      <c r="I564" s="3">
        <v>0.89</v>
      </c>
    </row>
    <row r="565" spans="1:9" x14ac:dyDescent="0.25">
      <c r="A565" s="9">
        <v>21035</v>
      </c>
      <c r="B565" s="4">
        <v>117</v>
      </c>
      <c r="C565" s="4">
        <v>99</v>
      </c>
      <c r="D565" s="4">
        <v>10</v>
      </c>
      <c r="E565" s="4">
        <v>99</v>
      </c>
      <c r="F565" s="4">
        <v>3046</v>
      </c>
      <c r="G565" s="4">
        <v>35.200000000000003</v>
      </c>
      <c r="H565" s="3">
        <v>4.5</v>
      </c>
      <c r="I565" s="3">
        <v>1.38</v>
      </c>
    </row>
    <row r="566" spans="1:9" x14ac:dyDescent="0.25">
      <c r="A566" s="9">
        <v>21037</v>
      </c>
      <c r="B566" s="4">
        <v>60</v>
      </c>
      <c r="C566" s="4">
        <v>123</v>
      </c>
      <c r="D566" s="4">
        <v>21</v>
      </c>
      <c r="E566" s="4">
        <v>123</v>
      </c>
      <c r="F566" s="4">
        <v>6935</v>
      </c>
      <c r="G566" s="4">
        <v>82.2</v>
      </c>
      <c r="H566" s="3">
        <v>4.4000000000000004</v>
      </c>
      <c r="I566" s="3">
        <v>1.35</v>
      </c>
    </row>
    <row r="567" spans="1:9" x14ac:dyDescent="0.25">
      <c r="A567" s="9">
        <v>21041</v>
      </c>
      <c r="B567" s="4">
        <v>38</v>
      </c>
      <c r="C567" s="4">
        <v>25</v>
      </c>
      <c r="D567" s="4">
        <v>14</v>
      </c>
      <c r="E567" s="4">
        <v>25</v>
      </c>
      <c r="F567" s="4">
        <v>350</v>
      </c>
      <c r="G567" s="4">
        <v>4.2</v>
      </c>
      <c r="H567" s="3">
        <v>3.4</v>
      </c>
      <c r="I567" s="3">
        <v>0.99</v>
      </c>
    </row>
    <row r="568" spans="1:9" x14ac:dyDescent="0.25">
      <c r="A568" s="9">
        <v>21045</v>
      </c>
      <c r="B568" s="4">
        <v>34</v>
      </c>
      <c r="C568" s="4">
        <v>24</v>
      </c>
      <c r="D568" s="4">
        <v>14</v>
      </c>
      <c r="E568" s="4">
        <v>24</v>
      </c>
      <c r="F568" s="4">
        <v>586</v>
      </c>
      <c r="G568" s="4">
        <v>19.7</v>
      </c>
      <c r="H568" s="3">
        <v>3.9</v>
      </c>
      <c r="I568" s="3">
        <v>0.87</v>
      </c>
    </row>
    <row r="569" spans="1:9" x14ac:dyDescent="0.25">
      <c r="A569" s="9">
        <v>21047</v>
      </c>
      <c r="B569" s="4">
        <v>150</v>
      </c>
      <c r="C569" s="4">
        <v>133</v>
      </c>
      <c r="D569" s="4">
        <v>18</v>
      </c>
      <c r="E569" s="4">
        <v>133</v>
      </c>
      <c r="F569" s="4">
        <v>4175</v>
      </c>
      <c r="G569" s="4">
        <v>47.2</v>
      </c>
      <c r="H569" s="3">
        <v>4</v>
      </c>
      <c r="I569" s="3">
        <v>1.41</v>
      </c>
    </row>
    <row r="570" spans="1:9" x14ac:dyDescent="0.25">
      <c r="A570" s="9">
        <v>21049</v>
      </c>
      <c r="B570" s="4">
        <v>122</v>
      </c>
      <c r="C570" s="4">
        <v>54</v>
      </c>
      <c r="D570" s="4">
        <v>8</v>
      </c>
      <c r="E570" s="4">
        <v>54</v>
      </c>
      <c r="F570" s="4">
        <v>3452</v>
      </c>
      <c r="G570" s="4">
        <v>24.3</v>
      </c>
      <c r="H570" s="3">
        <v>3</v>
      </c>
      <c r="I570" s="3">
        <v>1.32</v>
      </c>
    </row>
    <row r="571" spans="1:9" x14ac:dyDescent="0.25">
      <c r="A571" s="9">
        <v>21051</v>
      </c>
      <c r="B571" s="4">
        <v>71</v>
      </c>
      <c r="C571" s="4">
        <v>49</v>
      </c>
      <c r="D571" s="4">
        <v>6</v>
      </c>
      <c r="E571" s="4">
        <v>49</v>
      </c>
      <c r="F571" s="4">
        <v>1642</v>
      </c>
      <c r="G571" s="4">
        <v>14.5</v>
      </c>
      <c r="H571" s="3">
        <v>3.4</v>
      </c>
      <c r="I571" s="3">
        <v>1.35</v>
      </c>
    </row>
    <row r="572" spans="1:9" x14ac:dyDescent="0.25">
      <c r="A572" s="9">
        <v>21053</v>
      </c>
      <c r="B572" s="4">
        <v>23</v>
      </c>
      <c r="C572" s="4">
        <v>38</v>
      </c>
      <c r="D572" s="4">
        <v>14</v>
      </c>
      <c r="E572" s="4">
        <v>38</v>
      </c>
      <c r="F572" s="4">
        <v>553</v>
      </c>
      <c r="G572" s="4">
        <v>8</v>
      </c>
      <c r="H572" s="3">
        <v>5.3</v>
      </c>
      <c r="I572" s="3">
        <v>1.01</v>
      </c>
    </row>
    <row r="573" spans="1:9" x14ac:dyDescent="0.25">
      <c r="A573" s="9">
        <v>21055</v>
      </c>
      <c r="B573" s="4">
        <v>20</v>
      </c>
      <c r="C573" s="4">
        <v>48</v>
      </c>
      <c r="D573" s="4">
        <v>14</v>
      </c>
      <c r="E573" s="4">
        <v>48</v>
      </c>
      <c r="F573" s="4">
        <v>676</v>
      </c>
      <c r="G573" s="4">
        <v>8.1999999999999993</v>
      </c>
      <c r="H573" s="3">
        <v>4.4000000000000004</v>
      </c>
      <c r="I573" s="3">
        <v>1.07</v>
      </c>
    </row>
    <row r="574" spans="1:9" x14ac:dyDescent="0.25">
      <c r="A574" s="9">
        <v>21057</v>
      </c>
      <c r="B574" s="4">
        <v>17</v>
      </c>
      <c r="C574" s="4">
        <v>25</v>
      </c>
      <c r="D574" s="4">
        <v>14</v>
      </c>
      <c r="E574" s="4">
        <v>25</v>
      </c>
      <c r="F574" s="4">
        <v>433</v>
      </c>
      <c r="G574" s="4">
        <v>8</v>
      </c>
      <c r="H574" s="3">
        <v>3.8</v>
      </c>
      <c r="I574" s="3">
        <v>1</v>
      </c>
    </row>
    <row r="575" spans="1:9" x14ac:dyDescent="0.25">
      <c r="A575" s="9">
        <v>21059</v>
      </c>
      <c r="B575" s="4">
        <v>450</v>
      </c>
      <c r="C575" s="4">
        <v>427</v>
      </c>
      <c r="D575" s="4">
        <v>32</v>
      </c>
      <c r="E575" s="4">
        <v>427</v>
      </c>
      <c r="F575" s="4">
        <v>14646</v>
      </c>
      <c r="G575" s="4">
        <v>167.7</v>
      </c>
      <c r="H575" s="3">
        <v>4.5</v>
      </c>
      <c r="I575" s="3">
        <v>1.78</v>
      </c>
    </row>
    <row r="576" spans="1:9" x14ac:dyDescent="0.25">
      <c r="A576" s="9">
        <v>21065</v>
      </c>
      <c r="B576" s="4">
        <v>431</v>
      </c>
      <c r="C576" s="4">
        <v>25</v>
      </c>
      <c r="D576" s="4">
        <v>14</v>
      </c>
      <c r="E576" s="4">
        <v>25</v>
      </c>
      <c r="F576" s="4">
        <v>795</v>
      </c>
      <c r="G576" s="4">
        <v>13.2</v>
      </c>
      <c r="H576" s="3">
        <v>2.8</v>
      </c>
      <c r="I576" s="3">
        <v>1</v>
      </c>
    </row>
    <row r="577" spans="1:9" x14ac:dyDescent="0.25">
      <c r="A577" s="9">
        <v>21067</v>
      </c>
      <c r="B577" s="4">
        <v>2643</v>
      </c>
      <c r="C577" s="4">
        <v>1707</v>
      </c>
      <c r="D577" s="4">
        <v>248</v>
      </c>
      <c r="E577" s="4">
        <v>1705</v>
      </c>
      <c r="F577" s="4">
        <v>87370</v>
      </c>
      <c r="G577" s="4">
        <v>1230.3</v>
      </c>
      <c r="H577" s="3">
        <v>5.0999999999999996</v>
      </c>
      <c r="I577" s="3">
        <v>2.0649999999999999</v>
      </c>
    </row>
    <row r="578" spans="1:9" x14ac:dyDescent="0.25">
      <c r="A578" s="9">
        <v>21069</v>
      </c>
      <c r="B578" s="4">
        <v>38</v>
      </c>
      <c r="C578" s="4">
        <v>52</v>
      </c>
      <c r="D578" s="4">
        <v>3</v>
      </c>
      <c r="E578" s="4">
        <v>52</v>
      </c>
      <c r="F578" s="4">
        <v>642</v>
      </c>
      <c r="G578" s="4">
        <v>5.9</v>
      </c>
      <c r="H578" s="3">
        <v>3.8</v>
      </c>
      <c r="I578" s="3">
        <v>1.17</v>
      </c>
    </row>
    <row r="579" spans="1:9" x14ac:dyDescent="0.25">
      <c r="A579" s="9">
        <v>21071</v>
      </c>
      <c r="B579" s="4">
        <v>152</v>
      </c>
      <c r="C579" s="4">
        <v>177</v>
      </c>
      <c r="D579" s="4">
        <v>16</v>
      </c>
      <c r="E579" s="4">
        <v>177</v>
      </c>
      <c r="F579" s="4">
        <v>4474</v>
      </c>
      <c r="G579" s="4">
        <v>60.300000000000004</v>
      </c>
      <c r="H579" s="3">
        <v>4.333333333333333</v>
      </c>
      <c r="I579" s="3">
        <v>1.1733333333333336</v>
      </c>
    </row>
    <row r="580" spans="1:9" x14ac:dyDescent="0.25">
      <c r="A580" s="9">
        <v>21073</v>
      </c>
      <c r="B580" s="4">
        <v>132</v>
      </c>
      <c r="C580" s="4">
        <v>115</v>
      </c>
      <c r="D580" s="4">
        <v>10</v>
      </c>
      <c r="E580" s="4">
        <v>115</v>
      </c>
      <c r="F580" s="4">
        <v>5739</v>
      </c>
      <c r="G580" s="4">
        <v>68.3</v>
      </c>
      <c r="H580" s="3">
        <v>4.5999999999999996</v>
      </c>
      <c r="I580" s="3">
        <v>1.52</v>
      </c>
    </row>
    <row r="581" spans="1:9" x14ac:dyDescent="0.25">
      <c r="A581" s="9">
        <v>21075</v>
      </c>
      <c r="B581" s="4">
        <v>80</v>
      </c>
      <c r="C581" s="4">
        <v>49</v>
      </c>
      <c r="D581" s="4">
        <v>14</v>
      </c>
      <c r="E581" s="4">
        <v>49</v>
      </c>
      <c r="F581" s="4">
        <v>527</v>
      </c>
      <c r="G581" s="4">
        <v>5.6</v>
      </c>
      <c r="H581" s="3">
        <v>3.9</v>
      </c>
      <c r="I581" s="3">
        <v>1</v>
      </c>
    </row>
    <row r="582" spans="1:9" x14ac:dyDescent="0.25">
      <c r="A582" s="9">
        <v>21081</v>
      </c>
      <c r="B582" s="4">
        <v>15</v>
      </c>
      <c r="C582" s="4">
        <v>15</v>
      </c>
      <c r="D582" s="4">
        <v>14</v>
      </c>
      <c r="E582" s="4">
        <v>15</v>
      </c>
      <c r="F582" s="4">
        <v>167</v>
      </c>
      <c r="G582" s="4">
        <v>1.6</v>
      </c>
      <c r="H582" s="3">
        <v>3.4</v>
      </c>
      <c r="I582" s="3">
        <v>0.9</v>
      </c>
    </row>
    <row r="583" spans="1:9" x14ac:dyDescent="0.25">
      <c r="A583" s="9">
        <v>21083</v>
      </c>
      <c r="B583" s="4">
        <v>83</v>
      </c>
      <c r="C583" s="4">
        <v>95</v>
      </c>
      <c r="D583" s="4">
        <v>8</v>
      </c>
      <c r="E583" s="4">
        <v>95</v>
      </c>
      <c r="F583" s="4">
        <v>3341</v>
      </c>
      <c r="G583" s="4">
        <v>42.8</v>
      </c>
      <c r="H583" s="3">
        <v>4.9000000000000004</v>
      </c>
      <c r="I583" s="3">
        <v>1.37</v>
      </c>
    </row>
    <row r="584" spans="1:9" x14ac:dyDescent="0.25">
      <c r="A584" s="9">
        <v>21085</v>
      </c>
      <c r="B584" s="4">
        <v>91</v>
      </c>
      <c r="C584" s="4">
        <v>75</v>
      </c>
      <c r="D584" s="4">
        <v>6</v>
      </c>
      <c r="E584" s="4">
        <v>75</v>
      </c>
      <c r="F584" s="4">
        <v>2180</v>
      </c>
      <c r="G584" s="4">
        <v>23.9</v>
      </c>
      <c r="H584" s="3">
        <v>4.4000000000000004</v>
      </c>
      <c r="I584" s="3">
        <v>1.29</v>
      </c>
    </row>
    <row r="585" spans="1:9" x14ac:dyDescent="0.25">
      <c r="A585" s="9">
        <v>21087</v>
      </c>
      <c r="B585" s="4">
        <v>24</v>
      </c>
      <c r="C585" s="4">
        <v>25</v>
      </c>
      <c r="D585" s="4">
        <v>14</v>
      </c>
      <c r="E585" s="4">
        <v>25</v>
      </c>
      <c r="F585" s="4">
        <v>246</v>
      </c>
      <c r="G585" s="4">
        <v>19.7</v>
      </c>
      <c r="H585" s="3">
        <v>3.8</v>
      </c>
      <c r="I585" s="3">
        <v>0.92</v>
      </c>
    </row>
    <row r="586" spans="1:9" x14ac:dyDescent="0.25">
      <c r="A586" s="9">
        <v>21093</v>
      </c>
      <c r="B586" s="4">
        <v>449</v>
      </c>
      <c r="C586" s="4">
        <v>270</v>
      </c>
      <c r="D586" s="4">
        <v>10</v>
      </c>
      <c r="E586" s="4">
        <v>270</v>
      </c>
      <c r="F586" s="4">
        <v>13809</v>
      </c>
      <c r="G586" s="4">
        <v>135.5</v>
      </c>
      <c r="H586" s="3">
        <v>3.9</v>
      </c>
      <c r="I586" s="3">
        <v>1.63</v>
      </c>
    </row>
    <row r="587" spans="1:9" x14ac:dyDescent="0.25">
      <c r="A587" s="9">
        <v>21095</v>
      </c>
      <c r="B587" s="4">
        <v>114</v>
      </c>
      <c r="C587" s="4">
        <v>81</v>
      </c>
      <c r="D587" s="4">
        <v>7</v>
      </c>
      <c r="E587" s="4">
        <v>81</v>
      </c>
      <c r="F587" s="4">
        <v>3567</v>
      </c>
      <c r="G587" s="4">
        <v>34.6</v>
      </c>
      <c r="H587" s="3">
        <v>3.7</v>
      </c>
      <c r="I587" s="3">
        <v>1.1499999999999999</v>
      </c>
    </row>
    <row r="588" spans="1:9" x14ac:dyDescent="0.25">
      <c r="A588" s="9">
        <v>21097</v>
      </c>
      <c r="B588" s="4">
        <v>75</v>
      </c>
      <c r="C588" s="4">
        <v>61</v>
      </c>
      <c r="D588" s="4">
        <v>6</v>
      </c>
      <c r="E588" s="4">
        <v>61</v>
      </c>
      <c r="F588" s="4">
        <v>1185</v>
      </c>
      <c r="G588" s="4">
        <v>10.3</v>
      </c>
      <c r="H588" s="3">
        <v>3.5</v>
      </c>
      <c r="I588" s="3">
        <v>1.28</v>
      </c>
    </row>
    <row r="589" spans="1:9" x14ac:dyDescent="0.25">
      <c r="A589" s="9">
        <v>21099</v>
      </c>
      <c r="B589" s="4">
        <v>25</v>
      </c>
      <c r="C589" s="4">
        <v>25</v>
      </c>
      <c r="D589" s="4">
        <v>14</v>
      </c>
      <c r="E589" s="4">
        <v>25</v>
      </c>
      <c r="F589" s="4">
        <v>183</v>
      </c>
      <c r="G589" s="4">
        <v>7.8</v>
      </c>
      <c r="H589" s="3">
        <v>3.2</v>
      </c>
      <c r="I589" s="3">
        <v>0.97</v>
      </c>
    </row>
    <row r="590" spans="1:9" x14ac:dyDescent="0.25">
      <c r="A590" s="9">
        <v>21101</v>
      </c>
      <c r="B590" s="4">
        <v>126</v>
      </c>
      <c r="C590" s="4">
        <v>118</v>
      </c>
      <c r="D590" s="4">
        <v>12</v>
      </c>
      <c r="E590" s="4">
        <v>118</v>
      </c>
      <c r="F590" s="4">
        <v>3875</v>
      </c>
      <c r="G590" s="4">
        <v>38.1</v>
      </c>
      <c r="H590" s="3">
        <v>3.8</v>
      </c>
      <c r="I590" s="3">
        <v>1.43</v>
      </c>
    </row>
    <row r="591" spans="1:9" x14ac:dyDescent="0.25">
      <c r="A591" s="9">
        <v>21107</v>
      </c>
      <c r="B591" s="4">
        <v>306</v>
      </c>
      <c r="C591" s="4">
        <v>144</v>
      </c>
      <c r="D591" s="4">
        <v>20</v>
      </c>
      <c r="E591" s="4">
        <v>410</v>
      </c>
      <c r="F591" s="4">
        <v>5925</v>
      </c>
      <c r="G591" s="4">
        <v>68.599999999999994</v>
      </c>
      <c r="H591" s="3">
        <v>4.4000000000000004</v>
      </c>
      <c r="I591" s="3">
        <v>1.7</v>
      </c>
    </row>
    <row r="592" spans="1:9" x14ac:dyDescent="0.25">
      <c r="A592" s="9">
        <v>21111</v>
      </c>
      <c r="B592" s="4">
        <v>3687</v>
      </c>
      <c r="C592" s="4">
        <v>2963</v>
      </c>
      <c r="D592" s="4">
        <v>339</v>
      </c>
      <c r="E592" s="4">
        <v>2198</v>
      </c>
      <c r="F592" s="4">
        <v>147509</v>
      </c>
      <c r="G592" s="4">
        <v>2008.2</v>
      </c>
      <c r="H592" s="3">
        <v>5.3</v>
      </c>
      <c r="I592" s="3">
        <v>1.9624999999999999</v>
      </c>
    </row>
    <row r="593" spans="1:9" x14ac:dyDescent="0.25">
      <c r="A593" s="9">
        <v>21115</v>
      </c>
      <c r="B593" s="4">
        <v>46</v>
      </c>
      <c r="C593" s="4">
        <v>72</v>
      </c>
      <c r="D593" s="4">
        <v>6</v>
      </c>
      <c r="E593" s="4">
        <v>72</v>
      </c>
      <c r="F593" s="4">
        <v>1776</v>
      </c>
      <c r="G593" s="4">
        <v>15.6</v>
      </c>
      <c r="H593" s="3">
        <v>3.2</v>
      </c>
      <c r="I593" s="3">
        <v>1.21</v>
      </c>
    </row>
    <row r="594" spans="1:9" x14ac:dyDescent="0.25">
      <c r="A594" s="9">
        <v>21117</v>
      </c>
      <c r="B594" s="4">
        <v>911</v>
      </c>
      <c r="C594" s="4">
        <v>459</v>
      </c>
      <c r="D594" s="4">
        <v>46</v>
      </c>
      <c r="E594" s="4">
        <v>969</v>
      </c>
      <c r="F594" s="4">
        <v>31447</v>
      </c>
      <c r="G594" s="4">
        <v>333.7</v>
      </c>
      <c r="H594" s="3">
        <v>4</v>
      </c>
      <c r="I594" s="3">
        <v>1.69</v>
      </c>
    </row>
    <row r="595" spans="1:9" x14ac:dyDescent="0.25">
      <c r="A595" s="9">
        <v>21121</v>
      </c>
      <c r="B595" s="4">
        <v>43</v>
      </c>
      <c r="C595" s="4">
        <v>25</v>
      </c>
      <c r="D595" s="4">
        <v>6</v>
      </c>
      <c r="E595" s="4">
        <v>25</v>
      </c>
      <c r="F595" s="4">
        <v>674</v>
      </c>
      <c r="G595" s="4">
        <v>8.5</v>
      </c>
      <c r="H595" s="3">
        <v>3.8</v>
      </c>
      <c r="I595" s="3">
        <v>1.04</v>
      </c>
    </row>
    <row r="596" spans="1:9" x14ac:dyDescent="0.25">
      <c r="A596" s="9">
        <v>21125</v>
      </c>
      <c r="B596" s="4">
        <v>137</v>
      </c>
      <c r="C596" s="4">
        <v>106</v>
      </c>
      <c r="D596" s="4">
        <v>14</v>
      </c>
      <c r="E596" s="4">
        <v>106</v>
      </c>
      <c r="F596" s="4">
        <v>5872</v>
      </c>
      <c r="G596" s="4">
        <v>67.3</v>
      </c>
      <c r="H596" s="3">
        <v>4.5999999999999996</v>
      </c>
      <c r="I596" s="3">
        <v>1.66</v>
      </c>
    </row>
    <row r="597" spans="1:9" x14ac:dyDescent="0.25">
      <c r="A597" s="9">
        <v>21127</v>
      </c>
      <c r="B597" s="4">
        <v>54</v>
      </c>
      <c r="C597" s="4">
        <v>65</v>
      </c>
      <c r="D597" s="4">
        <v>6</v>
      </c>
      <c r="E597" s="4">
        <v>65</v>
      </c>
      <c r="F597" s="4">
        <v>1634</v>
      </c>
      <c r="G597" s="4">
        <v>13.2</v>
      </c>
      <c r="H597" s="3">
        <v>3</v>
      </c>
      <c r="I597" s="3">
        <v>1.1599999999999999</v>
      </c>
    </row>
    <row r="598" spans="1:9" x14ac:dyDescent="0.25">
      <c r="A598" s="9">
        <v>21131</v>
      </c>
      <c r="B598" s="4">
        <v>20</v>
      </c>
      <c r="C598" s="4">
        <v>25</v>
      </c>
      <c r="D598" s="4">
        <v>14</v>
      </c>
      <c r="E598" s="4">
        <v>25</v>
      </c>
      <c r="F598" s="4">
        <v>243</v>
      </c>
      <c r="G598" s="4">
        <v>10.9</v>
      </c>
      <c r="H598" s="3">
        <v>2.4</v>
      </c>
      <c r="I598" s="3">
        <v>1.1299999999999999</v>
      </c>
    </row>
    <row r="599" spans="1:9" x14ac:dyDescent="0.25">
      <c r="A599" s="9">
        <v>21133</v>
      </c>
      <c r="B599" s="4">
        <v>90</v>
      </c>
      <c r="C599" s="4">
        <v>90</v>
      </c>
      <c r="D599" s="4">
        <v>6</v>
      </c>
      <c r="E599" s="4">
        <v>90</v>
      </c>
      <c r="F599" s="4">
        <v>3760</v>
      </c>
      <c r="G599" s="4">
        <v>41.7</v>
      </c>
      <c r="H599" s="3">
        <v>2.6999999999999997</v>
      </c>
      <c r="I599" s="3">
        <v>1.26</v>
      </c>
    </row>
    <row r="600" spans="1:9" x14ac:dyDescent="0.25">
      <c r="A600" s="9">
        <v>21137</v>
      </c>
      <c r="B600" s="4">
        <v>48</v>
      </c>
      <c r="C600" s="4">
        <v>25</v>
      </c>
      <c r="D600" s="4">
        <v>14</v>
      </c>
      <c r="E600" s="4">
        <v>25</v>
      </c>
      <c r="F600" s="4">
        <v>878</v>
      </c>
      <c r="G600" s="4">
        <v>12.7</v>
      </c>
      <c r="H600" s="3">
        <v>2.5</v>
      </c>
      <c r="I600" s="3">
        <v>0.96</v>
      </c>
    </row>
    <row r="601" spans="1:9" x14ac:dyDescent="0.25">
      <c r="A601" s="9">
        <v>21139</v>
      </c>
      <c r="B601" s="4">
        <v>11</v>
      </c>
      <c r="C601" s="4">
        <v>25</v>
      </c>
      <c r="D601" s="4">
        <v>14</v>
      </c>
      <c r="E601" s="4">
        <v>25</v>
      </c>
      <c r="F601" s="4">
        <v>544</v>
      </c>
      <c r="G601" s="4">
        <v>8.3000000000000007</v>
      </c>
      <c r="H601" s="3">
        <v>5.5</v>
      </c>
      <c r="I601" s="3">
        <v>1.06</v>
      </c>
    </row>
    <row r="602" spans="1:9" x14ac:dyDescent="0.25">
      <c r="A602" s="9">
        <v>21141</v>
      </c>
      <c r="B602" s="4">
        <v>56</v>
      </c>
      <c r="C602" s="4">
        <v>75</v>
      </c>
      <c r="D602" s="4">
        <v>6</v>
      </c>
      <c r="E602" s="4">
        <v>75</v>
      </c>
      <c r="F602" s="4">
        <v>651</v>
      </c>
      <c r="G602" s="4">
        <v>7.9</v>
      </c>
      <c r="H602" s="3">
        <v>4.4000000000000004</v>
      </c>
      <c r="I602" s="3">
        <v>1.27</v>
      </c>
    </row>
    <row r="603" spans="1:9" x14ac:dyDescent="0.25">
      <c r="A603" s="9">
        <v>21145</v>
      </c>
      <c r="B603" s="4">
        <v>556</v>
      </c>
      <c r="C603" s="4">
        <v>536</v>
      </c>
      <c r="D603" s="4">
        <v>34</v>
      </c>
      <c r="E603" s="4">
        <v>536</v>
      </c>
      <c r="F603" s="4">
        <v>21873</v>
      </c>
      <c r="G603" s="4">
        <v>217.5</v>
      </c>
      <c r="H603" s="3">
        <v>3.9</v>
      </c>
      <c r="I603" s="3">
        <v>1.72</v>
      </c>
    </row>
    <row r="604" spans="1:9" x14ac:dyDescent="0.25">
      <c r="A604" s="9">
        <v>21151</v>
      </c>
      <c r="B604" s="4">
        <v>240</v>
      </c>
      <c r="C604" s="4">
        <v>85</v>
      </c>
      <c r="D604" s="4">
        <v>12</v>
      </c>
      <c r="E604" s="4">
        <v>85</v>
      </c>
      <c r="F604" s="4">
        <v>4592</v>
      </c>
      <c r="G604" s="4">
        <v>44</v>
      </c>
      <c r="H604" s="3">
        <v>3.5</v>
      </c>
      <c r="I604" s="3">
        <v>1.575</v>
      </c>
    </row>
    <row r="605" spans="1:9" x14ac:dyDescent="0.25">
      <c r="A605" s="9">
        <v>21155</v>
      </c>
      <c r="B605" s="4">
        <v>68</v>
      </c>
      <c r="C605" s="4">
        <v>63</v>
      </c>
      <c r="D605" s="4">
        <v>6</v>
      </c>
      <c r="E605" s="4">
        <v>63</v>
      </c>
      <c r="F605" s="4">
        <v>1107</v>
      </c>
      <c r="G605" s="4">
        <v>6.9</v>
      </c>
      <c r="H605" s="3">
        <v>2.8</v>
      </c>
      <c r="I605" s="3">
        <v>1.26</v>
      </c>
    </row>
    <row r="606" spans="1:9" x14ac:dyDescent="0.25">
      <c r="A606" s="9">
        <v>21157</v>
      </c>
      <c r="B606" s="4">
        <v>35</v>
      </c>
      <c r="C606" s="4">
        <v>25</v>
      </c>
      <c r="D606" s="4">
        <v>4</v>
      </c>
      <c r="E606" s="4">
        <v>25</v>
      </c>
      <c r="F606" s="4">
        <v>654</v>
      </c>
      <c r="G606" s="4">
        <v>8</v>
      </c>
      <c r="H606" s="3">
        <v>3.8</v>
      </c>
      <c r="I606" s="3">
        <v>1.17</v>
      </c>
    </row>
    <row r="607" spans="1:9" x14ac:dyDescent="0.25">
      <c r="A607" s="9">
        <v>21161</v>
      </c>
      <c r="B607" s="4">
        <v>102</v>
      </c>
      <c r="C607" s="4">
        <v>100</v>
      </c>
      <c r="D607" s="4">
        <v>5</v>
      </c>
      <c r="E607" s="4">
        <v>100</v>
      </c>
      <c r="F607" s="4">
        <v>2348</v>
      </c>
      <c r="G607" s="4">
        <v>16.7</v>
      </c>
      <c r="H607" s="3">
        <v>3</v>
      </c>
      <c r="I607" s="3">
        <v>1.63</v>
      </c>
    </row>
    <row r="608" spans="1:9" x14ac:dyDescent="0.25">
      <c r="A608" s="9">
        <v>21167</v>
      </c>
      <c r="B608" s="4">
        <v>37</v>
      </c>
      <c r="C608" s="4">
        <v>25</v>
      </c>
      <c r="D608" s="4">
        <v>4</v>
      </c>
      <c r="E608" s="4">
        <v>25</v>
      </c>
      <c r="F608" s="4">
        <v>265</v>
      </c>
      <c r="G608" s="4">
        <v>10.4</v>
      </c>
      <c r="H608" s="3">
        <v>4.0999999999999996</v>
      </c>
      <c r="I608" s="3">
        <v>1.06</v>
      </c>
    </row>
    <row r="609" spans="1:9" x14ac:dyDescent="0.25">
      <c r="A609" s="9">
        <v>21171</v>
      </c>
      <c r="B609" s="4">
        <v>14</v>
      </c>
      <c r="C609" s="4">
        <v>49</v>
      </c>
      <c r="D609" s="4">
        <v>14</v>
      </c>
      <c r="E609" s="4">
        <v>49</v>
      </c>
      <c r="F609" s="4">
        <v>1228</v>
      </c>
      <c r="G609" s="4">
        <v>12.9</v>
      </c>
      <c r="H609" s="3">
        <v>3.8</v>
      </c>
      <c r="I609" s="3">
        <v>0.93</v>
      </c>
    </row>
    <row r="610" spans="1:9" x14ac:dyDescent="0.25">
      <c r="A610" s="9">
        <v>21173</v>
      </c>
      <c r="B610" s="4">
        <v>84</v>
      </c>
      <c r="C610" s="4">
        <v>42</v>
      </c>
      <c r="D610" s="4">
        <v>4</v>
      </c>
      <c r="E610" s="4">
        <v>42</v>
      </c>
      <c r="F610" s="4">
        <v>1685</v>
      </c>
      <c r="G610" s="4">
        <v>17.2</v>
      </c>
      <c r="H610" s="3">
        <v>4</v>
      </c>
      <c r="I610" s="3">
        <v>1.44</v>
      </c>
    </row>
    <row r="611" spans="1:9" x14ac:dyDescent="0.25">
      <c r="A611" s="9">
        <v>21175</v>
      </c>
      <c r="B611" s="4">
        <v>37</v>
      </c>
      <c r="C611" s="4">
        <v>25</v>
      </c>
      <c r="D611" s="4">
        <v>14</v>
      </c>
      <c r="E611" s="4">
        <v>25</v>
      </c>
      <c r="F611" s="4">
        <v>98</v>
      </c>
      <c r="G611" s="4">
        <v>1.9</v>
      </c>
      <c r="H611" s="3">
        <v>3.3</v>
      </c>
      <c r="I611" s="3">
        <v>1.19</v>
      </c>
    </row>
    <row r="612" spans="1:9" x14ac:dyDescent="0.25">
      <c r="A612" s="9">
        <v>21177</v>
      </c>
      <c r="B612" s="4">
        <v>39</v>
      </c>
      <c r="C612" s="4">
        <v>47</v>
      </c>
      <c r="D612" s="4">
        <v>6</v>
      </c>
      <c r="E612" s="4">
        <v>47</v>
      </c>
      <c r="F612" s="4">
        <v>995</v>
      </c>
      <c r="G612" s="4">
        <v>12.8</v>
      </c>
      <c r="H612" s="3">
        <v>4.7</v>
      </c>
      <c r="I612" s="3">
        <v>1.27</v>
      </c>
    </row>
    <row r="613" spans="1:9" x14ac:dyDescent="0.25">
      <c r="A613" s="9">
        <v>21179</v>
      </c>
      <c r="B613" s="4">
        <v>82</v>
      </c>
      <c r="C613" s="4">
        <v>40</v>
      </c>
      <c r="D613" s="4">
        <v>4</v>
      </c>
      <c r="E613" s="4">
        <v>40</v>
      </c>
      <c r="F613" s="4">
        <v>2057</v>
      </c>
      <c r="G613" s="4">
        <v>17.899999999999999</v>
      </c>
      <c r="H613" s="3">
        <v>3.4</v>
      </c>
      <c r="I613" s="3">
        <v>1.63</v>
      </c>
    </row>
    <row r="614" spans="1:9" x14ac:dyDescent="0.25">
      <c r="A614" s="9">
        <v>21181</v>
      </c>
      <c r="B614" s="4">
        <v>80</v>
      </c>
      <c r="C614" s="4">
        <v>49</v>
      </c>
      <c r="D614" s="4">
        <v>14</v>
      </c>
      <c r="E614" s="4">
        <v>49</v>
      </c>
      <c r="F614" s="4">
        <v>314</v>
      </c>
      <c r="G614" s="4">
        <v>4.2</v>
      </c>
      <c r="H614" s="3">
        <v>2.9</v>
      </c>
      <c r="I614" s="3">
        <v>1</v>
      </c>
    </row>
    <row r="615" spans="1:9" x14ac:dyDescent="0.25">
      <c r="A615" s="9">
        <v>21183</v>
      </c>
      <c r="B615" s="4">
        <v>70</v>
      </c>
      <c r="C615" s="4">
        <v>25</v>
      </c>
      <c r="D615" s="4">
        <v>4</v>
      </c>
      <c r="E615" s="4">
        <v>25</v>
      </c>
      <c r="F615" s="4">
        <v>651</v>
      </c>
      <c r="G615" s="4">
        <v>8.6</v>
      </c>
      <c r="H615" s="3">
        <v>3.9</v>
      </c>
      <c r="I615" s="3">
        <v>1.1100000000000001</v>
      </c>
    </row>
    <row r="616" spans="1:9" x14ac:dyDescent="0.25">
      <c r="A616" s="9">
        <v>21185</v>
      </c>
      <c r="B616" s="4">
        <v>186</v>
      </c>
      <c r="C616" s="4">
        <v>90</v>
      </c>
      <c r="D616" s="4">
        <v>8</v>
      </c>
      <c r="E616" s="4">
        <v>90</v>
      </c>
      <c r="F616" s="4">
        <v>2196</v>
      </c>
      <c r="G616" s="4">
        <v>17.399999999999999</v>
      </c>
      <c r="H616" s="3">
        <v>3.4</v>
      </c>
      <c r="I616" s="3">
        <v>1.64</v>
      </c>
    </row>
    <row r="617" spans="1:9" x14ac:dyDescent="0.25">
      <c r="A617" s="9">
        <v>21187</v>
      </c>
      <c r="B617" s="4">
        <v>80</v>
      </c>
      <c r="C617" s="4">
        <v>49</v>
      </c>
      <c r="D617" s="4">
        <v>14</v>
      </c>
      <c r="E617" s="4">
        <v>49</v>
      </c>
      <c r="F617" s="4">
        <v>88</v>
      </c>
      <c r="G617" s="4">
        <v>1.6</v>
      </c>
      <c r="H617" s="3">
        <v>3.8</v>
      </c>
      <c r="I617" s="3">
        <v>1</v>
      </c>
    </row>
    <row r="618" spans="1:9" x14ac:dyDescent="0.25">
      <c r="A618" s="9">
        <v>21191</v>
      </c>
      <c r="B618" s="4">
        <v>80</v>
      </c>
      <c r="C618" s="4">
        <v>49</v>
      </c>
      <c r="D618" s="4">
        <v>14</v>
      </c>
      <c r="E618" s="4">
        <v>49</v>
      </c>
      <c r="F618" s="4">
        <v>1532</v>
      </c>
      <c r="G618" s="4">
        <v>16</v>
      </c>
      <c r="H618" s="3">
        <v>4</v>
      </c>
      <c r="I618" s="3">
        <v>1</v>
      </c>
    </row>
    <row r="619" spans="1:9" x14ac:dyDescent="0.25">
      <c r="A619" s="9">
        <v>21193</v>
      </c>
      <c r="B619" s="4">
        <v>275</v>
      </c>
      <c r="C619" s="4">
        <v>229</v>
      </c>
      <c r="D619" s="4">
        <v>32</v>
      </c>
      <c r="E619" s="4">
        <v>229</v>
      </c>
      <c r="F619" s="4">
        <v>9699</v>
      </c>
      <c r="G619" s="4">
        <v>151.5</v>
      </c>
      <c r="H619" s="3">
        <v>5.8</v>
      </c>
      <c r="I619" s="3">
        <v>1.6</v>
      </c>
    </row>
    <row r="620" spans="1:9" x14ac:dyDescent="0.25">
      <c r="A620" s="9">
        <v>21195</v>
      </c>
      <c r="B620" s="4">
        <v>533</v>
      </c>
      <c r="C620" s="4">
        <v>386</v>
      </c>
      <c r="D620" s="4">
        <v>73</v>
      </c>
      <c r="E620" s="4">
        <v>386</v>
      </c>
      <c r="F620" s="4">
        <v>15986</v>
      </c>
      <c r="G620" s="4">
        <v>232.7</v>
      </c>
      <c r="H620" s="3">
        <v>4.75</v>
      </c>
      <c r="I620" s="3">
        <v>1.54</v>
      </c>
    </row>
    <row r="621" spans="1:9" x14ac:dyDescent="0.25">
      <c r="A621" s="9">
        <v>21199</v>
      </c>
      <c r="B621" s="4">
        <v>264</v>
      </c>
      <c r="C621" s="4">
        <v>230</v>
      </c>
      <c r="D621" s="4">
        <v>38</v>
      </c>
      <c r="E621" s="4">
        <v>230</v>
      </c>
      <c r="F621" s="4">
        <v>8950</v>
      </c>
      <c r="G621" s="4">
        <v>105.4</v>
      </c>
      <c r="H621" s="3">
        <v>4.5999999999999996</v>
      </c>
      <c r="I621" s="3">
        <v>1.65</v>
      </c>
    </row>
    <row r="622" spans="1:9" x14ac:dyDescent="0.25">
      <c r="A622" s="9">
        <v>21203</v>
      </c>
      <c r="B622" s="4">
        <v>53</v>
      </c>
      <c r="C622" s="4">
        <v>20</v>
      </c>
      <c r="D622" s="4">
        <v>14</v>
      </c>
      <c r="E622" s="4">
        <v>20</v>
      </c>
      <c r="F622" s="4">
        <v>842</v>
      </c>
      <c r="G622" s="4">
        <v>10</v>
      </c>
      <c r="H622" s="3">
        <v>4.4000000000000004</v>
      </c>
      <c r="I622" s="3">
        <v>0.99</v>
      </c>
    </row>
    <row r="623" spans="1:9" x14ac:dyDescent="0.25">
      <c r="A623" s="9">
        <v>21205</v>
      </c>
      <c r="B623" s="4">
        <v>231</v>
      </c>
      <c r="C623" s="4">
        <v>90</v>
      </c>
      <c r="D623" s="4">
        <v>14</v>
      </c>
      <c r="E623" s="4">
        <v>90</v>
      </c>
      <c r="F623" s="4">
        <v>4368</v>
      </c>
      <c r="G623" s="4">
        <v>40</v>
      </c>
      <c r="H623" s="3">
        <v>3.5</v>
      </c>
      <c r="I623" s="3">
        <v>1.45</v>
      </c>
    </row>
    <row r="624" spans="1:9" x14ac:dyDescent="0.25">
      <c r="A624" s="9">
        <v>21207</v>
      </c>
      <c r="B624" s="4">
        <v>44</v>
      </c>
      <c r="C624" s="4">
        <v>25</v>
      </c>
      <c r="D624" s="4">
        <v>2</v>
      </c>
      <c r="E624" s="4">
        <v>25</v>
      </c>
      <c r="F624" s="4">
        <v>482</v>
      </c>
      <c r="G624" s="4">
        <v>8.1</v>
      </c>
      <c r="H624" s="3">
        <v>3.7</v>
      </c>
      <c r="I624" s="3">
        <v>1</v>
      </c>
    </row>
    <row r="625" spans="1:9" x14ac:dyDescent="0.25">
      <c r="A625" s="9">
        <v>21209</v>
      </c>
      <c r="B625" s="4">
        <v>95</v>
      </c>
      <c r="C625" s="4">
        <v>75</v>
      </c>
      <c r="D625" s="4">
        <v>6</v>
      </c>
      <c r="E625" s="4">
        <v>75</v>
      </c>
      <c r="F625" s="4">
        <v>1931</v>
      </c>
      <c r="G625" s="4">
        <v>15.3</v>
      </c>
      <c r="H625" s="3">
        <v>3.3</v>
      </c>
      <c r="I625" s="3">
        <v>1.41</v>
      </c>
    </row>
    <row r="626" spans="1:9" x14ac:dyDescent="0.25">
      <c r="A626" s="9">
        <v>21211</v>
      </c>
      <c r="B626" s="4">
        <v>48</v>
      </c>
      <c r="C626" s="4">
        <v>30</v>
      </c>
      <c r="D626" s="4">
        <v>4</v>
      </c>
      <c r="E626" s="4">
        <v>30</v>
      </c>
      <c r="F626" s="4">
        <v>382</v>
      </c>
      <c r="G626" s="4">
        <v>2.9</v>
      </c>
      <c r="H626" s="3">
        <v>2.8</v>
      </c>
      <c r="I626" s="3">
        <v>1.33</v>
      </c>
    </row>
    <row r="627" spans="1:9" x14ac:dyDescent="0.25">
      <c r="A627" s="9">
        <v>21213</v>
      </c>
      <c r="B627" s="4">
        <v>42</v>
      </c>
      <c r="C627" s="4">
        <v>25</v>
      </c>
      <c r="D627" s="4">
        <v>14</v>
      </c>
      <c r="E627" s="4">
        <v>25</v>
      </c>
      <c r="F627" s="4">
        <v>539</v>
      </c>
      <c r="G627" s="4">
        <v>18.7</v>
      </c>
      <c r="H627" s="3">
        <v>3.7</v>
      </c>
      <c r="I627" s="3">
        <v>0.91</v>
      </c>
    </row>
    <row r="628" spans="1:9" x14ac:dyDescent="0.25">
      <c r="A628" s="9">
        <v>21217</v>
      </c>
      <c r="B628" s="4">
        <v>131</v>
      </c>
      <c r="C628" s="4">
        <v>90</v>
      </c>
      <c r="D628" s="4">
        <v>8</v>
      </c>
      <c r="E628" s="4">
        <v>90</v>
      </c>
      <c r="F628" s="4">
        <v>2346</v>
      </c>
      <c r="G628" s="4">
        <v>25.7</v>
      </c>
      <c r="H628" s="3">
        <v>4.3</v>
      </c>
      <c r="I628" s="3">
        <v>1.33</v>
      </c>
    </row>
    <row r="629" spans="1:9" x14ac:dyDescent="0.25">
      <c r="A629" s="9">
        <v>21221</v>
      </c>
      <c r="B629" s="4">
        <v>21</v>
      </c>
      <c r="C629" s="4">
        <v>25</v>
      </c>
      <c r="D629" s="4">
        <v>14</v>
      </c>
      <c r="E629" s="4">
        <v>25</v>
      </c>
      <c r="F629" s="4">
        <v>151</v>
      </c>
      <c r="G629" s="4">
        <v>10</v>
      </c>
      <c r="H629" s="3">
        <v>2.8</v>
      </c>
      <c r="I629" s="3">
        <v>0.89</v>
      </c>
    </row>
    <row r="630" spans="1:9" x14ac:dyDescent="0.25">
      <c r="A630" s="9">
        <v>21225</v>
      </c>
      <c r="B630" s="4">
        <v>18</v>
      </c>
      <c r="C630" s="4">
        <v>25</v>
      </c>
      <c r="D630" s="4">
        <v>14</v>
      </c>
      <c r="E630" s="4">
        <v>25</v>
      </c>
      <c r="F630" s="4">
        <v>571</v>
      </c>
      <c r="G630" s="4">
        <v>11.6</v>
      </c>
      <c r="H630" s="3">
        <v>1.3</v>
      </c>
      <c r="I630" s="3">
        <v>0.93</v>
      </c>
    </row>
    <row r="631" spans="1:9" x14ac:dyDescent="0.25">
      <c r="A631" s="9">
        <v>21227</v>
      </c>
      <c r="B631" s="4">
        <v>485</v>
      </c>
      <c r="C631" s="4">
        <v>470</v>
      </c>
      <c r="D631" s="4">
        <v>32</v>
      </c>
      <c r="E631" s="4">
        <v>470</v>
      </c>
      <c r="F631" s="4">
        <v>22548</v>
      </c>
      <c r="G631" s="4">
        <v>280.7</v>
      </c>
      <c r="H631" s="3">
        <v>4.3499999999999996</v>
      </c>
      <c r="I631" s="3">
        <v>1.7</v>
      </c>
    </row>
    <row r="632" spans="1:9" x14ac:dyDescent="0.25">
      <c r="A632" s="9">
        <v>21231</v>
      </c>
      <c r="B632" s="4">
        <v>29</v>
      </c>
      <c r="C632" s="4">
        <v>25</v>
      </c>
      <c r="D632" s="4">
        <v>14</v>
      </c>
      <c r="E632" s="4">
        <v>25</v>
      </c>
      <c r="F632" s="4">
        <v>371</v>
      </c>
      <c r="G632" s="4">
        <v>8.6</v>
      </c>
      <c r="H632" s="3">
        <v>3.7</v>
      </c>
      <c r="I632" s="3">
        <v>0.97</v>
      </c>
    </row>
    <row r="633" spans="1:9" x14ac:dyDescent="0.25">
      <c r="A633" s="9">
        <v>21235</v>
      </c>
      <c r="B633" s="4">
        <v>367</v>
      </c>
      <c r="C633" s="4">
        <v>248</v>
      </c>
      <c r="D633" s="4">
        <v>14</v>
      </c>
      <c r="E633" s="4">
        <v>248</v>
      </c>
      <c r="F633" s="4">
        <v>9602</v>
      </c>
      <c r="G633" s="4">
        <v>107.9</v>
      </c>
      <c r="H633" s="3">
        <v>4.5</v>
      </c>
      <c r="I633" s="3">
        <v>1.58</v>
      </c>
    </row>
    <row r="634" spans="1:9" x14ac:dyDescent="0.25">
      <c r="A634" s="9">
        <v>21239</v>
      </c>
      <c r="B634" s="4">
        <v>30</v>
      </c>
      <c r="C634" s="4">
        <v>25</v>
      </c>
      <c r="D634" s="4">
        <v>14</v>
      </c>
      <c r="E634" s="4">
        <v>25</v>
      </c>
      <c r="F634" s="4">
        <v>183</v>
      </c>
      <c r="G634" s="4">
        <v>6.4</v>
      </c>
      <c r="H634" s="3">
        <v>12.7</v>
      </c>
      <c r="I634" s="3">
        <v>1.21</v>
      </c>
    </row>
    <row r="635" spans="1:9" x14ac:dyDescent="0.25">
      <c r="A635" s="9">
        <v>22001</v>
      </c>
      <c r="B635" s="4">
        <v>88</v>
      </c>
      <c r="C635" s="4">
        <v>144</v>
      </c>
      <c r="D635" s="4">
        <v>4</v>
      </c>
      <c r="E635" s="4">
        <v>144</v>
      </c>
      <c r="F635" s="4">
        <v>1733</v>
      </c>
      <c r="G635" s="4">
        <v>31.7</v>
      </c>
      <c r="H635" s="3">
        <v>4.3</v>
      </c>
      <c r="I635" s="3">
        <v>1.325</v>
      </c>
    </row>
    <row r="636" spans="1:9" x14ac:dyDescent="0.25">
      <c r="A636" s="9">
        <v>22003</v>
      </c>
      <c r="B636" s="4">
        <v>39</v>
      </c>
      <c r="C636" s="4">
        <v>74</v>
      </c>
      <c r="D636" s="4">
        <v>3</v>
      </c>
      <c r="E636" s="4">
        <v>74</v>
      </c>
      <c r="F636" s="4">
        <v>924</v>
      </c>
      <c r="G636" s="4">
        <v>12.100000000000001</v>
      </c>
      <c r="H636" s="3">
        <v>4.6999999999999993</v>
      </c>
      <c r="I636" s="3">
        <v>1.0950000000000002</v>
      </c>
    </row>
    <row r="637" spans="1:9" x14ac:dyDescent="0.25">
      <c r="A637" s="9">
        <v>22005</v>
      </c>
      <c r="B637" s="4">
        <v>58</v>
      </c>
      <c r="C637" s="4">
        <v>103</v>
      </c>
      <c r="D637" s="4">
        <v>7</v>
      </c>
      <c r="E637" s="4">
        <v>103</v>
      </c>
      <c r="F637" s="4">
        <v>2751</v>
      </c>
      <c r="G637" s="4">
        <v>31.3</v>
      </c>
      <c r="H637" s="3">
        <v>3.6500000000000004</v>
      </c>
      <c r="I637" s="3">
        <v>1.105</v>
      </c>
    </row>
    <row r="638" spans="1:9" x14ac:dyDescent="0.25">
      <c r="A638" s="9">
        <v>22007</v>
      </c>
      <c r="B638" s="4">
        <v>11</v>
      </c>
      <c r="C638" s="4">
        <v>15</v>
      </c>
      <c r="D638" s="4">
        <v>14</v>
      </c>
      <c r="E638" s="4">
        <v>15</v>
      </c>
      <c r="F638" s="4">
        <v>39</v>
      </c>
      <c r="G638" s="4">
        <v>0.3</v>
      </c>
      <c r="H638" s="3">
        <v>2.8</v>
      </c>
      <c r="I638" s="3">
        <v>1.07</v>
      </c>
    </row>
    <row r="639" spans="1:9" x14ac:dyDescent="0.25">
      <c r="A639" s="9">
        <v>22009</v>
      </c>
      <c r="B639" s="4">
        <v>67</v>
      </c>
      <c r="C639" s="4">
        <v>74</v>
      </c>
      <c r="D639" s="4">
        <v>2</v>
      </c>
      <c r="E639" s="4">
        <v>74</v>
      </c>
      <c r="F639" s="4">
        <v>870</v>
      </c>
      <c r="G639" s="4">
        <v>14.8</v>
      </c>
      <c r="H639" s="3">
        <v>3.25</v>
      </c>
      <c r="I639" s="3">
        <v>1.0050000000000001</v>
      </c>
    </row>
    <row r="640" spans="1:9" x14ac:dyDescent="0.25">
      <c r="A640" s="9">
        <v>22011</v>
      </c>
      <c r="B640" s="4">
        <v>62</v>
      </c>
      <c r="C640" s="4">
        <v>49</v>
      </c>
      <c r="D640" s="4">
        <v>6</v>
      </c>
      <c r="E640" s="4">
        <v>60</v>
      </c>
      <c r="F640" s="4">
        <v>2069</v>
      </c>
      <c r="G640" s="4">
        <v>21.1</v>
      </c>
      <c r="H640" s="3">
        <v>4</v>
      </c>
      <c r="I640" s="3">
        <v>1.1499999999999999</v>
      </c>
    </row>
    <row r="641" spans="1:9" x14ac:dyDescent="0.25">
      <c r="A641" s="9">
        <v>22013</v>
      </c>
      <c r="B641" s="4">
        <v>7</v>
      </c>
      <c r="C641" s="4">
        <v>21</v>
      </c>
      <c r="D641" s="4">
        <v>14</v>
      </c>
      <c r="E641" s="4">
        <v>21</v>
      </c>
      <c r="F641" s="4">
        <v>68</v>
      </c>
      <c r="G641" s="4">
        <v>5.3</v>
      </c>
      <c r="H641" s="3">
        <v>5.3</v>
      </c>
      <c r="I641" s="3">
        <v>0.91</v>
      </c>
    </row>
    <row r="642" spans="1:9" x14ac:dyDescent="0.25">
      <c r="A642" s="9">
        <v>22015</v>
      </c>
      <c r="B642" s="4">
        <v>32</v>
      </c>
      <c r="C642" s="4">
        <v>124</v>
      </c>
      <c r="D642" s="4">
        <v>10</v>
      </c>
      <c r="E642" s="4">
        <v>130</v>
      </c>
      <c r="F642" s="4">
        <v>7477</v>
      </c>
      <c r="G642" s="4">
        <v>81.400000000000006</v>
      </c>
      <c r="H642" s="3">
        <v>3.05</v>
      </c>
      <c r="I642" s="3">
        <v>1.42</v>
      </c>
    </row>
    <row r="643" spans="1:9" x14ac:dyDescent="0.25">
      <c r="A643" s="9">
        <v>22017</v>
      </c>
      <c r="B643" s="4">
        <v>1558</v>
      </c>
      <c r="C643" s="4">
        <v>1363</v>
      </c>
      <c r="D643" s="4">
        <v>94</v>
      </c>
      <c r="E643" s="4">
        <v>1363</v>
      </c>
      <c r="F643" s="4">
        <v>65659</v>
      </c>
      <c r="G643" s="4">
        <v>836.3</v>
      </c>
      <c r="H643" s="3">
        <v>3.8</v>
      </c>
      <c r="I643" s="3">
        <v>1.8920000000000001</v>
      </c>
    </row>
    <row r="644" spans="1:9" x14ac:dyDescent="0.25">
      <c r="A644" s="9">
        <v>22019</v>
      </c>
      <c r="B644" s="4">
        <v>1191</v>
      </c>
      <c r="C644" s="4">
        <v>634</v>
      </c>
      <c r="D644" s="4">
        <v>75</v>
      </c>
      <c r="E644" s="4">
        <v>694</v>
      </c>
      <c r="F644" s="4">
        <v>24295</v>
      </c>
      <c r="G644" s="4">
        <v>286.8</v>
      </c>
      <c r="H644" s="3">
        <v>3.5833333333333335</v>
      </c>
      <c r="I644" s="3">
        <v>1.5620000000000001</v>
      </c>
    </row>
    <row r="645" spans="1:9" x14ac:dyDescent="0.25">
      <c r="A645" s="9">
        <v>22021</v>
      </c>
      <c r="B645" s="4">
        <v>18</v>
      </c>
      <c r="C645" s="4">
        <v>77</v>
      </c>
      <c r="D645" s="4">
        <v>14</v>
      </c>
      <c r="E645" s="4">
        <v>77</v>
      </c>
      <c r="F645" s="4">
        <v>1001</v>
      </c>
      <c r="G645" s="4">
        <v>10.7</v>
      </c>
      <c r="H645" s="3">
        <v>3.95</v>
      </c>
      <c r="I645" s="3">
        <v>1.01</v>
      </c>
    </row>
    <row r="646" spans="1:9" x14ac:dyDescent="0.25">
      <c r="A646" s="9">
        <v>22023</v>
      </c>
      <c r="B646" s="4">
        <v>8</v>
      </c>
      <c r="C646" s="4">
        <v>25</v>
      </c>
      <c r="D646" s="4">
        <v>14</v>
      </c>
      <c r="E646" s="4">
        <v>49</v>
      </c>
      <c r="F646" s="4">
        <v>1532</v>
      </c>
      <c r="G646" s="4">
        <v>16</v>
      </c>
      <c r="H646" s="3">
        <v>4</v>
      </c>
      <c r="I646" s="3">
        <v>1.1499999999999999</v>
      </c>
    </row>
    <row r="647" spans="1:9" x14ac:dyDescent="0.25">
      <c r="A647" s="9">
        <v>22027</v>
      </c>
      <c r="B647" s="4">
        <v>19</v>
      </c>
      <c r="C647" s="4">
        <v>37</v>
      </c>
      <c r="D647" s="4">
        <v>4</v>
      </c>
      <c r="E647" s="4">
        <v>37</v>
      </c>
      <c r="F647" s="4">
        <v>936</v>
      </c>
      <c r="G647" s="4">
        <v>13.6</v>
      </c>
      <c r="H647" s="3">
        <v>5.3</v>
      </c>
      <c r="I647" s="3">
        <v>1.1000000000000001</v>
      </c>
    </row>
    <row r="648" spans="1:9" x14ac:dyDescent="0.25">
      <c r="A648" s="9">
        <v>22029</v>
      </c>
      <c r="B648" s="4">
        <v>24</v>
      </c>
      <c r="C648" s="4">
        <v>25</v>
      </c>
      <c r="D648" s="4">
        <v>5</v>
      </c>
      <c r="E648" s="4">
        <v>25</v>
      </c>
      <c r="F648" s="4">
        <v>537</v>
      </c>
      <c r="G648" s="4">
        <v>10.8</v>
      </c>
      <c r="H648" s="3">
        <v>3.1</v>
      </c>
      <c r="I648" s="3">
        <v>0.89</v>
      </c>
    </row>
    <row r="649" spans="1:9" x14ac:dyDescent="0.25">
      <c r="A649" s="9">
        <v>22031</v>
      </c>
      <c r="B649" s="4">
        <v>26</v>
      </c>
      <c r="C649" s="4">
        <v>34</v>
      </c>
      <c r="D649" s="4">
        <v>14</v>
      </c>
      <c r="E649" s="4">
        <v>34</v>
      </c>
      <c r="F649" s="4">
        <v>411</v>
      </c>
      <c r="G649" s="4">
        <v>3.8</v>
      </c>
      <c r="H649" s="3">
        <v>3.4</v>
      </c>
      <c r="I649" s="3">
        <v>0.91</v>
      </c>
    </row>
    <row r="650" spans="1:9" x14ac:dyDescent="0.25">
      <c r="A650" s="9">
        <v>22033</v>
      </c>
      <c r="B650" s="4">
        <v>2589</v>
      </c>
      <c r="C650" s="4">
        <v>1588</v>
      </c>
      <c r="D650" s="4">
        <v>99</v>
      </c>
      <c r="E650" s="4">
        <v>1909</v>
      </c>
      <c r="F650" s="4">
        <v>72156</v>
      </c>
      <c r="G650" s="4">
        <v>889.9</v>
      </c>
      <c r="H650" s="3">
        <v>3.9555555555555566</v>
      </c>
      <c r="I650" s="3">
        <v>2.0957142857142856</v>
      </c>
    </row>
    <row r="651" spans="1:9" x14ac:dyDescent="0.25">
      <c r="A651" s="9">
        <v>22035</v>
      </c>
      <c r="B651" s="4">
        <v>8</v>
      </c>
      <c r="C651" s="4">
        <v>23</v>
      </c>
      <c r="D651" s="4">
        <v>14</v>
      </c>
      <c r="E651" s="4">
        <v>23</v>
      </c>
      <c r="F651" s="4">
        <v>367</v>
      </c>
      <c r="G651" s="4">
        <v>3.2</v>
      </c>
      <c r="H651" s="3">
        <v>3.2</v>
      </c>
      <c r="I651" s="3">
        <v>0.91</v>
      </c>
    </row>
    <row r="652" spans="1:9" x14ac:dyDescent="0.25">
      <c r="A652" s="9">
        <v>22037</v>
      </c>
      <c r="B652" s="4">
        <v>80</v>
      </c>
      <c r="C652" s="4">
        <v>49</v>
      </c>
      <c r="D652" s="4">
        <v>14</v>
      </c>
      <c r="E652" s="4">
        <v>299</v>
      </c>
      <c r="F652" s="4">
        <v>7</v>
      </c>
      <c r="G652" s="4">
        <v>16</v>
      </c>
      <c r="H652" s="3">
        <v>2.7</v>
      </c>
      <c r="I652" s="3">
        <v>1.1299999999999999</v>
      </c>
    </row>
    <row r="653" spans="1:9" x14ac:dyDescent="0.25">
      <c r="A653" s="9">
        <v>22039</v>
      </c>
      <c r="B653" s="4">
        <v>102</v>
      </c>
      <c r="C653" s="4">
        <v>227</v>
      </c>
      <c r="D653" s="4">
        <v>24</v>
      </c>
      <c r="E653" s="4">
        <v>227</v>
      </c>
      <c r="F653" s="4">
        <v>3321</v>
      </c>
      <c r="G653" s="4">
        <v>40.700000000000003</v>
      </c>
      <c r="H653" s="3">
        <v>5</v>
      </c>
      <c r="I653" s="3">
        <v>1.2050000000000001</v>
      </c>
    </row>
    <row r="654" spans="1:9" x14ac:dyDescent="0.25">
      <c r="A654" s="9">
        <v>22041</v>
      </c>
      <c r="B654" s="4">
        <v>56</v>
      </c>
      <c r="C654" s="4">
        <v>29</v>
      </c>
      <c r="D654" s="4">
        <v>6</v>
      </c>
      <c r="E654" s="4">
        <v>29</v>
      </c>
      <c r="F654" s="4">
        <v>589</v>
      </c>
      <c r="G654" s="4">
        <v>6.8</v>
      </c>
      <c r="H654" s="3">
        <v>4.2</v>
      </c>
      <c r="I654" s="3">
        <v>1.08</v>
      </c>
    </row>
    <row r="655" spans="1:9" x14ac:dyDescent="0.25">
      <c r="A655" s="9">
        <v>22045</v>
      </c>
      <c r="B655" s="4">
        <v>168</v>
      </c>
      <c r="C655" s="4">
        <v>113</v>
      </c>
      <c r="D655" s="4">
        <v>11</v>
      </c>
      <c r="E655" s="4">
        <v>131</v>
      </c>
      <c r="F655" s="4">
        <v>4564</v>
      </c>
      <c r="G655" s="4">
        <v>44.5</v>
      </c>
      <c r="H655" s="3">
        <v>3.7</v>
      </c>
      <c r="I655" s="3">
        <v>1.6</v>
      </c>
    </row>
    <row r="656" spans="1:9" x14ac:dyDescent="0.25">
      <c r="A656" s="9">
        <v>22047</v>
      </c>
      <c r="B656" s="4">
        <v>80</v>
      </c>
      <c r="C656" s="4">
        <v>49</v>
      </c>
      <c r="D656" s="4">
        <v>14</v>
      </c>
      <c r="E656" s="4">
        <v>49</v>
      </c>
      <c r="F656" s="4">
        <v>1237</v>
      </c>
      <c r="G656" s="4">
        <v>10.3</v>
      </c>
      <c r="H656" s="3">
        <v>3</v>
      </c>
      <c r="I656" s="3">
        <v>1</v>
      </c>
    </row>
    <row r="657" spans="1:9" x14ac:dyDescent="0.25">
      <c r="A657" s="9">
        <v>22049</v>
      </c>
      <c r="B657" s="4">
        <v>23</v>
      </c>
      <c r="C657" s="4">
        <v>25</v>
      </c>
      <c r="D657" s="4">
        <v>14</v>
      </c>
      <c r="E657" s="4">
        <v>25</v>
      </c>
      <c r="F657" s="4">
        <v>228</v>
      </c>
      <c r="G657" s="4">
        <v>3</v>
      </c>
      <c r="H657" s="3">
        <v>0</v>
      </c>
      <c r="I657" s="3">
        <v>0.91</v>
      </c>
    </row>
    <row r="658" spans="1:9" x14ac:dyDescent="0.25">
      <c r="A658" s="9">
        <v>22051</v>
      </c>
      <c r="B658" s="4">
        <v>2913</v>
      </c>
      <c r="C658" s="4">
        <v>1618</v>
      </c>
      <c r="D658" s="4">
        <v>157</v>
      </c>
      <c r="E658" s="4">
        <v>1798</v>
      </c>
      <c r="F658" s="4">
        <v>71300</v>
      </c>
      <c r="G658" s="4">
        <v>974.4</v>
      </c>
      <c r="H658" s="3">
        <v>4.32</v>
      </c>
      <c r="I658" s="3">
        <v>1.92</v>
      </c>
    </row>
    <row r="659" spans="1:9" x14ac:dyDescent="0.25">
      <c r="A659" s="9">
        <v>22053</v>
      </c>
      <c r="B659" s="4">
        <v>55</v>
      </c>
      <c r="C659" s="4">
        <v>49</v>
      </c>
      <c r="D659" s="4">
        <v>5</v>
      </c>
      <c r="E659" s="4">
        <v>49</v>
      </c>
      <c r="F659" s="4">
        <v>2377</v>
      </c>
      <c r="G659" s="4">
        <v>24.6</v>
      </c>
      <c r="H659" s="3">
        <v>4.2</v>
      </c>
      <c r="I659" s="3">
        <v>1.23</v>
      </c>
    </row>
    <row r="660" spans="1:9" x14ac:dyDescent="0.25">
      <c r="A660" s="9">
        <v>22055</v>
      </c>
      <c r="B660" s="4">
        <v>1181</v>
      </c>
      <c r="C660" s="4">
        <v>996</v>
      </c>
      <c r="D660" s="4">
        <v>68</v>
      </c>
      <c r="E660" s="4">
        <v>1127</v>
      </c>
      <c r="F660" s="4">
        <v>44772</v>
      </c>
      <c r="G660" s="4">
        <v>663.4</v>
      </c>
      <c r="H660" s="3">
        <v>3.5999999999999996</v>
      </c>
      <c r="I660" s="3">
        <v>1.9537499999999999</v>
      </c>
    </row>
    <row r="661" spans="1:9" x14ac:dyDescent="0.25">
      <c r="A661" s="9">
        <v>22057</v>
      </c>
      <c r="B661" s="4">
        <v>251</v>
      </c>
      <c r="C661" s="4">
        <v>178</v>
      </c>
      <c r="D661" s="4">
        <v>21</v>
      </c>
      <c r="E661" s="4">
        <v>178</v>
      </c>
      <c r="F661" s="4">
        <v>7602</v>
      </c>
      <c r="G661" s="4">
        <v>68.599999999999994</v>
      </c>
      <c r="H661" s="3">
        <v>2.1999999999999997</v>
      </c>
      <c r="I661" s="3">
        <v>1.26</v>
      </c>
    </row>
    <row r="662" spans="1:9" x14ac:dyDescent="0.25">
      <c r="A662" s="9">
        <v>22059</v>
      </c>
      <c r="B662" s="4">
        <v>42</v>
      </c>
      <c r="C662" s="4">
        <v>55</v>
      </c>
      <c r="D662" s="4">
        <v>14</v>
      </c>
      <c r="E662" s="4">
        <v>55</v>
      </c>
      <c r="F662" s="4">
        <v>1199</v>
      </c>
      <c r="G662" s="4">
        <v>16.2</v>
      </c>
      <c r="H662" s="3">
        <v>3.95</v>
      </c>
      <c r="I662" s="3">
        <v>1.0150000000000001</v>
      </c>
    </row>
    <row r="663" spans="1:9" x14ac:dyDescent="0.25">
      <c r="A663" s="9">
        <v>22061</v>
      </c>
      <c r="B663" s="4">
        <v>96</v>
      </c>
      <c r="C663" s="4">
        <v>135</v>
      </c>
      <c r="D663" s="4">
        <v>17</v>
      </c>
      <c r="E663" s="4">
        <v>135</v>
      </c>
      <c r="F663" s="4">
        <v>4130</v>
      </c>
      <c r="G663" s="4">
        <v>39.5</v>
      </c>
      <c r="H663" s="3">
        <v>3.8</v>
      </c>
      <c r="I663" s="3">
        <v>1.52</v>
      </c>
    </row>
    <row r="664" spans="1:9" x14ac:dyDescent="0.25">
      <c r="A664" s="9">
        <v>22063</v>
      </c>
      <c r="B664" s="4">
        <v>80</v>
      </c>
      <c r="C664" s="4">
        <v>49</v>
      </c>
      <c r="D664" s="4">
        <v>14</v>
      </c>
      <c r="E664" s="4">
        <v>49</v>
      </c>
      <c r="F664" s="4">
        <v>1532</v>
      </c>
      <c r="G664" s="4">
        <v>16</v>
      </c>
      <c r="H664" s="3">
        <v>4</v>
      </c>
      <c r="I664" s="3">
        <v>1</v>
      </c>
    </row>
    <row r="665" spans="1:9" x14ac:dyDescent="0.25">
      <c r="A665" s="9">
        <v>22065</v>
      </c>
      <c r="B665" s="4">
        <v>11</v>
      </c>
      <c r="C665" s="4">
        <v>25</v>
      </c>
      <c r="D665" s="4">
        <v>14</v>
      </c>
      <c r="E665" s="4">
        <v>25</v>
      </c>
      <c r="F665" s="4">
        <v>173</v>
      </c>
      <c r="G665" s="4">
        <v>2.8</v>
      </c>
      <c r="H665" s="3">
        <v>6</v>
      </c>
      <c r="I665" s="3">
        <v>0.88</v>
      </c>
    </row>
    <row r="666" spans="1:9" x14ac:dyDescent="0.25">
      <c r="A666" s="9">
        <v>22067</v>
      </c>
      <c r="B666" s="4">
        <v>48</v>
      </c>
      <c r="C666" s="4">
        <v>39</v>
      </c>
      <c r="D666" s="4">
        <v>6</v>
      </c>
      <c r="E666" s="4">
        <v>39</v>
      </c>
      <c r="F666" s="4">
        <v>1087</v>
      </c>
      <c r="G666" s="4">
        <v>8.9</v>
      </c>
      <c r="H666" s="3">
        <v>3.5</v>
      </c>
      <c r="I666" s="3">
        <v>1.03</v>
      </c>
    </row>
    <row r="667" spans="1:9" x14ac:dyDescent="0.25">
      <c r="A667" s="9">
        <v>22069</v>
      </c>
      <c r="B667" s="4">
        <v>74</v>
      </c>
      <c r="C667" s="4">
        <v>81</v>
      </c>
      <c r="D667" s="4">
        <v>8</v>
      </c>
      <c r="E667" s="4">
        <v>81</v>
      </c>
      <c r="F667" s="4">
        <v>2054</v>
      </c>
      <c r="G667" s="4">
        <v>20.100000000000001</v>
      </c>
      <c r="H667" s="3">
        <v>4.0999999999999996</v>
      </c>
      <c r="I667" s="3">
        <v>1.32</v>
      </c>
    </row>
    <row r="668" spans="1:9" x14ac:dyDescent="0.25">
      <c r="A668" s="9">
        <v>22071</v>
      </c>
      <c r="B668" s="4">
        <v>1537</v>
      </c>
      <c r="C668" s="4">
        <v>1090</v>
      </c>
      <c r="D668" s="4">
        <v>62</v>
      </c>
      <c r="E668" s="4">
        <v>975</v>
      </c>
      <c r="F668" s="4">
        <v>41945</v>
      </c>
      <c r="G668" s="4">
        <v>623.70000000000005</v>
      </c>
      <c r="H668" s="3">
        <v>4.82</v>
      </c>
      <c r="I668" s="3">
        <v>1.6839999999999999</v>
      </c>
    </row>
    <row r="669" spans="1:9" x14ac:dyDescent="0.25">
      <c r="A669" s="9">
        <v>22073</v>
      </c>
      <c r="B669" s="4">
        <v>763</v>
      </c>
      <c r="C669" s="4">
        <v>676</v>
      </c>
      <c r="D669" s="4">
        <v>88</v>
      </c>
      <c r="E669" s="4">
        <v>706</v>
      </c>
      <c r="F669" s="4">
        <v>28550</v>
      </c>
      <c r="G669" s="4">
        <v>363.29999999999995</v>
      </c>
      <c r="H669" s="3">
        <v>3.4833333333333329</v>
      </c>
      <c r="I669" s="3">
        <v>1.9</v>
      </c>
    </row>
    <row r="670" spans="1:9" x14ac:dyDescent="0.25">
      <c r="A670" s="9">
        <v>22077</v>
      </c>
      <c r="B670" s="4">
        <v>51</v>
      </c>
      <c r="C670" s="4">
        <v>25</v>
      </c>
      <c r="D670" s="4">
        <v>14</v>
      </c>
      <c r="E670" s="4">
        <v>25</v>
      </c>
      <c r="F670" s="4">
        <v>196</v>
      </c>
      <c r="G670" s="4">
        <v>3.9</v>
      </c>
      <c r="H670" s="3">
        <v>3</v>
      </c>
      <c r="I670" s="3">
        <v>1.1100000000000001</v>
      </c>
    </row>
    <row r="671" spans="1:9" x14ac:dyDescent="0.25">
      <c r="A671" s="9">
        <v>22079</v>
      </c>
      <c r="B671" s="4">
        <v>520</v>
      </c>
      <c r="C671" s="4">
        <v>657</v>
      </c>
      <c r="D671" s="4">
        <v>26</v>
      </c>
      <c r="E671" s="4">
        <v>628</v>
      </c>
      <c r="F671" s="4">
        <v>28573</v>
      </c>
      <c r="G671" s="4">
        <v>397.59999999999997</v>
      </c>
      <c r="H671" s="3">
        <v>4.4750000000000005</v>
      </c>
      <c r="I671" s="3">
        <v>1.9633333333333332</v>
      </c>
    </row>
    <row r="672" spans="1:9" x14ac:dyDescent="0.25">
      <c r="A672" s="9">
        <v>22081</v>
      </c>
      <c r="B672" s="4">
        <v>19</v>
      </c>
      <c r="C672" s="4">
        <v>25</v>
      </c>
      <c r="D672" s="4">
        <v>14</v>
      </c>
      <c r="E672" s="4">
        <v>25</v>
      </c>
      <c r="F672" s="4">
        <v>646</v>
      </c>
      <c r="G672" s="4">
        <v>11.6</v>
      </c>
      <c r="H672" s="3">
        <v>3.7</v>
      </c>
      <c r="I672" s="3">
        <v>1.04</v>
      </c>
    </row>
    <row r="673" spans="1:9" x14ac:dyDescent="0.25">
      <c r="A673" s="9">
        <v>22083</v>
      </c>
      <c r="B673" s="4">
        <v>55</v>
      </c>
      <c r="C673" s="4">
        <v>63</v>
      </c>
      <c r="D673" s="4">
        <v>2</v>
      </c>
      <c r="E673" s="4">
        <v>63</v>
      </c>
      <c r="F673" s="4">
        <v>863</v>
      </c>
      <c r="G673" s="4">
        <v>12.5</v>
      </c>
      <c r="H673" s="3">
        <v>4.1500000000000004</v>
      </c>
      <c r="I673" s="3">
        <v>0.94500000000000006</v>
      </c>
    </row>
    <row r="674" spans="1:9" x14ac:dyDescent="0.25">
      <c r="A674" s="9">
        <v>22085</v>
      </c>
      <c r="B674" s="4">
        <v>24</v>
      </c>
      <c r="C674" s="4">
        <v>48</v>
      </c>
      <c r="D674" s="4">
        <v>14</v>
      </c>
      <c r="E674" s="4">
        <v>48</v>
      </c>
      <c r="F674" s="4">
        <v>403</v>
      </c>
      <c r="G674" s="4">
        <v>3.8</v>
      </c>
      <c r="H674" s="3">
        <v>3.5</v>
      </c>
      <c r="I674" s="3">
        <v>0.89</v>
      </c>
    </row>
    <row r="675" spans="1:9" x14ac:dyDescent="0.25">
      <c r="A675" s="9">
        <v>22087</v>
      </c>
      <c r="B675" s="4">
        <v>49</v>
      </c>
      <c r="C675" s="4">
        <v>40</v>
      </c>
      <c r="D675" s="4">
        <v>8</v>
      </c>
      <c r="E675" s="4">
        <v>40</v>
      </c>
      <c r="F675" s="4">
        <v>1285</v>
      </c>
      <c r="G675" s="4">
        <v>15.4</v>
      </c>
      <c r="H675" s="3">
        <v>4.4000000000000004</v>
      </c>
      <c r="I675" s="3">
        <v>1.47</v>
      </c>
    </row>
    <row r="676" spans="1:9" x14ac:dyDescent="0.25">
      <c r="A676" s="9">
        <v>22089</v>
      </c>
      <c r="B676" s="4">
        <v>38</v>
      </c>
      <c r="C676" s="4">
        <v>39</v>
      </c>
      <c r="D676" s="4">
        <v>8</v>
      </c>
      <c r="E676" s="4">
        <v>39</v>
      </c>
      <c r="F676" s="4">
        <v>737</v>
      </c>
      <c r="G676" s="4">
        <v>6.9</v>
      </c>
      <c r="H676" s="3">
        <v>3.4</v>
      </c>
      <c r="I676" s="3">
        <v>1.33</v>
      </c>
    </row>
    <row r="677" spans="1:9" x14ac:dyDescent="0.25">
      <c r="A677" s="9">
        <v>22091</v>
      </c>
      <c r="B677" s="4">
        <v>17</v>
      </c>
      <c r="C677" s="4">
        <v>25</v>
      </c>
      <c r="D677" s="4">
        <v>14</v>
      </c>
      <c r="E677" s="4">
        <v>25</v>
      </c>
      <c r="F677" s="4">
        <v>66</v>
      </c>
      <c r="G677" s="4">
        <v>4.3</v>
      </c>
      <c r="H677" s="3">
        <v>0.1</v>
      </c>
      <c r="I677" s="3">
        <v>0.88</v>
      </c>
    </row>
    <row r="678" spans="1:9" x14ac:dyDescent="0.25">
      <c r="A678" s="9">
        <v>22093</v>
      </c>
      <c r="B678" s="4">
        <v>41</v>
      </c>
      <c r="C678" s="4">
        <v>25</v>
      </c>
      <c r="D678" s="4">
        <v>14</v>
      </c>
      <c r="E678" s="4">
        <v>25</v>
      </c>
      <c r="F678" s="4">
        <v>365</v>
      </c>
      <c r="G678" s="4">
        <v>8.1999999999999993</v>
      </c>
      <c r="H678" s="3">
        <v>3.7</v>
      </c>
      <c r="I678" s="3">
        <v>1.0900000000000001</v>
      </c>
    </row>
    <row r="679" spans="1:9" x14ac:dyDescent="0.25">
      <c r="A679" s="9">
        <v>22095</v>
      </c>
      <c r="B679" s="4">
        <v>80</v>
      </c>
      <c r="C679" s="4">
        <v>49</v>
      </c>
      <c r="D679" s="4">
        <v>14</v>
      </c>
      <c r="E679" s="4">
        <v>49</v>
      </c>
      <c r="F679" s="4">
        <v>1191</v>
      </c>
      <c r="G679" s="4">
        <v>13.2</v>
      </c>
      <c r="H679" s="3">
        <v>4</v>
      </c>
      <c r="I679" s="3">
        <v>1</v>
      </c>
    </row>
    <row r="680" spans="1:9" x14ac:dyDescent="0.25">
      <c r="A680" s="9">
        <v>22097</v>
      </c>
      <c r="B680" s="4">
        <v>184</v>
      </c>
      <c r="C680" s="4">
        <v>151</v>
      </c>
      <c r="D680" s="4">
        <v>22</v>
      </c>
      <c r="E680" s="4">
        <v>457</v>
      </c>
      <c r="F680" s="4">
        <v>5530</v>
      </c>
      <c r="G680" s="4">
        <v>53</v>
      </c>
      <c r="H680" s="3">
        <v>3.9</v>
      </c>
      <c r="I680" s="3">
        <v>1.63</v>
      </c>
    </row>
    <row r="681" spans="1:9" x14ac:dyDescent="0.25">
      <c r="A681" s="9">
        <v>22099</v>
      </c>
      <c r="B681" s="4">
        <v>35</v>
      </c>
      <c r="C681" s="4">
        <v>25</v>
      </c>
      <c r="D681" s="4">
        <v>14</v>
      </c>
      <c r="E681" s="4">
        <v>25</v>
      </c>
      <c r="F681" s="4">
        <v>232</v>
      </c>
      <c r="G681" s="4">
        <v>13.3</v>
      </c>
      <c r="H681" s="3">
        <v>3.4</v>
      </c>
      <c r="I681" s="3">
        <v>1.23</v>
      </c>
    </row>
    <row r="682" spans="1:9" x14ac:dyDescent="0.25">
      <c r="A682" s="9">
        <v>22101</v>
      </c>
      <c r="B682" s="4">
        <v>86</v>
      </c>
      <c r="C682" s="4">
        <v>155</v>
      </c>
      <c r="D682" s="4">
        <v>15</v>
      </c>
      <c r="E682" s="4">
        <v>152</v>
      </c>
      <c r="F682" s="4">
        <v>1932</v>
      </c>
      <c r="G682" s="4">
        <v>25.200000000000003</v>
      </c>
      <c r="H682" s="3">
        <v>2.0499999999999998</v>
      </c>
      <c r="I682" s="3">
        <v>1.2850000000000001</v>
      </c>
    </row>
    <row r="683" spans="1:9" x14ac:dyDescent="0.25">
      <c r="A683" s="9">
        <v>22103</v>
      </c>
      <c r="B683" s="4">
        <v>766</v>
      </c>
      <c r="C683" s="4">
        <v>774</v>
      </c>
      <c r="D683" s="4">
        <v>207</v>
      </c>
      <c r="E683" s="4">
        <v>933</v>
      </c>
      <c r="F683" s="4">
        <v>30559</v>
      </c>
      <c r="G683" s="4">
        <v>320.90000000000003</v>
      </c>
      <c r="H683" s="3">
        <v>3.2857142857142856</v>
      </c>
      <c r="I683" s="3">
        <v>2.1266666666666665</v>
      </c>
    </row>
    <row r="684" spans="1:9" x14ac:dyDescent="0.25">
      <c r="A684" s="9">
        <v>22105</v>
      </c>
      <c r="B684" s="4">
        <v>400</v>
      </c>
      <c r="C684" s="4">
        <v>423</v>
      </c>
      <c r="D684" s="4">
        <v>64</v>
      </c>
      <c r="E684" s="4">
        <v>409</v>
      </c>
      <c r="F684" s="4">
        <v>12403</v>
      </c>
      <c r="G684" s="4">
        <v>172.8</v>
      </c>
      <c r="H684" s="3">
        <v>3.4250000000000003</v>
      </c>
      <c r="I684" s="3">
        <v>1.67</v>
      </c>
    </row>
    <row r="685" spans="1:9" x14ac:dyDescent="0.25">
      <c r="A685" s="9">
        <v>22109</v>
      </c>
      <c r="B685" s="4">
        <v>381</v>
      </c>
      <c r="C685" s="4">
        <v>284</v>
      </c>
      <c r="D685" s="4">
        <v>26</v>
      </c>
      <c r="E685" s="4">
        <v>284</v>
      </c>
      <c r="F685" s="4">
        <v>10069</v>
      </c>
      <c r="G685" s="4">
        <v>119.80000000000001</v>
      </c>
      <c r="H685" s="3">
        <v>3.5333333333333337</v>
      </c>
      <c r="I685" s="3">
        <v>1.7866666666666668</v>
      </c>
    </row>
    <row r="686" spans="1:9" x14ac:dyDescent="0.25">
      <c r="A686" s="9">
        <v>22111</v>
      </c>
      <c r="B686" s="4">
        <v>23</v>
      </c>
      <c r="C686" s="4">
        <v>35</v>
      </c>
      <c r="D686" s="4">
        <v>14</v>
      </c>
      <c r="E686" s="4">
        <v>35</v>
      </c>
      <c r="F686" s="4">
        <v>370</v>
      </c>
      <c r="G686" s="4">
        <v>9.8000000000000007</v>
      </c>
      <c r="H686" s="3">
        <v>3.5</v>
      </c>
      <c r="I686" s="3">
        <v>0.93500000000000005</v>
      </c>
    </row>
    <row r="687" spans="1:9" x14ac:dyDescent="0.25">
      <c r="A687" s="9">
        <v>22113</v>
      </c>
      <c r="B687" s="4">
        <v>91</v>
      </c>
      <c r="C687" s="4">
        <v>69</v>
      </c>
      <c r="D687" s="4">
        <v>6</v>
      </c>
      <c r="E687" s="4">
        <v>69</v>
      </c>
      <c r="F687" s="4">
        <v>1460</v>
      </c>
      <c r="G687" s="4">
        <v>22.3</v>
      </c>
      <c r="H687" s="3">
        <v>4</v>
      </c>
      <c r="I687" s="3">
        <v>1.2749999999999999</v>
      </c>
    </row>
    <row r="688" spans="1:9" x14ac:dyDescent="0.25">
      <c r="A688" s="9">
        <v>22115</v>
      </c>
      <c r="B688" s="4">
        <v>43</v>
      </c>
      <c r="C688" s="4">
        <v>49</v>
      </c>
      <c r="D688" s="4">
        <v>7</v>
      </c>
      <c r="E688" s="4">
        <v>49</v>
      </c>
      <c r="F688" s="4">
        <v>2545</v>
      </c>
      <c r="G688" s="4">
        <v>24.5</v>
      </c>
      <c r="H688" s="3">
        <v>3.5999999999999996</v>
      </c>
      <c r="I688" s="3">
        <v>1.27</v>
      </c>
    </row>
    <row r="689" spans="1:9" x14ac:dyDescent="0.25">
      <c r="A689" s="9">
        <v>22117</v>
      </c>
      <c r="B689" s="4">
        <v>144</v>
      </c>
      <c r="C689" s="4">
        <v>61</v>
      </c>
      <c r="D689" s="4">
        <v>13</v>
      </c>
      <c r="E689" s="4">
        <v>61</v>
      </c>
      <c r="F689" s="4">
        <v>1725</v>
      </c>
      <c r="G689" s="4">
        <v>17.8</v>
      </c>
      <c r="H689" s="3">
        <v>1.8</v>
      </c>
      <c r="I689" s="3">
        <v>1.24</v>
      </c>
    </row>
    <row r="690" spans="1:9" x14ac:dyDescent="0.25">
      <c r="A690" s="9">
        <v>22119</v>
      </c>
      <c r="B690" s="4">
        <v>111</v>
      </c>
      <c r="C690" s="4">
        <v>171</v>
      </c>
      <c r="D690" s="4">
        <v>16</v>
      </c>
      <c r="E690" s="4">
        <v>171</v>
      </c>
      <c r="F690" s="4">
        <v>3233</v>
      </c>
      <c r="G690" s="4">
        <v>32</v>
      </c>
      <c r="H690" s="3">
        <v>3.6</v>
      </c>
      <c r="I690" s="3">
        <v>1.26</v>
      </c>
    </row>
    <row r="691" spans="1:9" x14ac:dyDescent="0.25">
      <c r="A691" s="9">
        <v>22123</v>
      </c>
      <c r="B691" s="4">
        <v>17</v>
      </c>
      <c r="C691" s="4">
        <v>30</v>
      </c>
      <c r="D691" s="4">
        <v>14</v>
      </c>
      <c r="E691" s="4">
        <v>30</v>
      </c>
      <c r="F691" s="4">
        <v>774</v>
      </c>
      <c r="G691" s="4">
        <v>16.5</v>
      </c>
      <c r="H691" s="3">
        <v>7.8</v>
      </c>
      <c r="I691" s="3">
        <v>1.02</v>
      </c>
    </row>
    <row r="692" spans="1:9" x14ac:dyDescent="0.25">
      <c r="A692" s="9">
        <v>22125</v>
      </c>
      <c r="B692" s="4">
        <v>22</v>
      </c>
      <c r="C692" s="4">
        <v>25</v>
      </c>
      <c r="D692" s="4">
        <v>14</v>
      </c>
      <c r="E692" s="4">
        <v>25</v>
      </c>
      <c r="F692" s="4">
        <v>75</v>
      </c>
      <c r="G692" s="4">
        <v>1.8</v>
      </c>
      <c r="H692" s="3">
        <v>3</v>
      </c>
      <c r="I692" s="3">
        <v>1.24</v>
      </c>
    </row>
    <row r="693" spans="1:9" x14ac:dyDescent="0.25">
      <c r="A693" s="9">
        <v>22127</v>
      </c>
      <c r="B693" s="4">
        <v>26</v>
      </c>
      <c r="C693" s="4">
        <v>46</v>
      </c>
      <c r="D693" s="4">
        <v>5</v>
      </c>
      <c r="E693" s="4">
        <v>46</v>
      </c>
      <c r="F693" s="4">
        <v>679</v>
      </c>
      <c r="G693" s="4">
        <v>6.6</v>
      </c>
      <c r="H693" s="3">
        <v>3.6</v>
      </c>
      <c r="I693" s="3">
        <v>0.96</v>
      </c>
    </row>
    <row r="694" spans="1:9" x14ac:dyDescent="0.25">
      <c r="A694" s="9">
        <v>23001</v>
      </c>
      <c r="B694" s="4">
        <v>668</v>
      </c>
      <c r="C694" s="4">
        <v>361</v>
      </c>
      <c r="D694" s="4">
        <v>34</v>
      </c>
      <c r="E694" s="4">
        <v>361</v>
      </c>
      <c r="F694" s="4">
        <v>14409</v>
      </c>
      <c r="G694" s="4">
        <v>169.1</v>
      </c>
      <c r="H694" s="3">
        <v>4.3499999999999996</v>
      </c>
      <c r="I694" s="3">
        <v>1.71</v>
      </c>
    </row>
    <row r="695" spans="1:9" x14ac:dyDescent="0.25">
      <c r="A695" s="9">
        <v>23003</v>
      </c>
      <c r="B695" s="4">
        <v>373</v>
      </c>
      <c r="C695" s="4">
        <v>160</v>
      </c>
      <c r="D695" s="4">
        <v>12</v>
      </c>
      <c r="E695" s="4">
        <v>160</v>
      </c>
      <c r="F695" s="4">
        <v>5802</v>
      </c>
      <c r="G695" s="4">
        <v>79.100000000000009</v>
      </c>
      <c r="H695" s="3">
        <v>4.8</v>
      </c>
      <c r="I695" s="3">
        <v>1.2275</v>
      </c>
    </row>
    <row r="696" spans="1:9" x14ac:dyDescent="0.25">
      <c r="A696" s="9">
        <v>23005</v>
      </c>
      <c r="B696" s="4">
        <v>2284</v>
      </c>
      <c r="C696" s="4">
        <v>795</v>
      </c>
      <c r="D696" s="4">
        <v>50</v>
      </c>
      <c r="E696" s="4">
        <v>1025</v>
      </c>
      <c r="F696" s="4">
        <v>40022</v>
      </c>
      <c r="G696" s="4">
        <v>553</v>
      </c>
      <c r="H696" s="3">
        <v>4.2999999999999989</v>
      </c>
      <c r="I696" s="3">
        <v>1.6475</v>
      </c>
    </row>
    <row r="697" spans="1:9" x14ac:dyDescent="0.25">
      <c r="A697" s="9">
        <v>23007</v>
      </c>
      <c r="B697" s="4">
        <v>116</v>
      </c>
      <c r="C697" s="4">
        <v>48</v>
      </c>
      <c r="D697" s="4">
        <v>5</v>
      </c>
      <c r="E697" s="4">
        <v>48</v>
      </c>
      <c r="F697" s="4">
        <v>2552</v>
      </c>
      <c r="G697" s="4">
        <v>17.3</v>
      </c>
      <c r="H697" s="3">
        <v>2.7</v>
      </c>
      <c r="I697" s="3">
        <v>1.39</v>
      </c>
    </row>
    <row r="698" spans="1:9" x14ac:dyDescent="0.25">
      <c r="A698" s="9">
        <v>23009</v>
      </c>
      <c r="B698" s="4">
        <v>241</v>
      </c>
      <c r="C698" s="4">
        <v>98</v>
      </c>
      <c r="D698" s="4">
        <v>6</v>
      </c>
      <c r="E698" s="4">
        <v>98</v>
      </c>
      <c r="F698" s="4">
        <v>2817</v>
      </c>
      <c r="G698" s="4">
        <v>44.7</v>
      </c>
      <c r="H698" s="3">
        <v>4.2666666666666666</v>
      </c>
      <c r="I698" s="3">
        <v>1.1566666666666665</v>
      </c>
    </row>
    <row r="699" spans="1:9" x14ac:dyDescent="0.25">
      <c r="A699" s="9">
        <v>23011</v>
      </c>
      <c r="B699" s="4">
        <v>742</v>
      </c>
      <c r="C699" s="4">
        <v>205</v>
      </c>
      <c r="D699" s="4">
        <v>16</v>
      </c>
      <c r="E699" s="4">
        <v>205</v>
      </c>
      <c r="F699" s="4">
        <v>12294</v>
      </c>
      <c r="G699" s="4">
        <v>152</v>
      </c>
      <c r="H699" s="3">
        <v>4.45</v>
      </c>
      <c r="I699" s="3">
        <v>1.365</v>
      </c>
    </row>
    <row r="700" spans="1:9" x14ac:dyDescent="0.25">
      <c r="A700" s="9">
        <v>23013</v>
      </c>
      <c r="B700" s="4">
        <v>211</v>
      </c>
      <c r="C700" s="4">
        <v>81</v>
      </c>
      <c r="D700" s="4">
        <v>8</v>
      </c>
      <c r="E700" s="4">
        <v>81</v>
      </c>
      <c r="F700" s="4">
        <v>3083</v>
      </c>
      <c r="G700" s="4">
        <v>45</v>
      </c>
      <c r="H700" s="3">
        <v>5.5</v>
      </c>
      <c r="I700" s="3">
        <v>1.49</v>
      </c>
    </row>
    <row r="701" spans="1:9" x14ac:dyDescent="0.25">
      <c r="A701" s="9">
        <v>23015</v>
      </c>
      <c r="B701" s="4">
        <v>42</v>
      </c>
      <c r="C701" s="4">
        <v>38</v>
      </c>
      <c r="D701" s="4">
        <v>4</v>
      </c>
      <c r="E701" s="4">
        <v>25</v>
      </c>
      <c r="F701" s="4">
        <v>3194</v>
      </c>
      <c r="G701" s="4">
        <v>37.799999999999997</v>
      </c>
      <c r="H701" s="3">
        <v>3.65</v>
      </c>
      <c r="I701" s="3">
        <v>1.19</v>
      </c>
    </row>
    <row r="702" spans="1:9" x14ac:dyDescent="0.25">
      <c r="A702" s="9">
        <v>23017</v>
      </c>
      <c r="B702" s="4">
        <v>106</v>
      </c>
      <c r="C702" s="4">
        <v>50</v>
      </c>
      <c r="D702" s="4">
        <v>4</v>
      </c>
      <c r="E702" s="4">
        <v>50</v>
      </c>
      <c r="F702" s="4">
        <v>2588</v>
      </c>
      <c r="G702" s="4">
        <v>21.799999999999997</v>
      </c>
      <c r="H702" s="3">
        <v>2.2000000000000002</v>
      </c>
      <c r="I702" s="3">
        <v>1.2450000000000001</v>
      </c>
    </row>
    <row r="703" spans="1:9" x14ac:dyDescent="0.25">
      <c r="A703" s="9">
        <v>23019</v>
      </c>
      <c r="B703" s="4">
        <v>1143</v>
      </c>
      <c r="C703" s="4">
        <v>462</v>
      </c>
      <c r="D703" s="4">
        <v>51</v>
      </c>
      <c r="E703" s="4">
        <v>462</v>
      </c>
      <c r="F703" s="4">
        <v>22732</v>
      </c>
      <c r="G703" s="4">
        <v>339.9</v>
      </c>
      <c r="H703" s="3">
        <v>4.1500000000000004</v>
      </c>
      <c r="I703" s="3">
        <v>1.395</v>
      </c>
    </row>
    <row r="704" spans="1:9" x14ac:dyDescent="0.25">
      <c r="A704" s="9">
        <v>23021</v>
      </c>
      <c r="B704" s="4">
        <v>85</v>
      </c>
      <c r="C704" s="4">
        <v>50</v>
      </c>
      <c r="D704" s="4">
        <v>14</v>
      </c>
      <c r="E704" s="4">
        <v>50</v>
      </c>
      <c r="F704" s="4">
        <v>1280</v>
      </c>
      <c r="G704" s="4">
        <v>28.4</v>
      </c>
      <c r="H704" s="3">
        <v>3.1</v>
      </c>
      <c r="I704" s="3">
        <v>1.02</v>
      </c>
    </row>
    <row r="705" spans="1:9" x14ac:dyDescent="0.25">
      <c r="A705" s="9">
        <v>23025</v>
      </c>
      <c r="B705" s="4">
        <v>156</v>
      </c>
      <c r="C705" s="4">
        <v>50</v>
      </c>
      <c r="D705" s="4">
        <v>4</v>
      </c>
      <c r="E705" s="4">
        <v>50</v>
      </c>
      <c r="F705" s="4">
        <v>1874</v>
      </c>
      <c r="G705" s="4">
        <v>22.5</v>
      </c>
      <c r="H705" s="3">
        <v>4.3</v>
      </c>
      <c r="I705" s="3">
        <v>1.155</v>
      </c>
    </row>
    <row r="706" spans="1:9" x14ac:dyDescent="0.25">
      <c r="A706" s="9">
        <v>23027</v>
      </c>
      <c r="B706" s="4">
        <v>104</v>
      </c>
      <c r="C706" s="4">
        <v>25</v>
      </c>
      <c r="D706" s="4">
        <v>4</v>
      </c>
      <c r="E706" s="4">
        <v>25</v>
      </c>
      <c r="F706" s="4">
        <v>1249</v>
      </c>
      <c r="G706" s="4">
        <v>17.899999999999999</v>
      </c>
      <c r="H706" s="3">
        <v>3</v>
      </c>
      <c r="I706" s="3">
        <v>1.29</v>
      </c>
    </row>
    <row r="707" spans="1:9" x14ac:dyDescent="0.25">
      <c r="A707" s="9">
        <v>23029</v>
      </c>
      <c r="B707" s="4">
        <v>96</v>
      </c>
      <c r="C707" s="4">
        <v>50</v>
      </c>
      <c r="D707" s="4">
        <v>14</v>
      </c>
      <c r="E707" s="4">
        <v>50</v>
      </c>
      <c r="F707" s="4">
        <v>1328</v>
      </c>
      <c r="G707" s="4">
        <v>17.8</v>
      </c>
      <c r="H707" s="3">
        <v>3.2</v>
      </c>
      <c r="I707" s="3">
        <v>1.1200000000000001</v>
      </c>
    </row>
    <row r="708" spans="1:9" x14ac:dyDescent="0.25">
      <c r="A708" s="9">
        <v>23031</v>
      </c>
      <c r="B708" s="4">
        <v>690</v>
      </c>
      <c r="C708" s="4">
        <v>206</v>
      </c>
      <c r="D708" s="4">
        <v>14</v>
      </c>
      <c r="E708" s="4">
        <v>206</v>
      </c>
      <c r="F708" s="4">
        <v>12637</v>
      </c>
      <c r="G708" s="4">
        <v>103.4</v>
      </c>
      <c r="H708" s="3">
        <v>3.4</v>
      </c>
      <c r="I708" s="3">
        <v>1.39</v>
      </c>
    </row>
    <row r="709" spans="1:9" x14ac:dyDescent="0.25">
      <c r="A709" s="9">
        <v>24001</v>
      </c>
      <c r="B709" s="4">
        <v>360</v>
      </c>
      <c r="C709" s="4">
        <v>200</v>
      </c>
      <c r="D709" s="4">
        <v>14</v>
      </c>
      <c r="E709" s="4">
        <v>200</v>
      </c>
      <c r="F709" s="4">
        <v>11933</v>
      </c>
      <c r="G709" s="4">
        <v>136.1</v>
      </c>
      <c r="H709" s="3">
        <v>4.4000000000000004</v>
      </c>
      <c r="I709" s="3">
        <v>1.56</v>
      </c>
    </row>
    <row r="710" spans="1:9" x14ac:dyDescent="0.25">
      <c r="A710" s="9">
        <v>24003</v>
      </c>
      <c r="B710" s="4">
        <v>1677</v>
      </c>
      <c r="C710" s="4">
        <v>651</v>
      </c>
      <c r="D710" s="4">
        <v>50</v>
      </c>
      <c r="E710" s="4">
        <v>483</v>
      </c>
      <c r="F710" s="4">
        <v>52315</v>
      </c>
      <c r="G710" s="4">
        <v>475.5</v>
      </c>
      <c r="H710" s="3">
        <v>3.5999999999999996</v>
      </c>
      <c r="I710" s="3">
        <v>1.61</v>
      </c>
    </row>
    <row r="711" spans="1:9" x14ac:dyDescent="0.25">
      <c r="A711" s="9">
        <v>24005</v>
      </c>
      <c r="B711" s="4">
        <v>2336</v>
      </c>
      <c r="C711" s="4">
        <v>1180</v>
      </c>
      <c r="D711" s="4">
        <v>94</v>
      </c>
      <c r="E711" s="4">
        <v>976</v>
      </c>
      <c r="F711" s="4">
        <v>69219</v>
      </c>
      <c r="G711" s="4">
        <v>829.80000000000007</v>
      </c>
      <c r="H711" s="3">
        <v>6.3</v>
      </c>
      <c r="I711" s="3">
        <v>1.5100000000000002</v>
      </c>
    </row>
    <row r="712" spans="1:9" x14ac:dyDescent="0.25">
      <c r="A712" s="9">
        <v>24009</v>
      </c>
      <c r="B712" s="4">
        <v>222</v>
      </c>
      <c r="C712" s="4">
        <v>68</v>
      </c>
      <c r="D712" s="4">
        <v>4</v>
      </c>
      <c r="E712" s="4">
        <v>41</v>
      </c>
      <c r="F712" s="4">
        <v>5452</v>
      </c>
      <c r="G712" s="4">
        <v>50.8</v>
      </c>
      <c r="H712" s="3">
        <v>3.6</v>
      </c>
      <c r="I712" s="3">
        <v>1.42</v>
      </c>
    </row>
    <row r="713" spans="1:9" x14ac:dyDescent="0.25">
      <c r="A713" s="9">
        <v>24013</v>
      </c>
      <c r="B713" s="4">
        <v>348</v>
      </c>
      <c r="C713" s="4">
        <v>153</v>
      </c>
      <c r="D713" s="4">
        <v>12</v>
      </c>
      <c r="E713" s="4">
        <v>153</v>
      </c>
      <c r="F713" s="4">
        <v>10591</v>
      </c>
      <c r="G713" s="4">
        <v>114.5</v>
      </c>
      <c r="H713" s="3">
        <v>4.2</v>
      </c>
      <c r="I713" s="3">
        <v>1.42</v>
      </c>
    </row>
    <row r="714" spans="1:9" x14ac:dyDescent="0.25">
      <c r="A714" s="9">
        <v>24015</v>
      </c>
      <c r="B714" s="4">
        <v>195</v>
      </c>
      <c r="C714" s="4">
        <v>96</v>
      </c>
      <c r="D714" s="4">
        <v>5</v>
      </c>
      <c r="E714" s="4">
        <v>72</v>
      </c>
      <c r="F714" s="4">
        <v>4923</v>
      </c>
      <c r="G714" s="4">
        <v>52.9</v>
      </c>
      <c r="H714" s="3">
        <v>4.2</v>
      </c>
      <c r="I714" s="3">
        <v>1.39</v>
      </c>
    </row>
    <row r="715" spans="1:9" x14ac:dyDescent="0.25">
      <c r="A715" s="9">
        <v>24017</v>
      </c>
      <c r="B715" s="4">
        <v>199</v>
      </c>
      <c r="C715" s="4">
        <v>98</v>
      </c>
      <c r="D715" s="4">
        <v>10</v>
      </c>
      <c r="E715" s="4">
        <v>98</v>
      </c>
      <c r="F715" s="4">
        <v>6424</v>
      </c>
      <c r="G715" s="4">
        <v>70.3</v>
      </c>
      <c r="H715" s="3">
        <v>4.2</v>
      </c>
      <c r="I715" s="3">
        <v>1.44</v>
      </c>
    </row>
    <row r="716" spans="1:9" x14ac:dyDescent="0.25">
      <c r="A716" s="9">
        <v>24019</v>
      </c>
      <c r="B716" s="4">
        <v>19</v>
      </c>
      <c r="C716" s="4">
        <v>49</v>
      </c>
      <c r="D716" s="4">
        <v>14</v>
      </c>
      <c r="E716" s="4">
        <v>49</v>
      </c>
      <c r="F716" s="4">
        <v>1532</v>
      </c>
      <c r="G716" s="4">
        <v>16</v>
      </c>
      <c r="H716" s="3">
        <v>4</v>
      </c>
      <c r="I716" s="3">
        <v>1</v>
      </c>
    </row>
    <row r="717" spans="1:9" x14ac:dyDescent="0.25">
      <c r="A717" s="9">
        <v>24021</v>
      </c>
      <c r="B717" s="4">
        <v>710</v>
      </c>
      <c r="C717" s="4">
        <v>281</v>
      </c>
      <c r="D717" s="4">
        <v>18</v>
      </c>
      <c r="E717" s="4">
        <v>281</v>
      </c>
      <c r="F717" s="4">
        <v>15876</v>
      </c>
      <c r="G717" s="4">
        <v>201.9</v>
      </c>
      <c r="H717" s="3">
        <v>5</v>
      </c>
      <c r="I717" s="3">
        <v>1.53</v>
      </c>
    </row>
    <row r="718" spans="1:9" x14ac:dyDescent="0.25">
      <c r="A718" s="9">
        <v>24023</v>
      </c>
      <c r="B718" s="4">
        <v>95</v>
      </c>
      <c r="C718" s="4">
        <v>27</v>
      </c>
      <c r="D718" s="4">
        <v>2</v>
      </c>
      <c r="E718" s="4">
        <v>27</v>
      </c>
      <c r="F718" s="4">
        <v>1220</v>
      </c>
      <c r="G718" s="4">
        <v>16.2</v>
      </c>
      <c r="H718" s="3">
        <v>5.2</v>
      </c>
      <c r="I718" s="3">
        <v>1.44</v>
      </c>
    </row>
    <row r="719" spans="1:9" x14ac:dyDescent="0.25">
      <c r="A719" s="9">
        <v>24025</v>
      </c>
      <c r="B719" s="4">
        <v>614</v>
      </c>
      <c r="C719" s="4">
        <v>231</v>
      </c>
      <c r="D719" s="4">
        <v>19</v>
      </c>
      <c r="E719" s="4">
        <v>231</v>
      </c>
      <c r="F719" s="4">
        <v>15969</v>
      </c>
      <c r="G719" s="4">
        <v>170.3</v>
      </c>
      <c r="H719" s="3">
        <v>4.25</v>
      </c>
      <c r="I719" s="3">
        <v>1.4650000000000001</v>
      </c>
    </row>
    <row r="720" spans="1:9" x14ac:dyDescent="0.25">
      <c r="A720" s="9">
        <v>24027</v>
      </c>
      <c r="B720" s="4">
        <v>589</v>
      </c>
      <c r="C720" s="4">
        <v>245</v>
      </c>
      <c r="D720" s="4">
        <v>16</v>
      </c>
      <c r="E720" s="4">
        <v>245</v>
      </c>
      <c r="F720" s="4">
        <v>14469</v>
      </c>
      <c r="G720" s="4">
        <v>162</v>
      </c>
      <c r="H720" s="3">
        <v>4.9000000000000004</v>
      </c>
      <c r="I720" s="3">
        <v>1.44</v>
      </c>
    </row>
    <row r="721" spans="1:9" x14ac:dyDescent="0.25">
      <c r="A721" s="9">
        <v>24029</v>
      </c>
      <c r="B721" s="4">
        <v>62</v>
      </c>
      <c r="C721" s="4">
        <v>21</v>
      </c>
      <c r="D721" s="4">
        <v>6</v>
      </c>
      <c r="E721" s="4">
        <v>21</v>
      </c>
      <c r="F721" s="4">
        <v>746</v>
      </c>
      <c r="G721" s="4">
        <v>7.8</v>
      </c>
      <c r="H721" s="3">
        <v>3.8</v>
      </c>
      <c r="I721" s="3">
        <v>1.38</v>
      </c>
    </row>
    <row r="722" spans="1:9" x14ac:dyDescent="0.25">
      <c r="A722" s="9">
        <v>24031</v>
      </c>
      <c r="B722" s="4">
        <v>2417</v>
      </c>
      <c r="C722" s="4">
        <v>1179</v>
      </c>
      <c r="D722" s="4">
        <v>116</v>
      </c>
      <c r="E722" s="4">
        <v>1200</v>
      </c>
      <c r="F722" s="4">
        <v>66384</v>
      </c>
      <c r="G722" s="4">
        <v>809.7</v>
      </c>
      <c r="H722" s="3">
        <v>5.1833333333333327</v>
      </c>
      <c r="I722" s="3">
        <v>1.6766666666666665</v>
      </c>
    </row>
    <row r="723" spans="1:9" x14ac:dyDescent="0.25">
      <c r="A723" s="9">
        <v>24033</v>
      </c>
      <c r="B723" s="4">
        <v>1095</v>
      </c>
      <c r="C723" s="4">
        <v>777</v>
      </c>
      <c r="D723" s="4">
        <v>78</v>
      </c>
      <c r="E723" s="4">
        <v>490</v>
      </c>
      <c r="F723" s="4">
        <v>40522</v>
      </c>
      <c r="G723" s="4">
        <v>575.5</v>
      </c>
      <c r="H723" s="3">
        <v>5.0200000000000005</v>
      </c>
      <c r="I723" s="3">
        <v>1.486</v>
      </c>
    </row>
    <row r="724" spans="1:9" x14ac:dyDescent="0.25">
      <c r="A724" s="9">
        <v>24037</v>
      </c>
      <c r="B724" s="4">
        <v>340</v>
      </c>
      <c r="C724" s="4">
        <v>96</v>
      </c>
      <c r="D724" s="4">
        <v>12</v>
      </c>
      <c r="E724" s="4">
        <v>96</v>
      </c>
      <c r="F724" s="4">
        <v>6385</v>
      </c>
      <c r="G724" s="4">
        <v>65</v>
      </c>
      <c r="H724" s="3">
        <v>4.0999999999999996</v>
      </c>
      <c r="I724" s="3">
        <v>1.38</v>
      </c>
    </row>
    <row r="725" spans="1:9" x14ac:dyDescent="0.25">
      <c r="A725" s="9">
        <v>24039</v>
      </c>
      <c r="B725" s="4">
        <v>80</v>
      </c>
      <c r="C725" s="4">
        <v>49</v>
      </c>
      <c r="D725" s="4">
        <v>14</v>
      </c>
      <c r="E725" s="4">
        <v>49</v>
      </c>
      <c r="F725" s="4">
        <v>172</v>
      </c>
      <c r="G725" s="4">
        <v>1.6</v>
      </c>
      <c r="H725" s="3">
        <v>3.3</v>
      </c>
      <c r="I725" s="3">
        <v>0.94</v>
      </c>
    </row>
    <row r="726" spans="1:9" x14ac:dyDescent="0.25">
      <c r="A726" s="9">
        <v>24041</v>
      </c>
      <c r="B726" s="4">
        <v>399</v>
      </c>
      <c r="C726" s="4">
        <v>162</v>
      </c>
      <c r="D726" s="4">
        <v>16</v>
      </c>
      <c r="E726" s="4">
        <v>48</v>
      </c>
      <c r="F726" s="4">
        <v>8836</v>
      </c>
      <c r="G726" s="4">
        <v>99.3</v>
      </c>
      <c r="H726" s="3">
        <v>4.4000000000000004</v>
      </c>
      <c r="I726" s="3">
        <v>1.44</v>
      </c>
    </row>
    <row r="727" spans="1:9" x14ac:dyDescent="0.25">
      <c r="A727" s="9">
        <v>24043</v>
      </c>
      <c r="B727" s="4">
        <v>475</v>
      </c>
      <c r="C727" s="4">
        <v>254</v>
      </c>
      <c r="D727" s="4">
        <v>17</v>
      </c>
      <c r="E727" s="4">
        <v>215</v>
      </c>
      <c r="F727" s="4">
        <v>15466</v>
      </c>
      <c r="G727" s="4">
        <v>182.9</v>
      </c>
      <c r="H727" s="3">
        <v>4.7</v>
      </c>
      <c r="I727" s="3">
        <v>1.56</v>
      </c>
    </row>
    <row r="728" spans="1:9" x14ac:dyDescent="0.25">
      <c r="A728" s="9">
        <v>24045</v>
      </c>
      <c r="B728" s="4">
        <v>606</v>
      </c>
      <c r="C728" s="4">
        <v>288</v>
      </c>
      <c r="D728" s="4">
        <v>24</v>
      </c>
      <c r="E728" s="4">
        <v>288</v>
      </c>
      <c r="F728" s="4">
        <v>13715</v>
      </c>
      <c r="G728" s="4">
        <v>174.1</v>
      </c>
      <c r="H728" s="3">
        <v>5</v>
      </c>
      <c r="I728" s="3">
        <v>1.79</v>
      </c>
    </row>
    <row r="729" spans="1:9" x14ac:dyDescent="0.25">
      <c r="A729" s="9">
        <v>24047</v>
      </c>
      <c r="B729" s="4">
        <v>160</v>
      </c>
      <c r="C729" s="4">
        <v>48</v>
      </c>
      <c r="D729" s="4">
        <v>6</v>
      </c>
      <c r="E729" s="4">
        <v>32</v>
      </c>
      <c r="F729" s="4">
        <v>3112</v>
      </c>
      <c r="G729" s="4">
        <v>28.7</v>
      </c>
      <c r="H729" s="3">
        <v>3.4</v>
      </c>
      <c r="I729" s="3">
        <v>1.48</v>
      </c>
    </row>
    <row r="730" spans="1:9" x14ac:dyDescent="0.25">
      <c r="A730" s="9">
        <v>24510</v>
      </c>
      <c r="B730" s="4">
        <v>7637</v>
      </c>
      <c r="C730" s="4">
        <v>4009</v>
      </c>
      <c r="D730" s="4">
        <v>377</v>
      </c>
      <c r="E730" s="4">
        <v>3218</v>
      </c>
      <c r="F730" s="4">
        <v>172234</v>
      </c>
      <c r="G730" s="4">
        <v>2963.4000000000005</v>
      </c>
      <c r="H730" s="3">
        <v>7.6833333333333327</v>
      </c>
      <c r="I730" s="3">
        <v>1.7841666666666667</v>
      </c>
    </row>
    <row r="731" spans="1:9" x14ac:dyDescent="0.25">
      <c r="A731" s="9">
        <v>25001</v>
      </c>
      <c r="B731" s="4">
        <v>823</v>
      </c>
      <c r="C731" s="4">
        <v>334</v>
      </c>
      <c r="D731" s="4">
        <v>21</v>
      </c>
      <c r="E731" s="4">
        <v>334</v>
      </c>
      <c r="F731" s="4">
        <v>22578</v>
      </c>
      <c r="G731" s="4">
        <v>236.8</v>
      </c>
      <c r="H731" s="3">
        <v>3.9</v>
      </c>
      <c r="I731" s="3">
        <v>1.7000000000000002</v>
      </c>
    </row>
    <row r="732" spans="1:9" x14ac:dyDescent="0.25">
      <c r="A732" s="9">
        <v>25003</v>
      </c>
      <c r="B732" s="4">
        <v>736</v>
      </c>
      <c r="C732" s="4">
        <v>247</v>
      </c>
      <c r="D732" s="4">
        <v>24</v>
      </c>
      <c r="E732" s="4">
        <v>247</v>
      </c>
      <c r="F732" s="4">
        <v>15303</v>
      </c>
      <c r="G732" s="4">
        <v>181.70000000000002</v>
      </c>
      <c r="H732" s="3">
        <v>3.6666666666666665</v>
      </c>
      <c r="I732" s="3">
        <v>1.4</v>
      </c>
    </row>
    <row r="733" spans="1:9" x14ac:dyDescent="0.25">
      <c r="A733" s="9">
        <v>25005</v>
      </c>
      <c r="B733" s="4">
        <v>1870</v>
      </c>
      <c r="C733" s="4">
        <v>1234</v>
      </c>
      <c r="D733" s="4">
        <v>96</v>
      </c>
      <c r="E733" s="4">
        <v>1118</v>
      </c>
      <c r="F733" s="4">
        <v>55822</v>
      </c>
      <c r="G733" s="4">
        <v>640</v>
      </c>
      <c r="H733" s="3">
        <v>4.1749999999999998</v>
      </c>
      <c r="I733" s="3">
        <v>1.4175</v>
      </c>
    </row>
    <row r="734" spans="1:9" x14ac:dyDescent="0.25">
      <c r="A734" s="9">
        <v>25007</v>
      </c>
      <c r="B734" s="4">
        <v>81</v>
      </c>
      <c r="C734" s="4">
        <v>25</v>
      </c>
      <c r="D734" s="4">
        <v>14</v>
      </c>
      <c r="E734" s="4">
        <v>25</v>
      </c>
      <c r="F734" s="4">
        <v>981</v>
      </c>
      <c r="G734" s="4">
        <v>13.7</v>
      </c>
      <c r="H734" s="3">
        <v>3.2</v>
      </c>
      <c r="I734" s="3">
        <v>1.23</v>
      </c>
    </row>
    <row r="735" spans="1:9" x14ac:dyDescent="0.25">
      <c r="A735" s="9">
        <v>25009</v>
      </c>
      <c r="B735" s="4">
        <v>2653</v>
      </c>
      <c r="C735" s="4">
        <v>1236</v>
      </c>
      <c r="D735" s="4">
        <v>110</v>
      </c>
      <c r="E735" s="4">
        <v>1418</v>
      </c>
      <c r="F735" s="4">
        <v>63958</v>
      </c>
      <c r="G735" s="4">
        <v>697.1</v>
      </c>
      <c r="H735" s="3">
        <v>4.3600000000000012</v>
      </c>
      <c r="I735" s="3">
        <v>1.3839999999999999</v>
      </c>
    </row>
    <row r="736" spans="1:9" x14ac:dyDescent="0.25">
      <c r="A736" s="9">
        <v>25011</v>
      </c>
      <c r="B736" s="4">
        <v>179</v>
      </c>
      <c r="C736" s="4">
        <v>89</v>
      </c>
      <c r="D736" s="4">
        <v>6</v>
      </c>
      <c r="E736" s="4">
        <v>89</v>
      </c>
      <c r="F736" s="4">
        <v>4504</v>
      </c>
      <c r="G736" s="4">
        <v>50.1</v>
      </c>
      <c r="H736" s="3">
        <v>4.3</v>
      </c>
      <c r="I736" s="3">
        <v>1.3</v>
      </c>
    </row>
    <row r="737" spans="1:9" x14ac:dyDescent="0.25">
      <c r="A737" s="9">
        <v>25013</v>
      </c>
      <c r="B737" s="4">
        <v>2551</v>
      </c>
      <c r="C737" s="4">
        <v>1235</v>
      </c>
      <c r="D737" s="4">
        <v>83</v>
      </c>
      <c r="E737" s="4">
        <v>1235</v>
      </c>
      <c r="F737" s="4">
        <v>62203</v>
      </c>
      <c r="G737" s="4">
        <v>807.7</v>
      </c>
      <c r="H737" s="3">
        <v>4.4000000000000004</v>
      </c>
      <c r="I737" s="3">
        <v>1.45</v>
      </c>
    </row>
    <row r="738" spans="1:9" x14ac:dyDescent="0.25">
      <c r="A738" s="9">
        <v>25015</v>
      </c>
      <c r="B738" s="4">
        <v>350</v>
      </c>
      <c r="C738" s="4">
        <v>118</v>
      </c>
      <c r="D738" s="4">
        <v>11</v>
      </c>
      <c r="E738" s="4">
        <v>118</v>
      </c>
      <c r="F738" s="4">
        <v>6714</v>
      </c>
      <c r="G738" s="4">
        <v>69.3</v>
      </c>
      <c r="H738" s="3">
        <v>3.4000000000000004</v>
      </c>
      <c r="I738" s="3">
        <v>1.39</v>
      </c>
    </row>
    <row r="739" spans="1:9" x14ac:dyDescent="0.25">
      <c r="A739" s="9">
        <v>25017</v>
      </c>
      <c r="B739" s="4">
        <v>6373</v>
      </c>
      <c r="C739" s="4">
        <v>2189</v>
      </c>
      <c r="D739" s="4">
        <v>216</v>
      </c>
      <c r="E739" s="4">
        <v>2654</v>
      </c>
      <c r="F739" s="4">
        <v>116409</v>
      </c>
      <c r="G739" s="4">
        <v>1283.8</v>
      </c>
      <c r="H739" s="3">
        <v>4.3272727272727272</v>
      </c>
      <c r="I739" s="3">
        <v>1.4390909090909092</v>
      </c>
    </row>
    <row r="740" spans="1:9" x14ac:dyDescent="0.25">
      <c r="A740" s="9">
        <v>25019</v>
      </c>
      <c r="B740" s="4">
        <v>35</v>
      </c>
      <c r="C740" s="4">
        <v>19</v>
      </c>
      <c r="D740" s="4">
        <v>14</v>
      </c>
      <c r="E740" s="4">
        <v>19</v>
      </c>
      <c r="F740" s="4">
        <v>444</v>
      </c>
      <c r="G740" s="4">
        <v>5</v>
      </c>
      <c r="H740" s="3">
        <v>4.9000000000000004</v>
      </c>
      <c r="I740" s="3">
        <v>1.17</v>
      </c>
    </row>
    <row r="741" spans="1:9" x14ac:dyDescent="0.25">
      <c r="A741" s="9">
        <v>25021</v>
      </c>
      <c r="B741" s="4">
        <v>1682</v>
      </c>
      <c r="C741" s="4">
        <v>699</v>
      </c>
      <c r="D741" s="4">
        <v>59</v>
      </c>
      <c r="E741" s="4">
        <v>699</v>
      </c>
      <c r="F741" s="4">
        <v>48174</v>
      </c>
      <c r="G741" s="4">
        <v>535.29999999999995</v>
      </c>
      <c r="H741" s="3">
        <v>4.0999999999999996</v>
      </c>
      <c r="I741" s="3">
        <v>1.4075</v>
      </c>
    </row>
    <row r="742" spans="1:9" x14ac:dyDescent="0.25">
      <c r="A742" s="9">
        <v>25023</v>
      </c>
      <c r="B742" s="4">
        <v>1265</v>
      </c>
      <c r="C742" s="4">
        <v>569</v>
      </c>
      <c r="D742" s="4">
        <v>47</v>
      </c>
      <c r="E742" s="4">
        <v>587</v>
      </c>
      <c r="F742" s="4">
        <v>36636</v>
      </c>
      <c r="G742" s="4">
        <v>410.4</v>
      </c>
      <c r="H742" s="3">
        <v>4.3999999999999995</v>
      </c>
      <c r="I742" s="3">
        <v>1.4400000000000002</v>
      </c>
    </row>
    <row r="743" spans="1:9" x14ac:dyDescent="0.25">
      <c r="A743" s="9">
        <v>25025</v>
      </c>
      <c r="B743" s="4">
        <v>11162</v>
      </c>
      <c r="C743" s="4">
        <v>3892</v>
      </c>
      <c r="D743" s="4">
        <v>324</v>
      </c>
      <c r="E743" s="4">
        <v>3892</v>
      </c>
      <c r="F743" s="4">
        <v>209617</v>
      </c>
      <c r="G743" s="4">
        <v>3238.5</v>
      </c>
      <c r="H743" s="3">
        <v>36.083333333333336</v>
      </c>
      <c r="I743" s="3">
        <v>2.0700000000000003</v>
      </c>
    </row>
    <row r="744" spans="1:9" x14ac:dyDescent="0.25">
      <c r="A744" s="9">
        <v>25027</v>
      </c>
      <c r="B744" s="4">
        <v>3713</v>
      </c>
      <c r="C744" s="4">
        <v>1530</v>
      </c>
      <c r="D744" s="4">
        <v>119</v>
      </c>
      <c r="E744" s="4">
        <v>1693</v>
      </c>
      <c r="F744" s="4">
        <v>86795</v>
      </c>
      <c r="G744" s="4">
        <v>1087.7</v>
      </c>
      <c r="H744" s="3">
        <v>4.13</v>
      </c>
      <c r="I744" s="3">
        <v>1.3575000000000002</v>
      </c>
    </row>
    <row r="745" spans="1:9" x14ac:dyDescent="0.25">
      <c r="A745" s="9">
        <v>26003</v>
      </c>
      <c r="B745" s="4">
        <v>13</v>
      </c>
      <c r="C745" s="4">
        <v>11</v>
      </c>
      <c r="D745" s="4">
        <v>14</v>
      </c>
      <c r="E745" s="4">
        <v>11</v>
      </c>
      <c r="F745" s="4">
        <v>86</v>
      </c>
      <c r="G745" s="4">
        <v>1.2</v>
      </c>
      <c r="H745" s="3">
        <v>46.7</v>
      </c>
      <c r="I745" s="3">
        <v>0.97</v>
      </c>
    </row>
    <row r="746" spans="1:9" x14ac:dyDescent="0.25">
      <c r="A746" s="9">
        <v>26005</v>
      </c>
      <c r="B746" s="4">
        <v>56</v>
      </c>
      <c r="C746" s="4">
        <v>25</v>
      </c>
      <c r="D746" s="4">
        <v>14</v>
      </c>
      <c r="E746" s="4">
        <v>25</v>
      </c>
      <c r="F746" s="4">
        <v>672</v>
      </c>
      <c r="G746" s="4">
        <v>6.2</v>
      </c>
      <c r="H746" s="3">
        <v>3.4</v>
      </c>
      <c r="I746" s="3">
        <v>1.19</v>
      </c>
    </row>
    <row r="747" spans="1:9" x14ac:dyDescent="0.25">
      <c r="A747" s="9">
        <v>26007</v>
      </c>
      <c r="B747" s="4">
        <v>189</v>
      </c>
      <c r="C747" s="4">
        <v>128</v>
      </c>
      <c r="D747" s="4">
        <v>9</v>
      </c>
      <c r="E747" s="4">
        <v>128</v>
      </c>
      <c r="F747" s="4">
        <v>4362</v>
      </c>
      <c r="G747" s="4">
        <v>41.7</v>
      </c>
      <c r="H747" s="3">
        <v>3.7</v>
      </c>
      <c r="I747" s="3">
        <v>1.48</v>
      </c>
    </row>
    <row r="748" spans="1:9" x14ac:dyDescent="0.25">
      <c r="A748" s="9">
        <v>26011</v>
      </c>
      <c r="B748" s="4">
        <v>28</v>
      </c>
      <c r="C748" s="4">
        <v>25</v>
      </c>
      <c r="D748" s="4">
        <v>5</v>
      </c>
      <c r="E748" s="4">
        <v>25</v>
      </c>
      <c r="F748" s="4">
        <v>595</v>
      </c>
      <c r="G748" s="4">
        <v>4.0999999999999996</v>
      </c>
      <c r="H748" s="3">
        <v>2.4</v>
      </c>
      <c r="I748" s="3">
        <v>1.1100000000000001</v>
      </c>
    </row>
    <row r="749" spans="1:9" x14ac:dyDescent="0.25">
      <c r="A749" s="9">
        <v>26013</v>
      </c>
      <c r="B749" s="4">
        <v>22</v>
      </c>
      <c r="C749" s="4">
        <v>24</v>
      </c>
      <c r="D749" s="4">
        <v>14</v>
      </c>
      <c r="E749" s="4">
        <v>15</v>
      </c>
      <c r="F749" s="4">
        <v>331</v>
      </c>
      <c r="G749" s="4">
        <v>4.5999999999999996</v>
      </c>
      <c r="H749" s="3">
        <v>4.4000000000000004</v>
      </c>
      <c r="I749" s="3">
        <v>1.06</v>
      </c>
    </row>
    <row r="750" spans="1:9" x14ac:dyDescent="0.25">
      <c r="A750" s="9">
        <v>26015</v>
      </c>
      <c r="B750" s="4">
        <v>108</v>
      </c>
      <c r="C750" s="4">
        <v>25</v>
      </c>
      <c r="D750" s="4">
        <v>6</v>
      </c>
      <c r="E750" s="4">
        <v>25</v>
      </c>
      <c r="F750" s="4">
        <v>1878</v>
      </c>
      <c r="G750" s="4">
        <v>13.1</v>
      </c>
      <c r="H750" s="3">
        <v>3.3</v>
      </c>
      <c r="I750" s="3">
        <v>1.37</v>
      </c>
    </row>
    <row r="751" spans="1:9" x14ac:dyDescent="0.25">
      <c r="A751" s="9">
        <v>26017</v>
      </c>
      <c r="B751" s="4">
        <v>356</v>
      </c>
      <c r="C751" s="4">
        <v>291</v>
      </c>
      <c r="D751" s="4">
        <v>32</v>
      </c>
      <c r="E751" s="4">
        <v>291</v>
      </c>
      <c r="F751" s="4">
        <v>14681</v>
      </c>
      <c r="G751" s="4">
        <v>180.4</v>
      </c>
      <c r="H751" s="3">
        <v>4.4000000000000004</v>
      </c>
      <c r="I751" s="3">
        <v>1.77</v>
      </c>
    </row>
    <row r="752" spans="1:9" x14ac:dyDescent="0.25">
      <c r="A752" s="9">
        <v>26019</v>
      </c>
      <c r="B752" s="4">
        <v>20</v>
      </c>
      <c r="C752" s="4">
        <v>8</v>
      </c>
      <c r="D752" s="4">
        <v>14</v>
      </c>
      <c r="E752" s="4">
        <v>8</v>
      </c>
      <c r="F752" s="4">
        <v>1</v>
      </c>
      <c r="G752" s="4">
        <v>0.1</v>
      </c>
      <c r="H752" s="3">
        <v>5</v>
      </c>
      <c r="I752" s="3">
        <v>0.79</v>
      </c>
    </row>
    <row r="753" spans="1:9" x14ac:dyDescent="0.25">
      <c r="A753" s="9">
        <v>26021</v>
      </c>
      <c r="B753" s="4">
        <v>574</v>
      </c>
      <c r="C753" s="4">
        <v>290</v>
      </c>
      <c r="D753" s="4">
        <v>20</v>
      </c>
      <c r="E753" s="4">
        <v>222</v>
      </c>
      <c r="F753" s="4">
        <v>15369</v>
      </c>
      <c r="G753" s="4">
        <v>140.70000000000002</v>
      </c>
      <c r="H753" s="3">
        <v>10.9</v>
      </c>
      <c r="I753" s="3">
        <v>1.4750000000000001</v>
      </c>
    </row>
    <row r="754" spans="1:9" x14ac:dyDescent="0.25">
      <c r="A754" s="9">
        <v>26023</v>
      </c>
      <c r="B754" s="4">
        <v>99</v>
      </c>
      <c r="C754" s="4">
        <v>87</v>
      </c>
      <c r="D754" s="4">
        <v>10</v>
      </c>
      <c r="E754" s="4">
        <v>87</v>
      </c>
      <c r="F754" s="4">
        <v>2927</v>
      </c>
      <c r="G754" s="4">
        <v>31.3</v>
      </c>
      <c r="H754" s="3">
        <v>4</v>
      </c>
      <c r="I754" s="3">
        <v>1.22</v>
      </c>
    </row>
    <row r="755" spans="1:9" x14ac:dyDescent="0.25">
      <c r="A755" s="9">
        <v>26025</v>
      </c>
      <c r="B755" s="4">
        <v>465</v>
      </c>
      <c r="C755" s="4">
        <v>237</v>
      </c>
      <c r="D755" s="4">
        <v>32</v>
      </c>
      <c r="E755" s="4">
        <v>237</v>
      </c>
      <c r="F755" s="4">
        <v>12207</v>
      </c>
      <c r="G755" s="4">
        <v>118.6</v>
      </c>
      <c r="H755" s="3">
        <v>3.45</v>
      </c>
      <c r="I755" s="3">
        <v>1.6400000000000001</v>
      </c>
    </row>
    <row r="756" spans="1:9" x14ac:dyDescent="0.25">
      <c r="A756" s="9">
        <v>26027</v>
      </c>
      <c r="B756" s="4">
        <v>38</v>
      </c>
      <c r="C756" s="4">
        <v>25</v>
      </c>
      <c r="D756" s="4">
        <v>14</v>
      </c>
      <c r="E756" s="4">
        <v>25</v>
      </c>
      <c r="F756" s="4">
        <v>303</v>
      </c>
      <c r="G756" s="4">
        <v>2.5</v>
      </c>
      <c r="H756" s="3">
        <v>2.1</v>
      </c>
      <c r="I756" s="3">
        <v>1.29</v>
      </c>
    </row>
    <row r="757" spans="1:9" x14ac:dyDescent="0.25">
      <c r="A757" s="9">
        <v>26029</v>
      </c>
      <c r="B757" s="4">
        <v>59</v>
      </c>
      <c r="C757" s="4">
        <v>25</v>
      </c>
      <c r="D757" s="4">
        <v>14</v>
      </c>
      <c r="E757" s="4">
        <v>25</v>
      </c>
      <c r="F757" s="4">
        <v>1096</v>
      </c>
      <c r="G757" s="4">
        <v>6.2</v>
      </c>
      <c r="H757" s="3">
        <v>2.1</v>
      </c>
      <c r="I757" s="3">
        <v>1.66</v>
      </c>
    </row>
    <row r="758" spans="1:9" x14ac:dyDescent="0.25">
      <c r="A758" s="9">
        <v>26031</v>
      </c>
      <c r="B758" s="4">
        <v>80</v>
      </c>
      <c r="C758" s="4">
        <v>49</v>
      </c>
      <c r="D758" s="4">
        <v>14</v>
      </c>
      <c r="E758" s="4">
        <v>49</v>
      </c>
      <c r="F758" s="4">
        <v>1384</v>
      </c>
      <c r="G758" s="4">
        <v>8.4</v>
      </c>
      <c r="H758" s="3">
        <v>2.2999999999999998</v>
      </c>
      <c r="I758" s="3">
        <v>1</v>
      </c>
    </row>
    <row r="759" spans="1:9" x14ac:dyDescent="0.25">
      <c r="A759" s="9">
        <v>26033</v>
      </c>
      <c r="B759" s="4">
        <v>110</v>
      </c>
      <c r="C759" s="4">
        <v>49</v>
      </c>
      <c r="D759" s="4">
        <v>6</v>
      </c>
      <c r="E759" s="4">
        <v>49</v>
      </c>
      <c r="F759" s="4">
        <v>2449</v>
      </c>
      <c r="G759" s="4">
        <v>24.7</v>
      </c>
      <c r="H759" s="3">
        <v>3.9</v>
      </c>
      <c r="I759" s="3">
        <v>1.35</v>
      </c>
    </row>
    <row r="760" spans="1:9" x14ac:dyDescent="0.25">
      <c r="A760" s="9">
        <v>26035</v>
      </c>
      <c r="B760" s="4">
        <v>79</v>
      </c>
      <c r="C760" s="4">
        <v>49</v>
      </c>
      <c r="D760" s="4">
        <v>14</v>
      </c>
      <c r="E760" s="4">
        <v>49</v>
      </c>
      <c r="F760" s="4">
        <v>952</v>
      </c>
      <c r="G760" s="4">
        <v>7.3</v>
      </c>
      <c r="H760" s="3">
        <v>2.8</v>
      </c>
      <c r="I760" s="3">
        <v>1.27</v>
      </c>
    </row>
    <row r="761" spans="1:9" x14ac:dyDescent="0.25">
      <c r="A761" s="9">
        <v>26037</v>
      </c>
      <c r="B761" s="4">
        <v>35</v>
      </c>
      <c r="C761" s="4">
        <v>25</v>
      </c>
      <c r="D761" s="4">
        <v>2</v>
      </c>
      <c r="E761" s="4">
        <v>25</v>
      </c>
      <c r="F761" s="4">
        <v>787</v>
      </c>
      <c r="G761" s="4">
        <v>7.1</v>
      </c>
      <c r="H761" s="3">
        <v>3.3</v>
      </c>
      <c r="I761" s="3">
        <v>1.17</v>
      </c>
    </row>
    <row r="762" spans="1:9" x14ac:dyDescent="0.25">
      <c r="A762" s="9">
        <v>26039</v>
      </c>
      <c r="B762" s="4">
        <v>100</v>
      </c>
      <c r="C762" s="4">
        <v>49</v>
      </c>
      <c r="D762" s="4">
        <v>6</v>
      </c>
      <c r="E762" s="4">
        <v>49</v>
      </c>
      <c r="F762" s="4">
        <v>2284</v>
      </c>
      <c r="G762" s="4">
        <v>18.100000000000001</v>
      </c>
      <c r="H762" s="3">
        <v>3.1</v>
      </c>
      <c r="I762" s="3">
        <v>1.38</v>
      </c>
    </row>
    <row r="763" spans="1:9" x14ac:dyDescent="0.25">
      <c r="A763" s="9">
        <v>26041</v>
      </c>
      <c r="B763" s="4">
        <v>98</v>
      </c>
      <c r="C763" s="4">
        <v>25</v>
      </c>
      <c r="D763" s="4">
        <v>9</v>
      </c>
      <c r="E763" s="4">
        <v>25</v>
      </c>
      <c r="F763" s="4">
        <v>2264</v>
      </c>
      <c r="G763" s="4">
        <v>9.6999999999999993</v>
      </c>
      <c r="H763" s="3">
        <v>1.6</v>
      </c>
      <c r="I763" s="3">
        <v>1.27</v>
      </c>
    </row>
    <row r="764" spans="1:9" x14ac:dyDescent="0.25">
      <c r="A764" s="9">
        <v>26043</v>
      </c>
      <c r="B764" s="4">
        <v>115</v>
      </c>
      <c r="C764" s="4">
        <v>39</v>
      </c>
      <c r="D764" s="4">
        <v>6</v>
      </c>
      <c r="E764" s="4">
        <v>39</v>
      </c>
      <c r="F764" s="4">
        <v>2325</v>
      </c>
      <c r="G764" s="4">
        <v>20.100000000000001</v>
      </c>
      <c r="H764" s="3">
        <v>3.5</v>
      </c>
      <c r="I764" s="3">
        <v>1.56</v>
      </c>
    </row>
    <row r="765" spans="1:9" x14ac:dyDescent="0.25">
      <c r="A765" s="9">
        <v>26045</v>
      </c>
      <c r="B765" s="4">
        <v>98</v>
      </c>
      <c r="C765" s="4">
        <v>45</v>
      </c>
      <c r="D765" s="4">
        <v>14</v>
      </c>
      <c r="E765" s="4">
        <v>45</v>
      </c>
      <c r="F765" s="4">
        <v>1092</v>
      </c>
      <c r="G765" s="4">
        <v>9.5</v>
      </c>
      <c r="H765" s="3">
        <v>1.85</v>
      </c>
      <c r="I765" s="3">
        <v>1.125</v>
      </c>
    </row>
    <row r="766" spans="1:9" x14ac:dyDescent="0.25">
      <c r="A766" s="9">
        <v>26047</v>
      </c>
      <c r="B766" s="4">
        <v>313</v>
      </c>
      <c r="C766" s="4">
        <v>170</v>
      </c>
      <c r="D766" s="4">
        <v>18</v>
      </c>
      <c r="E766" s="4">
        <v>170</v>
      </c>
      <c r="F766" s="4">
        <v>9131</v>
      </c>
      <c r="G766" s="4">
        <v>90.4</v>
      </c>
      <c r="H766" s="3">
        <v>3.7</v>
      </c>
      <c r="I766" s="3">
        <v>1.91</v>
      </c>
    </row>
    <row r="767" spans="1:9" x14ac:dyDescent="0.25">
      <c r="A767" s="9">
        <v>26049</v>
      </c>
      <c r="B767" s="4">
        <v>1449</v>
      </c>
      <c r="C767" s="4">
        <v>1025</v>
      </c>
      <c r="D767" s="4">
        <v>109</v>
      </c>
      <c r="E767" s="4">
        <v>1025</v>
      </c>
      <c r="F767" s="4">
        <v>54800</v>
      </c>
      <c r="G767" s="4">
        <v>698.6</v>
      </c>
      <c r="H767" s="3">
        <v>4.8000000000000007</v>
      </c>
      <c r="I767" s="3">
        <v>1.7666666666666668</v>
      </c>
    </row>
    <row r="768" spans="1:9" x14ac:dyDescent="0.25">
      <c r="A768" s="9">
        <v>26051</v>
      </c>
      <c r="B768" s="4">
        <v>43</v>
      </c>
      <c r="C768" s="4">
        <v>25</v>
      </c>
      <c r="D768" s="4">
        <v>14</v>
      </c>
      <c r="E768" s="4">
        <v>25</v>
      </c>
      <c r="F768" s="4">
        <v>442</v>
      </c>
      <c r="G768" s="4">
        <v>3.1</v>
      </c>
      <c r="H768" s="3">
        <v>2.5</v>
      </c>
      <c r="I768" s="3">
        <v>1.1399999999999999</v>
      </c>
    </row>
    <row r="769" spans="1:9" x14ac:dyDescent="0.25">
      <c r="A769" s="9">
        <v>26053</v>
      </c>
      <c r="B769" s="4">
        <v>71</v>
      </c>
      <c r="C769" s="4">
        <v>25</v>
      </c>
      <c r="D769" s="4">
        <v>5</v>
      </c>
      <c r="E769" s="4">
        <v>25</v>
      </c>
      <c r="F769" s="4">
        <v>868</v>
      </c>
      <c r="G769" s="4">
        <v>9</v>
      </c>
      <c r="H769" s="3">
        <v>3.5</v>
      </c>
      <c r="I769" s="3">
        <v>1.3</v>
      </c>
    </row>
    <row r="770" spans="1:9" x14ac:dyDescent="0.25">
      <c r="A770" s="9">
        <v>26055</v>
      </c>
      <c r="B770" s="4">
        <v>777</v>
      </c>
      <c r="C770" s="4">
        <v>409</v>
      </c>
      <c r="D770" s="4">
        <v>20</v>
      </c>
      <c r="E770" s="4">
        <v>409</v>
      </c>
      <c r="F770" s="4">
        <v>21759</v>
      </c>
      <c r="G770" s="4">
        <v>241.9</v>
      </c>
      <c r="H770" s="3">
        <v>4.2</v>
      </c>
      <c r="I770" s="3">
        <v>1.89</v>
      </c>
    </row>
    <row r="771" spans="1:9" x14ac:dyDescent="0.25">
      <c r="A771" s="9">
        <v>26057</v>
      </c>
      <c r="B771" s="4">
        <v>164</v>
      </c>
      <c r="C771" s="4">
        <v>49</v>
      </c>
      <c r="D771" s="4">
        <v>14</v>
      </c>
      <c r="E771" s="4">
        <v>49</v>
      </c>
      <c r="F771" s="4">
        <v>3349</v>
      </c>
      <c r="G771" s="4">
        <v>27.3</v>
      </c>
      <c r="H771" s="3">
        <v>3.3</v>
      </c>
      <c r="I771" s="3">
        <v>1.37</v>
      </c>
    </row>
    <row r="772" spans="1:9" x14ac:dyDescent="0.25">
      <c r="A772" s="9">
        <v>26059</v>
      </c>
      <c r="B772" s="4">
        <v>91</v>
      </c>
      <c r="C772" s="4">
        <v>44</v>
      </c>
      <c r="D772" s="4">
        <v>4</v>
      </c>
      <c r="E772" s="4">
        <v>44</v>
      </c>
      <c r="F772" s="4">
        <v>1981</v>
      </c>
      <c r="G772" s="4">
        <v>12.2</v>
      </c>
      <c r="H772" s="3">
        <v>2.5</v>
      </c>
      <c r="I772" s="3">
        <v>1.4</v>
      </c>
    </row>
    <row r="773" spans="1:9" x14ac:dyDescent="0.25">
      <c r="A773" s="9">
        <v>26061</v>
      </c>
      <c r="B773" s="4">
        <v>140</v>
      </c>
      <c r="C773" s="4">
        <v>61</v>
      </c>
      <c r="D773" s="4">
        <v>5</v>
      </c>
      <c r="E773" s="4">
        <v>61</v>
      </c>
      <c r="F773" s="4">
        <v>2362</v>
      </c>
      <c r="G773" s="4">
        <v>17.600000000000001</v>
      </c>
      <c r="H773" s="3">
        <v>2.8499999999999996</v>
      </c>
      <c r="I773" s="3">
        <v>1.4449999999999998</v>
      </c>
    </row>
    <row r="774" spans="1:9" x14ac:dyDescent="0.25">
      <c r="A774" s="9">
        <v>26063</v>
      </c>
      <c r="B774" s="4">
        <v>105</v>
      </c>
      <c r="C774" s="4">
        <v>73</v>
      </c>
      <c r="D774" s="4">
        <v>4</v>
      </c>
      <c r="E774" s="4">
        <v>73</v>
      </c>
      <c r="F774" s="4">
        <v>1621</v>
      </c>
      <c r="G774" s="4">
        <v>15.3</v>
      </c>
      <c r="H774" s="3">
        <v>2.7666666666666671</v>
      </c>
      <c r="I774" s="3">
        <v>1.3266666666666664</v>
      </c>
    </row>
    <row r="775" spans="1:9" x14ac:dyDescent="0.25">
      <c r="A775" s="9">
        <v>26065</v>
      </c>
      <c r="B775" s="4">
        <v>1633</v>
      </c>
      <c r="C775" s="4">
        <v>773</v>
      </c>
      <c r="D775" s="4">
        <v>115</v>
      </c>
      <c r="E775" s="4">
        <v>895</v>
      </c>
      <c r="F775" s="4">
        <v>43869</v>
      </c>
      <c r="G775" s="4">
        <v>496.6</v>
      </c>
      <c r="H775" s="3">
        <v>4.25</v>
      </c>
      <c r="I775" s="3">
        <v>1.73</v>
      </c>
    </row>
    <row r="776" spans="1:9" x14ac:dyDescent="0.25">
      <c r="A776" s="9">
        <v>26067</v>
      </c>
      <c r="B776" s="4">
        <v>50</v>
      </c>
      <c r="C776" s="4">
        <v>22</v>
      </c>
      <c r="D776" s="4">
        <v>2</v>
      </c>
      <c r="E776" s="4">
        <v>22</v>
      </c>
      <c r="F776" s="4">
        <v>779</v>
      </c>
      <c r="G776" s="4">
        <v>6.3</v>
      </c>
      <c r="H776" s="3">
        <v>3</v>
      </c>
      <c r="I776" s="3">
        <v>1.23</v>
      </c>
    </row>
    <row r="777" spans="1:9" x14ac:dyDescent="0.25">
      <c r="A777" s="9">
        <v>26069</v>
      </c>
      <c r="B777" s="4">
        <v>68</v>
      </c>
      <c r="C777" s="4">
        <v>47</v>
      </c>
      <c r="D777" s="4">
        <v>4</v>
      </c>
      <c r="E777" s="4">
        <v>47</v>
      </c>
      <c r="F777" s="4">
        <v>1705</v>
      </c>
      <c r="G777" s="4">
        <v>9.4</v>
      </c>
      <c r="H777" s="3">
        <v>2.2000000000000002</v>
      </c>
      <c r="I777" s="3">
        <v>1.3</v>
      </c>
    </row>
    <row r="778" spans="1:9" x14ac:dyDescent="0.25">
      <c r="A778" s="9">
        <v>26071</v>
      </c>
      <c r="B778" s="4">
        <v>47</v>
      </c>
      <c r="C778" s="4">
        <v>25</v>
      </c>
      <c r="D778" s="4">
        <v>3</v>
      </c>
      <c r="E778" s="4">
        <v>25</v>
      </c>
      <c r="F778" s="4">
        <v>597</v>
      </c>
      <c r="G778" s="4">
        <v>6.2</v>
      </c>
      <c r="H778" s="3">
        <v>3.4</v>
      </c>
      <c r="I778" s="3">
        <v>1.27</v>
      </c>
    </row>
    <row r="779" spans="1:9" x14ac:dyDescent="0.25">
      <c r="A779" s="9">
        <v>26073</v>
      </c>
      <c r="B779" s="4">
        <v>107</v>
      </c>
      <c r="C779" s="4">
        <v>90</v>
      </c>
      <c r="D779" s="4">
        <v>8</v>
      </c>
      <c r="E779" s="4">
        <v>90</v>
      </c>
      <c r="F779" s="4">
        <v>3138</v>
      </c>
      <c r="G779" s="4">
        <v>20.3</v>
      </c>
      <c r="H779" s="3">
        <v>2.7</v>
      </c>
      <c r="I779" s="3">
        <v>1.41</v>
      </c>
    </row>
    <row r="780" spans="1:9" x14ac:dyDescent="0.25">
      <c r="A780" s="9">
        <v>26075</v>
      </c>
      <c r="B780" s="4">
        <v>576</v>
      </c>
      <c r="C780" s="4">
        <v>313</v>
      </c>
      <c r="D780" s="4">
        <v>34</v>
      </c>
      <c r="E780" s="4">
        <v>425</v>
      </c>
      <c r="F780" s="4">
        <v>18252</v>
      </c>
      <c r="G780" s="4">
        <v>207.5</v>
      </c>
      <c r="H780" s="3">
        <v>4.2</v>
      </c>
      <c r="I780" s="3">
        <v>1.7</v>
      </c>
    </row>
    <row r="781" spans="1:9" x14ac:dyDescent="0.25">
      <c r="A781" s="9">
        <v>26077</v>
      </c>
      <c r="B781" s="4">
        <v>1456</v>
      </c>
      <c r="C781" s="4">
        <v>721</v>
      </c>
      <c r="D781" s="4">
        <v>70</v>
      </c>
      <c r="E781" s="4">
        <v>721</v>
      </c>
      <c r="F781" s="4">
        <v>42013</v>
      </c>
      <c r="G781" s="4">
        <v>441.1</v>
      </c>
      <c r="H781" s="3">
        <v>4</v>
      </c>
      <c r="I781" s="3">
        <v>1.9449999999999998</v>
      </c>
    </row>
    <row r="782" spans="1:9" x14ac:dyDescent="0.25">
      <c r="A782" s="9">
        <v>26079</v>
      </c>
      <c r="B782" s="4">
        <v>41</v>
      </c>
      <c r="C782" s="4">
        <v>8</v>
      </c>
      <c r="D782" s="4">
        <v>14</v>
      </c>
      <c r="E782" s="4">
        <v>8</v>
      </c>
      <c r="F782" s="4">
        <v>161</v>
      </c>
      <c r="G782" s="4">
        <v>1.5</v>
      </c>
      <c r="H782" s="3">
        <v>2.6</v>
      </c>
      <c r="I782" s="3">
        <v>0.94</v>
      </c>
    </row>
    <row r="783" spans="1:9" x14ac:dyDescent="0.25">
      <c r="A783" s="9">
        <v>26081</v>
      </c>
      <c r="B783" s="4">
        <v>3853</v>
      </c>
      <c r="C783" s="4">
        <v>1557</v>
      </c>
      <c r="D783" s="4">
        <v>142</v>
      </c>
      <c r="E783" s="4">
        <v>1805</v>
      </c>
      <c r="F783" s="4">
        <v>95727</v>
      </c>
      <c r="G783" s="4">
        <v>1062.9000000000001</v>
      </c>
      <c r="H783" s="3">
        <v>3.9666666666666668</v>
      </c>
      <c r="I783" s="3">
        <v>1.9366666666666665</v>
      </c>
    </row>
    <row r="784" spans="1:9" x14ac:dyDescent="0.25">
      <c r="A784" s="9">
        <v>26087</v>
      </c>
      <c r="B784" s="4">
        <v>138</v>
      </c>
      <c r="C784" s="4">
        <v>116</v>
      </c>
      <c r="D784" s="4">
        <v>10</v>
      </c>
      <c r="E784" s="4">
        <v>116</v>
      </c>
      <c r="F784" s="4">
        <v>5547</v>
      </c>
      <c r="G784" s="4">
        <v>61.2</v>
      </c>
      <c r="H784" s="3">
        <v>4.0999999999999996</v>
      </c>
      <c r="I784" s="3">
        <v>1.64</v>
      </c>
    </row>
    <row r="785" spans="1:9" x14ac:dyDescent="0.25">
      <c r="A785" s="9">
        <v>26091</v>
      </c>
      <c r="B785" s="4">
        <v>191</v>
      </c>
      <c r="C785" s="4">
        <v>113</v>
      </c>
      <c r="D785" s="4">
        <v>9</v>
      </c>
      <c r="E785" s="4">
        <v>113</v>
      </c>
      <c r="F785" s="4">
        <v>3329</v>
      </c>
      <c r="G785" s="4">
        <v>28.7</v>
      </c>
      <c r="H785" s="3">
        <v>2.85</v>
      </c>
      <c r="I785" s="3">
        <v>1.29</v>
      </c>
    </row>
    <row r="786" spans="1:9" x14ac:dyDescent="0.25">
      <c r="A786" s="9">
        <v>26093</v>
      </c>
      <c r="B786" s="4">
        <v>211</v>
      </c>
      <c r="C786" s="4">
        <v>142</v>
      </c>
      <c r="D786" s="4">
        <v>8</v>
      </c>
      <c r="E786" s="4">
        <v>142</v>
      </c>
      <c r="F786" s="4">
        <v>5010</v>
      </c>
      <c r="G786" s="4">
        <v>68.900000000000006</v>
      </c>
      <c r="H786" s="3">
        <v>5.25</v>
      </c>
      <c r="I786" s="3">
        <v>1.3199999999999998</v>
      </c>
    </row>
    <row r="787" spans="1:9" x14ac:dyDescent="0.25">
      <c r="A787" s="9">
        <v>26095</v>
      </c>
      <c r="B787" s="4">
        <v>27</v>
      </c>
      <c r="C787" s="4">
        <v>25</v>
      </c>
      <c r="D787" s="4">
        <v>14</v>
      </c>
      <c r="E787" s="4">
        <v>25</v>
      </c>
      <c r="F787" s="4">
        <v>325</v>
      </c>
      <c r="G787" s="4">
        <v>4.8</v>
      </c>
      <c r="H787" s="3">
        <v>3</v>
      </c>
      <c r="I787" s="3">
        <v>1.08</v>
      </c>
    </row>
    <row r="788" spans="1:9" x14ac:dyDescent="0.25">
      <c r="A788" s="9">
        <v>26097</v>
      </c>
      <c r="B788" s="4">
        <v>34</v>
      </c>
      <c r="C788" s="4">
        <v>15</v>
      </c>
      <c r="D788" s="4">
        <v>14</v>
      </c>
      <c r="E788" s="4">
        <v>15</v>
      </c>
      <c r="F788" s="4">
        <v>254</v>
      </c>
      <c r="G788" s="4">
        <v>5.9</v>
      </c>
      <c r="H788" s="3">
        <v>2.8</v>
      </c>
      <c r="I788" s="3">
        <v>0.95</v>
      </c>
    </row>
    <row r="789" spans="1:9" x14ac:dyDescent="0.25">
      <c r="A789" s="9">
        <v>26099</v>
      </c>
      <c r="B789" s="4">
        <v>1548</v>
      </c>
      <c r="C789" s="4">
        <v>1042</v>
      </c>
      <c r="D789" s="4">
        <v>113</v>
      </c>
      <c r="E789" s="4">
        <v>1127</v>
      </c>
      <c r="F789" s="4">
        <v>59579</v>
      </c>
      <c r="G789" s="4">
        <v>710.6</v>
      </c>
      <c r="H789" s="3">
        <v>4.2666666666666666</v>
      </c>
      <c r="I789" s="3">
        <v>1.9424999999999999</v>
      </c>
    </row>
    <row r="790" spans="1:9" x14ac:dyDescent="0.25">
      <c r="A790" s="9">
        <v>26101</v>
      </c>
      <c r="B790" s="4">
        <v>86</v>
      </c>
      <c r="C790" s="4">
        <v>45</v>
      </c>
      <c r="D790" s="4">
        <v>14</v>
      </c>
      <c r="E790" s="4">
        <v>45</v>
      </c>
      <c r="F790" s="4">
        <v>1301</v>
      </c>
      <c r="G790" s="4">
        <v>9</v>
      </c>
      <c r="H790" s="3">
        <v>2.8</v>
      </c>
      <c r="I790" s="3">
        <v>1.44</v>
      </c>
    </row>
    <row r="791" spans="1:9" x14ac:dyDescent="0.25">
      <c r="A791" s="9">
        <v>26103</v>
      </c>
      <c r="B791" s="4">
        <v>377</v>
      </c>
      <c r="C791" s="4">
        <v>263</v>
      </c>
      <c r="D791" s="4">
        <v>26</v>
      </c>
      <c r="E791" s="4">
        <v>263</v>
      </c>
      <c r="F791" s="4">
        <v>9053</v>
      </c>
      <c r="G791" s="4">
        <v>105.4</v>
      </c>
      <c r="H791" s="3">
        <v>3.5</v>
      </c>
      <c r="I791" s="3">
        <v>1.57</v>
      </c>
    </row>
    <row r="792" spans="1:9" x14ac:dyDescent="0.25">
      <c r="A792" s="9">
        <v>26105</v>
      </c>
      <c r="B792" s="4">
        <v>96</v>
      </c>
      <c r="C792" s="4">
        <v>45</v>
      </c>
      <c r="D792" s="4">
        <v>6</v>
      </c>
      <c r="E792" s="4">
        <v>45</v>
      </c>
      <c r="F792" s="4">
        <v>1843</v>
      </c>
      <c r="G792" s="4">
        <v>18</v>
      </c>
      <c r="H792" s="3">
        <v>3.8</v>
      </c>
      <c r="I792" s="3">
        <v>1.47</v>
      </c>
    </row>
    <row r="793" spans="1:9" x14ac:dyDescent="0.25">
      <c r="A793" s="9">
        <v>26107</v>
      </c>
      <c r="B793" s="4">
        <v>101</v>
      </c>
      <c r="C793" s="4">
        <v>49</v>
      </c>
      <c r="D793" s="4">
        <v>4</v>
      </c>
      <c r="E793" s="4">
        <v>49</v>
      </c>
      <c r="F793" s="4">
        <v>2395</v>
      </c>
      <c r="G793" s="4">
        <v>17</v>
      </c>
      <c r="H793" s="3">
        <v>3</v>
      </c>
      <c r="I793" s="3">
        <v>1.28</v>
      </c>
    </row>
    <row r="794" spans="1:9" x14ac:dyDescent="0.25">
      <c r="A794" s="9">
        <v>26111</v>
      </c>
      <c r="B794" s="4">
        <v>488</v>
      </c>
      <c r="C794" s="4">
        <v>324</v>
      </c>
      <c r="D794" s="4">
        <v>26</v>
      </c>
      <c r="E794" s="4">
        <v>324</v>
      </c>
      <c r="F794" s="4">
        <v>15767</v>
      </c>
      <c r="G794" s="4">
        <v>160.69999999999999</v>
      </c>
      <c r="H794" s="3">
        <v>3.9</v>
      </c>
      <c r="I794" s="3">
        <v>1.93</v>
      </c>
    </row>
    <row r="795" spans="1:9" x14ac:dyDescent="0.25">
      <c r="A795" s="9">
        <v>26115</v>
      </c>
      <c r="B795" s="4">
        <v>282</v>
      </c>
      <c r="C795" s="4">
        <v>153</v>
      </c>
      <c r="D795" s="4">
        <v>14</v>
      </c>
      <c r="E795" s="4">
        <v>153</v>
      </c>
      <c r="F795" s="4">
        <v>5342</v>
      </c>
      <c r="G795" s="4">
        <v>54</v>
      </c>
      <c r="H795" s="3">
        <v>3.9</v>
      </c>
      <c r="I795" s="3">
        <v>1.4</v>
      </c>
    </row>
    <row r="796" spans="1:9" x14ac:dyDescent="0.25">
      <c r="A796" s="9">
        <v>26117</v>
      </c>
      <c r="B796" s="4">
        <v>200</v>
      </c>
      <c r="C796" s="4">
        <v>109</v>
      </c>
      <c r="D796" s="4">
        <v>12</v>
      </c>
      <c r="E796" s="4">
        <v>109</v>
      </c>
      <c r="F796" s="4">
        <v>3999</v>
      </c>
      <c r="G796" s="4">
        <v>29.9</v>
      </c>
      <c r="H796" s="3">
        <v>2.2333333333333334</v>
      </c>
      <c r="I796" s="3">
        <v>1.1066666666666667</v>
      </c>
    </row>
    <row r="797" spans="1:9" x14ac:dyDescent="0.25">
      <c r="A797" s="9">
        <v>26121</v>
      </c>
      <c r="B797" s="4">
        <v>631</v>
      </c>
      <c r="C797" s="4">
        <v>331</v>
      </c>
      <c r="D797" s="4">
        <v>44</v>
      </c>
      <c r="E797" s="4">
        <v>331</v>
      </c>
      <c r="F797" s="4">
        <v>62990</v>
      </c>
      <c r="G797" s="4">
        <v>169</v>
      </c>
      <c r="H797" s="3">
        <v>1.1000000000000001</v>
      </c>
      <c r="I797" s="3">
        <v>1.92</v>
      </c>
    </row>
    <row r="798" spans="1:9" x14ac:dyDescent="0.25">
      <c r="A798" s="9">
        <v>26123</v>
      </c>
      <c r="B798" s="4">
        <v>108</v>
      </c>
      <c r="C798" s="4">
        <v>25</v>
      </c>
      <c r="D798" s="4">
        <v>9</v>
      </c>
      <c r="E798" s="4">
        <v>25</v>
      </c>
      <c r="F798" s="4">
        <v>2048</v>
      </c>
      <c r="G798" s="4">
        <v>11.1</v>
      </c>
      <c r="H798" s="3">
        <v>2</v>
      </c>
      <c r="I798" s="3">
        <v>1.33</v>
      </c>
    </row>
    <row r="799" spans="1:9" x14ac:dyDescent="0.25">
      <c r="A799" s="9">
        <v>26125</v>
      </c>
      <c r="B799" s="4">
        <v>6516</v>
      </c>
      <c r="C799" s="4">
        <v>3404</v>
      </c>
      <c r="D799" s="4">
        <v>369</v>
      </c>
      <c r="E799" s="4">
        <v>3604</v>
      </c>
      <c r="F799" s="4">
        <v>193367</v>
      </c>
      <c r="G799" s="4">
        <v>2181.9999999999995</v>
      </c>
      <c r="H799" s="3">
        <v>4.4083333333333332</v>
      </c>
      <c r="I799" s="3">
        <v>1.5875000000000001</v>
      </c>
    </row>
    <row r="800" spans="1:9" x14ac:dyDescent="0.25">
      <c r="A800" s="9">
        <v>26127</v>
      </c>
      <c r="B800" s="4">
        <v>36</v>
      </c>
      <c r="C800" s="4">
        <v>24</v>
      </c>
      <c r="D800" s="4">
        <v>14</v>
      </c>
      <c r="E800" s="4">
        <v>24</v>
      </c>
      <c r="F800" s="4">
        <v>317</v>
      </c>
      <c r="G800" s="4">
        <v>2.6</v>
      </c>
      <c r="H800" s="3">
        <v>4</v>
      </c>
      <c r="I800" s="3">
        <v>1.22</v>
      </c>
    </row>
    <row r="801" spans="1:9" x14ac:dyDescent="0.25">
      <c r="A801" s="9">
        <v>26129</v>
      </c>
      <c r="B801" s="4">
        <v>63</v>
      </c>
      <c r="C801" s="4">
        <v>88</v>
      </c>
      <c r="D801" s="4">
        <v>14</v>
      </c>
      <c r="E801" s="4">
        <v>88</v>
      </c>
      <c r="F801" s="4">
        <v>2203</v>
      </c>
      <c r="G801" s="4">
        <v>20.9</v>
      </c>
      <c r="H801" s="3">
        <v>3.5</v>
      </c>
      <c r="I801" s="3">
        <v>1.51</v>
      </c>
    </row>
    <row r="802" spans="1:9" x14ac:dyDescent="0.25">
      <c r="A802" s="9">
        <v>26131</v>
      </c>
      <c r="B802" s="4">
        <v>13</v>
      </c>
      <c r="C802" s="4">
        <v>25</v>
      </c>
      <c r="D802" s="4">
        <v>14</v>
      </c>
      <c r="E802" s="4">
        <v>25</v>
      </c>
      <c r="F802" s="4">
        <v>156</v>
      </c>
      <c r="G802" s="4">
        <v>1.4</v>
      </c>
      <c r="H802" s="3">
        <v>2.9</v>
      </c>
      <c r="I802" s="3">
        <v>1.23</v>
      </c>
    </row>
    <row r="803" spans="1:9" x14ac:dyDescent="0.25">
      <c r="A803" s="9">
        <v>26133</v>
      </c>
      <c r="B803" s="4">
        <v>50</v>
      </c>
      <c r="C803" s="4">
        <v>25</v>
      </c>
      <c r="D803" s="4">
        <v>4</v>
      </c>
      <c r="E803" s="4">
        <v>25</v>
      </c>
      <c r="F803" s="4">
        <v>162</v>
      </c>
      <c r="G803" s="4">
        <v>4.2</v>
      </c>
      <c r="H803" s="3">
        <v>2.4</v>
      </c>
      <c r="I803" s="3">
        <v>1.19</v>
      </c>
    </row>
    <row r="804" spans="1:9" x14ac:dyDescent="0.25">
      <c r="A804" s="9">
        <v>26137</v>
      </c>
      <c r="B804" s="4">
        <v>128</v>
      </c>
      <c r="C804" s="4">
        <v>46</v>
      </c>
      <c r="D804" s="4">
        <v>4</v>
      </c>
      <c r="E804" s="4">
        <v>46</v>
      </c>
      <c r="F804" s="4">
        <v>2073</v>
      </c>
      <c r="G804" s="4">
        <v>16.399999999999999</v>
      </c>
      <c r="H804" s="3">
        <v>3.2</v>
      </c>
      <c r="I804" s="3">
        <v>1.43</v>
      </c>
    </row>
    <row r="805" spans="1:9" x14ac:dyDescent="0.25">
      <c r="A805" s="9">
        <v>26139</v>
      </c>
      <c r="B805" s="4">
        <v>580</v>
      </c>
      <c r="C805" s="4">
        <v>325</v>
      </c>
      <c r="D805" s="4">
        <v>22</v>
      </c>
      <c r="E805" s="4">
        <v>325</v>
      </c>
      <c r="F805" s="4">
        <v>13329</v>
      </c>
      <c r="G805" s="4">
        <v>106.39999999999999</v>
      </c>
      <c r="H805" s="3">
        <v>2.7999999999999994</v>
      </c>
      <c r="I805" s="3">
        <v>1.4833333333333332</v>
      </c>
    </row>
    <row r="806" spans="1:9" x14ac:dyDescent="0.25">
      <c r="A806" s="9">
        <v>26145</v>
      </c>
      <c r="B806" s="4">
        <v>927</v>
      </c>
      <c r="C806" s="4">
        <v>684</v>
      </c>
      <c r="D806" s="4">
        <v>46</v>
      </c>
      <c r="E806" s="4">
        <v>974</v>
      </c>
      <c r="F806" s="4">
        <v>35292</v>
      </c>
      <c r="G806" s="4">
        <v>466</v>
      </c>
      <c r="H806" s="3">
        <v>4.2666666666666666</v>
      </c>
      <c r="I806" s="3">
        <v>1.5899999999999999</v>
      </c>
    </row>
    <row r="807" spans="1:9" x14ac:dyDescent="0.25">
      <c r="A807" s="9">
        <v>26147</v>
      </c>
      <c r="B807" s="4">
        <v>390</v>
      </c>
      <c r="C807" s="4">
        <v>382</v>
      </c>
      <c r="D807" s="4">
        <v>29</v>
      </c>
      <c r="E807" s="4">
        <v>372</v>
      </c>
      <c r="F807" s="4">
        <v>16394</v>
      </c>
      <c r="G807" s="4">
        <v>149.4</v>
      </c>
      <c r="H807" s="3">
        <v>3.3000000000000003</v>
      </c>
      <c r="I807" s="3">
        <v>1.5066666666666668</v>
      </c>
    </row>
    <row r="808" spans="1:9" x14ac:dyDescent="0.25">
      <c r="A808" s="9">
        <v>26149</v>
      </c>
      <c r="B808" s="4">
        <v>118</v>
      </c>
      <c r="C808" s="4">
        <v>97</v>
      </c>
      <c r="D808" s="4">
        <v>4</v>
      </c>
      <c r="E808" s="4">
        <v>97</v>
      </c>
      <c r="F808" s="4">
        <v>2338</v>
      </c>
      <c r="G808" s="4">
        <v>15.5</v>
      </c>
      <c r="H808" s="3">
        <v>2.85</v>
      </c>
      <c r="I808" s="3">
        <v>1.21</v>
      </c>
    </row>
    <row r="809" spans="1:9" x14ac:dyDescent="0.25">
      <c r="A809" s="9">
        <v>26151</v>
      </c>
      <c r="B809" s="4">
        <v>82</v>
      </c>
      <c r="C809" s="4">
        <v>65</v>
      </c>
      <c r="D809" s="4">
        <v>14</v>
      </c>
      <c r="E809" s="4">
        <v>65</v>
      </c>
      <c r="F809" s="4">
        <v>454</v>
      </c>
      <c r="G809" s="4">
        <v>9.6999999999999993</v>
      </c>
      <c r="H809" s="3">
        <v>2.9666666666666668</v>
      </c>
      <c r="I809" s="3">
        <v>1.1833333333333333</v>
      </c>
    </row>
    <row r="810" spans="1:9" x14ac:dyDescent="0.25">
      <c r="A810" s="9">
        <v>26153</v>
      </c>
      <c r="B810" s="4">
        <v>42</v>
      </c>
      <c r="C810" s="4">
        <v>12</v>
      </c>
      <c r="D810" s="4">
        <v>14</v>
      </c>
      <c r="E810" s="4">
        <v>12</v>
      </c>
      <c r="F810" s="4">
        <v>394</v>
      </c>
      <c r="G810" s="4">
        <v>4.7</v>
      </c>
      <c r="H810" s="3">
        <v>2.9</v>
      </c>
      <c r="I810" s="3">
        <v>1.17</v>
      </c>
    </row>
    <row r="811" spans="1:9" x14ac:dyDescent="0.25">
      <c r="A811" s="9">
        <v>26155</v>
      </c>
      <c r="B811" s="4">
        <v>213</v>
      </c>
      <c r="C811" s="4">
        <v>133</v>
      </c>
      <c r="D811" s="4">
        <v>7</v>
      </c>
      <c r="E811" s="4">
        <v>133</v>
      </c>
      <c r="F811" s="4">
        <v>4036</v>
      </c>
      <c r="G811" s="4">
        <v>46.5</v>
      </c>
      <c r="H811" s="3">
        <v>5.8000000000000007</v>
      </c>
      <c r="I811" s="3">
        <v>1.3049999999999999</v>
      </c>
    </row>
    <row r="812" spans="1:9" x14ac:dyDescent="0.25">
      <c r="A812" s="9">
        <v>26157</v>
      </c>
      <c r="B812" s="4">
        <v>73</v>
      </c>
      <c r="C812" s="4">
        <v>50</v>
      </c>
      <c r="D812" s="4">
        <v>14</v>
      </c>
      <c r="E812" s="4">
        <v>50</v>
      </c>
      <c r="F812" s="4">
        <v>405</v>
      </c>
      <c r="G812" s="4">
        <v>5.8000000000000007</v>
      </c>
      <c r="H812" s="3">
        <v>2.3499999999999996</v>
      </c>
      <c r="I812" s="3">
        <v>1.0550000000000002</v>
      </c>
    </row>
    <row r="813" spans="1:9" x14ac:dyDescent="0.25">
      <c r="A813" s="9">
        <v>26159</v>
      </c>
      <c r="B813" s="4">
        <v>111</v>
      </c>
      <c r="C813" s="4">
        <v>74</v>
      </c>
      <c r="D813" s="4">
        <v>14</v>
      </c>
      <c r="E813" s="4">
        <v>74</v>
      </c>
      <c r="F813" s="4">
        <v>1064</v>
      </c>
      <c r="G813" s="4">
        <v>7.1999999999999993</v>
      </c>
      <c r="H813" s="3">
        <v>2.75</v>
      </c>
      <c r="I813" s="3">
        <v>1.2250000000000001</v>
      </c>
    </row>
    <row r="814" spans="1:9" x14ac:dyDescent="0.25">
      <c r="A814" s="9">
        <v>26161</v>
      </c>
      <c r="B814" s="4">
        <v>4732</v>
      </c>
      <c r="C814" s="4">
        <v>1502</v>
      </c>
      <c r="D814" s="4">
        <v>46</v>
      </c>
      <c r="E814" s="4">
        <v>1552</v>
      </c>
      <c r="F814" s="4">
        <v>80157</v>
      </c>
      <c r="G814" s="4">
        <v>1125.5</v>
      </c>
      <c r="H814" s="3">
        <v>3.75</v>
      </c>
      <c r="I814" s="3">
        <v>1.8424999999999998</v>
      </c>
    </row>
    <row r="815" spans="1:9" x14ac:dyDescent="0.25">
      <c r="A815" s="9">
        <v>26163</v>
      </c>
      <c r="B815" s="4">
        <v>6913</v>
      </c>
      <c r="C815" s="4">
        <v>4271</v>
      </c>
      <c r="D815" s="4">
        <v>414</v>
      </c>
      <c r="E815" s="4">
        <v>4271</v>
      </c>
      <c r="F815" s="4">
        <v>218666</v>
      </c>
      <c r="G815" s="4">
        <v>2809.4000000000005</v>
      </c>
      <c r="H815" s="3">
        <v>6.6937499999999996</v>
      </c>
      <c r="I815" s="3">
        <v>1.6953333333333334</v>
      </c>
    </row>
    <row r="816" spans="1:9" x14ac:dyDescent="0.25">
      <c r="A816" s="9">
        <v>26165</v>
      </c>
      <c r="B816" s="4">
        <v>135</v>
      </c>
      <c r="C816" s="4">
        <v>49</v>
      </c>
      <c r="D816" s="4">
        <v>20</v>
      </c>
      <c r="E816" s="4">
        <v>49</v>
      </c>
      <c r="F816" s="4">
        <v>2790</v>
      </c>
      <c r="G816" s="4">
        <v>24</v>
      </c>
      <c r="H816" s="3">
        <v>3.4</v>
      </c>
      <c r="I816" s="3">
        <v>1.48</v>
      </c>
    </row>
    <row r="817" spans="1:9" x14ac:dyDescent="0.25">
      <c r="A817" s="9">
        <v>27001</v>
      </c>
      <c r="B817" s="4">
        <v>45</v>
      </c>
      <c r="C817" s="4">
        <v>25</v>
      </c>
      <c r="D817" s="4">
        <v>4</v>
      </c>
      <c r="E817" s="4">
        <v>25</v>
      </c>
      <c r="F817" s="4">
        <v>1050</v>
      </c>
      <c r="G817" s="4">
        <v>9.4</v>
      </c>
      <c r="H817" s="3">
        <v>3.7</v>
      </c>
      <c r="I817" s="3">
        <v>1.31</v>
      </c>
    </row>
    <row r="818" spans="1:9" x14ac:dyDescent="0.25">
      <c r="A818" s="9">
        <v>27003</v>
      </c>
      <c r="B818" s="4">
        <v>723</v>
      </c>
      <c r="C818" s="4">
        <v>466</v>
      </c>
      <c r="D818" s="4">
        <v>35</v>
      </c>
      <c r="E818" s="4">
        <v>741</v>
      </c>
      <c r="F818" s="4">
        <v>29771</v>
      </c>
      <c r="G818" s="4">
        <v>330.4</v>
      </c>
      <c r="H818" s="3">
        <v>4.2</v>
      </c>
      <c r="I818" s="3">
        <v>1.73</v>
      </c>
    </row>
    <row r="819" spans="1:9" x14ac:dyDescent="0.25">
      <c r="A819" s="9">
        <v>27005</v>
      </c>
      <c r="B819" s="4">
        <v>128</v>
      </c>
      <c r="C819" s="4">
        <v>36</v>
      </c>
      <c r="D819" s="4">
        <v>8</v>
      </c>
      <c r="E819" s="4">
        <v>36</v>
      </c>
      <c r="F819" s="4">
        <v>2111</v>
      </c>
      <c r="G819" s="4">
        <v>16</v>
      </c>
      <c r="H819" s="3">
        <v>3.2</v>
      </c>
      <c r="I819" s="3">
        <v>1.44</v>
      </c>
    </row>
    <row r="820" spans="1:9" x14ac:dyDescent="0.25">
      <c r="A820" s="9">
        <v>27007</v>
      </c>
      <c r="B820" s="4">
        <v>255</v>
      </c>
      <c r="C820" s="4">
        <v>112</v>
      </c>
      <c r="D820" s="4">
        <v>10</v>
      </c>
      <c r="E820" s="4">
        <v>112</v>
      </c>
      <c r="F820" s="4">
        <v>4342</v>
      </c>
      <c r="G820" s="4">
        <v>48.8</v>
      </c>
      <c r="H820" s="3">
        <v>6.6999999999999993</v>
      </c>
      <c r="I820" s="3">
        <v>1.325</v>
      </c>
    </row>
    <row r="821" spans="1:9" x14ac:dyDescent="0.25">
      <c r="A821" s="9">
        <v>27011</v>
      </c>
      <c r="B821" s="4">
        <v>25</v>
      </c>
      <c r="C821" s="4">
        <v>40</v>
      </c>
      <c r="D821" s="4">
        <v>14</v>
      </c>
      <c r="E821" s="4">
        <v>40</v>
      </c>
      <c r="F821" s="4">
        <v>400</v>
      </c>
      <c r="G821" s="4">
        <v>4.8000000000000007</v>
      </c>
      <c r="H821" s="3">
        <v>2.2999999999999998</v>
      </c>
      <c r="I821" s="3">
        <v>1.075</v>
      </c>
    </row>
    <row r="822" spans="1:9" x14ac:dyDescent="0.25">
      <c r="A822" s="9">
        <v>27013</v>
      </c>
      <c r="B822" s="4">
        <v>464</v>
      </c>
      <c r="C822" s="4">
        <v>167</v>
      </c>
      <c r="D822" s="4">
        <v>29</v>
      </c>
      <c r="E822" s="4">
        <v>167</v>
      </c>
      <c r="F822" s="4">
        <v>10059</v>
      </c>
      <c r="G822" s="4">
        <v>103.1</v>
      </c>
      <c r="H822" s="3">
        <v>4.0999999999999996</v>
      </c>
      <c r="I822" s="3">
        <v>1.64</v>
      </c>
    </row>
    <row r="823" spans="1:9" x14ac:dyDescent="0.25">
      <c r="A823" s="9">
        <v>27015</v>
      </c>
      <c r="B823" s="4">
        <v>121</v>
      </c>
      <c r="C823" s="4">
        <v>40</v>
      </c>
      <c r="D823" s="4">
        <v>14</v>
      </c>
      <c r="E823" s="4">
        <v>40</v>
      </c>
      <c r="F823" s="4">
        <v>2125</v>
      </c>
      <c r="G823" s="4">
        <v>17.100000000000001</v>
      </c>
      <c r="H823" s="3">
        <v>2.8333333333333335</v>
      </c>
      <c r="I823" s="3">
        <v>1.0999999999999999</v>
      </c>
    </row>
    <row r="824" spans="1:9" x14ac:dyDescent="0.25">
      <c r="A824" s="9">
        <v>27017</v>
      </c>
      <c r="B824" s="4">
        <v>77</v>
      </c>
      <c r="C824" s="4">
        <v>47</v>
      </c>
      <c r="D824" s="4">
        <v>2</v>
      </c>
      <c r="E824" s="4">
        <v>47</v>
      </c>
      <c r="F824" s="4">
        <v>1279</v>
      </c>
      <c r="G824" s="4">
        <v>13.9</v>
      </c>
      <c r="H824" s="3">
        <v>3.0999999999999996</v>
      </c>
      <c r="I824" s="3">
        <v>1.2050000000000001</v>
      </c>
    </row>
    <row r="825" spans="1:9" x14ac:dyDescent="0.25">
      <c r="A825" s="9">
        <v>27019</v>
      </c>
      <c r="B825" s="4">
        <v>405</v>
      </c>
      <c r="C825" s="4">
        <v>112</v>
      </c>
      <c r="D825" s="4">
        <v>18</v>
      </c>
      <c r="E825" s="4">
        <v>109</v>
      </c>
      <c r="F825" s="4">
        <v>6375</v>
      </c>
      <c r="G825" s="4">
        <v>56.5</v>
      </c>
      <c r="H825" s="3">
        <v>3.6</v>
      </c>
      <c r="I825" s="3">
        <v>1.52</v>
      </c>
    </row>
    <row r="826" spans="1:9" x14ac:dyDescent="0.25">
      <c r="A826" s="9">
        <v>27021</v>
      </c>
      <c r="B826" s="4">
        <v>30</v>
      </c>
      <c r="C826" s="4">
        <v>5</v>
      </c>
      <c r="D826" s="4">
        <v>14</v>
      </c>
      <c r="E826" s="4">
        <v>5</v>
      </c>
      <c r="F826" s="4">
        <v>1</v>
      </c>
      <c r="G826" s="4">
        <v>0</v>
      </c>
      <c r="H826" s="3">
        <v>2</v>
      </c>
      <c r="I826" s="3">
        <v>0.78</v>
      </c>
    </row>
    <row r="827" spans="1:9" x14ac:dyDescent="0.25">
      <c r="A827" s="9">
        <v>27023</v>
      </c>
      <c r="B827" s="4">
        <v>32</v>
      </c>
      <c r="C827" s="4">
        <v>25</v>
      </c>
      <c r="D827" s="4">
        <v>14</v>
      </c>
      <c r="E827" s="4">
        <v>25</v>
      </c>
      <c r="F827" s="4">
        <v>651</v>
      </c>
      <c r="G827" s="4">
        <v>5.7</v>
      </c>
      <c r="H827" s="3">
        <v>2.5</v>
      </c>
      <c r="I827" s="3">
        <v>1.1399999999999999</v>
      </c>
    </row>
    <row r="828" spans="1:9" x14ac:dyDescent="0.25">
      <c r="A828" s="9">
        <v>27025</v>
      </c>
      <c r="B828" s="4">
        <v>196</v>
      </c>
      <c r="C828" s="4">
        <v>55</v>
      </c>
      <c r="D828" s="4">
        <v>10</v>
      </c>
      <c r="E828" s="4">
        <v>55</v>
      </c>
      <c r="F828" s="4">
        <v>3165</v>
      </c>
      <c r="G828" s="4">
        <v>24.6</v>
      </c>
      <c r="H828" s="3">
        <v>3.2</v>
      </c>
      <c r="I828" s="3">
        <v>1.52</v>
      </c>
    </row>
    <row r="829" spans="1:9" x14ac:dyDescent="0.25">
      <c r="A829" s="9">
        <v>27029</v>
      </c>
      <c r="B829" s="4">
        <v>9</v>
      </c>
      <c r="C829" s="4">
        <v>25</v>
      </c>
      <c r="D829" s="4">
        <v>14</v>
      </c>
      <c r="E829" s="4">
        <v>25</v>
      </c>
      <c r="F829" s="4">
        <v>60</v>
      </c>
      <c r="G829" s="4">
        <v>2.2999999999999998</v>
      </c>
      <c r="H829" s="3">
        <v>3.7</v>
      </c>
      <c r="I829" s="3">
        <v>0.99</v>
      </c>
    </row>
    <row r="830" spans="1:9" x14ac:dyDescent="0.25">
      <c r="A830" s="9">
        <v>27031</v>
      </c>
      <c r="B830" s="4">
        <v>11</v>
      </c>
      <c r="C830" s="4">
        <v>16</v>
      </c>
      <c r="D830" s="4">
        <v>14</v>
      </c>
      <c r="E830" s="4">
        <v>16</v>
      </c>
      <c r="F830" s="4">
        <v>94</v>
      </c>
      <c r="G830" s="4">
        <v>3.3</v>
      </c>
      <c r="H830" s="3">
        <v>2.5</v>
      </c>
      <c r="I830" s="3">
        <v>0.88</v>
      </c>
    </row>
    <row r="831" spans="1:9" x14ac:dyDescent="0.25">
      <c r="A831" s="9">
        <v>27033</v>
      </c>
      <c r="B831" s="4">
        <v>32</v>
      </c>
      <c r="C831" s="4">
        <v>26</v>
      </c>
      <c r="D831" s="4">
        <v>14</v>
      </c>
      <c r="E831" s="4">
        <v>26</v>
      </c>
      <c r="F831" s="4">
        <v>426</v>
      </c>
      <c r="G831" s="4">
        <v>4.1000000000000005</v>
      </c>
      <c r="H831" s="3">
        <v>2.6500000000000004</v>
      </c>
      <c r="I831" s="3">
        <v>1.0649999999999999</v>
      </c>
    </row>
    <row r="832" spans="1:9" x14ac:dyDescent="0.25">
      <c r="A832" s="9">
        <v>27035</v>
      </c>
      <c r="B832" s="4">
        <v>315</v>
      </c>
      <c r="C832" s="4">
        <v>152</v>
      </c>
      <c r="D832" s="4">
        <v>16</v>
      </c>
      <c r="E832" s="4">
        <v>152</v>
      </c>
      <c r="F832" s="4">
        <v>6452</v>
      </c>
      <c r="G832" s="4">
        <v>62.3</v>
      </c>
      <c r="H832" s="3">
        <v>3.25</v>
      </c>
      <c r="I832" s="3">
        <v>1.5249999999999999</v>
      </c>
    </row>
    <row r="833" spans="1:9" x14ac:dyDescent="0.25">
      <c r="A833" s="9">
        <v>27037</v>
      </c>
      <c r="B833" s="4">
        <v>463</v>
      </c>
      <c r="C833" s="4">
        <v>200</v>
      </c>
      <c r="D833" s="4">
        <v>12</v>
      </c>
      <c r="E833" s="4">
        <v>179</v>
      </c>
      <c r="F833" s="4">
        <v>12753</v>
      </c>
      <c r="G833" s="4">
        <v>125.4</v>
      </c>
      <c r="H833" s="3">
        <v>3.4</v>
      </c>
      <c r="I833" s="3">
        <v>1.56</v>
      </c>
    </row>
    <row r="834" spans="1:9" x14ac:dyDescent="0.25">
      <c r="A834" s="9">
        <v>27041</v>
      </c>
      <c r="B834" s="4">
        <v>213</v>
      </c>
      <c r="C834" s="4">
        <v>99</v>
      </c>
      <c r="D834" s="4">
        <v>8</v>
      </c>
      <c r="E834" s="4">
        <v>99</v>
      </c>
      <c r="F834" s="4">
        <v>3523</v>
      </c>
      <c r="G834" s="4">
        <v>29.3</v>
      </c>
      <c r="H834" s="3">
        <v>3.4</v>
      </c>
      <c r="I834" s="3">
        <v>1.87</v>
      </c>
    </row>
    <row r="835" spans="1:9" x14ac:dyDescent="0.25">
      <c r="A835" s="9">
        <v>27043</v>
      </c>
      <c r="B835" s="4">
        <v>37</v>
      </c>
      <c r="C835" s="4">
        <v>24</v>
      </c>
      <c r="D835" s="4">
        <v>4</v>
      </c>
      <c r="E835" s="4">
        <v>24</v>
      </c>
      <c r="F835" s="4">
        <v>555</v>
      </c>
      <c r="G835" s="4">
        <v>8.5</v>
      </c>
      <c r="H835" s="3">
        <v>3.1</v>
      </c>
      <c r="I835" s="3">
        <v>1.1399999999999999</v>
      </c>
    </row>
    <row r="836" spans="1:9" x14ac:dyDescent="0.25">
      <c r="A836" s="9">
        <v>27047</v>
      </c>
      <c r="B836" s="4">
        <v>333</v>
      </c>
      <c r="C836" s="4">
        <v>159</v>
      </c>
      <c r="D836" s="4">
        <v>18</v>
      </c>
      <c r="E836" s="4">
        <v>159</v>
      </c>
      <c r="F836" s="4">
        <v>4361</v>
      </c>
      <c r="G836" s="4">
        <v>40</v>
      </c>
      <c r="H836" s="3">
        <v>3.6</v>
      </c>
      <c r="I836" s="3">
        <v>1.42</v>
      </c>
    </row>
    <row r="837" spans="1:9" x14ac:dyDescent="0.25">
      <c r="A837" s="9">
        <v>27049</v>
      </c>
      <c r="B837" s="4">
        <v>163</v>
      </c>
      <c r="C837" s="4">
        <v>65</v>
      </c>
      <c r="D837" s="4">
        <v>4</v>
      </c>
      <c r="E837" s="4">
        <v>65</v>
      </c>
      <c r="F837" s="4">
        <v>2435</v>
      </c>
      <c r="G837" s="4">
        <v>21.9</v>
      </c>
      <c r="H837" s="3">
        <v>2.5999999999999996</v>
      </c>
      <c r="I837" s="3">
        <v>1.4100000000000001</v>
      </c>
    </row>
    <row r="838" spans="1:9" x14ac:dyDescent="0.25">
      <c r="A838" s="9">
        <v>27051</v>
      </c>
      <c r="B838" s="4">
        <v>14</v>
      </c>
      <c r="C838" s="4">
        <v>10</v>
      </c>
      <c r="D838" s="4">
        <v>14</v>
      </c>
      <c r="E838" s="4">
        <v>10</v>
      </c>
      <c r="F838" s="4">
        <v>89</v>
      </c>
      <c r="G838" s="4">
        <v>1.4</v>
      </c>
      <c r="H838" s="3">
        <v>2.7</v>
      </c>
      <c r="I838" s="3">
        <v>0.99</v>
      </c>
    </row>
    <row r="839" spans="1:9" x14ac:dyDescent="0.25">
      <c r="A839" s="9">
        <v>27053</v>
      </c>
      <c r="B839" s="4">
        <v>7781</v>
      </c>
      <c r="C839" s="4">
        <v>2867</v>
      </c>
      <c r="D839" s="4">
        <v>173</v>
      </c>
      <c r="E839" s="4">
        <v>2917</v>
      </c>
      <c r="F839" s="4">
        <v>150288</v>
      </c>
      <c r="G839" s="4">
        <v>1942.5</v>
      </c>
      <c r="H839" s="3">
        <v>4.55</v>
      </c>
      <c r="I839" s="3">
        <v>1.8562500000000002</v>
      </c>
    </row>
    <row r="840" spans="1:9" x14ac:dyDescent="0.25">
      <c r="A840" s="9">
        <v>27057</v>
      </c>
      <c r="B840" s="4">
        <v>28</v>
      </c>
      <c r="C840" s="4">
        <v>25</v>
      </c>
      <c r="D840" s="4">
        <v>14</v>
      </c>
      <c r="E840" s="4">
        <v>25</v>
      </c>
      <c r="F840" s="4">
        <v>1187</v>
      </c>
      <c r="G840" s="4">
        <v>11.4</v>
      </c>
      <c r="H840" s="3">
        <v>3.5</v>
      </c>
      <c r="I840" s="3">
        <v>1.4</v>
      </c>
    </row>
    <row r="841" spans="1:9" x14ac:dyDescent="0.25">
      <c r="A841" s="9">
        <v>27059</v>
      </c>
      <c r="B841" s="4">
        <v>120</v>
      </c>
      <c r="C841" s="4">
        <v>70</v>
      </c>
      <c r="D841" s="4">
        <v>14</v>
      </c>
      <c r="E841" s="4">
        <v>70</v>
      </c>
      <c r="F841" s="4">
        <v>2761</v>
      </c>
      <c r="G841" s="4">
        <v>26.4</v>
      </c>
      <c r="H841" s="3">
        <v>3.7</v>
      </c>
      <c r="I841" s="3">
        <v>1.37</v>
      </c>
    </row>
    <row r="842" spans="1:9" x14ac:dyDescent="0.25">
      <c r="A842" s="9">
        <v>27061</v>
      </c>
      <c r="B842" s="4">
        <v>141</v>
      </c>
      <c r="C842" s="4">
        <v>76</v>
      </c>
      <c r="D842" s="4">
        <v>14</v>
      </c>
      <c r="E842" s="4">
        <v>76</v>
      </c>
      <c r="F842" s="4">
        <v>2201</v>
      </c>
      <c r="G842" s="4">
        <v>18.5</v>
      </c>
      <c r="H842" s="3">
        <v>2.6</v>
      </c>
      <c r="I842" s="3">
        <v>1.2133333333333332</v>
      </c>
    </row>
    <row r="843" spans="1:9" x14ac:dyDescent="0.25">
      <c r="A843" s="9">
        <v>27063</v>
      </c>
      <c r="B843" s="4">
        <v>19</v>
      </c>
      <c r="C843" s="4">
        <v>14</v>
      </c>
      <c r="D843" s="4">
        <v>14</v>
      </c>
      <c r="E843" s="4">
        <v>14</v>
      </c>
      <c r="F843" s="4">
        <v>148</v>
      </c>
      <c r="G843" s="4">
        <v>2.4</v>
      </c>
      <c r="H843" s="3">
        <v>2.8</v>
      </c>
      <c r="I843" s="3">
        <v>1.04</v>
      </c>
    </row>
    <row r="844" spans="1:9" x14ac:dyDescent="0.25">
      <c r="A844" s="9">
        <v>27065</v>
      </c>
      <c r="B844" s="4">
        <v>88</v>
      </c>
      <c r="C844" s="4">
        <v>25</v>
      </c>
      <c r="D844" s="4">
        <v>4</v>
      </c>
      <c r="E844" s="4">
        <v>25</v>
      </c>
      <c r="F844" s="4">
        <v>1199</v>
      </c>
      <c r="G844" s="4">
        <v>8.4</v>
      </c>
      <c r="H844" s="3">
        <v>3.4</v>
      </c>
      <c r="I844" s="3">
        <v>1.18</v>
      </c>
    </row>
    <row r="845" spans="1:9" x14ac:dyDescent="0.25">
      <c r="A845" s="9">
        <v>27067</v>
      </c>
      <c r="B845" s="4">
        <v>139</v>
      </c>
      <c r="C845" s="4">
        <v>81</v>
      </c>
      <c r="D845" s="4">
        <v>8</v>
      </c>
      <c r="E845" s="4">
        <v>81</v>
      </c>
      <c r="F845" s="4">
        <v>3230</v>
      </c>
      <c r="G845" s="4">
        <v>33.6</v>
      </c>
      <c r="H845" s="3">
        <v>4.2</v>
      </c>
      <c r="I845" s="3">
        <v>1.42</v>
      </c>
    </row>
    <row r="846" spans="1:9" x14ac:dyDescent="0.25">
      <c r="A846" s="9">
        <v>27069</v>
      </c>
      <c r="B846" s="4">
        <v>10</v>
      </c>
      <c r="C846" s="4">
        <v>15</v>
      </c>
      <c r="D846" s="4">
        <v>14</v>
      </c>
      <c r="E846" s="4">
        <v>15</v>
      </c>
      <c r="F846" s="4">
        <v>89</v>
      </c>
      <c r="G846" s="4">
        <v>1.2</v>
      </c>
      <c r="H846" s="3">
        <v>3.5</v>
      </c>
      <c r="I846" s="3">
        <v>0.89</v>
      </c>
    </row>
    <row r="847" spans="1:9" x14ac:dyDescent="0.25">
      <c r="A847" s="9">
        <v>27071</v>
      </c>
      <c r="B847" s="4">
        <v>17</v>
      </c>
      <c r="C847" s="4">
        <v>18</v>
      </c>
      <c r="D847" s="4">
        <v>14</v>
      </c>
      <c r="E847" s="4">
        <v>18</v>
      </c>
      <c r="F847" s="4">
        <v>377</v>
      </c>
      <c r="G847" s="4">
        <v>6.6</v>
      </c>
      <c r="H847" s="3">
        <v>3.2</v>
      </c>
      <c r="I847" s="3">
        <v>1.07</v>
      </c>
    </row>
    <row r="848" spans="1:9" x14ac:dyDescent="0.25">
      <c r="A848" s="9">
        <v>27073</v>
      </c>
      <c r="B848" s="4">
        <v>25</v>
      </c>
      <c r="C848" s="4">
        <v>32</v>
      </c>
      <c r="D848" s="4">
        <v>14</v>
      </c>
      <c r="E848" s="4">
        <v>32</v>
      </c>
      <c r="F848" s="4">
        <v>347</v>
      </c>
      <c r="G848" s="4">
        <v>6.6999999999999993</v>
      </c>
      <c r="H848" s="3">
        <v>3.1500000000000004</v>
      </c>
      <c r="I848" s="3">
        <v>0.94</v>
      </c>
    </row>
    <row r="849" spans="1:9" x14ac:dyDescent="0.25">
      <c r="A849" s="9">
        <v>27075</v>
      </c>
      <c r="B849" s="4">
        <v>19</v>
      </c>
      <c r="C849" s="4">
        <v>16</v>
      </c>
      <c r="D849" s="4">
        <v>14</v>
      </c>
      <c r="E849" s="4">
        <v>16</v>
      </c>
      <c r="F849" s="4">
        <v>122</v>
      </c>
      <c r="G849" s="4">
        <v>6.6</v>
      </c>
      <c r="H849" s="3">
        <v>3.4</v>
      </c>
      <c r="I849" s="3">
        <v>0.96</v>
      </c>
    </row>
    <row r="850" spans="1:9" x14ac:dyDescent="0.25">
      <c r="A850" s="9">
        <v>27077</v>
      </c>
      <c r="B850" s="4">
        <v>8</v>
      </c>
      <c r="C850" s="4">
        <v>15</v>
      </c>
      <c r="D850" s="4">
        <v>14</v>
      </c>
      <c r="E850" s="4">
        <v>15</v>
      </c>
      <c r="F850" s="4">
        <v>106</v>
      </c>
      <c r="G850" s="4">
        <v>3.1</v>
      </c>
      <c r="H850" s="3">
        <v>2.9</v>
      </c>
      <c r="I850" s="3">
        <v>0.92</v>
      </c>
    </row>
    <row r="851" spans="1:9" x14ac:dyDescent="0.25">
      <c r="A851" s="9">
        <v>27079</v>
      </c>
      <c r="B851" s="4">
        <v>6</v>
      </c>
      <c r="C851" s="4">
        <v>9</v>
      </c>
      <c r="D851" s="4">
        <v>14</v>
      </c>
      <c r="E851" s="4">
        <v>9</v>
      </c>
      <c r="F851" s="4">
        <v>38</v>
      </c>
      <c r="G851" s="4">
        <v>1.8</v>
      </c>
      <c r="H851" s="3">
        <v>2.1</v>
      </c>
      <c r="I851" s="3">
        <v>0.97</v>
      </c>
    </row>
    <row r="852" spans="1:9" x14ac:dyDescent="0.25">
      <c r="A852" s="9">
        <v>27081</v>
      </c>
      <c r="B852" s="4">
        <v>17</v>
      </c>
      <c r="C852" s="4">
        <v>45</v>
      </c>
      <c r="D852" s="4">
        <v>14</v>
      </c>
      <c r="E852" s="4">
        <v>44</v>
      </c>
      <c r="F852" s="4">
        <v>151</v>
      </c>
      <c r="G852" s="4">
        <v>3.5</v>
      </c>
      <c r="H852" s="3">
        <v>3</v>
      </c>
      <c r="I852" s="3">
        <v>1</v>
      </c>
    </row>
    <row r="853" spans="1:9" x14ac:dyDescent="0.25">
      <c r="A853" s="9">
        <v>27083</v>
      </c>
      <c r="B853" s="4">
        <v>99</v>
      </c>
      <c r="C853" s="4">
        <v>50</v>
      </c>
      <c r="D853" s="4">
        <v>14</v>
      </c>
      <c r="E853" s="4">
        <v>50</v>
      </c>
      <c r="F853" s="4">
        <v>1674</v>
      </c>
      <c r="G853" s="4">
        <v>11.600000000000001</v>
      </c>
      <c r="H853" s="3">
        <v>2.6500000000000004</v>
      </c>
      <c r="I853" s="3">
        <v>1.22</v>
      </c>
    </row>
    <row r="854" spans="1:9" x14ac:dyDescent="0.25">
      <c r="A854" s="9">
        <v>27085</v>
      </c>
      <c r="B854" s="4">
        <v>150</v>
      </c>
      <c r="C854" s="4">
        <v>74</v>
      </c>
      <c r="D854" s="4">
        <v>6</v>
      </c>
      <c r="E854" s="4">
        <v>74</v>
      </c>
      <c r="F854" s="4">
        <v>2777</v>
      </c>
      <c r="G854" s="4">
        <v>28.9</v>
      </c>
      <c r="H854" s="3">
        <v>3.25</v>
      </c>
      <c r="I854" s="3">
        <v>1.365</v>
      </c>
    </row>
    <row r="855" spans="1:9" x14ac:dyDescent="0.25">
      <c r="A855" s="9">
        <v>27087</v>
      </c>
      <c r="B855" s="4">
        <v>8</v>
      </c>
      <c r="C855" s="4">
        <v>10</v>
      </c>
      <c r="D855" s="4">
        <v>14</v>
      </c>
      <c r="E855" s="4">
        <v>10</v>
      </c>
      <c r="F855" s="4">
        <v>71</v>
      </c>
      <c r="G855" s="4">
        <v>1.5</v>
      </c>
      <c r="H855" s="3">
        <v>3</v>
      </c>
      <c r="I855" s="3">
        <v>0.96</v>
      </c>
    </row>
    <row r="856" spans="1:9" x14ac:dyDescent="0.25">
      <c r="A856" s="9">
        <v>27089</v>
      </c>
      <c r="B856" s="4">
        <v>6</v>
      </c>
      <c r="C856" s="4">
        <v>12</v>
      </c>
      <c r="D856" s="4">
        <v>14</v>
      </c>
      <c r="E856" s="4">
        <v>12</v>
      </c>
      <c r="F856" s="4">
        <v>145</v>
      </c>
      <c r="G856" s="4">
        <v>2.7</v>
      </c>
      <c r="H856" s="3">
        <v>3</v>
      </c>
      <c r="I856" s="3">
        <v>0.98</v>
      </c>
    </row>
    <row r="857" spans="1:9" x14ac:dyDescent="0.25">
      <c r="A857" s="9">
        <v>27091</v>
      </c>
      <c r="B857" s="4">
        <v>82</v>
      </c>
      <c r="C857" s="4">
        <v>55</v>
      </c>
      <c r="D857" s="4">
        <v>14</v>
      </c>
      <c r="E857" s="4">
        <v>55</v>
      </c>
      <c r="F857" s="4">
        <v>1198</v>
      </c>
      <c r="G857" s="4">
        <v>11.9</v>
      </c>
      <c r="H857" s="3">
        <v>4.0999999999999996</v>
      </c>
      <c r="I857" s="3">
        <v>1.36</v>
      </c>
    </row>
    <row r="858" spans="1:9" x14ac:dyDescent="0.25">
      <c r="A858" s="9">
        <v>27093</v>
      </c>
      <c r="B858" s="4">
        <v>32</v>
      </c>
      <c r="C858" s="4">
        <v>25</v>
      </c>
      <c r="D858" s="4">
        <v>14</v>
      </c>
      <c r="E858" s="4">
        <v>25</v>
      </c>
      <c r="F858" s="4">
        <v>735</v>
      </c>
      <c r="G858" s="4">
        <v>7</v>
      </c>
      <c r="H858" s="3">
        <v>3.2</v>
      </c>
      <c r="I858" s="3">
        <v>1.24</v>
      </c>
    </row>
    <row r="859" spans="1:9" x14ac:dyDescent="0.25">
      <c r="A859" s="9">
        <v>27095</v>
      </c>
      <c r="B859" s="4">
        <v>152</v>
      </c>
      <c r="C859" s="4">
        <v>61</v>
      </c>
      <c r="D859" s="4">
        <v>4</v>
      </c>
      <c r="E859" s="4">
        <v>61</v>
      </c>
      <c r="F859" s="4">
        <v>2239</v>
      </c>
      <c r="G859" s="4">
        <v>19.100000000000001</v>
      </c>
      <c r="H859" s="3">
        <v>3.15</v>
      </c>
      <c r="I859" s="3">
        <v>1.335</v>
      </c>
    </row>
    <row r="860" spans="1:9" x14ac:dyDescent="0.25">
      <c r="A860" s="9">
        <v>27097</v>
      </c>
      <c r="B860" s="4">
        <v>67</v>
      </c>
      <c r="C860" s="4">
        <v>25</v>
      </c>
      <c r="D860" s="4">
        <v>14</v>
      </c>
      <c r="E860" s="4">
        <v>25</v>
      </c>
      <c r="F860" s="4">
        <v>1112</v>
      </c>
      <c r="G860" s="4">
        <v>8.6</v>
      </c>
      <c r="H860" s="3">
        <v>2.8</v>
      </c>
      <c r="I860" s="3">
        <v>1.61</v>
      </c>
    </row>
    <row r="861" spans="1:9" x14ac:dyDescent="0.25">
      <c r="A861" s="9">
        <v>27099</v>
      </c>
      <c r="B861" s="4">
        <v>80</v>
      </c>
      <c r="C861" s="4">
        <v>49</v>
      </c>
      <c r="D861" s="4">
        <v>14</v>
      </c>
      <c r="E861" s="4">
        <v>80</v>
      </c>
      <c r="F861" s="4">
        <v>1532</v>
      </c>
      <c r="G861" s="4">
        <v>16</v>
      </c>
      <c r="H861" s="3">
        <v>4</v>
      </c>
      <c r="I861" s="3">
        <v>1</v>
      </c>
    </row>
    <row r="862" spans="1:9" x14ac:dyDescent="0.25">
      <c r="A862" s="9">
        <v>27101</v>
      </c>
      <c r="B862" s="4">
        <v>24</v>
      </c>
      <c r="C862" s="4">
        <v>20</v>
      </c>
      <c r="D862" s="4">
        <v>14</v>
      </c>
      <c r="E862" s="4">
        <v>20</v>
      </c>
      <c r="F862" s="4">
        <v>195</v>
      </c>
      <c r="G862" s="4">
        <v>3.4</v>
      </c>
      <c r="H862" s="3">
        <v>3.2</v>
      </c>
      <c r="I862" s="3">
        <v>1.29</v>
      </c>
    </row>
    <row r="863" spans="1:9" x14ac:dyDescent="0.25">
      <c r="A863" s="9">
        <v>27103</v>
      </c>
      <c r="B863" s="4">
        <v>37</v>
      </c>
      <c r="C863" s="4">
        <v>17</v>
      </c>
      <c r="D863" s="4">
        <v>14</v>
      </c>
      <c r="E863" s="4">
        <v>17</v>
      </c>
      <c r="F863" s="4">
        <v>1036</v>
      </c>
      <c r="G863" s="4">
        <v>8.1</v>
      </c>
      <c r="H863" s="3">
        <v>2.9</v>
      </c>
      <c r="I863" s="3">
        <v>2.13</v>
      </c>
    </row>
    <row r="864" spans="1:9" x14ac:dyDescent="0.25">
      <c r="A864" s="9">
        <v>27105</v>
      </c>
      <c r="B864" s="4">
        <v>69</v>
      </c>
      <c r="C864" s="4">
        <v>48</v>
      </c>
      <c r="D864" s="4">
        <v>14</v>
      </c>
      <c r="E864" s="4">
        <v>48</v>
      </c>
      <c r="F864" s="4">
        <v>1117</v>
      </c>
      <c r="G864" s="4">
        <v>6.9</v>
      </c>
      <c r="H864" s="3">
        <v>3.1</v>
      </c>
      <c r="I864" s="3">
        <v>1.18</v>
      </c>
    </row>
    <row r="865" spans="1:9" x14ac:dyDescent="0.25">
      <c r="A865" s="9">
        <v>27107</v>
      </c>
      <c r="B865" s="4">
        <v>4</v>
      </c>
      <c r="C865" s="4">
        <v>14</v>
      </c>
      <c r="D865" s="4">
        <v>14</v>
      </c>
      <c r="E865" s="4">
        <v>14</v>
      </c>
      <c r="F865" s="4">
        <v>41</v>
      </c>
      <c r="G865" s="4">
        <v>0.7</v>
      </c>
      <c r="H865" s="3">
        <v>1.5</v>
      </c>
      <c r="I865" s="3">
        <v>1</v>
      </c>
    </row>
    <row r="866" spans="1:9" x14ac:dyDescent="0.25">
      <c r="A866" s="9">
        <v>27109</v>
      </c>
      <c r="B866" s="4">
        <v>4564</v>
      </c>
      <c r="C866" s="4">
        <v>1176</v>
      </c>
      <c r="D866" s="4">
        <v>218</v>
      </c>
      <c r="E866" s="4">
        <v>1970</v>
      </c>
      <c r="F866" s="4">
        <v>59991</v>
      </c>
      <c r="G866" s="4">
        <v>830.4</v>
      </c>
      <c r="H866" s="3">
        <v>4.1500000000000004</v>
      </c>
      <c r="I866" s="3">
        <v>1.835</v>
      </c>
    </row>
    <row r="867" spans="1:9" x14ac:dyDescent="0.25">
      <c r="A867" s="9">
        <v>27111</v>
      </c>
      <c r="B867" s="4">
        <v>165</v>
      </c>
      <c r="C867" s="4">
        <v>105</v>
      </c>
      <c r="D867" s="4">
        <v>5</v>
      </c>
      <c r="E867" s="4">
        <v>105</v>
      </c>
      <c r="F867" s="4">
        <v>2600</v>
      </c>
      <c r="G867" s="4">
        <v>21.5</v>
      </c>
      <c r="H867" s="3">
        <v>2.85</v>
      </c>
      <c r="I867" s="3">
        <v>1.26</v>
      </c>
    </row>
    <row r="868" spans="1:9" x14ac:dyDescent="0.25">
      <c r="A868" s="9">
        <v>27113</v>
      </c>
      <c r="B868" s="4">
        <v>64</v>
      </c>
      <c r="C868" s="4">
        <v>25</v>
      </c>
      <c r="D868" s="4">
        <v>14</v>
      </c>
      <c r="E868" s="4">
        <v>25</v>
      </c>
      <c r="F868" s="4">
        <v>1108</v>
      </c>
      <c r="G868" s="4">
        <v>8.6</v>
      </c>
      <c r="H868" s="3">
        <v>3.5</v>
      </c>
      <c r="I868" s="3">
        <v>1.17</v>
      </c>
    </row>
    <row r="869" spans="1:9" x14ac:dyDescent="0.25">
      <c r="A869" s="9">
        <v>27115</v>
      </c>
      <c r="B869" s="4">
        <v>19</v>
      </c>
      <c r="C869" s="4">
        <v>9</v>
      </c>
      <c r="D869" s="4">
        <v>14</v>
      </c>
      <c r="E869" s="4">
        <v>9</v>
      </c>
      <c r="F869" s="4">
        <v>256</v>
      </c>
      <c r="G869" s="4">
        <v>2.2999999999999998</v>
      </c>
      <c r="H869" s="3">
        <v>2.8</v>
      </c>
      <c r="I869" s="3">
        <v>1</v>
      </c>
    </row>
    <row r="870" spans="1:9" x14ac:dyDescent="0.25">
      <c r="A870" s="9">
        <v>27117</v>
      </c>
      <c r="B870" s="4">
        <v>20</v>
      </c>
      <c r="C870" s="4">
        <v>18</v>
      </c>
      <c r="D870" s="4">
        <v>14</v>
      </c>
      <c r="E870" s="4">
        <v>18</v>
      </c>
      <c r="F870" s="4">
        <v>466</v>
      </c>
      <c r="G870" s="4">
        <v>2.9</v>
      </c>
      <c r="H870" s="3">
        <v>2.2999999999999998</v>
      </c>
      <c r="I870" s="3">
        <v>1.02</v>
      </c>
    </row>
    <row r="871" spans="1:9" x14ac:dyDescent="0.25">
      <c r="A871" s="9">
        <v>27119</v>
      </c>
      <c r="B871" s="4">
        <v>61</v>
      </c>
      <c r="C871" s="4">
        <v>54</v>
      </c>
      <c r="D871" s="4">
        <v>5</v>
      </c>
      <c r="E871" s="4">
        <v>54</v>
      </c>
      <c r="F871" s="4">
        <v>1242</v>
      </c>
      <c r="G871" s="4">
        <v>10.8</v>
      </c>
      <c r="H871" s="3">
        <v>2.4500000000000002</v>
      </c>
      <c r="I871" s="3">
        <v>1.605</v>
      </c>
    </row>
    <row r="872" spans="1:9" x14ac:dyDescent="0.25">
      <c r="A872" s="9">
        <v>27121</v>
      </c>
      <c r="B872" s="4">
        <v>31</v>
      </c>
      <c r="C872" s="4">
        <v>19</v>
      </c>
      <c r="D872" s="4">
        <v>14</v>
      </c>
      <c r="E872" s="4">
        <v>19</v>
      </c>
      <c r="F872" s="4">
        <v>480</v>
      </c>
      <c r="G872" s="4">
        <v>7.7</v>
      </c>
      <c r="H872" s="3">
        <v>3.8</v>
      </c>
      <c r="I872" s="3">
        <v>1.2</v>
      </c>
    </row>
    <row r="873" spans="1:9" x14ac:dyDescent="0.25">
      <c r="A873" s="9">
        <v>27123</v>
      </c>
      <c r="B873" s="4">
        <v>2825</v>
      </c>
      <c r="C873" s="4">
        <v>1148</v>
      </c>
      <c r="D873" s="4">
        <v>105</v>
      </c>
      <c r="E873" s="4">
        <v>1148</v>
      </c>
      <c r="F873" s="4">
        <v>71800</v>
      </c>
      <c r="G873" s="4">
        <v>875.80000000000007</v>
      </c>
      <c r="H873" s="3">
        <v>4.7249999999999996</v>
      </c>
      <c r="I873" s="3">
        <v>1.7974999999999999</v>
      </c>
    </row>
    <row r="874" spans="1:9" x14ac:dyDescent="0.25">
      <c r="A874" s="9">
        <v>27127</v>
      </c>
      <c r="B874" s="4">
        <v>29</v>
      </c>
      <c r="C874" s="4">
        <v>25</v>
      </c>
      <c r="D874" s="4">
        <v>14</v>
      </c>
      <c r="E874" s="4">
        <v>25</v>
      </c>
      <c r="F874" s="4">
        <v>542</v>
      </c>
      <c r="G874" s="4">
        <v>4.8</v>
      </c>
      <c r="H874" s="3">
        <v>1.3</v>
      </c>
      <c r="I874" s="3">
        <v>1</v>
      </c>
    </row>
    <row r="875" spans="1:9" x14ac:dyDescent="0.25">
      <c r="A875" s="9">
        <v>27129</v>
      </c>
      <c r="B875" s="4">
        <v>20</v>
      </c>
      <c r="C875" s="4">
        <v>16</v>
      </c>
      <c r="D875" s="4">
        <v>14</v>
      </c>
      <c r="E875" s="4">
        <v>16</v>
      </c>
      <c r="F875" s="4">
        <v>394</v>
      </c>
      <c r="G875" s="4">
        <v>4.2</v>
      </c>
      <c r="H875" s="3">
        <v>2.2000000000000002</v>
      </c>
      <c r="I875" s="3">
        <v>1.1499999999999999</v>
      </c>
    </row>
    <row r="876" spans="1:9" x14ac:dyDescent="0.25">
      <c r="A876" s="9">
        <v>27131</v>
      </c>
      <c r="B876" s="4">
        <v>175</v>
      </c>
      <c r="C876" s="4">
        <v>69</v>
      </c>
      <c r="D876" s="4">
        <v>14</v>
      </c>
      <c r="E876" s="4">
        <v>69</v>
      </c>
      <c r="F876" s="4">
        <v>3427</v>
      </c>
      <c r="G876" s="4">
        <v>23.200000000000003</v>
      </c>
      <c r="H876" s="3">
        <v>2.95</v>
      </c>
      <c r="I876" s="3">
        <v>1.385</v>
      </c>
    </row>
    <row r="877" spans="1:9" x14ac:dyDescent="0.25">
      <c r="A877" s="9">
        <v>27133</v>
      </c>
      <c r="B877" s="4">
        <v>35</v>
      </c>
      <c r="C877" s="4">
        <v>25</v>
      </c>
      <c r="D877" s="4">
        <v>14</v>
      </c>
      <c r="E877" s="4">
        <v>25</v>
      </c>
      <c r="F877" s="4">
        <v>377</v>
      </c>
      <c r="G877" s="4">
        <v>5.8</v>
      </c>
      <c r="H877" s="3">
        <v>3.3</v>
      </c>
      <c r="I877" s="3">
        <v>0.92</v>
      </c>
    </row>
    <row r="878" spans="1:9" x14ac:dyDescent="0.25">
      <c r="A878" s="9">
        <v>27135</v>
      </c>
      <c r="B878" s="4">
        <v>30</v>
      </c>
      <c r="C878" s="4">
        <v>25</v>
      </c>
      <c r="D878" s="4">
        <v>14</v>
      </c>
      <c r="E878" s="4">
        <v>25</v>
      </c>
      <c r="F878" s="4">
        <v>504</v>
      </c>
      <c r="G878" s="4">
        <v>6.3</v>
      </c>
      <c r="H878" s="3">
        <v>3.1</v>
      </c>
      <c r="I878" s="3">
        <v>1.04</v>
      </c>
    </row>
    <row r="879" spans="1:9" x14ac:dyDescent="0.25">
      <c r="A879" s="9">
        <v>27137</v>
      </c>
      <c r="B879" s="4">
        <v>1551</v>
      </c>
      <c r="C879" s="4">
        <v>815</v>
      </c>
      <c r="D879" s="4">
        <v>78</v>
      </c>
      <c r="E879" s="4">
        <v>815</v>
      </c>
      <c r="F879" s="4">
        <v>36699</v>
      </c>
      <c r="G879" s="4">
        <v>500.9</v>
      </c>
      <c r="H879" s="3">
        <v>4</v>
      </c>
      <c r="I879" s="3">
        <v>1.3900000000000001</v>
      </c>
    </row>
    <row r="880" spans="1:9" x14ac:dyDescent="0.25">
      <c r="A880" s="9">
        <v>27139</v>
      </c>
      <c r="B880" s="4">
        <v>258</v>
      </c>
      <c r="C880" s="4">
        <v>109</v>
      </c>
      <c r="D880" s="4">
        <v>14</v>
      </c>
      <c r="E880" s="4">
        <v>109</v>
      </c>
      <c r="F880" s="4">
        <v>6765</v>
      </c>
      <c r="G880" s="4">
        <v>56.5</v>
      </c>
      <c r="H880" s="3">
        <v>3</v>
      </c>
      <c r="I880" s="3">
        <v>1.375</v>
      </c>
    </row>
    <row r="881" spans="1:9" x14ac:dyDescent="0.25">
      <c r="A881" s="9">
        <v>27143</v>
      </c>
      <c r="B881" s="4">
        <v>17</v>
      </c>
      <c r="C881" s="4">
        <v>16</v>
      </c>
      <c r="D881" s="4">
        <v>14</v>
      </c>
      <c r="E881" s="4">
        <v>16</v>
      </c>
      <c r="F881" s="4">
        <v>122</v>
      </c>
      <c r="G881" s="4">
        <v>2.4</v>
      </c>
      <c r="H881" s="3">
        <v>2.4</v>
      </c>
      <c r="I881" s="3">
        <v>1.01</v>
      </c>
    </row>
    <row r="882" spans="1:9" x14ac:dyDescent="0.25">
      <c r="A882" s="9">
        <v>27145</v>
      </c>
      <c r="B882" s="4">
        <v>1058</v>
      </c>
      <c r="C882" s="4">
        <v>520</v>
      </c>
      <c r="D882" s="4">
        <v>42</v>
      </c>
      <c r="E882" s="4">
        <v>520</v>
      </c>
      <c r="F882" s="4">
        <v>28962</v>
      </c>
      <c r="G882" s="4">
        <v>332.59999999999997</v>
      </c>
      <c r="H882" s="3">
        <v>2.96</v>
      </c>
      <c r="I882" s="3">
        <v>1.3125</v>
      </c>
    </row>
    <row r="883" spans="1:9" x14ac:dyDescent="0.25">
      <c r="A883" s="9">
        <v>27147</v>
      </c>
      <c r="B883" s="4">
        <v>80</v>
      </c>
      <c r="C883" s="4">
        <v>29</v>
      </c>
      <c r="D883" s="4">
        <v>14</v>
      </c>
      <c r="E883" s="4">
        <v>29</v>
      </c>
      <c r="F883" s="4">
        <v>2119</v>
      </c>
      <c r="G883" s="4">
        <v>14.6</v>
      </c>
      <c r="H883" s="3">
        <v>3</v>
      </c>
      <c r="I883" s="3">
        <v>1.39</v>
      </c>
    </row>
    <row r="884" spans="1:9" x14ac:dyDescent="0.25">
      <c r="A884" s="9">
        <v>27149</v>
      </c>
      <c r="B884" s="4">
        <v>31</v>
      </c>
      <c r="C884" s="4">
        <v>25</v>
      </c>
      <c r="D884" s="4">
        <v>14</v>
      </c>
      <c r="E884" s="4">
        <v>25</v>
      </c>
      <c r="F884" s="4">
        <v>834</v>
      </c>
      <c r="G884" s="4">
        <v>6.9</v>
      </c>
      <c r="H884" s="3">
        <v>2.9</v>
      </c>
      <c r="I884" s="3">
        <v>0.98</v>
      </c>
    </row>
    <row r="885" spans="1:9" x14ac:dyDescent="0.25">
      <c r="A885" s="9">
        <v>27151</v>
      </c>
      <c r="B885" s="4">
        <v>17</v>
      </c>
      <c r="C885" s="4">
        <v>33</v>
      </c>
      <c r="D885" s="4">
        <v>14</v>
      </c>
      <c r="E885" s="4">
        <v>33</v>
      </c>
      <c r="F885" s="4">
        <v>274</v>
      </c>
      <c r="G885" s="4">
        <v>5.5</v>
      </c>
      <c r="H885" s="3">
        <v>2.65</v>
      </c>
      <c r="I885" s="3">
        <v>1.145</v>
      </c>
    </row>
    <row r="886" spans="1:9" x14ac:dyDescent="0.25">
      <c r="A886" s="9">
        <v>27153</v>
      </c>
      <c r="B886" s="4">
        <v>20</v>
      </c>
      <c r="C886" s="4">
        <v>14</v>
      </c>
      <c r="D886" s="4">
        <v>14</v>
      </c>
      <c r="E886" s="4">
        <v>14</v>
      </c>
      <c r="F886" s="4">
        <v>407</v>
      </c>
      <c r="G886" s="4">
        <v>7.3</v>
      </c>
      <c r="H886" s="3">
        <v>3.2</v>
      </c>
      <c r="I886" s="3">
        <v>1.04</v>
      </c>
    </row>
    <row r="887" spans="1:9" x14ac:dyDescent="0.25">
      <c r="A887" s="9">
        <v>27155</v>
      </c>
      <c r="B887" s="4">
        <v>8</v>
      </c>
      <c r="C887" s="4">
        <v>15</v>
      </c>
      <c r="D887" s="4">
        <v>14</v>
      </c>
      <c r="E887" s="4">
        <v>15</v>
      </c>
      <c r="F887" s="4">
        <v>73</v>
      </c>
      <c r="G887" s="4">
        <v>1.5</v>
      </c>
      <c r="H887" s="3">
        <v>2.1</v>
      </c>
      <c r="I887" s="3">
        <v>1.04</v>
      </c>
    </row>
    <row r="888" spans="1:9" x14ac:dyDescent="0.25">
      <c r="A888" s="9">
        <v>27157</v>
      </c>
      <c r="B888" s="4">
        <v>42</v>
      </c>
      <c r="C888" s="4">
        <v>32</v>
      </c>
      <c r="D888" s="4">
        <v>14</v>
      </c>
      <c r="E888" s="4">
        <v>32</v>
      </c>
      <c r="F888" s="4">
        <v>315</v>
      </c>
      <c r="G888" s="4">
        <v>10.199999999999999</v>
      </c>
      <c r="H888" s="3">
        <v>2.5499999999999998</v>
      </c>
      <c r="I888" s="3">
        <v>1.2250000000000001</v>
      </c>
    </row>
    <row r="889" spans="1:9" x14ac:dyDescent="0.25">
      <c r="A889" s="9">
        <v>27159</v>
      </c>
      <c r="B889" s="4">
        <v>118</v>
      </c>
      <c r="C889" s="4">
        <v>50</v>
      </c>
      <c r="D889" s="4">
        <v>5</v>
      </c>
      <c r="E889" s="4">
        <v>125</v>
      </c>
      <c r="F889" s="4">
        <v>2050</v>
      </c>
      <c r="G889" s="4">
        <v>17.600000000000001</v>
      </c>
      <c r="H889" s="3">
        <v>2.75</v>
      </c>
      <c r="I889" s="3">
        <v>1.2050000000000001</v>
      </c>
    </row>
    <row r="890" spans="1:9" x14ac:dyDescent="0.25">
      <c r="A890" s="9">
        <v>27161</v>
      </c>
      <c r="B890" s="4">
        <v>22</v>
      </c>
      <c r="C890" s="4">
        <v>15</v>
      </c>
      <c r="D890" s="4">
        <v>14</v>
      </c>
      <c r="E890" s="4">
        <v>15</v>
      </c>
      <c r="F890" s="4">
        <v>102</v>
      </c>
      <c r="G890" s="4">
        <v>6.8</v>
      </c>
      <c r="H890" s="3">
        <v>3.6</v>
      </c>
      <c r="I890" s="3">
        <v>0.99</v>
      </c>
    </row>
    <row r="891" spans="1:9" x14ac:dyDescent="0.25">
      <c r="A891" s="9">
        <v>27163</v>
      </c>
      <c r="B891" s="4">
        <v>328</v>
      </c>
      <c r="C891" s="4">
        <v>154</v>
      </c>
      <c r="D891" s="4">
        <v>31</v>
      </c>
      <c r="E891" s="4">
        <v>154</v>
      </c>
      <c r="F891" s="4">
        <v>11639</v>
      </c>
      <c r="G891" s="4">
        <v>80.8</v>
      </c>
      <c r="H891" s="3">
        <v>3</v>
      </c>
      <c r="I891" s="3">
        <v>1.7050000000000001</v>
      </c>
    </row>
    <row r="892" spans="1:9" x14ac:dyDescent="0.25">
      <c r="A892" s="9">
        <v>27165</v>
      </c>
      <c r="B892" s="4">
        <v>39</v>
      </c>
      <c r="C892" s="4">
        <v>50</v>
      </c>
      <c r="D892" s="4">
        <v>14</v>
      </c>
      <c r="E892" s="4">
        <v>50</v>
      </c>
      <c r="F892" s="4">
        <v>197</v>
      </c>
      <c r="G892" s="4">
        <v>9.4</v>
      </c>
      <c r="H892" s="3">
        <v>3.1</v>
      </c>
      <c r="I892" s="3">
        <v>0.94</v>
      </c>
    </row>
    <row r="893" spans="1:9" x14ac:dyDescent="0.25">
      <c r="A893" s="9">
        <v>27167</v>
      </c>
      <c r="B893" s="4">
        <v>19</v>
      </c>
      <c r="C893" s="4">
        <v>25</v>
      </c>
      <c r="D893" s="4">
        <v>14</v>
      </c>
      <c r="E893" s="4">
        <v>25</v>
      </c>
      <c r="F893" s="4">
        <v>443</v>
      </c>
      <c r="G893" s="4">
        <v>6.9</v>
      </c>
      <c r="H893" s="3">
        <v>3.3</v>
      </c>
      <c r="I893" s="3">
        <v>1.1000000000000001</v>
      </c>
    </row>
    <row r="894" spans="1:9" x14ac:dyDescent="0.25">
      <c r="A894" s="9">
        <v>27169</v>
      </c>
      <c r="B894" s="4">
        <v>141</v>
      </c>
      <c r="C894" s="4">
        <v>41</v>
      </c>
      <c r="D894" s="4">
        <v>8</v>
      </c>
      <c r="E894" s="4">
        <v>49</v>
      </c>
      <c r="F894" s="4">
        <v>1737</v>
      </c>
      <c r="G894" s="4">
        <v>19.2</v>
      </c>
      <c r="H894" s="3">
        <v>4.3</v>
      </c>
      <c r="I894" s="3">
        <v>1.28</v>
      </c>
    </row>
    <row r="895" spans="1:9" x14ac:dyDescent="0.25">
      <c r="A895" s="9">
        <v>27171</v>
      </c>
      <c r="B895" s="4">
        <v>154</v>
      </c>
      <c r="C895" s="4">
        <v>69</v>
      </c>
      <c r="D895" s="4">
        <v>3</v>
      </c>
      <c r="E895" s="4">
        <v>69</v>
      </c>
      <c r="F895" s="4">
        <v>3032</v>
      </c>
      <c r="G895" s="4">
        <v>27.5</v>
      </c>
      <c r="H895" s="3">
        <v>2.8</v>
      </c>
      <c r="I895" s="3">
        <v>1.375</v>
      </c>
    </row>
    <row r="896" spans="1:9" x14ac:dyDescent="0.25">
      <c r="A896" s="9">
        <v>27173</v>
      </c>
      <c r="B896" s="4">
        <v>35</v>
      </c>
      <c r="C896" s="4">
        <v>47</v>
      </c>
      <c r="D896" s="4">
        <v>14</v>
      </c>
      <c r="E896" s="4">
        <v>47</v>
      </c>
      <c r="F896" s="4">
        <v>477</v>
      </c>
      <c r="G896" s="4">
        <v>8.6</v>
      </c>
      <c r="H896" s="3">
        <v>2.9000000000000004</v>
      </c>
      <c r="I896" s="3">
        <v>0.95</v>
      </c>
    </row>
    <row r="897" spans="1:9" x14ac:dyDescent="0.25">
      <c r="A897" s="9">
        <v>28001</v>
      </c>
      <c r="B897" s="4">
        <v>80</v>
      </c>
      <c r="C897" s="4">
        <v>147</v>
      </c>
      <c r="D897" s="4">
        <v>15</v>
      </c>
      <c r="E897" s="4">
        <v>147</v>
      </c>
      <c r="F897" s="4">
        <v>6950</v>
      </c>
      <c r="G897" s="4">
        <v>76.5</v>
      </c>
      <c r="H897" s="3">
        <v>4.55</v>
      </c>
      <c r="I897" s="3">
        <v>1.36</v>
      </c>
    </row>
    <row r="898" spans="1:9" x14ac:dyDescent="0.25">
      <c r="A898" s="9">
        <v>28003</v>
      </c>
      <c r="B898" s="4">
        <v>189</v>
      </c>
      <c r="C898" s="4">
        <v>163</v>
      </c>
      <c r="D898" s="4">
        <v>24</v>
      </c>
      <c r="E898" s="4">
        <v>163</v>
      </c>
      <c r="F898" s="4">
        <v>7140</v>
      </c>
      <c r="G898" s="4">
        <v>75.3</v>
      </c>
      <c r="H898" s="3">
        <v>4</v>
      </c>
      <c r="I898" s="3">
        <v>1.53</v>
      </c>
    </row>
    <row r="899" spans="1:9" x14ac:dyDescent="0.25">
      <c r="A899" s="9">
        <v>28007</v>
      </c>
      <c r="B899" s="4">
        <v>22</v>
      </c>
      <c r="C899" s="4">
        <v>25</v>
      </c>
      <c r="D899" s="4">
        <v>14</v>
      </c>
      <c r="E899" s="4">
        <v>25</v>
      </c>
      <c r="F899" s="4">
        <v>456</v>
      </c>
      <c r="G899" s="4">
        <v>9.1</v>
      </c>
      <c r="H899" s="3">
        <v>1.9</v>
      </c>
      <c r="I899" s="3">
        <v>0.94</v>
      </c>
    </row>
    <row r="900" spans="1:9" x14ac:dyDescent="0.25">
      <c r="A900" s="9">
        <v>28011</v>
      </c>
      <c r="B900" s="4">
        <v>66</v>
      </c>
      <c r="C900" s="4">
        <v>152</v>
      </c>
      <c r="D900" s="4">
        <v>8</v>
      </c>
      <c r="E900" s="4">
        <v>152</v>
      </c>
      <c r="F900" s="4">
        <v>2834</v>
      </c>
      <c r="G900" s="4">
        <v>29.3</v>
      </c>
      <c r="H900" s="3">
        <v>4.0999999999999996</v>
      </c>
      <c r="I900" s="3">
        <v>1.3</v>
      </c>
    </row>
    <row r="901" spans="1:9" x14ac:dyDescent="0.25">
      <c r="A901" s="9">
        <v>28013</v>
      </c>
      <c r="B901" s="4">
        <v>12</v>
      </c>
      <c r="C901" s="4">
        <v>25</v>
      </c>
      <c r="D901" s="4">
        <v>14</v>
      </c>
      <c r="E901" s="4">
        <v>25</v>
      </c>
      <c r="F901" s="4">
        <v>302</v>
      </c>
      <c r="G901" s="4">
        <v>13.5</v>
      </c>
      <c r="H901" s="3">
        <v>3.4</v>
      </c>
      <c r="I901" s="3">
        <v>0.92</v>
      </c>
    </row>
    <row r="902" spans="1:9" x14ac:dyDescent="0.25">
      <c r="A902" s="9">
        <v>28017</v>
      </c>
      <c r="B902" s="4">
        <v>25</v>
      </c>
      <c r="C902" s="4">
        <v>39</v>
      </c>
      <c r="D902" s="4">
        <v>14</v>
      </c>
      <c r="E902" s="4">
        <v>39</v>
      </c>
      <c r="F902" s="4">
        <v>108</v>
      </c>
      <c r="G902" s="4">
        <v>5.0999999999999996</v>
      </c>
      <c r="H902" s="3">
        <v>17.2</v>
      </c>
      <c r="I902" s="3">
        <v>1.1299999999999999</v>
      </c>
    </row>
    <row r="903" spans="1:9" x14ac:dyDescent="0.25">
      <c r="A903" s="9">
        <v>28019</v>
      </c>
      <c r="B903" s="4">
        <v>24</v>
      </c>
      <c r="C903" s="4">
        <v>15</v>
      </c>
      <c r="D903" s="4">
        <v>14</v>
      </c>
      <c r="E903" s="4">
        <v>15</v>
      </c>
      <c r="F903" s="4">
        <v>226</v>
      </c>
      <c r="G903" s="4">
        <v>7.1000000000000005</v>
      </c>
      <c r="H903" s="3">
        <v>2.9000000000000004</v>
      </c>
      <c r="I903" s="3">
        <v>1.01</v>
      </c>
    </row>
    <row r="904" spans="1:9" x14ac:dyDescent="0.25">
      <c r="A904" s="9">
        <v>28021</v>
      </c>
      <c r="B904" s="4">
        <v>12</v>
      </c>
      <c r="C904" s="4">
        <v>22</v>
      </c>
      <c r="D904" s="4">
        <v>14</v>
      </c>
      <c r="E904" s="4">
        <v>22</v>
      </c>
      <c r="F904" s="4">
        <v>366</v>
      </c>
      <c r="G904" s="4">
        <v>8</v>
      </c>
      <c r="H904" s="3">
        <v>3.6</v>
      </c>
      <c r="I904" s="3">
        <v>0.97</v>
      </c>
    </row>
    <row r="905" spans="1:9" x14ac:dyDescent="0.25">
      <c r="A905" s="9">
        <v>28023</v>
      </c>
      <c r="B905" s="4">
        <v>21</v>
      </c>
      <c r="C905" s="4">
        <v>25</v>
      </c>
      <c r="D905" s="4">
        <v>14</v>
      </c>
      <c r="E905" s="4">
        <v>25</v>
      </c>
      <c r="F905" s="4">
        <v>166</v>
      </c>
      <c r="G905" s="4">
        <v>10.8</v>
      </c>
      <c r="H905" s="3">
        <v>3.8</v>
      </c>
      <c r="I905" s="3">
        <v>0.93</v>
      </c>
    </row>
    <row r="906" spans="1:9" x14ac:dyDescent="0.25">
      <c r="A906" s="9">
        <v>28025</v>
      </c>
      <c r="B906" s="4">
        <v>33</v>
      </c>
      <c r="C906" s="4">
        <v>49</v>
      </c>
      <c r="D906" s="4">
        <v>6</v>
      </c>
      <c r="E906" s="4">
        <v>49</v>
      </c>
      <c r="F906" s="4">
        <v>1603</v>
      </c>
      <c r="G906" s="4">
        <v>20.8</v>
      </c>
      <c r="H906" s="3">
        <v>5.3</v>
      </c>
      <c r="I906" s="3">
        <v>1.21</v>
      </c>
    </row>
    <row r="907" spans="1:9" x14ac:dyDescent="0.25">
      <c r="A907" s="9">
        <v>28027</v>
      </c>
      <c r="B907" s="4">
        <v>61</v>
      </c>
      <c r="C907" s="4">
        <v>181</v>
      </c>
      <c r="D907" s="4">
        <v>10</v>
      </c>
      <c r="E907" s="4">
        <v>181</v>
      </c>
      <c r="F907" s="4">
        <v>2087</v>
      </c>
      <c r="G907" s="4">
        <v>26.9</v>
      </c>
      <c r="H907" s="3">
        <v>5.5</v>
      </c>
      <c r="I907" s="3">
        <v>1.45</v>
      </c>
    </row>
    <row r="908" spans="1:9" x14ac:dyDescent="0.25">
      <c r="A908" s="9">
        <v>28029</v>
      </c>
      <c r="B908" s="4">
        <v>23</v>
      </c>
      <c r="C908" s="4">
        <v>25</v>
      </c>
      <c r="D908" s="4">
        <v>14</v>
      </c>
      <c r="E908" s="4">
        <v>25</v>
      </c>
      <c r="F908" s="4">
        <v>1327</v>
      </c>
      <c r="G908" s="4">
        <v>26.5</v>
      </c>
      <c r="H908" s="3">
        <v>2</v>
      </c>
      <c r="I908" s="3">
        <v>0.88</v>
      </c>
    </row>
    <row r="909" spans="1:9" x14ac:dyDescent="0.25">
      <c r="A909" s="9">
        <v>28031</v>
      </c>
      <c r="B909" s="4">
        <v>29</v>
      </c>
      <c r="C909" s="4">
        <v>25</v>
      </c>
      <c r="D909" s="4">
        <v>14</v>
      </c>
      <c r="E909" s="4">
        <v>25</v>
      </c>
      <c r="F909" s="4">
        <v>249</v>
      </c>
      <c r="G909" s="4">
        <v>14</v>
      </c>
      <c r="H909" s="3">
        <v>3.3</v>
      </c>
      <c r="I909" s="3">
        <v>0.91</v>
      </c>
    </row>
    <row r="910" spans="1:9" x14ac:dyDescent="0.25">
      <c r="A910" s="9">
        <v>28033</v>
      </c>
      <c r="B910" s="4">
        <v>392</v>
      </c>
      <c r="C910" s="4">
        <v>352</v>
      </c>
      <c r="D910" s="4">
        <v>8</v>
      </c>
      <c r="E910" s="4">
        <v>352</v>
      </c>
      <c r="F910" s="4">
        <v>26589</v>
      </c>
      <c r="G910" s="4">
        <v>232</v>
      </c>
      <c r="H910" s="3">
        <v>3</v>
      </c>
      <c r="I910" s="3">
        <v>1.6099999999999999</v>
      </c>
    </row>
    <row r="911" spans="1:9" x14ac:dyDescent="0.25">
      <c r="A911" s="9">
        <v>28035</v>
      </c>
      <c r="B911" s="4">
        <v>607</v>
      </c>
      <c r="C911" s="4">
        <v>559</v>
      </c>
      <c r="D911" s="4">
        <v>57</v>
      </c>
      <c r="E911" s="4">
        <v>589</v>
      </c>
      <c r="F911" s="4">
        <v>32328</v>
      </c>
      <c r="G911" s="4">
        <v>362.6</v>
      </c>
      <c r="H911" s="3">
        <v>4.3499999999999996</v>
      </c>
      <c r="I911" s="3">
        <v>1.77</v>
      </c>
    </row>
    <row r="912" spans="1:9" x14ac:dyDescent="0.25">
      <c r="A912" s="9">
        <v>28037</v>
      </c>
      <c r="B912" s="4">
        <v>12</v>
      </c>
      <c r="C912" s="4">
        <v>24</v>
      </c>
      <c r="D912" s="4">
        <v>14</v>
      </c>
      <c r="E912" s="4">
        <v>24</v>
      </c>
      <c r="F912" s="4">
        <v>132</v>
      </c>
      <c r="G912" s="4">
        <v>16.100000000000001</v>
      </c>
      <c r="H912" s="3">
        <v>2.8</v>
      </c>
      <c r="I912" s="3">
        <v>0.9</v>
      </c>
    </row>
    <row r="913" spans="1:9" x14ac:dyDescent="0.25">
      <c r="A913" s="9">
        <v>28039</v>
      </c>
      <c r="B913" s="4">
        <v>50</v>
      </c>
      <c r="C913" s="4">
        <v>42</v>
      </c>
      <c r="D913" s="4">
        <v>6</v>
      </c>
      <c r="E913" s="4">
        <v>42</v>
      </c>
      <c r="F913" s="4">
        <v>1012</v>
      </c>
      <c r="G913" s="4">
        <v>8.4</v>
      </c>
      <c r="H913" s="3">
        <v>3.6</v>
      </c>
      <c r="I913" s="3">
        <v>1.28</v>
      </c>
    </row>
    <row r="914" spans="1:9" x14ac:dyDescent="0.25">
      <c r="A914" s="9">
        <v>28041</v>
      </c>
      <c r="B914" s="4">
        <v>7</v>
      </c>
      <c r="C914" s="4">
        <v>7</v>
      </c>
      <c r="D914" s="4">
        <v>14</v>
      </c>
      <c r="E914" s="4">
        <v>7</v>
      </c>
      <c r="F914" s="4">
        <v>34</v>
      </c>
      <c r="G914" s="4">
        <v>3.8</v>
      </c>
      <c r="H914" s="3">
        <v>3</v>
      </c>
      <c r="I914" s="3">
        <v>1.02</v>
      </c>
    </row>
    <row r="915" spans="1:9" x14ac:dyDescent="0.25">
      <c r="A915" s="9">
        <v>28043</v>
      </c>
      <c r="B915" s="4">
        <v>81</v>
      </c>
      <c r="C915" s="4">
        <v>49</v>
      </c>
      <c r="D915" s="4">
        <v>14</v>
      </c>
      <c r="E915" s="4">
        <v>49</v>
      </c>
      <c r="F915" s="4">
        <v>1786</v>
      </c>
      <c r="G915" s="4">
        <v>18.100000000000001</v>
      </c>
      <c r="H915" s="3">
        <v>4.0999999999999996</v>
      </c>
      <c r="I915" s="3">
        <v>1.41</v>
      </c>
    </row>
    <row r="916" spans="1:9" x14ac:dyDescent="0.25">
      <c r="A916" s="9">
        <v>28045</v>
      </c>
      <c r="B916" s="4">
        <v>53</v>
      </c>
      <c r="C916" s="4">
        <v>51</v>
      </c>
      <c r="D916" s="4">
        <v>6</v>
      </c>
      <c r="E916" s="4">
        <v>51</v>
      </c>
      <c r="F916" s="4">
        <v>1005</v>
      </c>
      <c r="G916" s="4">
        <v>8.6999999999999993</v>
      </c>
      <c r="H916" s="3">
        <v>3.5</v>
      </c>
      <c r="I916" s="3">
        <v>1.35</v>
      </c>
    </row>
    <row r="917" spans="1:9" x14ac:dyDescent="0.25">
      <c r="A917" s="9">
        <v>28047</v>
      </c>
      <c r="B917" s="4">
        <v>635</v>
      </c>
      <c r="C917" s="4">
        <v>524</v>
      </c>
      <c r="D917" s="4">
        <v>57</v>
      </c>
      <c r="E917" s="4">
        <v>524</v>
      </c>
      <c r="F917" s="4">
        <v>25355</v>
      </c>
      <c r="G917" s="4">
        <v>266.2</v>
      </c>
      <c r="H917" s="3">
        <v>3.9333333333333336</v>
      </c>
      <c r="I917" s="3">
        <v>1.6366666666666667</v>
      </c>
    </row>
    <row r="918" spans="1:9" x14ac:dyDescent="0.25">
      <c r="A918" s="9">
        <v>28049</v>
      </c>
      <c r="B918" s="4">
        <v>2115</v>
      </c>
      <c r="C918" s="4">
        <v>1946</v>
      </c>
      <c r="D918" s="4">
        <v>149</v>
      </c>
      <c r="E918" s="4">
        <v>2153</v>
      </c>
      <c r="F918" s="4">
        <v>84709</v>
      </c>
      <c r="G918" s="4">
        <v>1267.8000000000002</v>
      </c>
      <c r="H918" s="3">
        <v>5.375</v>
      </c>
      <c r="I918" s="3">
        <v>1.7580000000000002</v>
      </c>
    </row>
    <row r="919" spans="1:9" x14ac:dyDescent="0.25">
      <c r="A919" s="9">
        <v>28051</v>
      </c>
      <c r="B919" s="4">
        <v>18</v>
      </c>
      <c r="C919" s="4">
        <v>25</v>
      </c>
      <c r="D919" s="4">
        <v>14</v>
      </c>
      <c r="E919" s="4">
        <v>25</v>
      </c>
      <c r="F919" s="4">
        <v>209</v>
      </c>
      <c r="G919" s="4">
        <v>7.1</v>
      </c>
      <c r="H919" s="3">
        <v>3</v>
      </c>
      <c r="I919" s="3">
        <v>0.96</v>
      </c>
    </row>
    <row r="920" spans="1:9" x14ac:dyDescent="0.25">
      <c r="A920" s="9">
        <v>28053</v>
      </c>
      <c r="B920" s="4">
        <v>80</v>
      </c>
      <c r="C920" s="4">
        <v>49</v>
      </c>
      <c r="D920" s="4">
        <v>14</v>
      </c>
      <c r="E920" s="4">
        <v>49</v>
      </c>
      <c r="F920" s="4">
        <v>375</v>
      </c>
      <c r="G920" s="4">
        <v>4.9000000000000004</v>
      </c>
      <c r="H920" s="3">
        <v>2.8</v>
      </c>
      <c r="I920" s="3">
        <v>1</v>
      </c>
    </row>
    <row r="921" spans="1:9" x14ac:dyDescent="0.25">
      <c r="A921" s="9">
        <v>28059</v>
      </c>
      <c r="B921" s="4">
        <v>682</v>
      </c>
      <c r="C921" s="4">
        <v>328</v>
      </c>
      <c r="D921" s="4">
        <v>48</v>
      </c>
      <c r="E921" s="4">
        <v>571</v>
      </c>
      <c r="F921" s="4">
        <v>15924</v>
      </c>
      <c r="G921" s="4">
        <v>185.1</v>
      </c>
      <c r="H921" s="3">
        <v>4.4000000000000004</v>
      </c>
      <c r="I921" s="3">
        <v>1.68</v>
      </c>
    </row>
    <row r="922" spans="1:9" x14ac:dyDescent="0.25">
      <c r="A922" s="9">
        <v>28061</v>
      </c>
      <c r="B922" s="4">
        <v>18</v>
      </c>
      <c r="C922" s="4">
        <v>20</v>
      </c>
      <c r="D922" s="4">
        <v>14</v>
      </c>
      <c r="E922" s="4">
        <v>16</v>
      </c>
      <c r="F922" s="4">
        <v>18</v>
      </c>
      <c r="G922" s="4">
        <v>6.4</v>
      </c>
      <c r="H922" s="3">
        <v>129.6</v>
      </c>
      <c r="I922" s="3">
        <v>0.91</v>
      </c>
    </row>
    <row r="923" spans="1:9" x14ac:dyDescent="0.25">
      <c r="A923" s="9">
        <v>28063</v>
      </c>
      <c r="B923" s="4">
        <v>9</v>
      </c>
      <c r="C923" s="4">
        <v>12</v>
      </c>
      <c r="D923" s="4">
        <v>14</v>
      </c>
      <c r="E923" s="4">
        <v>12</v>
      </c>
      <c r="F923" s="4">
        <v>96</v>
      </c>
      <c r="G923" s="4">
        <v>0.9</v>
      </c>
      <c r="H923" s="3">
        <v>3.3</v>
      </c>
      <c r="I923" s="3">
        <v>1.0900000000000001</v>
      </c>
    </row>
    <row r="924" spans="1:9" x14ac:dyDescent="0.25">
      <c r="A924" s="9">
        <v>28065</v>
      </c>
      <c r="B924" s="4">
        <v>17</v>
      </c>
      <c r="C924" s="4">
        <v>25</v>
      </c>
      <c r="D924" s="4">
        <v>14</v>
      </c>
      <c r="E924" s="4">
        <v>25</v>
      </c>
      <c r="F924" s="4">
        <v>97</v>
      </c>
      <c r="G924" s="4">
        <v>3.5</v>
      </c>
      <c r="H924" s="3">
        <v>3.1</v>
      </c>
      <c r="I924" s="3">
        <v>0.95</v>
      </c>
    </row>
    <row r="925" spans="1:9" x14ac:dyDescent="0.25">
      <c r="A925" s="9">
        <v>28067</v>
      </c>
      <c r="B925" s="4">
        <v>179</v>
      </c>
      <c r="C925" s="4">
        <v>268</v>
      </c>
      <c r="D925" s="4">
        <v>14</v>
      </c>
      <c r="E925" s="4">
        <v>268</v>
      </c>
      <c r="F925" s="4">
        <v>7093</v>
      </c>
      <c r="G925" s="4">
        <v>93.1</v>
      </c>
      <c r="H925" s="3">
        <v>5.0999999999999996</v>
      </c>
      <c r="I925" s="3">
        <v>1.34</v>
      </c>
    </row>
    <row r="926" spans="1:9" x14ac:dyDescent="0.25">
      <c r="A926" s="9">
        <v>28069</v>
      </c>
      <c r="B926" s="4">
        <v>18</v>
      </c>
      <c r="C926" s="4">
        <v>25</v>
      </c>
      <c r="D926" s="4">
        <v>14</v>
      </c>
      <c r="E926" s="4">
        <v>25</v>
      </c>
      <c r="F926" s="4">
        <v>102</v>
      </c>
      <c r="G926" s="4">
        <v>10.1</v>
      </c>
      <c r="H926" s="3">
        <v>2.8</v>
      </c>
      <c r="I926" s="3">
        <v>0.85</v>
      </c>
    </row>
    <row r="927" spans="1:9" x14ac:dyDescent="0.25">
      <c r="A927" s="9">
        <v>28071</v>
      </c>
      <c r="B927" s="4">
        <v>196</v>
      </c>
      <c r="C927" s="4">
        <v>171</v>
      </c>
      <c r="D927" s="4">
        <v>24</v>
      </c>
      <c r="E927" s="4">
        <v>171</v>
      </c>
      <c r="F927" s="4">
        <v>9374</v>
      </c>
      <c r="G927" s="4">
        <v>94.6</v>
      </c>
      <c r="H927" s="3">
        <v>3.9</v>
      </c>
      <c r="I927" s="3">
        <v>1.74</v>
      </c>
    </row>
    <row r="928" spans="1:9" x14ac:dyDescent="0.25">
      <c r="A928" s="9">
        <v>28075</v>
      </c>
      <c r="B928" s="4">
        <v>431</v>
      </c>
      <c r="C928" s="4">
        <v>558</v>
      </c>
      <c r="D928" s="4">
        <v>39</v>
      </c>
      <c r="E928" s="4">
        <v>558</v>
      </c>
      <c r="F928" s="4">
        <v>17025</v>
      </c>
      <c r="G928" s="4">
        <v>199.7</v>
      </c>
      <c r="H928" s="3">
        <v>1736.4499999999998</v>
      </c>
      <c r="I928" s="3">
        <v>1.33</v>
      </c>
    </row>
    <row r="929" spans="1:9" x14ac:dyDescent="0.25">
      <c r="A929" s="9">
        <v>28077</v>
      </c>
      <c r="B929" s="4">
        <v>13</v>
      </c>
      <c r="C929" s="4">
        <v>25</v>
      </c>
      <c r="D929" s="4">
        <v>14</v>
      </c>
      <c r="E929" s="4">
        <v>25</v>
      </c>
      <c r="F929" s="4">
        <v>322</v>
      </c>
      <c r="G929" s="4">
        <v>7.5</v>
      </c>
      <c r="H929" s="3">
        <v>3.4</v>
      </c>
      <c r="I929" s="3">
        <v>0.87</v>
      </c>
    </row>
    <row r="930" spans="1:9" x14ac:dyDescent="0.25">
      <c r="A930" s="9">
        <v>28079</v>
      </c>
      <c r="B930" s="4">
        <v>20</v>
      </c>
      <c r="C930" s="4">
        <v>25</v>
      </c>
      <c r="D930" s="4">
        <v>14</v>
      </c>
      <c r="E930" s="4">
        <v>25</v>
      </c>
      <c r="F930" s="4">
        <v>479</v>
      </c>
      <c r="G930" s="4">
        <v>16.5</v>
      </c>
      <c r="H930" s="3">
        <v>3.6</v>
      </c>
      <c r="I930" s="3">
        <v>0.93</v>
      </c>
    </row>
    <row r="931" spans="1:9" x14ac:dyDescent="0.25">
      <c r="A931" s="9">
        <v>28081</v>
      </c>
      <c r="B931" s="4">
        <v>654</v>
      </c>
      <c r="C931" s="4">
        <v>536</v>
      </c>
      <c r="D931" s="4">
        <v>24</v>
      </c>
      <c r="E931" s="4">
        <v>659</v>
      </c>
      <c r="F931" s="4">
        <v>23178</v>
      </c>
      <c r="G931" s="4">
        <v>300.8</v>
      </c>
      <c r="H931" s="3">
        <v>5.0999999999999996</v>
      </c>
      <c r="I931" s="3">
        <v>1.84</v>
      </c>
    </row>
    <row r="932" spans="1:9" x14ac:dyDescent="0.25">
      <c r="A932" s="9">
        <v>28083</v>
      </c>
      <c r="B932" s="4">
        <v>110</v>
      </c>
      <c r="C932" s="4">
        <v>173</v>
      </c>
      <c r="D932" s="4">
        <v>9</v>
      </c>
      <c r="E932" s="4">
        <v>173</v>
      </c>
      <c r="F932" s="4">
        <v>5383</v>
      </c>
      <c r="G932" s="4">
        <v>52.1</v>
      </c>
      <c r="H932" s="3">
        <v>3.7</v>
      </c>
      <c r="I932" s="3">
        <v>1.52</v>
      </c>
    </row>
    <row r="933" spans="1:9" x14ac:dyDescent="0.25">
      <c r="A933" s="9">
        <v>28085</v>
      </c>
      <c r="B933" s="4">
        <v>138</v>
      </c>
      <c r="C933" s="4">
        <v>90</v>
      </c>
      <c r="D933" s="4">
        <v>5</v>
      </c>
      <c r="E933" s="4">
        <v>90</v>
      </c>
      <c r="F933" s="4">
        <v>2506</v>
      </c>
      <c r="G933" s="4">
        <v>16.100000000000001</v>
      </c>
      <c r="H933" s="3">
        <v>2.9</v>
      </c>
      <c r="I933" s="3">
        <v>1.52</v>
      </c>
    </row>
    <row r="934" spans="1:9" x14ac:dyDescent="0.25">
      <c r="A934" s="9">
        <v>28087</v>
      </c>
      <c r="B934" s="4">
        <v>155</v>
      </c>
      <c r="C934" s="4">
        <v>159</v>
      </c>
      <c r="D934" s="4">
        <v>18</v>
      </c>
      <c r="E934" s="4">
        <v>159</v>
      </c>
      <c r="F934" s="4">
        <v>6754</v>
      </c>
      <c r="G934" s="4">
        <v>67.3</v>
      </c>
      <c r="H934" s="3">
        <v>3.9</v>
      </c>
      <c r="I934" s="3">
        <v>1.95</v>
      </c>
    </row>
    <row r="935" spans="1:9" x14ac:dyDescent="0.25">
      <c r="A935" s="9">
        <v>28089</v>
      </c>
      <c r="B935" s="4">
        <v>46</v>
      </c>
      <c r="C935" s="4">
        <v>67</v>
      </c>
      <c r="D935" s="4">
        <v>7</v>
      </c>
      <c r="E935" s="4">
        <v>67</v>
      </c>
      <c r="F935" s="4">
        <v>1588</v>
      </c>
      <c r="G935" s="4">
        <v>11.8</v>
      </c>
      <c r="H935" s="3">
        <v>3.4</v>
      </c>
      <c r="I935" s="3">
        <v>1.36</v>
      </c>
    </row>
    <row r="936" spans="1:9" x14ac:dyDescent="0.25">
      <c r="A936" s="9">
        <v>28091</v>
      </c>
      <c r="B936" s="4">
        <v>33</v>
      </c>
      <c r="C936" s="4">
        <v>49</v>
      </c>
      <c r="D936" s="4">
        <v>6</v>
      </c>
      <c r="E936" s="4">
        <v>49</v>
      </c>
      <c r="F936" s="4">
        <v>660</v>
      </c>
      <c r="G936" s="4">
        <v>17.2</v>
      </c>
      <c r="H936" s="3">
        <v>9.5</v>
      </c>
      <c r="I936" s="3">
        <v>1.1200000000000001</v>
      </c>
    </row>
    <row r="937" spans="1:9" x14ac:dyDescent="0.25">
      <c r="A937" s="9">
        <v>28093</v>
      </c>
      <c r="B937" s="4">
        <v>19</v>
      </c>
      <c r="C937" s="4">
        <v>27</v>
      </c>
      <c r="D937" s="4">
        <v>14</v>
      </c>
      <c r="E937" s="4">
        <v>27</v>
      </c>
      <c r="F937" s="4">
        <v>331</v>
      </c>
      <c r="G937" s="4">
        <v>5.5</v>
      </c>
      <c r="H937" s="3">
        <v>6.1</v>
      </c>
      <c r="I937" s="3">
        <v>0.94</v>
      </c>
    </row>
    <row r="938" spans="1:9" x14ac:dyDescent="0.25">
      <c r="A938" s="9">
        <v>28095</v>
      </c>
      <c r="B938" s="4">
        <v>77</v>
      </c>
      <c r="C938" s="4">
        <v>119</v>
      </c>
      <c r="D938" s="4">
        <v>9</v>
      </c>
      <c r="E938" s="4">
        <v>119</v>
      </c>
      <c r="F938" s="4">
        <v>2884</v>
      </c>
      <c r="G938" s="4">
        <v>40.1</v>
      </c>
      <c r="H938" s="3">
        <v>5.15</v>
      </c>
      <c r="I938" s="3">
        <v>1.19</v>
      </c>
    </row>
    <row r="939" spans="1:9" x14ac:dyDescent="0.25">
      <c r="A939" s="9">
        <v>28097</v>
      </c>
      <c r="B939" s="4">
        <v>12</v>
      </c>
      <c r="C939" s="4">
        <v>25</v>
      </c>
      <c r="D939" s="4">
        <v>14</v>
      </c>
      <c r="E939" s="4">
        <v>25</v>
      </c>
      <c r="F939" s="4">
        <v>455</v>
      </c>
      <c r="G939" s="4">
        <v>12.600000000000001</v>
      </c>
      <c r="H939" s="3">
        <v>3.55</v>
      </c>
      <c r="I939" s="3">
        <v>0.9</v>
      </c>
    </row>
    <row r="940" spans="1:9" x14ac:dyDescent="0.25">
      <c r="A940" s="9">
        <v>28099</v>
      </c>
      <c r="B940" s="4">
        <v>103</v>
      </c>
      <c r="C940" s="4">
        <v>83</v>
      </c>
      <c r="D940" s="4">
        <v>14</v>
      </c>
      <c r="E940" s="4">
        <v>83</v>
      </c>
      <c r="F940" s="4">
        <v>1618</v>
      </c>
      <c r="G940" s="4">
        <v>28.599999999999998</v>
      </c>
      <c r="H940" s="3">
        <v>3.3666666666666671</v>
      </c>
      <c r="I940" s="3">
        <v>0.91</v>
      </c>
    </row>
    <row r="941" spans="1:9" x14ac:dyDescent="0.25">
      <c r="A941" s="9">
        <v>28101</v>
      </c>
      <c r="B941" s="4">
        <v>80</v>
      </c>
      <c r="C941" s="4">
        <v>49</v>
      </c>
      <c r="D941" s="4">
        <v>14</v>
      </c>
      <c r="E941" s="4">
        <v>49</v>
      </c>
      <c r="F941" s="4">
        <v>404</v>
      </c>
      <c r="G941" s="4">
        <v>8.4</v>
      </c>
      <c r="H941" s="3">
        <v>3</v>
      </c>
      <c r="I941" s="3">
        <v>1</v>
      </c>
    </row>
    <row r="942" spans="1:9" x14ac:dyDescent="0.25">
      <c r="A942" s="9">
        <v>28103</v>
      </c>
      <c r="B942" s="4">
        <v>16</v>
      </c>
      <c r="C942" s="4">
        <v>25</v>
      </c>
      <c r="D942" s="4">
        <v>14</v>
      </c>
      <c r="E942" s="4">
        <v>25</v>
      </c>
      <c r="F942" s="4">
        <v>357</v>
      </c>
      <c r="G942" s="4">
        <v>8.5</v>
      </c>
      <c r="H942" s="3">
        <v>3.3</v>
      </c>
      <c r="I942" s="3">
        <v>0.9</v>
      </c>
    </row>
    <row r="943" spans="1:9" x14ac:dyDescent="0.25">
      <c r="A943" s="9">
        <v>28105</v>
      </c>
      <c r="B943" s="4">
        <v>87</v>
      </c>
      <c r="C943" s="4">
        <v>88</v>
      </c>
      <c r="D943" s="4">
        <v>6</v>
      </c>
      <c r="E943" s="4">
        <v>88</v>
      </c>
      <c r="F943" s="4">
        <v>1474</v>
      </c>
      <c r="G943" s="4">
        <v>19.3</v>
      </c>
      <c r="H943" s="3">
        <v>6.3</v>
      </c>
      <c r="I943" s="3">
        <v>1.6</v>
      </c>
    </row>
    <row r="944" spans="1:9" x14ac:dyDescent="0.25">
      <c r="A944" s="9">
        <v>28107</v>
      </c>
      <c r="B944" s="4">
        <v>46</v>
      </c>
      <c r="C944" s="4">
        <v>45</v>
      </c>
      <c r="D944" s="4">
        <v>14</v>
      </c>
      <c r="E944" s="4">
        <v>45</v>
      </c>
      <c r="F944" s="4">
        <v>2096</v>
      </c>
      <c r="G944" s="4">
        <v>25.9</v>
      </c>
      <c r="H944" s="3">
        <v>4.5999999999999996</v>
      </c>
      <c r="I944" s="3">
        <v>1.06</v>
      </c>
    </row>
    <row r="945" spans="1:9" x14ac:dyDescent="0.25">
      <c r="A945" s="9">
        <v>28109</v>
      </c>
      <c r="B945" s="4">
        <v>80</v>
      </c>
      <c r="C945" s="4">
        <v>73</v>
      </c>
      <c r="D945" s="4">
        <v>6</v>
      </c>
      <c r="E945" s="4">
        <v>73</v>
      </c>
      <c r="F945" s="4">
        <v>1665</v>
      </c>
      <c r="G945" s="4">
        <v>31.2</v>
      </c>
      <c r="H945" s="3">
        <v>4.2</v>
      </c>
      <c r="I945" s="3">
        <v>1.1400000000000001</v>
      </c>
    </row>
    <row r="946" spans="1:9" x14ac:dyDescent="0.25">
      <c r="A946" s="9">
        <v>28111</v>
      </c>
      <c r="B946" s="4">
        <v>9</v>
      </c>
      <c r="C946" s="4">
        <v>22</v>
      </c>
      <c r="D946" s="4">
        <v>14</v>
      </c>
      <c r="E946" s="4">
        <v>22</v>
      </c>
      <c r="F946" s="4">
        <v>59</v>
      </c>
      <c r="G946" s="4">
        <v>4.0999999999999996</v>
      </c>
      <c r="H946" s="3">
        <v>2.4</v>
      </c>
      <c r="I946" s="3">
        <v>0.9</v>
      </c>
    </row>
    <row r="947" spans="1:9" x14ac:dyDescent="0.25">
      <c r="A947" s="9">
        <v>28113</v>
      </c>
      <c r="B947" s="4">
        <v>145</v>
      </c>
      <c r="C947" s="4">
        <v>177</v>
      </c>
      <c r="D947" s="4">
        <v>16</v>
      </c>
      <c r="E947" s="4">
        <v>177</v>
      </c>
      <c r="F947" s="4">
        <v>4496</v>
      </c>
      <c r="G947" s="4">
        <v>40.9</v>
      </c>
      <c r="H947" s="3">
        <v>3.6500000000000004</v>
      </c>
      <c r="I947" s="3">
        <v>1.3599999999999999</v>
      </c>
    </row>
    <row r="948" spans="1:9" x14ac:dyDescent="0.25">
      <c r="A948" s="9">
        <v>28115</v>
      </c>
      <c r="B948" s="4">
        <v>19</v>
      </c>
      <c r="C948" s="4">
        <v>25</v>
      </c>
      <c r="D948" s="4">
        <v>14</v>
      </c>
      <c r="E948" s="4">
        <v>25</v>
      </c>
      <c r="F948" s="4">
        <v>146</v>
      </c>
      <c r="G948" s="4">
        <v>14.9</v>
      </c>
      <c r="H948" s="3">
        <v>2.5</v>
      </c>
      <c r="I948" s="3">
        <v>0.95</v>
      </c>
    </row>
    <row r="949" spans="1:9" x14ac:dyDescent="0.25">
      <c r="A949" s="9">
        <v>28117</v>
      </c>
      <c r="B949" s="4">
        <v>28</v>
      </c>
      <c r="C949" s="4">
        <v>39</v>
      </c>
      <c r="D949" s="4">
        <v>14</v>
      </c>
      <c r="E949" s="4">
        <v>39</v>
      </c>
      <c r="F949" s="4">
        <v>667</v>
      </c>
      <c r="G949" s="4">
        <v>7.2</v>
      </c>
      <c r="H949" s="3">
        <v>3.9</v>
      </c>
      <c r="I949" s="3">
        <v>1.29</v>
      </c>
    </row>
    <row r="950" spans="1:9" x14ac:dyDescent="0.25">
      <c r="A950" s="9">
        <v>28119</v>
      </c>
      <c r="B950" s="4">
        <v>80</v>
      </c>
      <c r="C950" s="4">
        <v>49</v>
      </c>
      <c r="D950" s="4">
        <v>14</v>
      </c>
      <c r="E950" s="4">
        <v>49</v>
      </c>
      <c r="F950" s="4">
        <v>229</v>
      </c>
      <c r="G950" s="4">
        <v>4</v>
      </c>
      <c r="H950" s="3">
        <v>3.1</v>
      </c>
      <c r="I950" s="3">
        <v>1</v>
      </c>
    </row>
    <row r="951" spans="1:9" x14ac:dyDescent="0.25">
      <c r="A951" s="9">
        <v>28121</v>
      </c>
      <c r="B951" s="4">
        <v>247</v>
      </c>
      <c r="C951" s="4">
        <v>337</v>
      </c>
      <c r="D951" s="4">
        <v>18</v>
      </c>
      <c r="E951" s="4">
        <v>339</v>
      </c>
      <c r="F951" s="4">
        <v>7521</v>
      </c>
      <c r="G951" s="4">
        <v>75.8</v>
      </c>
      <c r="H951" s="3">
        <v>5.4250000000000007</v>
      </c>
      <c r="I951" s="3">
        <v>1.4725000000000001</v>
      </c>
    </row>
    <row r="952" spans="1:9" x14ac:dyDescent="0.25">
      <c r="A952" s="9">
        <v>28123</v>
      </c>
      <c r="B952" s="4">
        <v>58</v>
      </c>
      <c r="C952" s="4">
        <v>50</v>
      </c>
      <c r="D952" s="4">
        <v>14</v>
      </c>
      <c r="E952" s="4">
        <v>50</v>
      </c>
      <c r="F952" s="4">
        <v>520</v>
      </c>
      <c r="G952" s="4">
        <v>21.200000000000003</v>
      </c>
      <c r="H952" s="3">
        <v>3</v>
      </c>
      <c r="I952" s="3">
        <v>0.95</v>
      </c>
    </row>
    <row r="953" spans="1:9" x14ac:dyDescent="0.25">
      <c r="A953" s="9">
        <v>28125</v>
      </c>
      <c r="B953" s="4">
        <v>15</v>
      </c>
      <c r="C953" s="4">
        <v>19</v>
      </c>
      <c r="D953" s="4">
        <v>14</v>
      </c>
      <c r="E953" s="4">
        <v>19</v>
      </c>
      <c r="F953" s="4">
        <v>160</v>
      </c>
      <c r="G953" s="4">
        <v>4.5</v>
      </c>
      <c r="H953" s="3">
        <v>10.4</v>
      </c>
      <c r="I953" s="3">
        <v>0.91</v>
      </c>
    </row>
    <row r="954" spans="1:9" x14ac:dyDescent="0.25">
      <c r="A954" s="9">
        <v>28127</v>
      </c>
      <c r="B954" s="4">
        <v>71</v>
      </c>
      <c r="C954" s="4">
        <v>69</v>
      </c>
      <c r="D954" s="4">
        <v>14</v>
      </c>
      <c r="E954" s="4">
        <v>69</v>
      </c>
      <c r="F954" s="4">
        <v>894</v>
      </c>
      <c r="G954" s="4">
        <v>20.399999999999999</v>
      </c>
      <c r="H954" s="3">
        <v>5.35</v>
      </c>
      <c r="I954" s="3">
        <v>1.0049999999999999</v>
      </c>
    </row>
    <row r="955" spans="1:9" x14ac:dyDescent="0.25">
      <c r="A955" s="9">
        <v>28129</v>
      </c>
      <c r="B955" s="4">
        <v>80</v>
      </c>
      <c r="C955" s="4">
        <v>19</v>
      </c>
      <c r="D955" s="4">
        <v>14</v>
      </c>
      <c r="E955" s="4">
        <v>19</v>
      </c>
      <c r="F955" s="4">
        <v>2</v>
      </c>
      <c r="G955" s="4">
        <v>0</v>
      </c>
      <c r="H955" s="3">
        <v>2.5</v>
      </c>
      <c r="I955" s="3">
        <v>1.1399999999999999</v>
      </c>
    </row>
    <row r="956" spans="1:9" x14ac:dyDescent="0.25">
      <c r="A956" s="9">
        <v>28131</v>
      </c>
      <c r="B956" s="4">
        <v>23</v>
      </c>
      <c r="C956" s="4">
        <v>25</v>
      </c>
      <c r="D956" s="4">
        <v>14</v>
      </c>
      <c r="E956" s="4">
        <v>25</v>
      </c>
      <c r="F956" s="4">
        <v>287</v>
      </c>
      <c r="G956" s="4">
        <v>13.5</v>
      </c>
      <c r="H956" s="3">
        <v>3.3</v>
      </c>
      <c r="I956" s="3">
        <v>1.01</v>
      </c>
    </row>
    <row r="957" spans="1:9" x14ac:dyDescent="0.25">
      <c r="A957" s="9">
        <v>28133</v>
      </c>
      <c r="B957" s="4">
        <v>75</v>
      </c>
      <c r="C957" s="4">
        <v>72</v>
      </c>
      <c r="D957" s="4">
        <v>14</v>
      </c>
      <c r="E957" s="4">
        <v>72</v>
      </c>
      <c r="F957" s="4">
        <v>1320</v>
      </c>
      <c r="G957" s="4">
        <v>28.9</v>
      </c>
      <c r="H957" s="3">
        <v>4.5999999999999996</v>
      </c>
      <c r="I957" s="3">
        <v>1.0249999999999999</v>
      </c>
    </row>
    <row r="958" spans="1:9" x14ac:dyDescent="0.25">
      <c r="A958" s="9">
        <v>28135</v>
      </c>
      <c r="B958" s="4">
        <v>24</v>
      </c>
      <c r="C958" s="4">
        <v>9</v>
      </c>
      <c r="D958" s="4">
        <v>14</v>
      </c>
      <c r="E958" s="4">
        <v>9</v>
      </c>
      <c r="F958" s="4">
        <v>105</v>
      </c>
      <c r="G958" s="4">
        <v>12.9</v>
      </c>
      <c r="H958" s="3">
        <v>2.7</v>
      </c>
      <c r="I958" s="3">
        <v>1.02</v>
      </c>
    </row>
    <row r="959" spans="1:9" x14ac:dyDescent="0.25">
      <c r="A959" s="9">
        <v>28137</v>
      </c>
      <c r="B959" s="4">
        <v>80</v>
      </c>
      <c r="C959" s="4">
        <v>49</v>
      </c>
      <c r="D959" s="4">
        <v>14</v>
      </c>
      <c r="E959" s="4">
        <v>49</v>
      </c>
      <c r="F959" s="4">
        <v>531</v>
      </c>
      <c r="G959" s="4">
        <v>5.0999999999999996</v>
      </c>
      <c r="H959" s="3">
        <v>3.5</v>
      </c>
      <c r="I959" s="3">
        <v>1.02</v>
      </c>
    </row>
    <row r="960" spans="1:9" x14ac:dyDescent="0.25">
      <c r="A960" s="9">
        <v>28139</v>
      </c>
      <c r="B960" s="4">
        <v>29</v>
      </c>
      <c r="C960" s="4">
        <v>25</v>
      </c>
      <c r="D960" s="4">
        <v>14</v>
      </c>
      <c r="E960" s="4">
        <v>25</v>
      </c>
      <c r="F960" s="4">
        <v>500</v>
      </c>
      <c r="G960" s="4">
        <v>10.6</v>
      </c>
      <c r="H960" s="3">
        <v>3.2</v>
      </c>
      <c r="I960" s="3">
        <v>1.02</v>
      </c>
    </row>
    <row r="961" spans="1:9" x14ac:dyDescent="0.25">
      <c r="A961" s="9">
        <v>28141</v>
      </c>
      <c r="B961" s="4">
        <v>16</v>
      </c>
      <c r="C961" s="4">
        <v>66</v>
      </c>
      <c r="D961" s="4">
        <v>14</v>
      </c>
      <c r="E961" s="4">
        <v>66</v>
      </c>
      <c r="F961" s="4">
        <v>680</v>
      </c>
      <c r="G961" s="4">
        <v>15.2</v>
      </c>
      <c r="H961" s="3">
        <v>5.9</v>
      </c>
      <c r="I961" s="3">
        <v>1.1299999999999999</v>
      </c>
    </row>
    <row r="962" spans="1:9" x14ac:dyDescent="0.25">
      <c r="A962" s="9">
        <v>28145</v>
      </c>
      <c r="B962" s="4">
        <v>102</v>
      </c>
      <c r="C962" s="4">
        <v>92</v>
      </c>
      <c r="D962" s="4">
        <v>8</v>
      </c>
      <c r="E962" s="4">
        <v>92</v>
      </c>
      <c r="F962" s="4">
        <v>2594</v>
      </c>
      <c r="G962" s="4">
        <v>22.6</v>
      </c>
      <c r="H962" s="3">
        <v>3.9</v>
      </c>
      <c r="I962" s="3">
        <v>1.32</v>
      </c>
    </row>
    <row r="963" spans="1:9" x14ac:dyDescent="0.25">
      <c r="A963" s="9">
        <v>28147</v>
      </c>
      <c r="B963" s="4">
        <v>9</v>
      </c>
      <c r="C963" s="4">
        <v>25</v>
      </c>
      <c r="D963" s="4">
        <v>14</v>
      </c>
      <c r="E963" s="4">
        <v>25</v>
      </c>
      <c r="F963" s="4">
        <v>106</v>
      </c>
      <c r="G963" s="4">
        <v>4</v>
      </c>
      <c r="H963" s="3">
        <v>3.1</v>
      </c>
      <c r="I963" s="3">
        <v>0.99</v>
      </c>
    </row>
    <row r="964" spans="1:9" x14ac:dyDescent="0.25">
      <c r="A964" s="9">
        <v>28149</v>
      </c>
      <c r="B964" s="4">
        <v>96</v>
      </c>
      <c r="C964" s="4">
        <v>301</v>
      </c>
      <c r="D964" s="4">
        <v>22</v>
      </c>
      <c r="E964" s="4">
        <v>301</v>
      </c>
      <c r="F964" s="4">
        <v>6919</v>
      </c>
      <c r="G964" s="4">
        <v>97.6</v>
      </c>
      <c r="H964" s="3">
        <v>5.3</v>
      </c>
      <c r="I964" s="3">
        <v>1.56</v>
      </c>
    </row>
    <row r="965" spans="1:9" x14ac:dyDescent="0.25">
      <c r="A965" s="9">
        <v>28151</v>
      </c>
      <c r="B965" s="4">
        <v>116</v>
      </c>
      <c r="C965" s="4">
        <v>177</v>
      </c>
      <c r="D965" s="4">
        <v>22</v>
      </c>
      <c r="E965" s="4">
        <v>177</v>
      </c>
      <c r="F965" s="4">
        <v>5641</v>
      </c>
      <c r="G965" s="4">
        <v>72.400000000000006</v>
      </c>
      <c r="H965" s="3">
        <v>5</v>
      </c>
      <c r="I965" s="3">
        <v>1.52</v>
      </c>
    </row>
    <row r="966" spans="1:9" x14ac:dyDescent="0.25">
      <c r="A966" s="9">
        <v>28153</v>
      </c>
      <c r="B966" s="4">
        <v>27</v>
      </c>
      <c r="C966" s="4">
        <v>49</v>
      </c>
      <c r="D966" s="4">
        <v>6</v>
      </c>
      <c r="E966" s="4">
        <v>49</v>
      </c>
      <c r="F966" s="4">
        <v>1279</v>
      </c>
      <c r="G966" s="4">
        <v>22.1</v>
      </c>
      <c r="H966" s="3">
        <v>6.6</v>
      </c>
      <c r="I966" s="3">
        <v>1.05</v>
      </c>
    </row>
    <row r="967" spans="1:9" x14ac:dyDescent="0.25">
      <c r="A967" s="9">
        <v>28155</v>
      </c>
      <c r="B967" s="4">
        <v>12</v>
      </c>
      <c r="C967" s="4">
        <v>38</v>
      </c>
      <c r="D967" s="4">
        <v>14</v>
      </c>
      <c r="E967" s="4">
        <v>38</v>
      </c>
      <c r="F967" s="4">
        <v>960</v>
      </c>
      <c r="G967" s="4">
        <v>20.399999999999999</v>
      </c>
      <c r="H967" s="3">
        <v>7.8</v>
      </c>
      <c r="I967" s="3">
        <v>1.05</v>
      </c>
    </row>
    <row r="968" spans="1:9" x14ac:dyDescent="0.25">
      <c r="A968" s="9">
        <v>28157</v>
      </c>
      <c r="B968" s="4">
        <v>17</v>
      </c>
      <c r="C968" s="4">
        <v>16</v>
      </c>
      <c r="D968" s="4">
        <v>14</v>
      </c>
      <c r="E968" s="4">
        <v>16</v>
      </c>
      <c r="F968" s="4">
        <v>305</v>
      </c>
      <c r="G968" s="4">
        <v>9</v>
      </c>
      <c r="H968" s="3">
        <v>3.6</v>
      </c>
      <c r="I968" s="3">
        <v>1.08</v>
      </c>
    </row>
    <row r="969" spans="1:9" x14ac:dyDescent="0.25">
      <c r="A969" s="9">
        <v>28159</v>
      </c>
      <c r="B969" s="4">
        <v>18</v>
      </c>
      <c r="C969" s="4">
        <v>14</v>
      </c>
      <c r="D969" s="4">
        <v>14</v>
      </c>
      <c r="E969" s="4">
        <v>14</v>
      </c>
      <c r="F969" s="4">
        <v>319</v>
      </c>
      <c r="G969" s="4">
        <v>3.4</v>
      </c>
      <c r="H969" s="3">
        <v>3.8</v>
      </c>
      <c r="I969" s="3">
        <v>1.02</v>
      </c>
    </row>
    <row r="970" spans="1:9" x14ac:dyDescent="0.25">
      <c r="A970" s="9">
        <v>28161</v>
      </c>
      <c r="B970" s="4">
        <v>29</v>
      </c>
      <c r="C970" s="4">
        <v>26</v>
      </c>
      <c r="D970" s="4">
        <v>14</v>
      </c>
      <c r="E970" s="4">
        <v>26</v>
      </c>
      <c r="F970" s="4">
        <v>662</v>
      </c>
      <c r="G970" s="4">
        <v>16.399999999999999</v>
      </c>
      <c r="H970" s="3">
        <v>9</v>
      </c>
      <c r="I970" s="3">
        <v>0.9</v>
      </c>
    </row>
    <row r="971" spans="1:9" x14ac:dyDescent="0.25">
      <c r="A971" s="9">
        <v>28163</v>
      </c>
      <c r="B971" s="4">
        <v>29</v>
      </c>
      <c r="C971" s="4">
        <v>25</v>
      </c>
      <c r="D971" s="4">
        <v>14</v>
      </c>
      <c r="E971" s="4">
        <v>25</v>
      </c>
      <c r="F971" s="4">
        <v>417</v>
      </c>
      <c r="G971" s="4">
        <v>11.6</v>
      </c>
      <c r="H971" s="3">
        <v>3.9</v>
      </c>
      <c r="I971" s="3">
        <v>0.92</v>
      </c>
    </row>
    <row r="972" spans="1:9" x14ac:dyDescent="0.25">
      <c r="A972" s="9">
        <v>29001</v>
      </c>
      <c r="B972" s="4">
        <v>111</v>
      </c>
      <c r="C972" s="4">
        <v>51</v>
      </c>
      <c r="D972" s="4">
        <v>10</v>
      </c>
      <c r="E972" s="4">
        <v>51</v>
      </c>
      <c r="F972" s="4">
        <v>2309</v>
      </c>
      <c r="G972" s="4">
        <v>23.4</v>
      </c>
      <c r="H972" s="3">
        <v>4.2</v>
      </c>
      <c r="I972" s="3">
        <v>1.78</v>
      </c>
    </row>
    <row r="973" spans="1:9" x14ac:dyDescent="0.25">
      <c r="A973" s="9">
        <v>29005</v>
      </c>
      <c r="B973" s="4">
        <v>18</v>
      </c>
      <c r="C973" s="4">
        <v>16</v>
      </c>
      <c r="D973" s="4">
        <v>14</v>
      </c>
      <c r="E973" s="4">
        <v>16</v>
      </c>
      <c r="F973" s="4">
        <v>399</v>
      </c>
      <c r="G973" s="4">
        <v>5.5</v>
      </c>
      <c r="H973" s="3">
        <v>3</v>
      </c>
      <c r="I973" s="3">
        <v>0.91</v>
      </c>
    </row>
    <row r="974" spans="1:9" x14ac:dyDescent="0.25">
      <c r="A974" s="9">
        <v>29007</v>
      </c>
      <c r="B974" s="4">
        <v>76</v>
      </c>
      <c r="C974" s="4">
        <v>40</v>
      </c>
      <c r="D974" s="4">
        <v>14</v>
      </c>
      <c r="E974" s="4">
        <v>40</v>
      </c>
      <c r="F974" s="4">
        <v>1598</v>
      </c>
      <c r="G974" s="4">
        <v>11.6</v>
      </c>
      <c r="H974" s="3">
        <v>2.9</v>
      </c>
      <c r="I974" s="3">
        <v>1.28</v>
      </c>
    </row>
    <row r="975" spans="1:9" x14ac:dyDescent="0.25">
      <c r="A975" s="9">
        <v>29009</v>
      </c>
      <c r="B975" s="4">
        <v>73</v>
      </c>
      <c r="C975" s="4">
        <v>43</v>
      </c>
      <c r="D975" s="4">
        <v>14</v>
      </c>
      <c r="E975" s="4">
        <v>43</v>
      </c>
      <c r="F975" s="4">
        <v>1020</v>
      </c>
      <c r="G975" s="4">
        <v>10.3</v>
      </c>
      <c r="H975" s="3">
        <v>2.8</v>
      </c>
      <c r="I975" s="3">
        <v>1.1200000000000001</v>
      </c>
    </row>
    <row r="976" spans="1:9" x14ac:dyDescent="0.25">
      <c r="A976" s="9">
        <v>29011</v>
      </c>
      <c r="B976" s="4">
        <v>28</v>
      </c>
      <c r="C976" s="4">
        <v>25</v>
      </c>
      <c r="D976" s="4">
        <v>14</v>
      </c>
      <c r="E976" s="4">
        <v>25</v>
      </c>
      <c r="F976" s="4">
        <v>390</v>
      </c>
      <c r="G976" s="4">
        <v>6.4</v>
      </c>
      <c r="H976" s="3">
        <v>3.3</v>
      </c>
      <c r="I976" s="3">
        <v>1.18</v>
      </c>
    </row>
    <row r="977" spans="1:9" x14ac:dyDescent="0.25">
      <c r="A977" s="9">
        <v>29013</v>
      </c>
      <c r="B977" s="4">
        <v>37</v>
      </c>
      <c r="C977" s="4">
        <v>44</v>
      </c>
      <c r="D977" s="4">
        <v>14</v>
      </c>
      <c r="E977" s="4">
        <v>44</v>
      </c>
      <c r="F977" s="4">
        <v>825</v>
      </c>
      <c r="G977" s="4">
        <v>9.1</v>
      </c>
      <c r="H977" s="3">
        <v>4</v>
      </c>
      <c r="I977" s="3">
        <v>1.19</v>
      </c>
    </row>
    <row r="978" spans="1:9" x14ac:dyDescent="0.25">
      <c r="A978" s="9">
        <v>29019</v>
      </c>
      <c r="B978" s="4">
        <v>1269</v>
      </c>
      <c r="C978" s="4">
        <v>865</v>
      </c>
      <c r="D978" s="4">
        <v>114</v>
      </c>
      <c r="E978" s="4">
        <v>883</v>
      </c>
      <c r="F978" s="4">
        <v>38787</v>
      </c>
      <c r="G978" s="4">
        <v>535</v>
      </c>
      <c r="H978" s="3">
        <v>4.8499999999999996</v>
      </c>
      <c r="I978" s="3">
        <v>2.0299999999999998</v>
      </c>
    </row>
    <row r="979" spans="1:9" x14ac:dyDescent="0.25">
      <c r="A979" s="9">
        <v>29021</v>
      </c>
      <c r="B979" s="4">
        <v>368</v>
      </c>
      <c r="C979" s="4">
        <v>352</v>
      </c>
      <c r="D979" s="4">
        <v>21</v>
      </c>
      <c r="E979" s="4">
        <v>352</v>
      </c>
      <c r="F979" s="4">
        <v>21465</v>
      </c>
      <c r="G979" s="4">
        <v>189.6</v>
      </c>
      <c r="H979" s="3">
        <v>3.4</v>
      </c>
      <c r="I979" s="3">
        <v>1.73</v>
      </c>
    </row>
    <row r="980" spans="1:9" x14ac:dyDescent="0.25">
      <c r="A980" s="9">
        <v>29023</v>
      </c>
      <c r="B980" s="4">
        <v>147</v>
      </c>
      <c r="C980" s="4">
        <v>220</v>
      </c>
      <c r="D980" s="4">
        <v>14</v>
      </c>
      <c r="E980" s="4">
        <v>220</v>
      </c>
      <c r="F980" s="4">
        <v>11215</v>
      </c>
      <c r="G980" s="4">
        <v>124.8</v>
      </c>
      <c r="H980" s="3">
        <v>3.5999999999999996</v>
      </c>
      <c r="I980" s="3">
        <v>1.25</v>
      </c>
    </row>
    <row r="981" spans="1:9" x14ac:dyDescent="0.25">
      <c r="A981" s="9">
        <v>29027</v>
      </c>
      <c r="B981" s="4">
        <v>18</v>
      </c>
      <c r="C981" s="4">
        <v>18</v>
      </c>
      <c r="D981" s="4">
        <v>14</v>
      </c>
      <c r="E981" s="4">
        <v>18</v>
      </c>
      <c r="F981" s="4">
        <v>143</v>
      </c>
      <c r="G981" s="4">
        <v>0.9</v>
      </c>
      <c r="H981" s="3">
        <v>2.2999999999999998</v>
      </c>
      <c r="I981" s="3">
        <v>1.1100000000000001</v>
      </c>
    </row>
    <row r="982" spans="1:9" x14ac:dyDescent="0.25">
      <c r="A982" s="9">
        <v>29029</v>
      </c>
      <c r="B982" s="4">
        <v>163</v>
      </c>
      <c r="C982" s="4">
        <v>100</v>
      </c>
      <c r="D982" s="4">
        <v>18</v>
      </c>
      <c r="E982" s="4">
        <v>100</v>
      </c>
      <c r="F982" s="4">
        <v>4705</v>
      </c>
      <c r="G982" s="4">
        <v>40.299999999999997</v>
      </c>
      <c r="H982" s="3">
        <v>3.4</v>
      </c>
      <c r="I982" s="3">
        <v>1.62</v>
      </c>
    </row>
    <row r="983" spans="1:9" x14ac:dyDescent="0.25">
      <c r="A983" s="9">
        <v>29031</v>
      </c>
      <c r="B983" s="4">
        <v>666</v>
      </c>
      <c r="C983" s="4">
        <v>464</v>
      </c>
      <c r="D983" s="4">
        <v>31</v>
      </c>
      <c r="E983" s="4">
        <v>464</v>
      </c>
      <c r="F983" s="4">
        <v>17694</v>
      </c>
      <c r="G983" s="4">
        <v>230.6</v>
      </c>
      <c r="H983" s="3">
        <v>5.15</v>
      </c>
      <c r="I983" s="3">
        <v>1.885</v>
      </c>
    </row>
    <row r="984" spans="1:9" x14ac:dyDescent="0.25">
      <c r="A984" s="9">
        <v>29033</v>
      </c>
      <c r="B984" s="4">
        <v>26</v>
      </c>
      <c r="C984" s="4">
        <v>21</v>
      </c>
      <c r="D984" s="4">
        <v>14</v>
      </c>
      <c r="E984" s="4">
        <v>21</v>
      </c>
      <c r="F984" s="4">
        <v>232</v>
      </c>
      <c r="G984" s="4">
        <v>4.5999999999999996</v>
      </c>
      <c r="H984" s="3">
        <v>2.7</v>
      </c>
      <c r="I984" s="3">
        <v>0.98</v>
      </c>
    </row>
    <row r="985" spans="1:9" x14ac:dyDescent="0.25">
      <c r="A985" s="9">
        <v>29037</v>
      </c>
      <c r="B985" s="4">
        <v>137</v>
      </c>
      <c r="C985" s="4">
        <v>96</v>
      </c>
      <c r="D985" s="4">
        <v>9</v>
      </c>
      <c r="E985" s="4">
        <v>96</v>
      </c>
      <c r="F985" s="4">
        <v>4496</v>
      </c>
      <c r="G985" s="4">
        <v>36.9</v>
      </c>
      <c r="H985" s="3">
        <v>3.1</v>
      </c>
      <c r="I985" s="3">
        <v>1.31</v>
      </c>
    </row>
    <row r="986" spans="1:9" x14ac:dyDescent="0.25">
      <c r="A986" s="9">
        <v>29039</v>
      </c>
      <c r="B986" s="4">
        <v>18</v>
      </c>
      <c r="C986" s="4">
        <v>25</v>
      </c>
      <c r="D986" s="4">
        <v>14</v>
      </c>
      <c r="E986" s="4">
        <v>25</v>
      </c>
      <c r="F986" s="4">
        <v>182</v>
      </c>
      <c r="G986" s="4">
        <v>4.7</v>
      </c>
      <c r="H986" s="3">
        <v>3.4</v>
      </c>
      <c r="I986" s="3">
        <v>0.93</v>
      </c>
    </row>
    <row r="987" spans="1:9" x14ac:dyDescent="0.25">
      <c r="A987" s="9">
        <v>29043</v>
      </c>
      <c r="B987" s="4">
        <v>80</v>
      </c>
      <c r="C987" s="4">
        <v>49</v>
      </c>
      <c r="D987" s="4">
        <v>14</v>
      </c>
      <c r="E987" s="4">
        <v>48</v>
      </c>
      <c r="F987" s="4">
        <v>1532</v>
      </c>
      <c r="G987" s="4">
        <v>16</v>
      </c>
      <c r="H987" s="3">
        <v>4</v>
      </c>
      <c r="I987" s="3">
        <v>1</v>
      </c>
    </row>
    <row r="988" spans="1:9" x14ac:dyDescent="0.25">
      <c r="A988" s="9">
        <v>29047</v>
      </c>
      <c r="B988" s="4">
        <v>737</v>
      </c>
      <c r="C988" s="4">
        <v>587</v>
      </c>
      <c r="D988" s="4">
        <v>34</v>
      </c>
      <c r="E988" s="4">
        <v>587</v>
      </c>
      <c r="F988" s="4">
        <v>21031</v>
      </c>
      <c r="G988" s="4">
        <v>304.89999999999998</v>
      </c>
      <c r="H988" s="3">
        <v>4.3999999999999995</v>
      </c>
      <c r="I988" s="3">
        <v>1.5233333333333334</v>
      </c>
    </row>
    <row r="989" spans="1:9" x14ac:dyDescent="0.25">
      <c r="A989" s="9">
        <v>29049</v>
      </c>
      <c r="B989" s="4">
        <v>81</v>
      </c>
      <c r="C989" s="4">
        <v>42</v>
      </c>
      <c r="D989" s="4">
        <v>5</v>
      </c>
      <c r="E989" s="4">
        <v>42</v>
      </c>
      <c r="F989" s="4">
        <v>1352</v>
      </c>
      <c r="G989" s="4">
        <v>17.7</v>
      </c>
      <c r="H989" s="3">
        <v>4.9000000000000004</v>
      </c>
      <c r="I989" s="3">
        <v>1.1100000000000001</v>
      </c>
    </row>
    <row r="990" spans="1:9" x14ac:dyDescent="0.25">
      <c r="A990" s="9">
        <v>29051</v>
      </c>
      <c r="B990" s="4">
        <v>389</v>
      </c>
      <c r="C990" s="4">
        <v>267</v>
      </c>
      <c r="D990" s="4">
        <v>25</v>
      </c>
      <c r="E990" s="4">
        <v>254</v>
      </c>
      <c r="F990" s="4">
        <v>12180</v>
      </c>
      <c r="G990" s="4">
        <v>116.6</v>
      </c>
      <c r="H990" s="3">
        <v>3.7</v>
      </c>
      <c r="I990" s="3">
        <v>1.635</v>
      </c>
    </row>
    <row r="991" spans="1:9" x14ac:dyDescent="0.25">
      <c r="A991" s="9">
        <v>29053</v>
      </c>
      <c r="B991" s="4">
        <v>80</v>
      </c>
      <c r="C991" s="4">
        <v>49</v>
      </c>
      <c r="D991" s="4">
        <v>14</v>
      </c>
      <c r="E991" s="4">
        <v>49</v>
      </c>
      <c r="F991" s="4">
        <v>185</v>
      </c>
      <c r="G991" s="4">
        <v>5.9</v>
      </c>
      <c r="H991" s="3">
        <v>11.6</v>
      </c>
      <c r="I991" s="3">
        <v>1.02</v>
      </c>
    </row>
    <row r="992" spans="1:9" x14ac:dyDescent="0.25">
      <c r="A992" s="9">
        <v>29065</v>
      </c>
      <c r="B992" s="4">
        <v>36</v>
      </c>
      <c r="C992" s="4">
        <v>25</v>
      </c>
      <c r="D992" s="4">
        <v>14</v>
      </c>
      <c r="E992" s="4">
        <v>25</v>
      </c>
      <c r="F992" s="4">
        <v>758</v>
      </c>
      <c r="G992" s="4">
        <v>9.9</v>
      </c>
      <c r="H992" s="3">
        <v>3.4</v>
      </c>
      <c r="I992" s="3">
        <v>0.98</v>
      </c>
    </row>
    <row r="993" spans="1:9" x14ac:dyDescent="0.25">
      <c r="A993" s="9">
        <v>29069</v>
      </c>
      <c r="B993" s="4">
        <v>80</v>
      </c>
      <c r="C993" s="4">
        <v>49</v>
      </c>
      <c r="D993" s="4">
        <v>14</v>
      </c>
      <c r="E993" s="4">
        <v>49</v>
      </c>
      <c r="F993" s="4">
        <v>2376</v>
      </c>
      <c r="G993" s="4">
        <v>19.399999999999999</v>
      </c>
      <c r="H993" s="3">
        <v>3.3</v>
      </c>
      <c r="I993" s="3">
        <v>1.23</v>
      </c>
    </row>
    <row r="994" spans="1:9" x14ac:dyDescent="0.25">
      <c r="A994" s="9">
        <v>29071</v>
      </c>
      <c r="B994" s="4">
        <v>339</v>
      </c>
      <c r="C994" s="4">
        <v>173</v>
      </c>
      <c r="D994" s="4">
        <v>13</v>
      </c>
      <c r="E994" s="4">
        <v>173</v>
      </c>
      <c r="F994" s="4">
        <v>8308</v>
      </c>
      <c r="G994" s="4">
        <v>69</v>
      </c>
      <c r="H994" s="3">
        <v>3.0999999999999996</v>
      </c>
      <c r="I994" s="3">
        <v>1.4950000000000001</v>
      </c>
    </row>
    <row r="995" spans="1:9" x14ac:dyDescent="0.25">
      <c r="A995" s="9">
        <v>29073</v>
      </c>
      <c r="B995" s="4">
        <v>22</v>
      </c>
      <c r="C995" s="4">
        <v>24</v>
      </c>
      <c r="D995" s="4">
        <v>14</v>
      </c>
      <c r="E995" s="4">
        <v>24</v>
      </c>
      <c r="F995" s="4">
        <v>246</v>
      </c>
      <c r="G995" s="4">
        <v>9.8000000000000007</v>
      </c>
      <c r="H995" s="3">
        <v>3.3</v>
      </c>
      <c r="I995" s="3">
        <v>1.04</v>
      </c>
    </row>
    <row r="996" spans="1:9" x14ac:dyDescent="0.25">
      <c r="A996" s="9">
        <v>29075</v>
      </c>
      <c r="B996" s="4">
        <v>11</v>
      </c>
      <c r="C996" s="4">
        <v>25</v>
      </c>
      <c r="D996" s="4">
        <v>14</v>
      </c>
      <c r="E996" s="4">
        <v>25</v>
      </c>
      <c r="F996" s="4">
        <v>432</v>
      </c>
      <c r="G996" s="4">
        <v>5.7</v>
      </c>
      <c r="H996" s="3">
        <v>2</v>
      </c>
      <c r="I996" s="3">
        <v>0.9</v>
      </c>
    </row>
    <row r="997" spans="1:9" x14ac:dyDescent="0.25">
      <c r="A997" s="9">
        <v>29077</v>
      </c>
      <c r="B997" s="4">
        <v>1930</v>
      </c>
      <c r="C997" s="4">
        <v>1261</v>
      </c>
      <c r="D997" s="4">
        <v>129</v>
      </c>
      <c r="E997" s="4">
        <v>1336</v>
      </c>
      <c r="F997" s="4">
        <v>69578</v>
      </c>
      <c r="G997" s="4">
        <v>922.5</v>
      </c>
      <c r="H997" s="3">
        <v>4.4333333333333336</v>
      </c>
      <c r="I997" s="3">
        <v>1.92</v>
      </c>
    </row>
    <row r="998" spans="1:9" x14ac:dyDescent="0.25">
      <c r="A998" s="9">
        <v>29079</v>
      </c>
      <c r="B998" s="4">
        <v>16</v>
      </c>
      <c r="C998" s="4">
        <v>21</v>
      </c>
      <c r="D998" s="4">
        <v>14</v>
      </c>
      <c r="E998" s="4">
        <v>21</v>
      </c>
      <c r="F998" s="4">
        <v>306</v>
      </c>
      <c r="G998" s="4">
        <v>7.8</v>
      </c>
      <c r="H998" s="3">
        <v>3.5</v>
      </c>
      <c r="I998" s="3">
        <v>1.23</v>
      </c>
    </row>
    <row r="999" spans="1:9" x14ac:dyDescent="0.25">
      <c r="A999" s="9">
        <v>29081</v>
      </c>
      <c r="B999" s="4">
        <v>22</v>
      </c>
      <c r="C999" s="4">
        <v>14</v>
      </c>
      <c r="D999" s="4">
        <v>14</v>
      </c>
      <c r="E999" s="4">
        <v>14</v>
      </c>
      <c r="F999" s="4">
        <v>219</v>
      </c>
      <c r="G999" s="4">
        <v>6.4</v>
      </c>
      <c r="H999" s="3">
        <v>3.2</v>
      </c>
      <c r="I999" s="3">
        <v>0.93</v>
      </c>
    </row>
    <row r="1000" spans="1:9" x14ac:dyDescent="0.25">
      <c r="A1000" s="9">
        <v>29083</v>
      </c>
      <c r="B1000" s="4">
        <v>117</v>
      </c>
      <c r="C1000" s="4">
        <v>42</v>
      </c>
      <c r="D1000" s="4">
        <v>8</v>
      </c>
      <c r="E1000" s="4">
        <v>42</v>
      </c>
      <c r="F1000" s="4">
        <v>2051</v>
      </c>
      <c r="G1000" s="4">
        <v>17.7</v>
      </c>
      <c r="H1000" s="3">
        <v>3.6</v>
      </c>
      <c r="I1000" s="3">
        <v>1.35</v>
      </c>
    </row>
    <row r="1001" spans="1:9" x14ac:dyDescent="0.25">
      <c r="A1001" s="9">
        <v>29091</v>
      </c>
      <c r="B1001" s="4">
        <v>182</v>
      </c>
      <c r="C1001" s="4">
        <v>128</v>
      </c>
      <c r="D1001" s="4">
        <v>12</v>
      </c>
      <c r="E1001" s="4">
        <v>128</v>
      </c>
      <c r="F1001" s="4">
        <v>5910</v>
      </c>
      <c r="G1001" s="4">
        <v>53.900000000000006</v>
      </c>
      <c r="H1001" s="3">
        <v>3.25</v>
      </c>
      <c r="I1001" s="3">
        <v>1.325</v>
      </c>
    </row>
    <row r="1002" spans="1:9" x14ac:dyDescent="0.25">
      <c r="A1002" s="9">
        <v>29093</v>
      </c>
      <c r="B1002" s="4">
        <v>23</v>
      </c>
      <c r="C1002" s="4">
        <v>15</v>
      </c>
      <c r="D1002" s="4">
        <v>14</v>
      </c>
      <c r="E1002" s="4">
        <v>15</v>
      </c>
      <c r="F1002" s="4">
        <v>149</v>
      </c>
      <c r="G1002" s="4">
        <v>4</v>
      </c>
      <c r="H1002" s="3">
        <v>2.8</v>
      </c>
      <c r="I1002" s="3">
        <v>1.01</v>
      </c>
    </row>
    <row r="1003" spans="1:9" x14ac:dyDescent="0.25">
      <c r="A1003" s="9">
        <v>29095</v>
      </c>
      <c r="B1003" s="4">
        <v>2791</v>
      </c>
      <c r="C1003" s="4">
        <v>1850</v>
      </c>
      <c r="D1003" s="4">
        <v>238</v>
      </c>
      <c r="E1003" s="4">
        <v>1894</v>
      </c>
      <c r="F1003" s="4">
        <v>99968</v>
      </c>
      <c r="G1003" s="4">
        <v>1297.2999999999997</v>
      </c>
      <c r="H1003" s="3">
        <v>4.6555555555555559</v>
      </c>
      <c r="I1003" s="3">
        <v>1.7044444444444442</v>
      </c>
    </row>
    <row r="1004" spans="1:9" x14ac:dyDescent="0.25">
      <c r="A1004" s="9">
        <v>29097</v>
      </c>
      <c r="B1004" s="4">
        <v>685</v>
      </c>
      <c r="C1004" s="4">
        <v>626</v>
      </c>
      <c r="D1004" s="4">
        <v>87</v>
      </c>
      <c r="E1004" s="4">
        <v>676</v>
      </c>
      <c r="F1004" s="4">
        <v>30288</v>
      </c>
      <c r="G1004" s="4">
        <v>393.5</v>
      </c>
      <c r="H1004" s="3">
        <v>4.2</v>
      </c>
      <c r="I1004" s="3">
        <v>1.6366666666666667</v>
      </c>
    </row>
    <row r="1005" spans="1:9" x14ac:dyDescent="0.25">
      <c r="A1005" s="9">
        <v>29099</v>
      </c>
      <c r="B1005" s="4">
        <v>224</v>
      </c>
      <c r="C1005" s="4">
        <v>279</v>
      </c>
      <c r="D1005" s="4">
        <v>28</v>
      </c>
      <c r="E1005" s="4">
        <v>279</v>
      </c>
      <c r="F1005" s="4">
        <v>9618</v>
      </c>
      <c r="G1005" s="4">
        <v>112.3</v>
      </c>
      <c r="H1005" s="3">
        <v>4.4000000000000004</v>
      </c>
      <c r="I1005" s="3">
        <v>1.61</v>
      </c>
    </row>
    <row r="1006" spans="1:9" x14ac:dyDescent="0.25">
      <c r="A1006" s="9">
        <v>29101</v>
      </c>
      <c r="B1006" s="4">
        <v>89</v>
      </c>
      <c r="C1006" s="4">
        <v>46</v>
      </c>
      <c r="D1006" s="4">
        <v>14</v>
      </c>
      <c r="E1006" s="4">
        <v>46</v>
      </c>
      <c r="F1006" s="4">
        <v>2468</v>
      </c>
      <c r="G1006" s="4">
        <v>19.8</v>
      </c>
      <c r="H1006" s="3">
        <v>3.5</v>
      </c>
      <c r="I1006" s="3">
        <v>1.37</v>
      </c>
    </row>
    <row r="1007" spans="1:9" x14ac:dyDescent="0.25">
      <c r="A1007" s="9">
        <v>29105</v>
      </c>
      <c r="B1007" s="4">
        <v>108</v>
      </c>
      <c r="C1007" s="4">
        <v>43</v>
      </c>
      <c r="D1007" s="4">
        <v>4</v>
      </c>
      <c r="E1007" s="4">
        <v>43</v>
      </c>
      <c r="F1007" s="4">
        <v>2497</v>
      </c>
      <c r="G1007" s="4">
        <v>15.3</v>
      </c>
      <c r="H1007" s="3">
        <v>2.4</v>
      </c>
      <c r="I1007" s="3">
        <v>1.42</v>
      </c>
    </row>
    <row r="1008" spans="1:9" x14ac:dyDescent="0.25">
      <c r="A1008" s="9">
        <v>29107</v>
      </c>
      <c r="B1008" s="4">
        <v>34</v>
      </c>
      <c r="C1008" s="4">
        <v>25</v>
      </c>
      <c r="D1008" s="4">
        <v>2</v>
      </c>
      <c r="E1008" s="4">
        <v>25</v>
      </c>
      <c r="F1008" s="4">
        <v>775</v>
      </c>
      <c r="G1008" s="4">
        <v>7</v>
      </c>
      <c r="H1008" s="3">
        <v>4.5</v>
      </c>
      <c r="I1008" s="3">
        <v>1.1499999999999999</v>
      </c>
    </row>
    <row r="1009" spans="1:9" x14ac:dyDescent="0.25">
      <c r="A1009" s="9">
        <v>29109</v>
      </c>
      <c r="B1009" s="4">
        <v>24</v>
      </c>
      <c r="C1009" s="4">
        <v>25</v>
      </c>
      <c r="D1009" s="4">
        <v>14</v>
      </c>
      <c r="E1009" s="4">
        <v>25</v>
      </c>
      <c r="F1009" s="4">
        <v>499</v>
      </c>
      <c r="G1009" s="4">
        <v>4.9000000000000004</v>
      </c>
      <c r="H1009" s="3">
        <v>3.4</v>
      </c>
      <c r="I1009" s="3">
        <v>1.05</v>
      </c>
    </row>
    <row r="1010" spans="1:9" x14ac:dyDescent="0.25">
      <c r="A1010" s="9">
        <v>29113</v>
      </c>
      <c r="B1010" s="4">
        <v>58</v>
      </c>
      <c r="C1010" s="4">
        <v>25</v>
      </c>
      <c r="D1010" s="4">
        <v>4</v>
      </c>
      <c r="E1010" s="4">
        <v>25</v>
      </c>
      <c r="F1010" s="4">
        <v>569</v>
      </c>
      <c r="G1010" s="4">
        <v>8.8000000000000007</v>
      </c>
      <c r="H1010" s="3">
        <v>3.5</v>
      </c>
      <c r="I1010" s="3">
        <v>1.17</v>
      </c>
    </row>
    <row r="1011" spans="1:9" x14ac:dyDescent="0.25">
      <c r="A1011" s="9">
        <v>29115</v>
      </c>
      <c r="B1011" s="4">
        <v>28</v>
      </c>
      <c r="C1011" s="4">
        <v>25</v>
      </c>
      <c r="D1011" s="4">
        <v>14</v>
      </c>
      <c r="E1011" s="4">
        <v>25</v>
      </c>
      <c r="F1011" s="4">
        <v>191</v>
      </c>
      <c r="G1011" s="4">
        <v>3.1</v>
      </c>
      <c r="H1011" s="3">
        <v>2.7</v>
      </c>
      <c r="I1011" s="3">
        <v>0.95</v>
      </c>
    </row>
    <row r="1012" spans="1:9" x14ac:dyDescent="0.25">
      <c r="A1012" s="9">
        <v>29117</v>
      </c>
      <c r="B1012" s="4">
        <v>63</v>
      </c>
      <c r="C1012" s="4">
        <v>25</v>
      </c>
      <c r="D1012" s="4">
        <v>14</v>
      </c>
      <c r="E1012" s="4">
        <v>25</v>
      </c>
      <c r="F1012" s="4">
        <v>1194</v>
      </c>
      <c r="G1012" s="4">
        <v>14.7</v>
      </c>
      <c r="H1012" s="3">
        <v>2.9</v>
      </c>
      <c r="I1012" s="3">
        <v>1.2</v>
      </c>
    </row>
    <row r="1013" spans="1:9" x14ac:dyDescent="0.25">
      <c r="A1013" s="9">
        <v>29121</v>
      </c>
      <c r="B1013" s="4">
        <v>53</v>
      </c>
      <c r="C1013" s="4">
        <v>25</v>
      </c>
      <c r="D1013" s="4">
        <v>14</v>
      </c>
      <c r="E1013" s="4">
        <v>25</v>
      </c>
      <c r="F1013" s="4">
        <v>565</v>
      </c>
      <c r="G1013" s="4">
        <v>10.9</v>
      </c>
      <c r="H1013" s="3">
        <v>3.6</v>
      </c>
      <c r="I1013" s="3">
        <v>0.91</v>
      </c>
    </row>
    <row r="1014" spans="1:9" x14ac:dyDescent="0.25">
      <c r="A1014" s="9">
        <v>29123</v>
      </c>
      <c r="B1014" s="4">
        <v>37</v>
      </c>
      <c r="C1014" s="4">
        <v>25</v>
      </c>
      <c r="D1014" s="4">
        <v>14</v>
      </c>
      <c r="E1014" s="4">
        <v>25</v>
      </c>
      <c r="F1014" s="4">
        <v>203</v>
      </c>
      <c r="G1014" s="4">
        <v>5.9</v>
      </c>
      <c r="H1014" s="3">
        <v>2.4</v>
      </c>
      <c r="I1014" s="3">
        <v>0.86</v>
      </c>
    </row>
    <row r="1015" spans="1:9" x14ac:dyDescent="0.25">
      <c r="A1015" s="9">
        <v>29127</v>
      </c>
      <c r="B1015" s="4">
        <v>157</v>
      </c>
      <c r="C1015" s="4">
        <v>86</v>
      </c>
      <c r="D1015" s="4">
        <v>8</v>
      </c>
      <c r="E1015" s="4">
        <v>86</v>
      </c>
      <c r="F1015" s="4">
        <v>4534</v>
      </c>
      <c r="G1015" s="4">
        <v>41.7</v>
      </c>
      <c r="H1015" s="3">
        <v>3.6</v>
      </c>
      <c r="I1015" s="3">
        <v>1.39</v>
      </c>
    </row>
    <row r="1016" spans="1:9" x14ac:dyDescent="0.25">
      <c r="A1016" s="9">
        <v>29145</v>
      </c>
      <c r="B1016" s="4">
        <v>31</v>
      </c>
      <c r="C1016" s="4">
        <v>25</v>
      </c>
      <c r="D1016" s="4">
        <v>14</v>
      </c>
      <c r="E1016" s="4">
        <v>25</v>
      </c>
      <c r="F1016" s="4">
        <v>718</v>
      </c>
      <c r="G1016" s="4">
        <v>8.8000000000000007</v>
      </c>
      <c r="H1016" s="3">
        <v>3.2</v>
      </c>
      <c r="I1016" s="3">
        <v>1.17</v>
      </c>
    </row>
    <row r="1017" spans="1:9" x14ac:dyDescent="0.25">
      <c r="A1017" s="9">
        <v>29147</v>
      </c>
      <c r="B1017" s="4">
        <v>44</v>
      </c>
      <c r="C1017" s="4">
        <v>38</v>
      </c>
      <c r="D1017" s="4">
        <v>14</v>
      </c>
      <c r="E1017" s="4">
        <v>38</v>
      </c>
      <c r="F1017" s="4">
        <v>1124</v>
      </c>
      <c r="G1017" s="4">
        <v>6.9</v>
      </c>
      <c r="H1017" s="3">
        <v>2.7</v>
      </c>
      <c r="I1017" s="3">
        <v>1.1299999999999999</v>
      </c>
    </row>
    <row r="1018" spans="1:9" x14ac:dyDescent="0.25">
      <c r="A1018" s="9">
        <v>29155</v>
      </c>
      <c r="B1018" s="4">
        <v>23</v>
      </c>
      <c r="C1018" s="4">
        <v>49</v>
      </c>
      <c r="D1018" s="4">
        <v>7</v>
      </c>
      <c r="E1018" s="4">
        <v>49</v>
      </c>
      <c r="F1018" s="4">
        <v>1428</v>
      </c>
      <c r="G1018" s="4">
        <v>17.100000000000001</v>
      </c>
      <c r="H1018" s="3">
        <v>4.4000000000000004</v>
      </c>
      <c r="I1018" s="3">
        <v>1.1100000000000001</v>
      </c>
    </row>
    <row r="1019" spans="1:9" x14ac:dyDescent="0.25">
      <c r="A1019" s="9">
        <v>29157</v>
      </c>
      <c r="B1019" s="4">
        <v>58</v>
      </c>
      <c r="C1019" s="4">
        <v>25</v>
      </c>
      <c r="D1019" s="4">
        <v>14</v>
      </c>
      <c r="E1019" s="4">
        <v>25</v>
      </c>
      <c r="F1019" s="4">
        <v>1506</v>
      </c>
      <c r="G1019" s="4">
        <v>15.6</v>
      </c>
      <c r="H1019" s="3">
        <v>3.1</v>
      </c>
      <c r="I1019" s="3">
        <v>1.22</v>
      </c>
    </row>
    <row r="1020" spans="1:9" x14ac:dyDescent="0.25">
      <c r="A1020" s="9">
        <v>29159</v>
      </c>
      <c r="B1020" s="4">
        <v>132</v>
      </c>
      <c r="C1020" s="4">
        <v>108</v>
      </c>
      <c r="D1020" s="4">
        <v>9</v>
      </c>
      <c r="E1020" s="4">
        <v>108</v>
      </c>
      <c r="F1020" s="4">
        <v>3923</v>
      </c>
      <c r="G1020" s="4">
        <v>40.4</v>
      </c>
      <c r="H1020" s="3">
        <v>4</v>
      </c>
      <c r="I1020" s="3">
        <v>1.44</v>
      </c>
    </row>
    <row r="1021" spans="1:9" x14ac:dyDescent="0.25">
      <c r="A1021" s="9">
        <v>29161</v>
      </c>
      <c r="B1021" s="4">
        <v>173</v>
      </c>
      <c r="C1021" s="4">
        <v>172</v>
      </c>
      <c r="D1021" s="4">
        <v>18</v>
      </c>
      <c r="E1021" s="4">
        <v>172</v>
      </c>
      <c r="F1021" s="4">
        <v>4963</v>
      </c>
      <c r="G1021" s="4">
        <v>48.7</v>
      </c>
      <c r="H1021" s="3">
        <v>3.9</v>
      </c>
      <c r="I1021" s="3">
        <v>1.4</v>
      </c>
    </row>
    <row r="1022" spans="1:9" x14ac:dyDescent="0.25">
      <c r="A1022" s="9">
        <v>29163</v>
      </c>
      <c r="B1022" s="4">
        <v>36</v>
      </c>
      <c r="C1022" s="4">
        <v>25</v>
      </c>
      <c r="D1022" s="4">
        <v>14</v>
      </c>
      <c r="E1022" s="4">
        <v>25</v>
      </c>
      <c r="F1022" s="4">
        <v>212</v>
      </c>
      <c r="G1022" s="4">
        <v>4.4000000000000004</v>
      </c>
      <c r="H1022" s="3">
        <v>3.4</v>
      </c>
      <c r="I1022" s="3">
        <v>1.06</v>
      </c>
    </row>
    <row r="1023" spans="1:9" x14ac:dyDescent="0.25">
      <c r="A1023" s="9">
        <v>29165</v>
      </c>
      <c r="B1023" s="4">
        <v>109</v>
      </c>
      <c r="C1023" s="4">
        <v>118</v>
      </c>
      <c r="D1023" s="4">
        <v>14</v>
      </c>
      <c r="E1023" s="4">
        <v>118</v>
      </c>
      <c r="F1023" s="4">
        <v>7198</v>
      </c>
      <c r="G1023" s="4">
        <v>74.2</v>
      </c>
      <c r="H1023" s="3">
        <v>4</v>
      </c>
      <c r="I1023" s="3">
        <v>1.41</v>
      </c>
    </row>
    <row r="1024" spans="1:9" x14ac:dyDescent="0.25">
      <c r="A1024" s="9">
        <v>29167</v>
      </c>
      <c r="B1024" s="4">
        <v>166</v>
      </c>
      <c r="C1024" s="4">
        <v>52</v>
      </c>
      <c r="D1024" s="4">
        <v>8</v>
      </c>
      <c r="E1024" s="4">
        <v>52</v>
      </c>
      <c r="F1024" s="4">
        <v>3141</v>
      </c>
      <c r="G1024" s="4">
        <v>23.2</v>
      </c>
      <c r="H1024" s="3">
        <v>3</v>
      </c>
      <c r="I1024" s="3">
        <v>1.64</v>
      </c>
    </row>
    <row r="1025" spans="1:9" x14ac:dyDescent="0.25">
      <c r="A1025" s="9">
        <v>29171</v>
      </c>
      <c r="B1025" s="4">
        <v>10</v>
      </c>
      <c r="C1025" s="4">
        <v>15</v>
      </c>
      <c r="D1025" s="4">
        <v>14</v>
      </c>
      <c r="E1025" s="4">
        <v>15</v>
      </c>
      <c r="F1025" s="4">
        <v>160</v>
      </c>
      <c r="G1025" s="4">
        <v>4.3</v>
      </c>
      <c r="H1025" s="3">
        <v>2.8</v>
      </c>
      <c r="I1025" s="3">
        <v>0.93</v>
      </c>
    </row>
    <row r="1026" spans="1:9" x14ac:dyDescent="0.25">
      <c r="A1026" s="9">
        <v>29175</v>
      </c>
      <c r="B1026" s="4">
        <v>52</v>
      </c>
      <c r="C1026" s="4">
        <v>33</v>
      </c>
      <c r="D1026" s="4">
        <v>8</v>
      </c>
      <c r="E1026" s="4">
        <v>33</v>
      </c>
      <c r="F1026" s="4">
        <v>919</v>
      </c>
      <c r="G1026" s="4">
        <v>8.6</v>
      </c>
      <c r="H1026" s="3">
        <v>3.6</v>
      </c>
      <c r="I1026" s="3">
        <v>1.38</v>
      </c>
    </row>
    <row r="1027" spans="1:9" x14ac:dyDescent="0.25">
      <c r="A1027" s="9">
        <v>29177</v>
      </c>
      <c r="B1027" s="4">
        <v>35</v>
      </c>
      <c r="C1027" s="4">
        <v>25</v>
      </c>
      <c r="D1027" s="4">
        <v>14</v>
      </c>
      <c r="E1027" s="4">
        <v>25</v>
      </c>
      <c r="F1027" s="4">
        <v>597</v>
      </c>
      <c r="G1027" s="4">
        <v>8.4</v>
      </c>
      <c r="H1027" s="3">
        <v>2.9</v>
      </c>
      <c r="I1027" s="3">
        <v>0.97</v>
      </c>
    </row>
    <row r="1028" spans="1:9" x14ac:dyDescent="0.25">
      <c r="A1028" s="9">
        <v>29179</v>
      </c>
      <c r="B1028" s="4">
        <v>80</v>
      </c>
      <c r="C1028" s="4">
        <v>49</v>
      </c>
      <c r="D1028" s="4">
        <v>14</v>
      </c>
      <c r="E1028" s="4">
        <v>49</v>
      </c>
      <c r="F1028" s="4">
        <v>95</v>
      </c>
      <c r="G1028" s="4">
        <v>0.7</v>
      </c>
      <c r="H1028" s="3">
        <v>0.6</v>
      </c>
      <c r="I1028" s="3">
        <v>1</v>
      </c>
    </row>
    <row r="1029" spans="1:9" x14ac:dyDescent="0.25">
      <c r="A1029" s="9">
        <v>29181</v>
      </c>
      <c r="B1029" s="4">
        <v>80</v>
      </c>
      <c r="C1029" s="4">
        <v>49</v>
      </c>
      <c r="D1029" s="4">
        <v>14</v>
      </c>
      <c r="E1029" s="4">
        <v>49</v>
      </c>
      <c r="F1029" s="4">
        <v>214</v>
      </c>
      <c r="G1029" s="4">
        <v>1.8</v>
      </c>
      <c r="H1029" s="3">
        <v>3.1</v>
      </c>
      <c r="I1029" s="3">
        <v>1.1399999999999999</v>
      </c>
    </row>
    <row r="1030" spans="1:9" x14ac:dyDescent="0.25">
      <c r="A1030" s="9">
        <v>29183</v>
      </c>
      <c r="B1030" s="4">
        <v>725</v>
      </c>
      <c r="C1030" s="4">
        <v>613</v>
      </c>
      <c r="D1030" s="4">
        <v>39</v>
      </c>
      <c r="E1030" s="4">
        <v>790</v>
      </c>
      <c r="F1030" s="4">
        <v>33388</v>
      </c>
      <c r="G1030" s="4">
        <v>341.7</v>
      </c>
      <c r="H1030" s="3">
        <v>3.9000000000000004</v>
      </c>
      <c r="I1030" s="3">
        <v>1.5575000000000001</v>
      </c>
    </row>
    <row r="1031" spans="1:9" x14ac:dyDescent="0.25">
      <c r="A1031" s="9">
        <v>29185</v>
      </c>
      <c r="B1031" s="4">
        <v>7</v>
      </c>
      <c r="C1031" s="4">
        <v>25</v>
      </c>
      <c r="D1031" s="4">
        <v>14</v>
      </c>
      <c r="E1031" s="4">
        <v>12</v>
      </c>
      <c r="F1031" s="4">
        <v>333</v>
      </c>
      <c r="G1031" s="4">
        <v>4.3000000000000007</v>
      </c>
      <c r="H1031" s="3">
        <v>3.75</v>
      </c>
      <c r="I1031" s="3">
        <v>0.94</v>
      </c>
    </row>
    <row r="1032" spans="1:9" x14ac:dyDescent="0.25">
      <c r="A1032" s="9">
        <v>29186</v>
      </c>
      <c r="B1032" s="4">
        <v>67</v>
      </c>
      <c r="C1032" s="4">
        <v>25</v>
      </c>
      <c r="D1032" s="4">
        <v>14</v>
      </c>
      <c r="E1032" s="4">
        <v>25</v>
      </c>
      <c r="F1032" s="4">
        <v>736</v>
      </c>
      <c r="G1032" s="4">
        <v>10.4</v>
      </c>
      <c r="H1032" s="3">
        <v>2.9</v>
      </c>
      <c r="I1032" s="3">
        <v>1.18</v>
      </c>
    </row>
    <row r="1033" spans="1:9" x14ac:dyDescent="0.25">
      <c r="A1033" s="9">
        <v>29187</v>
      </c>
      <c r="B1033" s="4">
        <v>119</v>
      </c>
      <c r="C1033" s="4">
        <v>95</v>
      </c>
      <c r="D1033" s="4">
        <v>10</v>
      </c>
      <c r="E1033" s="4">
        <v>95</v>
      </c>
      <c r="F1033" s="4">
        <v>4085</v>
      </c>
      <c r="G1033" s="4">
        <v>34.6</v>
      </c>
      <c r="H1033" s="3">
        <v>2.9333333333333336</v>
      </c>
      <c r="I1033" s="3">
        <v>1.29</v>
      </c>
    </row>
    <row r="1034" spans="1:9" x14ac:dyDescent="0.25">
      <c r="A1034" s="9">
        <v>29189</v>
      </c>
      <c r="B1034" s="4">
        <v>4683</v>
      </c>
      <c r="C1034" s="4">
        <v>3985</v>
      </c>
      <c r="D1034" s="4">
        <v>460</v>
      </c>
      <c r="E1034" s="4">
        <v>3985</v>
      </c>
      <c r="F1034" s="4">
        <v>187062</v>
      </c>
      <c r="G1034" s="4">
        <v>2272.1</v>
      </c>
      <c r="H1034" s="3">
        <v>4.1800000000000006</v>
      </c>
      <c r="I1034" s="3">
        <v>1.8290000000000002</v>
      </c>
    </row>
    <row r="1035" spans="1:9" x14ac:dyDescent="0.25">
      <c r="A1035" s="9">
        <v>29195</v>
      </c>
      <c r="B1035" s="4">
        <v>70</v>
      </c>
      <c r="C1035" s="4">
        <v>42</v>
      </c>
      <c r="D1035" s="4">
        <v>7</v>
      </c>
      <c r="E1035" s="4">
        <v>42</v>
      </c>
      <c r="F1035" s="4">
        <v>1443</v>
      </c>
      <c r="G1035" s="4">
        <v>14.100000000000001</v>
      </c>
      <c r="H1035" s="3">
        <v>4.0999999999999996</v>
      </c>
      <c r="I1035" s="3">
        <v>1.0249999999999999</v>
      </c>
    </row>
    <row r="1036" spans="1:9" x14ac:dyDescent="0.25">
      <c r="A1036" s="9">
        <v>29199</v>
      </c>
      <c r="B1036" s="4">
        <v>29</v>
      </c>
      <c r="C1036" s="4">
        <v>25</v>
      </c>
      <c r="D1036" s="4">
        <v>14</v>
      </c>
      <c r="E1036" s="4">
        <v>25</v>
      </c>
      <c r="F1036" s="4">
        <v>490</v>
      </c>
      <c r="G1036" s="4">
        <v>8.6</v>
      </c>
      <c r="H1036" s="3">
        <v>3.1</v>
      </c>
      <c r="I1036" s="3">
        <v>0.99</v>
      </c>
    </row>
    <row r="1037" spans="1:9" x14ac:dyDescent="0.25">
      <c r="A1037" s="9">
        <v>29201</v>
      </c>
      <c r="B1037" s="4">
        <v>107</v>
      </c>
      <c r="C1037" s="4">
        <v>87</v>
      </c>
      <c r="D1037" s="4">
        <v>12</v>
      </c>
      <c r="E1037" s="4">
        <v>87</v>
      </c>
      <c r="F1037" s="4">
        <v>3198</v>
      </c>
      <c r="G1037" s="4">
        <v>30.6</v>
      </c>
      <c r="H1037" s="3">
        <v>3.8</v>
      </c>
      <c r="I1037" s="3">
        <v>1.42</v>
      </c>
    </row>
    <row r="1038" spans="1:9" x14ac:dyDescent="0.25">
      <c r="A1038" s="9">
        <v>29207</v>
      </c>
      <c r="B1038" s="4">
        <v>45</v>
      </c>
      <c r="C1038" s="4">
        <v>48</v>
      </c>
      <c r="D1038" s="4">
        <v>4</v>
      </c>
      <c r="E1038" s="4">
        <v>48</v>
      </c>
      <c r="F1038" s="4">
        <v>1508</v>
      </c>
      <c r="G1038" s="4">
        <v>13.6</v>
      </c>
      <c r="H1038" s="3">
        <v>3.3</v>
      </c>
      <c r="I1038" s="3">
        <v>1.08</v>
      </c>
    </row>
    <row r="1039" spans="1:9" x14ac:dyDescent="0.25">
      <c r="A1039" s="9">
        <v>29211</v>
      </c>
      <c r="B1039" s="4">
        <v>10</v>
      </c>
      <c r="C1039" s="4">
        <v>16</v>
      </c>
      <c r="D1039" s="4">
        <v>14</v>
      </c>
      <c r="E1039" s="4">
        <v>16</v>
      </c>
      <c r="F1039" s="4">
        <v>132</v>
      </c>
      <c r="G1039" s="4">
        <v>9.5</v>
      </c>
      <c r="H1039" s="3">
        <v>2.7</v>
      </c>
      <c r="I1039" s="3">
        <v>0.86</v>
      </c>
    </row>
    <row r="1040" spans="1:9" x14ac:dyDescent="0.25">
      <c r="A1040" s="9">
        <v>29213</v>
      </c>
      <c r="B1040" s="4">
        <v>180</v>
      </c>
      <c r="C1040" s="4">
        <v>111</v>
      </c>
      <c r="D1040" s="4">
        <v>18</v>
      </c>
      <c r="E1040" s="4">
        <v>111</v>
      </c>
      <c r="F1040" s="4">
        <v>6671</v>
      </c>
      <c r="G1040" s="4">
        <v>73.900000000000006</v>
      </c>
      <c r="H1040" s="3">
        <v>4.2</v>
      </c>
      <c r="I1040" s="3">
        <v>1.57</v>
      </c>
    </row>
    <row r="1041" spans="1:9" x14ac:dyDescent="0.25">
      <c r="A1041" s="9">
        <v>29215</v>
      </c>
      <c r="B1041" s="4">
        <v>54</v>
      </c>
      <c r="C1041" s="4">
        <v>47</v>
      </c>
      <c r="D1041" s="4">
        <v>4</v>
      </c>
      <c r="E1041" s="4">
        <v>47</v>
      </c>
      <c r="F1041" s="4">
        <v>1191</v>
      </c>
      <c r="G1041" s="4">
        <v>12.6</v>
      </c>
      <c r="H1041" s="3">
        <v>4.0999999999999996</v>
      </c>
      <c r="I1041" s="3">
        <v>1.1599999999999999</v>
      </c>
    </row>
    <row r="1042" spans="1:9" x14ac:dyDescent="0.25">
      <c r="A1042" s="9">
        <v>29217</v>
      </c>
      <c r="B1042" s="4">
        <v>59</v>
      </c>
      <c r="C1042" s="4">
        <v>41</v>
      </c>
      <c r="D1042" s="4">
        <v>6</v>
      </c>
      <c r="E1042" s="4">
        <v>41</v>
      </c>
      <c r="F1042" s="4">
        <v>976</v>
      </c>
      <c r="G1042" s="4">
        <v>7.1</v>
      </c>
      <c r="H1042" s="3">
        <v>3.2</v>
      </c>
      <c r="I1042" s="3">
        <v>1.1399999999999999</v>
      </c>
    </row>
    <row r="1043" spans="1:9" x14ac:dyDescent="0.25">
      <c r="A1043" s="9">
        <v>29221</v>
      </c>
      <c r="B1043" s="4">
        <v>57</v>
      </c>
      <c r="C1043" s="4">
        <v>25</v>
      </c>
      <c r="D1043" s="4">
        <v>14</v>
      </c>
      <c r="E1043" s="4">
        <v>25</v>
      </c>
      <c r="F1043" s="4">
        <v>647</v>
      </c>
      <c r="G1043" s="4">
        <v>11</v>
      </c>
      <c r="H1043" s="3">
        <v>3.2</v>
      </c>
      <c r="I1043" s="3">
        <v>0.9</v>
      </c>
    </row>
    <row r="1044" spans="1:9" x14ac:dyDescent="0.25">
      <c r="A1044" s="9">
        <v>29510</v>
      </c>
      <c r="B1044" s="4">
        <v>2459</v>
      </c>
      <c r="C1044" s="4">
        <v>1707</v>
      </c>
      <c r="D1044" s="4">
        <v>156</v>
      </c>
      <c r="E1044" s="4">
        <v>1707</v>
      </c>
      <c r="F1044" s="4">
        <v>74999</v>
      </c>
      <c r="G1044" s="4">
        <v>1130.3</v>
      </c>
      <c r="H1044" s="3">
        <v>5.9749999999999996</v>
      </c>
      <c r="I1044" s="3">
        <v>1.9033333333333333</v>
      </c>
    </row>
    <row r="1045" spans="1:9" x14ac:dyDescent="0.25">
      <c r="A1045" s="9">
        <v>30001</v>
      </c>
      <c r="B1045" s="4">
        <v>39</v>
      </c>
      <c r="C1045" s="4">
        <v>18</v>
      </c>
      <c r="D1045" s="4">
        <v>14</v>
      </c>
      <c r="E1045" s="4">
        <v>18</v>
      </c>
      <c r="F1045" s="4">
        <v>532</v>
      </c>
      <c r="G1045" s="4">
        <v>6.1</v>
      </c>
      <c r="H1045" s="3">
        <v>3.2</v>
      </c>
      <c r="I1045" s="3">
        <v>1.2</v>
      </c>
    </row>
    <row r="1046" spans="1:9" x14ac:dyDescent="0.25">
      <c r="A1046" s="9">
        <v>30003</v>
      </c>
      <c r="B1046" s="4">
        <v>52</v>
      </c>
      <c r="C1046" s="4">
        <v>49</v>
      </c>
      <c r="D1046" s="4">
        <v>14</v>
      </c>
      <c r="E1046" s="4">
        <v>49</v>
      </c>
      <c r="F1046" s="4">
        <v>386</v>
      </c>
      <c r="G1046" s="4">
        <v>7.5</v>
      </c>
      <c r="H1046" s="3">
        <v>2.95</v>
      </c>
      <c r="I1046" s="3">
        <v>0.92500000000000004</v>
      </c>
    </row>
    <row r="1047" spans="1:9" x14ac:dyDescent="0.25">
      <c r="A1047" s="9">
        <v>30005</v>
      </c>
      <c r="B1047" s="4">
        <v>17</v>
      </c>
      <c r="C1047" s="4">
        <v>6</v>
      </c>
      <c r="D1047" s="4">
        <v>14</v>
      </c>
      <c r="E1047" s="4">
        <v>6</v>
      </c>
      <c r="F1047" s="4">
        <v>15</v>
      </c>
      <c r="G1047" s="4">
        <v>0.1</v>
      </c>
      <c r="H1047" s="3">
        <v>1.2</v>
      </c>
      <c r="I1047" s="3">
        <v>0.78</v>
      </c>
    </row>
    <row r="1048" spans="1:9" x14ac:dyDescent="0.25">
      <c r="A1048" s="9">
        <v>30007</v>
      </c>
      <c r="B1048" s="4">
        <v>12</v>
      </c>
      <c r="C1048" s="4">
        <v>25</v>
      </c>
      <c r="D1048" s="4">
        <v>14</v>
      </c>
      <c r="E1048" s="4">
        <v>25</v>
      </c>
      <c r="F1048" s="4">
        <v>53</v>
      </c>
      <c r="G1048" s="4">
        <v>20.7</v>
      </c>
      <c r="H1048" s="3">
        <v>2.4</v>
      </c>
      <c r="I1048" s="3">
        <v>0.98</v>
      </c>
    </row>
    <row r="1049" spans="1:9" x14ac:dyDescent="0.25">
      <c r="A1049" s="9">
        <v>30009</v>
      </c>
      <c r="B1049" s="4">
        <v>9</v>
      </c>
      <c r="C1049" s="4">
        <v>10</v>
      </c>
      <c r="D1049" s="4">
        <v>14</v>
      </c>
      <c r="E1049" s="4">
        <v>10</v>
      </c>
      <c r="F1049" s="4">
        <v>169</v>
      </c>
      <c r="G1049" s="4">
        <v>5.6</v>
      </c>
      <c r="H1049" s="3">
        <v>3.4</v>
      </c>
      <c r="I1049" s="3">
        <v>0.98</v>
      </c>
    </row>
    <row r="1050" spans="1:9" x14ac:dyDescent="0.25">
      <c r="A1050" s="9">
        <v>30011</v>
      </c>
      <c r="B1050" s="4">
        <v>5</v>
      </c>
      <c r="C1050" s="4">
        <v>25</v>
      </c>
      <c r="D1050" s="4">
        <v>14</v>
      </c>
      <c r="E1050" s="4">
        <v>25</v>
      </c>
      <c r="F1050" s="4">
        <v>13</v>
      </c>
      <c r="G1050" s="4">
        <v>15.8</v>
      </c>
      <c r="H1050" s="3">
        <v>3.4</v>
      </c>
      <c r="I1050" s="3">
        <v>0.94</v>
      </c>
    </row>
    <row r="1051" spans="1:9" x14ac:dyDescent="0.25">
      <c r="A1051" s="9">
        <v>30013</v>
      </c>
      <c r="B1051" s="4">
        <v>441</v>
      </c>
      <c r="C1051" s="4">
        <v>332</v>
      </c>
      <c r="D1051" s="4">
        <v>20</v>
      </c>
      <c r="E1051" s="4">
        <v>332</v>
      </c>
      <c r="F1051" s="4">
        <v>11158</v>
      </c>
      <c r="G1051" s="4">
        <v>122.4</v>
      </c>
      <c r="H1051" s="3">
        <v>3.7</v>
      </c>
      <c r="I1051" s="3">
        <v>1.7200000000000002</v>
      </c>
    </row>
    <row r="1052" spans="1:9" x14ac:dyDescent="0.25">
      <c r="A1052" s="9">
        <v>30015</v>
      </c>
      <c r="B1052" s="4">
        <v>7</v>
      </c>
      <c r="C1052" s="4">
        <v>33</v>
      </c>
      <c r="D1052" s="4">
        <v>14</v>
      </c>
      <c r="E1052" s="4">
        <v>33</v>
      </c>
      <c r="F1052" s="4">
        <v>32</v>
      </c>
      <c r="G1052" s="4">
        <v>19</v>
      </c>
      <c r="H1052" s="3">
        <v>2.5</v>
      </c>
      <c r="I1052" s="3">
        <v>0.81499999999999995</v>
      </c>
    </row>
    <row r="1053" spans="1:9" x14ac:dyDescent="0.25">
      <c r="A1053" s="9">
        <v>30017</v>
      </c>
      <c r="B1053" s="4">
        <v>54</v>
      </c>
      <c r="C1053" s="4">
        <v>25</v>
      </c>
      <c r="D1053" s="4">
        <v>4</v>
      </c>
      <c r="E1053" s="4">
        <v>25</v>
      </c>
      <c r="F1053" s="4">
        <v>1468</v>
      </c>
      <c r="G1053" s="4">
        <v>14</v>
      </c>
      <c r="H1053" s="3">
        <v>2</v>
      </c>
      <c r="I1053" s="3">
        <v>1.43</v>
      </c>
    </row>
    <row r="1054" spans="1:9" x14ac:dyDescent="0.25">
      <c r="A1054" s="9">
        <v>30019</v>
      </c>
      <c r="B1054" s="4">
        <v>4</v>
      </c>
      <c r="C1054" s="4">
        <v>25</v>
      </c>
      <c r="D1054" s="4">
        <v>14</v>
      </c>
      <c r="E1054" s="4">
        <v>25</v>
      </c>
      <c r="F1054" s="4">
        <v>54</v>
      </c>
      <c r="G1054" s="4">
        <v>20.8</v>
      </c>
      <c r="H1054" s="3">
        <v>2.9</v>
      </c>
      <c r="I1054" s="3">
        <v>0.89</v>
      </c>
    </row>
    <row r="1055" spans="1:9" x14ac:dyDescent="0.25">
      <c r="A1055" s="9">
        <v>30021</v>
      </c>
      <c r="B1055" s="4">
        <v>34</v>
      </c>
      <c r="C1055" s="4">
        <v>25</v>
      </c>
      <c r="D1055" s="4">
        <v>3</v>
      </c>
      <c r="E1055" s="4">
        <v>25</v>
      </c>
      <c r="F1055" s="4">
        <v>421</v>
      </c>
      <c r="G1055" s="4">
        <v>7.6</v>
      </c>
      <c r="H1055" s="3">
        <v>2.6</v>
      </c>
      <c r="I1055" s="3">
        <v>1.1299999999999999</v>
      </c>
    </row>
    <row r="1056" spans="1:9" x14ac:dyDescent="0.25">
      <c r="A1056" s="9">
        <v>30023</v>
      </c>
      <c r="B1056" s="4">
        <v>51</v>
      </c>
      <c r="C1056" s="4">
        <v>25</v>
      </c>
      <c r="D1056" s="4">
        <v>14</v>
      </c>
      <c r="E1056" s="4">
        <v>25</v>
      </c>
      <c r="F1056" s="4">
        <v>1134</v>
      </c>
      <c r="G1056" s="4">
        <v>13.9</v>
      </c>
      <c r="H1056" s="3">
        <v>3</v>
      </c>
      <c r="I1056" s="3">
        <v>1.39</v>
      </c>
    </row>
    <row r="1057" spans="1:9" x14ac:dyDescent="0.25">
      <c r="A1057" s="9">
        <v>30025</v>
      </c>
      <c r="B1057" s="4">
        <v>8</v>
      </c>
      <c r="C1057" s="4">
        <v>25</v>
      </c>
      <c r="D1057" s="4">
        <v>14</v>
      </c>
      <c r="E1057" s="4">
        <v>25</v>
      </c>
      <c r="F1057" s="4">
        <v>109</v>
      </c>
      <c r="G1057" s="4">
        <v>14.9</v>
      </c>
      <c r="H1057" s="3">
        <v>2.2999999999999998</v>
      </c>
      <c r="I1057" s="3">
        <v>0.87</v>
      </c>
    </row>
    <row r="1058" spans="1:9" x14ac:dyDescent="0.25">
      <c r="A1058" s="9">
        <v>30027</v>
      </c>
      <c r="B1058" s="4">
        <v>43</v>
      </c>
      <c r="C1058" s="4">
        <v>23</v>
      </c>
      <c r="D1058" s="4">
        <v>14</v>
      </c>
      <c r="E1058" s="4">
        <v>23</v>
      </c>
      <c r="F1058" s="4">
        <v>594</v>
      </c>
      <c r="G1058" s="4">
        <v>9.1999999999999993</v>
      </c>
      <c r="H1058" s="3">
        <v>3.1</v>
      </c>
      <c r="I1058" s="3">
        <v>1.1200000000000001</v>
      </c>
    </row>
    <row r="1059" spans="1:9" x14ac:dyDescent="0.25">
      <c r="A1059" s="9">
        <v>30029</v>
      </c>
      <c r="B1059" s="4">
        <v>574</v>
      </c>
      <c r="C1059" s="4">
        <v>220</v>
      </c>
      <c r="D1059" s="4">
        <v>22</v>
      </c>
      <c r="E1059" s="4">
        <v>220</v>
      </c>
      <c r="F1059" s="4">
        <v>10931</v>
      </c>
      <c r="G1059" s="4">
        <v>125.9</v>
      </c>
      <c r="H1059" s="3">
        <v>3.4</v>
      </c>
      <c r="I1059" s="3">
        <v>1.6133333333333333</v>
      </c>
    </row>
    <row r="1060" spans="1:9" x14ac:dyDescent="0.25">
      <c r="A1060" s="9">
        <v>30031</v>
      </c>
      <c r="B1060" s="4">
        <v>398</v>
      </c>
      <c r="C1060" s="4">
        <v>87</v>
      </c>
      <c r="D1060" s="4">
        <v>8</v>
      </c>
      <c r="E1060" s="4">
        <v>87</v>
      </c>
      <c r="F1060" s="4">
        <v>7088</v>
      </c>
      <c r="G1060" s="4">
        <v>51.6</v>
      </c>
      <c r="H1060" s="3">
        <v>2.6</v>
      </c>
      <c r="I1060" s="3">
        <v>1.385</v>
      </c>
    </row>
    <row r="1061" spans="1:9" x14ac:dyDescent="0.25">
      <c r="A1061" s="9">
        <v>30033</v>
      </c>
      <c r="B1061" s="4">
        <v>3</v>
      </c>
      <c r="C1061" s="4">
        <v>4</v>
      </c>
      <c r="D1061" s="4">
        <v>14</v>
      </c>
      <c r="E1061" s="4">
        <v>4</v>
      </c>
      <c r="F1061" s="4">
        <v>4</v>
      </c>
      <c r="G1061" s="4">
        <v>0</v>
      </c>
      <c r="H1061" s="3">
        <v>2.2999999999999998</v>
      </c>
      <c r="I1061" s="3">
        <v>0.74</v>
      </c>
    </row>
    <row r="1062" spans="1:9" x14ac:dyDescent="0.25">
      <c r="A1062" s="9">
        <v>30035</v>
      </c>
      <c r="B1062" s="4">
        <v>44</v>
      </c>
      <c r="C1062" s="4">
        <v>46</v>
      </c>
      <c r="D1062" s="4">
        <v>14</v>
      </c>
      <c r="E1062" s="4">
        <v>46</v>
      </c>
      <c r="F1062" s="4">
        <v>614</v>
      </c>
      <c r="G1062" s="4">
        <v>6.9</v>
      </c>
      <c r="H1062" s="3">
        <v>3.35</v>
      </c>
      <c r="I1062" s="3">
        <v>0.91999999999999993</v>
      </c>
    </row>
    <row r="1063" spans="1:9" x14ac:dyDescent="0.25">
      <c r="A1063" s="9">
        <v>30039</v>
      </c>
      <c r="B1063" s="4">
        <v>4</v>
      </c>
      <c r="C1063" s="4">
        <v>25</v>
      </c>
      <c r="D1063" s="4">
        <v>14</v>
      </c>
      <c r="E1063" s="4">
        <v>25</v>
      </c>
      <c r="F1063" s="4">
        <v>18</v>
      </c>
      <c r="G1063" s="4">
        <v>21</v>
      </c>
      <c r="H1063" s="3">
        <v>2.7</v>
      </c>
      <c r="I1063" s="3">
        <v>0.95</v>
      </c>
    </row>
    <row r="1064" spans="1:9" x14ac:dyDescent="0.25">
      <c r="A1064" s="9">
        <v>30041</v>
      </c>
      <c r="B1064" s="4">
        <v>52</v>
      </c>
      <c r="C1064" s="4">
        <v>49</v>
      </c>
      <c r="D1064" s="4">
        <v>6</v>
      </c>
      <c r="E1064" s="4">
        <v>49</v>
      </c>
      <c r="F1064" s="4">
        <v>1129</v>
      </c>
      <c r="G1064" s="4">
        <v>8.1</v>
      </c>
      <c r="H1064" s="3">
        <v>3.2</v>
      </c>
      <c r="I1064" s="3">
        <v>1.31</v>
      </c>
    </row>
    <row r="1065" spans="1:9" x14ac:dyDescent="0.25">
      <c r="A1065" s="9">
        <v>30047</v>
      </c>
      <c r="B1065" s="4">
        <v>81</v>
      </c>
      <c r="C1065" s="4">
        <v>47</v>
      </c>
      <c r="D1065" s="4">
        <v>14</v>
      </c>
      <c r="E1065" s="4">
        <v>47</v>
      </c>
      <c r="F1065" s="4">
        <v>1415</v>
      </c>
      <c r="G1065" s="4">
        <v>17.5</v>
      </c>
      <c r="H1065" s="3">
        <v>3.15</v>
      </c>
      <c r="I1065" s="3">
        <v>1.1599999999999999</v>
      </c>
    </row>
    <row r="1066" spans="1:9" x14ac:dyDescent="0.25">
      <c r="A1066" s="9">
        <v>30049</v>
      </c>
      <c r="B1066" s="4">
        <v>319</v>
      </c>
      <c r="C1066" s="4">
        <v>101</v>
      </c>
      <c r="D1066" s="4">
        <v>8</v>
      </c>
      <c r="E1066" s="4">
        <v>101</v>
      </c>
      <c r="F1066" s="4">
        <v>7371</v>
      </c>
      <c r="G1066" s="4">
        <v>55.9</v>
      </c>
      <c r="H1066" s="3">
        <v>3</v>
      </c>
      <c r="I1066" s="3">
        <v>1.44</v>
      </c>
    </row>
    <row r="1067" spans="1:9" x14ac:dyDescent="0.25">
      <c r="A1067" s="9">
        <v>30051</v>
      </c>
      <c r="B1067" s="4">
        <v>5</v>
      </c>
      <c r="C1067" s="4">
        <v>25</v>
      </c>
      <c r="D1067" s="4">
        <v>14</v>
      </c>
      <c r="E1067" s="4">
        <v>25</v>
      </c>
      <c r="F1067" s="4">
        <v>49</v>
      </c>
      <c r="G1067" s="4">
        <v>21.1</v>
      </c>
      <c r="H1067" s="3">
        <v>2.4</v>
      </c>
      <c r="I1067" s="3">
        <v>0.94</v>
      </c>
    </row>
    <row r="1068" spans="1:9" x14ac:dyDescent="0.25">
      <c r="A1068" s="9">
        <v>30053</v>
      </c>
      <c r="B1068" s="4">
        <v>46</v>
      </c>
      <c r="C1068" s="4">
        <v>25</v>
      </c>
      <c r="D1068" s="4">
        <v>14</v>
      </c>
      <c r="E1068" s="4">
        <v>25</v>
      </c>
      <c r="F1068" s="4">
        <v>960</v>
      </c>
      <c r="G1068" s="4">
        <v>6.8</v>
      </c>
      <c r="H1068" s="3">
        <v>2.2000000000000002</v>
      </c>
      <c r="I1068" s="3">
        <v>1.1299999999999999</v>
      </c>
    </row>
    <row r="1069" spans="1:9" x14ac:dyDescent="0.25">
      <c r="A1069" s="9">
        <v>30055</v>
      </c>
      <c r="B1069" s="4">
        <v>2</v>
      </c>
      <c r="C1069" s="4">
        <v>30</v>
      </c>
      <c r="D1069" s="4">
        <v>14</v>
      </c>
      <c r="E1069" s="4">
        <v>25</v>
      </c>
      <c r="F1069" s="4">
        <v>33</v>
      </c>
      <c r="G1069" s="4">
        <v>16.100000000000001</v>
      </c>
      <c r="H1069" s="3">
        <v>2.5</v>
      </c>
      <c r="I1069" s="3">
        <v>0.92</v>
      </c>
    </row>
    <row r="1070" spans="1:9" x14ac:dyDescent="0.25">
      <c r="A1070" s="9">
        <v>30057</v>
      </c>
      <c r="B1070" s="4">
        <v>17</v>
      </c>
      <c r="C1070" s="4">
        <v>20</v>
      </c>
      <c r="D1070" s="4">
        <v>14</v>
      </c>
      <c r="E1070" s="4">
        <v>20</v>
      </c>
      <c r="F1070" s="4">
        <v>213</v>
      </c>
      <c r="G1070" s="4">
        <v>5.6</v>
      </c>
      <c r="H1070" s="3">
        <v>3.3</v>
      </c>
      <c r="I1070" s="3">
        <v>0.92500000000000004</v>
      </c>
    </row>
    <row r="1071" spans="1:9" x14ac:dyDescent="0.25">
      <c r="A1071" s="9">
        <v>30059</v>
      </c>
      <c r="B1071" s="4">
        <v>7</v>
      </c>
      <c r="C1071" s="4">
        <v>25</v>
      </c>
      <c r="D1071" s="4">
        <v>14</v>
      </c>
      <c r="E1071" s="4">
        <v>25</v>
      </c>
      <c r="F1071" s="4">
        <v>66</v>
      </c>
      <c r="G1071" s="4">
        <v>17.3</v>
      </c>
      <c r="H1071" s="3">
        <v>2.2999999999999998</v>
      </c>
      <c r="I1071" s="3">
        <v>0.88</v>
      </c>
    </row>
    <row r="1072" spans="1:9" x14ac:dyDescent="0.25">
      <c r="A1072" s="9">
        <v>30061</v>
      </c>
      <c r="B1072" s="4">
        <v>6</v>
      </c>
      <c r="C1072" s="4">
        <v>24</v>
      </c>
      <c r="D1072" s="4">
        <v>14</v>
      </c>
      <c r="E1072" s="4">
        <v>24</v>
      </c>
      <c r="F1072" s="4">
        <v>144</v>
      </c>
      <c r="G1072" s="4">
        <v>15.7</v>
      </c>
      <c r="H1072" s="3">
        <v>1.6</v>
      </c>
      <c r="I1072" s="3">
        <v>0.9</v>
      </c>
    </row>
    <row r="1073" spans="1:9" x14ac:dyDescent="0.25">
      <c r="A1073" s="9">
        <v>30063</v>
      </c>
      <c r="B1073" s="4">
        <v>628</v>
      </c>
      <c r="C1073" s="4">
        <v>299</v>
      </c>
      <c r="D1073" s="4">
        <v>32</v>
      </c>
      <c r="E1073" s="4">
        <v>299</v>
      </c>
      <c r="F1073" s="4">
        <v>14141</v>
      </c>
      <c r="G1073" s="4">
        <v>161.19999999999999</v>
      </c>
      <c r="H1073" s="3">
        <v>4.45</v>
      </c>
      <c r="I1073" s="3">
        <v>1.9</v>
      </c>
    </row>
    <row r="1074" spans="1:9" x14ac:dyDescent="0.25">
      <c r="A1074" s="9">
        <v>30065</v>
      </c>
      <c r="B1074" s="4">
        <v>15</v>
      </c>
      <c r="C1074" s="4">
        <v>25</v>
      </c>
      <c r="D1074" s="4">
        <v>14</v>
      </c>
      <c r="E1074" s="4">
        <v>25</v>
      </c>
      <c r="F1074" s="4">
        <v>80</v>
      </c>
      <c r="G1074" s="4">
        <v>21.1</v>
      </c>
      <c r="H1074" s="3">
        <v>2.8</v>
      </c>
      <c r="I1074" s="3">
        <v>0.97</v>
      </c>
    </row>
    <row r="1075" spans="1:9" x14ac:dyDescent="0.25">
      <c r="A1075" s="9">
        <v>30067</v>
      </c>
      <c r="B1075" s="4">
        <v>53</v>
      </c>
      <c r="C1075" s="4">
        <v>25</v>
      </c>
      <c r="D1075" s="4">
        <v>4</v>
      </c>
      <c r="E1075" s="4">
        <v>25</v>
      </c>
      <c r="F1075" s="4">
        <v>931</v>
      </c>
      <c r="G1075" s="4">
        <v>10.8</v>
      </c>
      <c r="H1075" s="3">
        <v>3.6</v>
      </c>
      <c r="I1075" s="3">
        <v>1.1200000000000001</v>
      </c>
    </row>
    <row r="1076" spans="1:9" x14ac:dyDescent="0.25">
      <c r="A1076" s="9">
        <v>30071</v>
      </c>
      <c r="B1076" s="4">
        <v>6</v>
      </c>
      <c r="C1076" s="4">
        <v>6</v>
      </c>
      <c r="D1076" s="4">
        <v>14</v>
      </c>
      <c r="E1076" s="4">
        <v>6</v>
      </c>
      <c r="F1076" s="4">
        <v>145</v>
      </c>
      <c r="G1076" s="4">
        <v>1.5</v>
      </c>
      <c r="H1076" s="3">
        <v>2.7</v>
      </c>
      <c r="I1076" s="3">
        <v>0.83</v>
      </c>
    </row>
    <row r="1077" spans="1:9" x14ac:dyDescent="0.25">
      <c r="A1077" s="9">
        <v>30073</v>
      </c>
      <c r="B1077" s="4">
        <v>9</v>
      </c>
      <c r="C1077" s="4">
        <v>20</v>
      </c>
      <c r="D1077" s="4">
        <v>14</v>
      </c>
      <c r="E1077" s="4">
        <v>20</v>
      </c>
      <c r="F1077" s="4">
        <v>63</v>
      </c>
      <c r="G1077" s="4">
        <v>2.7</v>
      </c>
      <c r="H1077" s="3">
        <v>2.7</v>
      </c>
      <c r="I1077" s="3">
        <v>0.96</v>
      </c>
    </row>
    <row r="1078" spans="1:9" x14ac:dyDescent="0.25">
      <c r="A1078" s="9">
        <v>30077</v>
      </c>
      <c r="B1078" s="4">
        <v>13</v>
      </c>
      <c r="C1078" s="4">
        <v>16</v>
      </c>
      <c r="D1078" s="4">
        <v>14</v>
      </c>
      <c r="E1078" s="4">
        <v>16</v>
      </c>
      <c r="F1078" s="4">
        <v>170</v>
      </c>
      <c r="G1078" s="4">
        <v>3.1</v>
      </c>
      <c r="H1078" s="3">
        <v>3</v>
      </c>
      <c r="I1078" s="3">
        <v>0.93</v>
      </c>
    </row>
    <row r="1079" spans="1:9" x14ac:dyDescent="0.25">
      <c r="A1079" s="9">
        <v>30079</v>
      </c>
      <c r="B1079" s="4">
        <v>2</v>
      </c>
      <c r="C1079" s="4">
        <v>22</v>
      </c>
      <c r="D1079" s="4">
        <v>14</v>
      </c>
      <c r="E1079" s="4">
        <v>22</v>
      </c>
      <c r="F1079" s="4">
        <v>14</v>
      </c>
      <c r="G1079" s="4">
        <v>20.8</v>
      </c>
      <c r="H1079" s="3">
        <v>2.2000000000000002</v>
      </c>
      <c r="I1079" s="3">
        <v>0.85</v>
      </c>
    </row>
    <row r="1080" spans="1:9" x14ac:dyDescent="0.25">
      <c r="A1080" s="9">
        <v>30081</v>
      </c>
      <c r="B1080" s="4">
        <v>76</v>
      </c>
      <c r="C1080" s="4">
        <v>25</v>
      </c>
      <c r="D1080" s="4">
        <v>5</v>
      </c>
      <c r="E1080" s="4">
        <v>25</v>
      </c>
      <c r="F1080" s="4">
        <v>1517</v>
      </c>
      <c r="G1080" s="4">
        <v>14.2</v>
      </c>
      <c r="H1080" s="3">
        <v>2.7</v>
      </c>
      <c r="I1080" s="3">
        <v>1.27</v>
      </c>
    </row>
    <row r="1081" spans="1:9" x14ac:dyDescent="0.25">
      <c r="A1081" s="9">
        <v>30083</v>
      </c>
      <c r="B1081" s="4">
        <v>53</v>
      </c>
      <c r="C1081" s="4">
        <v>25</v>
      </c>
      <c r="D1081" s="4">
        <v>14</v>
      </c>
      <c r="E1081" s="4">
        <v>25</v>
      </c>
      <c r="F1081" s="4">
        <v>1301</v>
      </c>
      <c r="G1081" s="4">
        <v>12.7</v>
      </c>
      <c r="H1081" s="3">
        <v>2.7</v>
      </c>
      <c r="I1081" s="3">
        <v>1.1399999999999999</v>
      </c>
    </row>
    <row r="1082" spans="1:9" x14ac:dyDescent="0.25">
      <c r="A1082" s="9">
        <v>30085</v>
      </c>
      <c r="B1082" s="4">
        <v>27</v>
      </c>
      <c r="C1082" s="4">
        <v>75</v>
      </c>
      <c r="D1082" s="4">
        <v>14</v>
      </c>
      <c r="E1082" s="4">
        <v>75</v>
      </c>
      <c r="F1082" s="4">
        <v>469</v>
      </c>
      <c r="G1082" s="4">
        <v>29.7</v>
      </c>
      <c r="H1082" s="3">
        <v>2.5</v>
      </c>
      <c r="I1082" s="3">
        <v>0.94333333333333336</v>
      </c>
    </row>
    <row r="1083" spans="1:9" x14ac:dyDescent="0.25">
      <c r="A1083" s="9">
        <v>30087</v>
      </c>
      <c r="B1083" s="4">
        <v>5</v>
      </c>
      <c r="C1083" s="4">
        <v>25</v>
      </c>
      <c r="D1083" s="4">
        <v>1</v>
      </c>
      <c r="E1083" s="4">
        <v>25</v>
      </c>
      <c r="F1083" s="4">
        <v>105</v>
      </c>
      <c r="G1083" s="4">
        <v>8.6</v>
      </c>
      <c r="H1083" s="3">
        <v>2.7</v>
      </c>
      <c r="I1083" s="3">
        <v>0.94</v>
      </c>
    </row>
    <row r="1084" spans="1:9" x14ac:dyDescent="0.25">
      <c r="A1084" s="9">
        <v>30089</v>
      </c>
      <c r="B1084" s="4">
        <v>20</v>
      </c>
      <c r="C1084" s="4">
        <v>16</v>
      </c>
      <c r="D1084" s="4">
        <v>14</v>
      </c>
      <c r="E1084" s="4">
        <v>16</v>
      </c>
      <c r="F1084" s="4">
        <v>420</v>
      </c>
      <c r="G1084" s="4">
        <v>5</v>
      </c>
      <c r="H1084" s="3">
        <v>2.8</v>
      </c>
      <c r="I1084" s="3">
        <v>1.03</v>
      </c>
    </row>
    <row r="1085" spans="1:9" x14ac:dyDescent="0.25">
      <c r="A1085" s="9">
        <v>30091</v>
      </c>
      <c r="B1085" s="4">
        <v>11</v>
      </c>
      <c r="C1085" s="4">
        <v>19</v>
      </c>
      <c r="D1085" s="4">
        <v>14</v>
      </c>
      <c r="E1085" s="4">
        <v>19</v>
      </c>
      <c r="F1085" s="4">
        <v>118</v>
      </c>
      <c r="G1085" s="4">
        <v>4.3</v>
      </c>
      <c r="H1085" s="3">
        <v>3.1</v>
      </c>
      <c r="I1085" s="3">
        <v>1.01</v>
      </c>
    </row>
    <row r="1086" spans="1:9" x14ac:dyDescent="0.25">
      <c r="A1086" s="9">
        <v>30093</v>
      </c>
      <c r="B1086" s="4">
        <v>140</v>
      </c>
      <c r="C1086" s="4">
        <v>71</v>
      </c>
      <c r="D1086" s="4">
        <v>11</v>
      </c>
      <c r="E1086" s="4">
        <v>71</v>
      </c>
      <c r="F1086" s="4">
        <v>3623</v>
      </c>
      <c r="G1086" s="4">
        <v>39.200000000000003</v>
      </c>
      <c r="H1086" s="3">
        <v>4.0999999999999996</v>
      </c>
      <c r="I1086" s="3">
        <v>1.72</v>
      </c>
    </row>
    <row r="1087" spans="1:9" x14ac:dyDescent="0.25">
      <c r="A1087" s="9">
        <v>30095</v>
      </c>
      <c r="B1087" s="4">
        <v>6</v>
      </c>
      <c r="C1087" s="4">
        <v>10</v>
      </c>
      <c r="D1087" s="4">
        <v>14</v>
      </c>
      <c r="E1087" s="4">
        <v>10</v>
      </c>
      <c r="F1087" s="4">
        <v>107</v>
      </c>
      <c r="G1087" s="4">
        <v>3.6</v>
      </c>
      <c r="H1087" s="3">
        <v>3.9</v>
      </c>
      <c r="I1087" s="3">
        <v>0.94</v>
      </c>
    </row>
    <row r="1088" spans="1:9" x14ac:dyDescent="0.25">
      <c r="A1088" s="9">
        <v>30097</v>
      </c>
      <c r="B1088" s="4">
        <v>6</v>
      </c>
      <c r="C1088" s="4">
        <v>25</v>
      </c>
      <c r="D1088" s="4">
        <v>14</v>
      </c>
      <c r="E1088" s="4">
        <v>25</v>
      </c>
      <c r="F1088" s="4">
        <v>102</v>
      </c>
      <c r="G1088" s="4">
        <v>20.5</v>
      </c>
      <c r="H1088" s="3">
        <v>3.1</v>
      </c>
      <c r="I1088" s="3">
        <v>0.87</v>
      </c>
    </row>
    <row r="1089" spans="1:9" x14ac:dyDescent="0.25">
      <c r="A1089" s="9">
        <v>30099</v>
      </c>
      <c r="B1089" s="4">
        <v>8</v>
      </c>
      <c r="C1089" s="4">
        <v>25</v>
      </c>
      <c r="D1089" s="4">
        <v>14</v>
      </c>
      <c r="E1089" s="4">
        <v>25</v>
      </c>
      <c r="F1089" s="4">
        <v>43</v>
      </c>
      <c r="G1089" s="4">
        <v>22.5</v>
      </c>
      <c r="H1089" s="3">
        <v>2.6</v>
      </c>
      <c r="I1089" s="3">
        <v>0.93</v>
      </c>
    </row>
    <row r="1090" spans="1:9" x14ac:dyDescent="0.25">
      <c r="A1090" s="9">
        <v>30101</v>
      </c>
      <c r="B1090" s="4">
        <v>18</v>
      </c>
      <c r="C1090" s="4">
        <v>21</v>
      </c>
      <c r="D1090" s="4">
        <v>14</v>
      </c>
      <c r="E1090" s="4">
        <v>21</v>
      </c>
      <c r="F1090" s="4">
        <v>246</v>
      </c>
      <c r="G1090" s="4">
        <v>3.3</v>
      </c>
      <c r="H1090" s="3">
        <v>2.1</v>
      </c>
      <c r="I1090" s="3">
        <v>0.87</v>
      </c>
    </row>
    <row r="1091" spans="1:9" x14ac:dyDescent="0.25">
      <c r="A1091" s="9">
        <v>30105</v>
      </c>
      <c r="B1091" s="4">
        <v>28</v>
      </c>
      <c r="C1091" s="4">
        <v>25</v>
      </c>
      <c r="D1091" s="4">
        <v>14</v>
      </c>
      <c r="E1091" s="4">
        <v>25</v>
      </c>
      <c r="F1091" s="4">
        <v>496</v>
      </c>
      <c r="G1091" s="4">
        <v>4.3</v>
      </c>
      <c r="H1091" s="3">
        <v>2.2000000000000002</v>
      </c>
      <c r="I1091" s="3">
        <v>1.29</v>
      </c>
    </row>
    <row r="1092" spans="1:9" x14ac:dyDescent="0.25">
      <c r="A1092" s="9">
        <v>30107</v>
      </c>
      <c r="B1092" s="4">
        <v>7</v>
      </c>
      <c r="C1092" s="4">
        <v>25</v>
      </c>
      <c r="D1092" s="4">
        <v>14</v>
      </c>
      <c r="E1092" s="4">
        <v>25</v>
      </c>
      <c r="F1092" s="4">
        <v>24</v>
      </c>
      <c r="G1092" s="4">
        <v>19.399999999999999</v>
      </c>
      <c r="H1092" s="3">
        <v>1.9</v>
      </c>
      <c r="I1092" s="3">
        <v>0.83</v>
      </c>
    </row>
    <row r="1093" spans="1:9" x14ac:dyDescent="0.25">
      <c r="A1093" s="9">
        <v>30111</v>
      </c>
      <c r="B1093" s="4">
        <v>1093</v>
      </c>
      <c r="C1093" s="4">
        <v>537</v>
      </c>
      <c r="D1093" s="4">
        <v>41</v>
      </c>
      <c r="E1093" s="4">
        <v>537</v>
      </c>
      <c r="F1093" s="4">
        <v>31584</v>
      </c>
      <c r="G1093" s="4">
        <v>341.1</v>
      </c>
      <c r="H1093" s="3">
        <v>4.0500000000000007</v>
      </c>
      <c r="I1093" s="3">
        <v>2.06</v>
      </c>
    </row>
    <row r="1094" spans="1:9" x14ac:dyDescent="0.25">
      <c r="A1094" s="9">
        <v>31001</v>
      </c>
      <c r="B1094" s="4">
        <v>172</v>
      </c>
      <c r="C1094" s="4">
        <v>97</v>
      </c>
      <c r="D1094" s="4">
        <v>10</v>
      </c>
      <c r="E1094" s="4">
        <v>97</v>
      </c>
      <c r="F1094" s="4">
        <v>4211</v>
      </c>
      <c r="G1094" s="4">
        <v>37.4</v>
      </c>
      <c r="H1094" s="3">
        <v>3.9</v>
      </c>
      <c r="I1094" s="3">
        <v>1.47</v>
      </c>
    </row>
    <row r="1095" spans="1:9" x14ac:dyDescent="0.25">
      <c r="A1095" s="9">
        <v>31003</v>
      </c>
      <c r="B1095" s="4">
        <v>9</v>
      </c>
      <c r="C1095" s="4">
        <v>23</v>
      </c>
      <c r="D1095" s="4">
        <v>14</v>
      </c>
      <c r="E1095" s="4">
        <v>23</v>
      </c>
      <c r="F1095" s="4">
        <v>158</v>
      </c>
      <c r="G1095" s="4">
        <v>2.7</v>
      </c>
      <c r="H1095" s="3">
        <v>2.7</v>
      </c>
      <c r="I1095" s="3">
        <v>0.97</v>
      </c>
    </row>
    <row r="1096" spans="1:9" x14ac:dyDescent="0.25">
      <c r="A1096" s="9">
        <v>31011</v>
      </c>
      <c r="B1096" s="4">
        <v>25</v>
      </c>
      <c r="C1096" s="4">
        <v>25</v>
      </c>
      <c r="D1096" s="4">
        <v>14</v>
      </c>
      <c r="E1096" s="4">
        <v>25</v>
      </c>
      <c r="F1096" s="4">
        <v>583</v>
      </c>
      <c r="G1096" s="4">
        <v>8.6999999999999993</v>
      </c>
      <c r="H1096" s="3">
        <v>3.2</v>
      </c>
      <c r="I1096" s="3">
        <v>1.02</v>
      </c>
    </row>
    <row r="1097" spans="1:9" x14ac:dyDescent="0.25">
      <c r="A1097" s="9">
        <v>31013</v>
      </c>
      <c r="B1097" s="4">
        <v>36</v>
      </c>
      <c r="C1097" s="4">
        <v>25</v>
      </c>
      <c r="D1097" s="4">
        <v>14</v>
      </c>
      <c r="E1097" s="4">
        <v>25</v>
      </c>
      <c r="F1097" s="4">
        <v>628</v>
      </c>
      <c r="G1097" s="4">
        <v>8.3000000000000007</v>
      </c>
      <c r="H1097" s="3">
        <v>2.6</v>
      </c>
      <c r="I1097" s="3">
        <v>1.27</v>
      </c>
    </row>
    <row r="1098" spans="1:9" x14ac:dyDescent="0.25">
      <c r="A1098" s="9">
        <v>31015</v>
      </c>
      <c r="B1098" s="4">
        <v>5</v>
      </c>
      <c r="C1098" s="4">
        <v>15</v>
      </c>
      <c r="D1098" s="4">
        <v>14</v>
      </c>
      <c r="E1098" s="4">
        <v>15</v>
      </c>
      <c r="F1098" s="4">
        <v>19</v>
      </c>
      <c r="G1098" s="4">
        <v>0.8</v>
      </c>
      <c r="H1098" s="3">
        <v>3.4</v>
      </c>
      <c r="I1098" s="3">
        <v>0.8</v>
      </c>
    </row>
    <row r="1099" spans="1:9" x14ac:dyDescent="0.25">
      <c r="A1099" s="9">
        <v>31017</v>
      </c>
      <c r="B1099" s="4">
        <v>8</v>
      </c>
      <c r="C1099" s="4">
        <v>23</v>
      </c>
      <c r="D1099" s="4">
        <v>14</v>
      </c>
      <c r="E1099" s="4">
        <v>23</v>
      </c>
      <c r="F1099" s="4">
        <v>34</v>
      </c>
      <c r="G1099" s="4">
        <v>3.1</v>
      </c>
      <c r="H1099" s="3">
        <v>2.8</v>
      </c>
      <c r="I1099" s="3">
        <v>0.95</v>
      </c>
    </row>
    <row r="1100" spans="1:9" x14ac:dyDescent="0.25">
      <c r="A1100" s="9">
        <v>31019</v>
      </c>
      <c r="B1100" s="4">
        <v>252</v>
      </c>
      <c r="C1100" s="4">
        <v>321</v>
      </c>
      <c r="D1100" s="4">
        <v>34</v>
      </c>
      <c r="E1100" s="4">
        <v>362</v>
      </c>
      <c r="F1100" s="4">
        <v>9699</v>
      </c>
      <c r="G1100" s="4">
        <v>125.1</v>
      </c>
      <c r="H1100" s="3">
        <v>4.6500000000000004</v>
      </c>
      <c r="I1100" s="3">
        <v>1.97</v>
      </c>
    </row>
    <row r="1101" spans="1:9" x14ac:dyDescent="0.25">
      <c r="A1101" s="9">
        <v>31021</v>
      </c>
      <c r="B1101" s="4">
        <v>9</v>
      </c>
      <c r="C1101" s="4">
        <v>16</v>
      </c>
      <c r="D1101" s="4">
        <v>14</v>
      </c>
      <c r="E1101" s="4">
        <v>16</v>
      </c>
      <c r="F1101" s="4">
        <v>60</v>
      </c>
      <c r="G1101" s="4">
        <v>0.8</v>
      </c>
      <c r="H1101" s="3">
        <v>4.7</v>
      </c>
      <c r="I1101" s="3">
        <v>0.91</v>
      </c>
    </row>
    <row r="1102" spans="1:9" x14ac:dyDescent="0.25">
      <c r="A1102" s="9">
        <v>31023</v>
      </c>
      <c r="B1102" s="4">
        <v>9</v>
      </c>
      <c r="C1102" s="4">
        <v>20</v>
      </c>
      <c r="D1102" s="4">
        <v>14</v>
      </c>
      <c r="E1102" s="4">
        <v>20</v>
      </c>
      <c r="F1102" s="4">
        <v>277</v>
      </c>
      <c r="G1102" s="4">
        <v>4.0999999999999996</v>
      </c>
      <c r="H1102" s="3">
        <v>2.8</v>
      </c>
      <c r="I1102" s="3">
        <v>1.21</v>
      </c>
    </row>
    <row r="1103" spans="1:9" x14ac:dyDescent="0.25">
      <c r="A1103" s="9">
        <v>31029</v>
      </c>
      <c r="B1103" s="4">
        <v>11</v>
      </c>
      <c r="C1103" s="4">
        <v>20</v>
      </c>
      <c r="D1103" s="4">
        <v>14</v>
      </c>
      <c r="E1103" s="4">
        <v>20</v>
      </c>
      <c r="F1103" s="4">
        <v>86</v>
      </c>
      <c r="G1103" s="4">
        <v>1.5</v>
      </c>
      <c r="H1103" s="3">
        <v>2.1</v>
      </c>
      <c r="I1103" s="3">
        <v>1.1599999999999999</v>
      </c>
    </row>
    <row r="1104" spans="1:9" x14ac:dyDescent="0.25">
      <c r="A1104" s="9">
        <v>31031</v>
      </c>
      <c r="B1104" s="4">
        <v>20</v>
      </c>
      <c r="C1104" s="4">
        <v>25</v>
      </c>
      <c r="D1104" s="4">
        <v>14</v>
      </c>
      <c r="E1104" s="4">
        <v>25</v>
      </c>
      <c r="F1104" s="4">
        <v>387</v>
      </c>
      <c r="G1104" s="4">
        <v>4.3</v>
      </c>
      <c r="H1104" s="3">
        <v>2.9</v>
      </c>
      <c r="I1104" s="3">
        <v>1.1000000000000001</v>
      </c>
    </row>
    <row r="1105" spans="1:9" x14ac:dyDescent="0.25">
      <c r="A1105" s="9">
        <v>31033</v>
      </c>
      <c r="B1105" s="4">
        <v>43</v>
      </c>
      <c r="C1105" s="4">
        <v>19</v>
      </c>
      <c r="D1105" s="4">
        <v>4</v>
      </c>
      <c r="E1105" s="4">
        <v>19</v>
      </c>
      <c r="F1105" s="4">
        <v>534</v>
      </c>
      <c r="G1105" s="4">
        <v>5.4</v>
      </c>
      <c r="H1105" s="3">
        <v>1.8</v>
      </c>
      <c r="I1105" s="3">
        <v>1.68</v>
      </c>
    </row>
    <row r="1106" spans="1:9" x14ac:dyDescent="0.25">
      <c r="A1106" s="9">
        <v>31037</v>
      </c>
      <c r="B1106" s="4">
        <v>8</v>
      </c>
      <c r="C1106" s="4">
        <v>25</v>
      </c>
      <c r="D1106" s="4">
        <v>14</v>
      </c>
      <c r="E1106" s="4">
        <v>25</v>
      </c>
      <c r="F1106" s="4">
        <v>140</v>
      </c>
      <c r="G1106" s="4">
        <v>1</v>
      </c>
      <c r="H1106" s="3">
        <v>1.5</v>
      </c>
      <c r="I1106" s="3">
        <v>1.1499999999999999</v>
      </c>
    </row>
    <row r="1107" spans="1:9" x14ac:dyDescent="0.25">
      <c r="A1107" s="9">
        <v>31039</v>
      </c>
      <c r="B1107" s="4">
        <v>17</v>
      </c>
      <c r="C1107" s="4">
        <v>25</v>
      </c>
      <c r="D1107" s="4">
        <v>14</v>
      </c>
      <c r="E1107" s="4">
        <v>25</v>
      </c>
      <c r="F1107" s="4">
        <v>350</v>
      </c>
      <c r="G1107" s="4">
        <v>5.0999999999999996</v>
      </c>
      <c r="H1107" s="3">
        <v>3.6</v>
      </c>
      <c r="I1107" s="3">
        <v>1.06</v>
      </c>
    </row>
    <row r="1108" spans="1:9" x14ac:dyDescent="0.25">
      <c r="A1108" s="9">
        <v>31041</v>
      </c>
      <c r="B1108" s="4">
        <v>24</v>
      </c>
      <c r="C1108" s="4">
        <v>35</v>
      </c>
      <c r="D1108" s="4">
        <v>14</v>
      </c>
      <c r="E1108" s="4">
        <v>35</v>
      </c>
      <c r="F1108" s="4">
        <v>399</v>
      </c>
      <c r="G1108" s="4">
        <v>3.6999999999999997</v>
      </c>
      <c r="H1108" s="3">
        <v>2.75</v>
      </c>
      <c r="I1108" s="3">
        <v>0.89</v>
      </c>
    </row>
    <row r="1109" spans="1:9" x14ac:dyDescent="0.25">
      <c r="A1109" s="9">
        <v>31045</v>
      </c>
      <c r="B1109" s="4">
        <v>23</v>
      </c>
      <c r="C1109" s="4">
        <v>25</v>
      </c>
      <c r="D1109" s="4">
        <v>14</v>
      </c>
      <c r="E1109" s="4">
        <v>25</v>
      </c>
      <c r="F1109" s="4">
        <v>383</v>
      </c>
      <c r="G1109" s="4">
        <v>4.5</v>
      </c>
      <c r="H1109" s="3">
        <v>4.4000000000000004</v>
      </c>
      <c r="I1109" s="3">
        <v>0.98</v>
      </c>
    </row>
    <row r="1110" spans="1:9" x14ac:dyDescent="0.25">
      <c r="A1110" s="9">
        <v>31047</v>
      </c>
      <c r="B1110" s="4">
        <v>59</v>
      </c>
      <c r="C1110" s="4">
        <v>57</v>
      </c>
      <c r="D1110" s="4">
        <v>14</v>
      </c>
      <c r="E1110" s="4">
        <v>57</v>
      </c>
      <c r="F1110" s="4">
        <v>828</v>
      </c>
      <c r="G1110" s="4">
        <v>12.399999999999999</v>
      </c>
      <c r="H1110" s="3">
        <v>2.9000000000000004</v>
      </c>
      <c r="I1110" s="3">
        <v>1.0466666666666669</v>
      </c>
    </row>
    <row r="1111" spans="1:9" x14ac:dyDescent="0.25">
      <c r="A1111" s="9">
        <v>31053</v>
      </c>
      <c r="B1111" s="4">
        <v>111</v>
      </c>
      <c r="C1111" s="4">
        <v>50</v>
      </c>
      <c r="D1111" s="4">
        <v>14</v>
      </c>
      <c r="E1111" s="4">
        <v>50</v>
      </c>
      <c r="F1111" s="4">
        <v>2234</v>
      </c>
      <c r="G1111" s="4">
        <v>20.3</v>
      </c>
      <c r="H1111" s="3">
        <v>3.6</v>
      </c>
      <c r="I1111" s="3">
        <v>1.39</v>
      </c>
    </row>
    <row r="1112" spans="1:9" x14ac:dyDescent="0.25">
      <c r="A1112" s="9">
        <v>31055</v>
      </c>
      <c r="B1112" s="4">
        <v>3462</v>
      </c>
      <c r="C1112" s="4">
        <v>1671</v>
      </c>
      <c r="D1112" s="4">
        <v>174</v>
      </c>
      <c r="E1112" s="4">
        <v>1824</v>
      </c>
      <c r="F1112" s="4">
        <v>97670</v>
      </c>
      <c r="G1112" s="4">
        <v>1250.7</v>
      </c>
      <c r="H1112" s="3">
        <v>3.8444444444444446</v>
      </c>
      <c r="I1112" s="3">
        <v>2.4275000000000002</v>
      </c>
    </row>
    <row r="1113" spans="1:9" x14ac:dyDescent="0.25">
      <c r="A1113" s="9">
        <v>31057</v>
      </c>
      <c r="B1113" s="4">
        <v>6</v>
      </c>
      <c r="C1113" s="4">
        <v>14</v>
      </c>
      <c r="D1113" s="4">
        <v>14</v>
      </c>
      <c r="E1113" s="4">
        <v>14</v>
      </c>
      <c r="F1113" s="4">
        <v>99</v>
      </c>
      <c r="G1113" s="4">
        <v>1.7</v>
      </c>
      <c r="H1113" s="3">
        <v>3</v>
      </c>
      <c r="I1113" s="3">
        <v>0.97</v>
      </c>
    </row>
    <row r="1114" spans="1:9" x14ac:dyDescent="0.25">
      <c r="A1114" s="9">
        <v>31059</v>
      </c>
      <c r="B1114" s="4">
        <v>22</v>
      </c>
      <c r="C1114" s="4">
        <v>20</v>
      </c>
      <c r="D1114" s="4">
        <v>14</v>
      </c>
      <c r="E1114" s="4">
        <v>20</v>
      </c>
      <c r="F1114" s="4">
        <v>331</v>
      </c>
      <c r="G1114" s="4">
        <v>4.2</v>
      </c>
      <c r="H1114" s="3">
        <v>2.5</v>
      </c>
      <c r="I1114" s="3">
        <v>1.23</v>
      </c>
    </row>
    <row r="1115" spans="1:9" x14ac:dyDescent="0.25">
      <c r="A1115" s="9">
        <v>31061</v>
      </c>
      <c r="B1115" s="4">
        <v>7</v>
      </c>
      <c r="C1115" s="4">
        <v>14</v>
      </c>
      <c r="D1115" s="4">
        <v>14</v>
      </c>
      <c r="E1115" s="4">
        <v>14</v>
      </c>
      <c r="F1115" s="4">
        <v>22</v>
      </c>
      <c r="G1115" s="4">
        <v>0.6</v>
      </c>
      <c r="H1115" s="3">
        <v>2.4</v>
      </c>
      <c r="I1115" s="3">
        <v>0.88</v>
      </c>
    </row>
    <row r="1116" spans="1:9" x14ac:dyDescent="0.25">
      <c r="A1116" s="9">
        <v>31065</v>
      </c>
      <c r="B1116" s="4">
        <v>19</v>
      </c>
      <c r="C1116" s="4">
        <v>20</v>
      </c>
      <c r="D1116" s="4">
        <v>14</v>
      </c>
      <c r="E1116" s="4">
        <v>20</v>
      </c>
      <c r="F1116" s="4">
        <v>536</v>
      </c>
      <c r="G1116" s="4">
        <v>5.3</v>
      </c>
      <c r="H1116" s="3">
        <v>1</v>
      </c>
      <c r="I1116" s="3">
        <v>0.96</v>
      </c>
    </row>
    <row r="1117" spans="1:9" x14ac:dyDescent="0.25">
      <c r="A1117" s="9">
        <v>31067</v>
      </c>
      <c r="B1117" s="4">
        <v>69</v>
      </c>
      <c r="C1117" s="4">
        <v>25</v>
      </c>
      <c r="D1117" s="4">
        <v>3</v>
      </c>
      <c r="E1117" s="4">
        <v>25</v>
      </c>
      <c r="F1117" s="4">
        <v>965</v>
      </c>
      <c r="G1117" s="4">
        <v>18</v>
      </c>
      <c r="H1117" s="3">
        <v>35</v>
      </c>
      <c r="I1117" s="3">
        <v>1.26</v>
      </c>
    </row>
    <row r="1118" spans="1:9" x14ac:dyDescent="0.25">
      <c r="A1118" s="9">
        <v>31069</v>
      </c>
      <c r="B1118" s="4">
        <v>2</v>
      </c>
      <c r="C1118" s="4">
        <v>10</v>
      </c>
      <c r="D1118" s="4">
        <v>14</v>
      </c>
      <c r="E1118" s="4">
        <v>10</v>
      </c>
      <c r="F1118" s="4">
        <v>71</v>
      </c>
      <c r="G1118" s="4">
        <v>0.7</v>
      </c>
      <c r="H1118" s="3">
        <v>1.9</v>
      </c>
      <c r="I1118" s="3">
        <v>0.88</v>
      </c>
    </row>
    <row r="1119" spans="1:9" x14ac:dyDescent="0.25">
      <c r="A1119" s="9">
        <v>31079</v>
      </c>
      <c r="B1119" s="4">
        <v>150</v>
      </c>
      <c r="C1119" s="4">
        <v>140</v>
      </c>
      <c r="D1119" s="4">
        <v>16</v>
      </c>
      <c r="E1119" s="4">
        <v>140</v>
      </c>
      <c r="F1119" s="4">
        <v>6107</v>
      </c>
      <c r="G1119" s="4">
        <v>56.9</v>
      </c>
      <c r="H1119" s="3">
        <v>3.6</v>
      </c>
      <c r="I1119" s="3">
        <v>1.68</v>
      </c>
    </row>
    <row r="1120" spans="1:9" x14ac:dyDescent="0.25">
      <c r="A1120" s="9">
        <v>31081</v>
      </c>
      <c r="B1120" s="4">
        <v>24</v>
      </c>
      <c r="C1120" s="4">
        <v>14</v>
      </c>
      <c r="D1120" s="4">
        <v>14</v>
      </c>
      <c r="E1120" s="4">
        <v>14</v>
      </c>
      <c r="F1120" s="4">
        <v>246</v>
      </c>
      <c r="G1120" s="4">
        <v>3.8</v>
      </c>
      <c r="H1120" s="3">
        <v>3</v>
      </c>
      <c r="I1120" s="3">
        <v>1.19</v>
      </c>
    </row>
    <row r="1121" spans="1:9" x14ac:dyDescent="0.25">
      <c r="A1121" s="9">
        <v>31083</v>
      </c>
      <c r="B1121" s="4">
        <v>9</v>
      </c>
      <c r="C1121" s="4">
        <v>19</v>
      </c>
      <c r="D1121" s="4">
        <v>14</v>
      </c>
      <c r="E1121" s="4">
        <v>19</v>
      </c>
      <c r="F1121" s="4">
        <v>52</v>
      </c>
      <c r="G1121" s="4">
        <v>2.1</v>
      </c>
      <c r="H1121" s="3">
        <v>2.5</v>
      </c>
      <c r="I1121" s="3">
        <v>0.97</v>
      </c>
    </row>
    <row r="1122" spans="1:9" x14ac:dyDescent="0.25">
      <c r="A1122" s="9">
        <v>31089</v>
      </c>
      <c r="B1122" s="4">
        <v>54</v>
      </c>
      <c r="C1122" s="4">
        <v>42</v>
      </c>
      <c r="D1122" s="4">
        <v>14</v>
      </c>
      <c r="E1122" s="4">
        <v>42</v>
      </c>
      <c r="F1122" s="4">
        <v>891</v>
      </c>
      <c r="G1122" s="4">
        <v>11.600000000000001</v>
      </c>
      <c r="H1122" s="3">
        <v>3.55</v>
      </c>
      <c r="I1122" s="3">
        <v>1.02</v>
      </c>
    </row>
    <row r="1123" spans="1:9" x14ac:dyDescent="0.25">
      <c r="A1123" s="9">
        <v>31093</v>
      </c>
      <c r="B1123" s="4">
        <v>15</v>
      </c>
      <c r="C1123" s="4">
        <v>16</v>
      </c>
      <c r="D1123" s="4">
        <v>14</v>
      </c>
      <c r="E1123" s="4">
        <v>16</v>
      </c>
      <c r="F1123" s="4">
        <v>191</v>
      </c>
      <c r="G1123" s="4">
        <v>2.4</v>
      </c>
      <c r="H1123" s="3">
        <v>2.6</v>
      </c>
      <c r="I1123" s="3">
        <v>0.87</v>
      </c>
    </row>
    <row r="1124" spans="1:9" x14ac:dyDescent="0.25">
      <c r="A1124" s="9">
        <v>31095</v>
      </c>
      <c r="B1124" s="4">
        <v>11</v>
      </c>
      <c r="C1124" s="4">
        <v>17</v>
      </c>
      <c r="D1124" s="4">
        <v>14</v>
      </c>
      <c r="E1124" s="4">
        <v>17</v>
      </c>
      <c r="F1124" s="4">
        <v>144</v>
      </c>
      <c r="G1124" s="4">
        <v>2.4</v>
      </c>
      <c r="H1124" s="3">
        <v>2.6</v>
      </c>
      <c r="I1124" s="3">
        <v>1.07</v>
      </c>
    </row>
    <row r="1125" spans="1:9" x14ac:dyDescent="0.25">
      <c r="A1125" s="9">
        <v>31097</v>
      </c>
      <c r="B1125" s="4">
        <v>11</v>
      </c>
      <c r="C1125" s="4">
        <v>18</v>
      </c>
      <c r="D1125" s="4">
        <v>14</v>
      </c>
      <c r="E1125" s="4">
        <v>18</v>
      </c>
      <c r="F1125" s="4">
        <v>180</v>
      </c>
      <c r="G1125" s="4">
        <v>3.5</v>
      </c>
      <c r="H1125" s="3">
        <v>2.8</v>
      </c>
      <c r="I1125" s="3">
        <v>1.05</v>
      </c>
    </row>
    <row r="1126" spans="1:9" x14ac:dyDescent="0.25">
      <c r="A1126" s="9">
        <v>31099</v>
      </c>
      <c r="B1126" s="4">
        <v>9</v>
      </c>
      <c r="C1126" s="4">
        <v>10</v>
      </c>
      <c r="D1126" s="4">
        <v>14</v>
      </c>
      <c r="E1126" s="4">
        <v>10</v>
      </c>
      <c r="F1126" s="4">
        <v>81</v>
      </c>
      <c r="G1126" s="4">
        <v>2</v>
      </c>
      <c r="H1126" s="3">
        <v>2.2999999999999998</v>
      </c>
      <c r="I1126" s="3">
        <v>0.92</v>
      </c>
    </row>
    <row r="1127" spans="1:9" x14ac:dyDescent="0.25">
      <c r="A1127" s="9">
        <v>31101</v>
      </c>
      <c r="B1127" s="4">
        <v>22</v>
      </c>
      <c r="C1127" s="4">
        <v>18</v>
      </c>
      <c r="D1127" s="4">
        <v>14</v>
      </c>
      <c r="E1127" s="4">
        <v>18</v>
      </c>
      <c r="F1127" s="4">
        <v>237</v>
      </c>
      <c r="G1127" s="4">
        <v>2.2000000000000002</v>
      </c>
      <c r="H1127" s="3">
        <v>2.5</v>
      </c>
      <c r="I1127" s="3">
        <v>1.1100000000000001</v>
      </c>
    </row>
    <row r="1128" spans="1:9" x14ac:dyDescent="0.25">
      <c r="A1128" s="9">
        <v>31105</v>
      </c>
      <c r="B1128" s="4">
        <v>9</v>
      </c>
      <c r="C1128" s="4">
        <v>15</v>
      </c>
      <c r="D1128" s="4">
        <v>14</v>
      </c>
      <c r="E1128" s="4">
        <v>15</v>
      </c>
      <c r="F1128" s="4">
        <v>136</v>
      </c>
      <c r="G1128" s="4">
        <v>3.4</v>
      </c>
      <c r="H1128" s="3">
        <v>3.5</v>
      </c>
      <c r="I1128" s="3">
        <v>0.92</v>
      </c>
    </row>
    <row r="1129" spans="1:9" x14ac:dyDescent="0.25">
      <c r="A1129" s="9">
        <v>31107</v>
      </c>
      <c r="B1129" s="4">
        <v>10</v>
      </c>
      <c r="C1129" s="4">
        <v>23</v>
      </c>
      <c r="D1129" s="4">
        <v>14</v>
      </c>
      <c r="E1129" s="4">
        <v>23</v>
      </c>
      <c r="F1129" s="4">
        <v>82</v>
      </c>
      <c r="G1129" s="4">
        <v>2.7</v>
      </c>
      <c r="H1129" s="3">
        <v>3.1</v>
      </c>
      <c r="I1129" s="3">
        <v>1.03</v>
      </c>
    </row>
    <row r="1130" spans="1:9" x14ac:dyDescent="0.25">
      <c r="A1130" s="9">
        <v>31109</v>
      </c>
      <c r="B1130" s="4">
        <v>1122</v>
      </c>
      <c r="C1130" s="4">
        <v>815</v>
      </c>
      <c r="D1130" s="4">
        <v>52</v>
      </c>
      <c r="E1130" s="4">
        <v>950</v>
      </c>
      <c r="F1130" s="4">
        <v>35703</v>
      </c>
      <c r="G1130" s="4">
        <v>422.3</v>
      </c>
      <c r="H1130" s="3">
        <v>3.2250000000000001</v>
      </c>
      <c r="I1130" s="3">
        <v>2.3275000000000001</v>
      </c>
    </row>
    <row r="1131" spans="1:9" x14ac:dyDescent="0.25">
      <c r="A1131" s="9">
        <v>31111</v>
      </c>
      <c r="B1131" s="4">
        <v>177</v>
      </c>
      <c r="C1131" s="4">
        <v>97</v>
      </c>
      <c r="D1131" s="4">
        <v>19</v>
      </c>
      <c r="E1131" s="4">
        <v>97</v>
      </c>
      <c r="F1131" s="4">
        <v>5195</v>
      </c>
      <c r="G1131" s="4">
        <v>48.7</v>
      </c>
      <c r="H1131" s="3">
        <v>3.7</v>
      </c>
      <c r="I1131" s="3">
        <v>1.62</v>
      </c>
    </row>
    <row r="1132" spans="1:9" x14ac:dyDescent="0.25">
      <c r="A1132" s="9">
        <v>31119</v>
      </c>
      <c r="B1132" s="4">
        <v>226</v>
      </c>
      <c r="C1132" s="4">
        <v>122</v>
      </c>
      <c r="D1132" s="4">
        <v>24</v>
      </c>
      <c r="E1132" s="4">
        <v>131</v>
      </c>
      <c r="F1132" s="4">
        <v>5009</v>
      </c>
      <c r="G1132" s="4">
        <v>48.2</v>
      </c>
      <c r="H1132" s="3">
        <v>3.1999999999999997</v>
      </c>
      <c r="I1132" s="3">
        <v>1.88</v>
      </c>
    </row>
    <row r="1133" spans="1:9" x14ac:dyDescent="0.25">
      <c r="A1133" s="9">
        <v>31121</v>
      </c>
      <c r="B1133" s="4">
        <v>12</v>
      </c>
      <c r="C1133" s="4">
        <v>20</v>
      </c>
      <c r="D1133" s="4">
        <v>14</v>
      </c>
      <c r="E1133" s="4">
        <v>20</v>
      </c>
      <c r="F1133" s="4">
        <v>189</v>
      </c>
      <c r="G1133" s="4">
        <v>3.3</v>
      </c>
      <c r="H1133" s="3">
        <v>2.8</v>
      </c>
      <c r="I1133" s="3">
        <v>1.02</v>
      </c>
    </row>
    <row r="1134" spans="1:9" x14ac:dyDescent="0.25">
      <c r="A1134" s="9">
        <v>31123</v>
      </c>
      <c r="B1134" s="4">
        <v>14</v>
      </c>
      <c r="C1134" s="4">
        <v>20</v>
      </c>
      <c r="D1134" s="4">
        <v>14</v>
      </c>
      <c r="E1134" s="4">
        <v>20</v>
      </c>
      <c r="F1134" s="4">
        <v>136</v>
      </c>
      <c r="G1134" s="4">
        <v>2</v>
      </c>
      <c r="H1134" s="3">
        <v>3.9</v>
      </c>
      <c r="I1134" s="3">
        <v>0.92</v>
      </c>
    </row>
    <row r="1135" spans="1:9" x14ac:dyDescent="0.25">
      <c r="A1135" s="9">
        <v>31125</v>
      </c>
      <c r="B1135" s="4">
        <v>4</v>
      </c>
      <c r="C1135" s="4">
        <v>19</v>
      </c>
      <c r="D1135" s="4">
        <v>14</v>
      </c>
      <c r="E1135" s="4">
        <v>19</v>
      </c>
      <c r="F1135" s="4">
        <v>65</v>
      </c>
      <c r="G1135" s="4">
        <v>1.6</v>
      </c>
      <c r="H1135" s="3">
        <v>3</v>
      </c>
      <c r="I1135" s="3">
        <v>0.83</v>
      </c>
    </row>
    <row r="1136" spans="1:9" x14ac:dyDescent="0.25">
      <c r="A1136" s="9">
        <v>31127</v>
      </c>
      <c r="B1136" s="4">
        <v>15</v>
      </c>
      <c r="C1136" s="4">
        <v>16</v>
      </c>
      <c r="D1136" s="4">
        <v>14</v>
      </c>
      <c r="E1136" s="4">
        <v>16</v>
      </c>
      <c r="F1136" s="4">
        <v>110</v>
      </c>
      <c r="G1136" s="4">
        <v>2.1</v>
      </c>
      <c r="H1136" s="3">
        <v>3.1</v>
      </c>
      <c r="I1136" s="3">
        <v>0.86</v>
      </c>
    </row>
    <row r="1137" spans="1:9" x14ac:dyDescent="0.25">
      <c r="A1137" s="9">
        <v>31129</v>
      </c>
      <c r="B1137" s="4">
        <v>14</v>
      </c>
      <c r="C1137" s="4">
        <v>25</v>
      </c>
      <c r="D1137" s="4">
        <v>14</v>
      </c>
      <c r="E1137" s="4">
        <v>25</v>
      </c>
      <c r="F1137" s="4">
        <v>394</v>
      </c>
      <c r="G1137" s="4">
        <v>4.5999999999999996</v>
      </c>
      <c r="H1137" s="3">
        <v>2.9</v>
      </c>
      <c r="I1137" s="3">
        <v>1.05</v>
      </c>
    </row>
    <row r="1138" spans="1:9" x14ac:dyDescent="0.25">
      <c r="A1138" s="9">
        <v>31131</v>
      </c>
      <c r="B1138" s="4">
        <v>46</v>
      </c>
      <c r="C1138" s="4">
        <v>28</v>
      </c>
      <c r="D1138" s="4">
        <v>14</v>
      </c>
      <c r="E1138" s="4">
        <v>28</v>
      </c>
      <c r="F1138" s="4">
        <v>499</v>
      </c>
      <c r="G1138" s="4">
        <v>4</v>
      </c>
      <c r="H1138" s="3">
        <v>2</v>
      </c>
      <c r="I1138" s="3">
        <v>1.1299999999999999</v>
      </c>
    </row>
    <row r="1139" spans="1:9" x14ac:dyDescent="0.25">
      <c r="A1139" s="9">
        <v>31133</v>
      </c>
      <c r="B1139" s="4">
        <v>6</v>
      </c>
      <c r="C1139" s="4">
        <v>17</v>
      </c>
      <c r="D1139" s="4">
        <v>14</v>
      </c>
      <c r="E1139" s="4">
        <v>17</v>
      </c>
      <c r="F1139" s="4">
        <v>82</v>
      </c>
      <c r="G1139" s="4">
        <v>2</v>
      </c>
      <c r="H1139" s="3">
        <v>1.9</v>
      </c>
      <c r="I1139" s="3">
        <v>0.88</v>
      </c>
    </row>
    <row r="1140" spans="1:9" x14ac:dyDescent="0.25">
      <c r="A1140" s="9">
        <v>31135</v>
      </c>
      <c r="B1140" s="4">
        <v>18</v>
      </c>
      <c r="C1140" s="4">
        <v>20</v>
      </c>
      <c r="D1140" s="4">
        <v>14</v>
      </c>
      <c r="E1140" s="4">
        <v>20</v>
      </c>
      <c r="F1140" s="4">
        <v>291</v>
      </c>
      <c r="G1140" s="4">
        <v>4.7</v>
      </c>
      <c r="H1140" s="3">
        <v>2.7</v>
      </c>
      <c r="I1140" s="3">
        <v>0.99</v>
      </c>
    </row>
    <row r="1141" spans="1:9" x14ac:dyDescent="0.25">
      <c r="A1141" s="9">
        <v>31137</v>
      </c>
      <c r="B1141" s="4">
        <v>36</v>
      </c>
      <c r="C1141" s="4">
        <v>25</v>
      </c>
      <c r="D1141" s="4">
        <v>14</v>
      </c>
      <c r="E1141" s="4">
        <v>25</v>
      </c>
      <c r="F1141" s="4">
        <v>866</v>
      </c>
      <c r="G1141" s="4">
        <v>9.6</v>
      </c>
      <c r="H1141" s="3">
        <v>4.0999999999999996</v>
      </c>
      <c r="I1141" s="3">
        <v>1.48</v>
      </c>
    </row>
    <row r="1142" spans="1:9" x14ac:dyDescent="0.25">
      <c r="A1142" s="9">
        <v>31139</v>
      </c>
      <c r="B1142" s="4">
        <v>17</v>
      </c>
      <c r="C1142" s="4">
        <v>35</v>
      </c>
      <c r="D1142" s="4">
        <v>14</v>
      </c>
      <c r="E1142" s="4">
        <v>35</v>
      </c>
      <c r="F1142" s="4">
        <v>257</v>
      </c>
      <c r="G1142" s="4">
        <v>6.8999999999999995</v>
      </c>
      <c r="H1142" s="3">
        <v>2.5</v>
      </c>
      <c r="I1142" s="3">
        <v>1.04</v>
      </c>
    </row>
    <row r="1143" spans="1:9" x14ac:dyDescent="0.25">
      <c r="A1143" s="9">
        <v>31141</v>
      </c>
      <c r="B1143" s="4">
        <v>103</v>
      </c>
      <c r="C1143" s="4">
        <v>47</v>
      </c>
      <c r="D1143" s="4">
        <v>5</v>
      </c>
      <c r="E1143" s="4">
        <v>47</v>
      </c>
      <c r="F1143" s="4">
        <v>1793</v>
      </c>
      <c r="G1143" s="4">
        <v>16.3</v>
      </c>
      <c r="H1143" s="3">
        <v>4</v>
      </c>
      <c r="I1143" s="3">
        <v>1.49</v>
      </c>
    </row>
    <row r="1144" spans="1:9" x14ac:dyDescent="0.25">
      <c r="A1144" s="9">
        <v>31143</v>
      </c>
      <c r="B1144" s="4">
        <v>6</v>
      </c>
      <c r="C1144" s="4">
        <v>16</v>
      </c>
      <c r="D1144" s="4">
        <v>14</v>
      </c>
      <c r="E1144" s="4">
        <v>16</v>
      </c>
      <c r="F1144" s="4">
        <v>108</v>
      </c>
      <c r="G1144" s="4">
        <v>1.1000000000000001</v>
      </c>
      <c r="H1144" s="3">
        <v>2.2999999999999998</v>
      </c>
      <c r="I1144" s="3">
        <v>0.91</v>
      </c>
    </row>
    <row r="1145" spans="1:9" x14ac:dyDescent="0.25">
      <c r="A1145" s="9">
        <v>31145</v>
      </c>
      <c r="B1145" s="4">
        <v>39</v>
      </c>
      <c r="C1145" s="4">
        <v>25</v>
      </c>
      <c r="D1145" s="4">
        <v>14</v>
      </c>
      <c r="E1145" s="4">
        <v>25</v>
      </c>
      <c r="F1145" s="4">
        <v>840</v>
      </c>
      <c r="G1145" s="4">
        <v>9.4</v>
      </c>
      <c r="H1145" s="3">
        <v>3.3</v>
      </c>
      <c r="I1145" s="3">
        <v>1.1200000000000001</v>
      </c>
    </row>
    <row r="1146" spans="1:9" x14ac:dyDescent="0.25">
      <c r="A1146" s="9">
        <v>31147</v>
      </c>
      <c r="B1146" s="4">
        <v>24</v>
      </c>
      <c r="C1146" s="4">
        <v>24</v>
      </c>
      <c r="D1146" s="4">
        <v>14</v>
      </c>
      <c r="E1146" s="4">
        <v>24</v>
      </c>
      <c r="F1146" s="4">
        <v>580</v>
      </c>
      <c r="G1146" s="4">
        <v>6.9</v>
      </c>
      <c r="H1146" s="3">
        <v>3.1</v>
      </c>
      <c r="I1146" s="3">
        <v>1.21</v>
      </c>
    </row>
    <row r="1147" spans="1:9" x14ac:dyDescent="0.25">
      <c r="A1147" s="9">
        <v>31149</v>
      </c>
      <c r="B1147" s="4">
        <v>11</v>
      </c>
      <c r="C1147" s="4">
        <v>24</v>
      </c>
      <c r="D1147" s="4">
        <v>14</v>
      </c>
      <c r="E1147" s="4">
        <v>24</v>
      </c>
      <c r="F1147" s="4">
        <v>64</v>
      </c>
      <c r="G1147" s="4">
        <v>2.2000000000000002</v>
      </c>
      <c r="H1147" s="3">
        <v>2.7</v>
      </c>
      <c r="I1147" s="3">
        <v>0.79</v>
      </c>
    </row>
    <row r="1148" spans="1:9" x14ac:dyDescent="0.25">
      <c r="A1148" s="9">
        <v>31151</v>
      </c>
      <c r="B1148" s="4">
        <v>35</v>
      </c>
      <c r="C1148" s="4">
        <v>43</v>
      </c>
      <c r="D1148" s="4">
        <v>14</v>
      </c>
      <c r="E1148" s="4">
        <v>43</v>
      </c>
      <c r="F1148" s="4">
        <v>252</v>
      </c>
      <c r="G1148" s="4">
        <v>4.0999999999999996</v>
      </c>
      <c r="H1148" s="3">
        <v>2.2999999999999998</v>
      </c>
      <c r="I1148" s="3">
        <v>0.9850000000000001</v>
      </c>
    </row>
    <row r="1149" spans="1:9" x14ac:dyDescent="0.25">
      <c r="A1149" s="9">
        <v>31153</v>
      </c>
      <c r="B1149" s="4">
        <v>144</v>
      </c>
      <c r="C1149" s="4">
        <v>89</v>
      </c>
      <c r="D1149" s="4">
        <v>8</v>
      </c>
      <c r="E1149" s="4">
        <v>89</v>
      </c>
      <c r="F1149" s="4">
        <v>5548</v>
      </c>
      <c r="G1149" s="4">
        <v>44.7</v>
      </c>
      <c r="H1149" s="3">
        <v>2.9000000000000004</v>
      </c>
      <c r="I1149" s="3">
        <v>1.3399999999999999</v>
      </c>
    </row>
    <row r="1150" spans="1:9" x14ac:dyDescent="0.25">
      <c r="A1150" s="9">
        <v>31155</v>
      </c>
      <c r="B1150" s="4">
        <v>12</v>
      </c>
      <c r="C1150" s="4">
        <v>16</v>
      </c>
      <c r="D1150" s="4">
        <v>14</v>
      </c>
      <c r="E1150" s="4">
        <v>16</v>
      </c>
      <c r="F1150" s="4">
        <v>121</v>
      </c>
      <c r="G1150" s="4">
        <v>2.1</v>
      </c>
      <c r="H1150" s="3">
        <v>2.8</v>
      </c>
      <c r="I1150" s="3">
        <v>1.05</v>
      </c>
    </row>
    <row r="1151" spans="1:9" x14ac:dyDescent="0.25">
      <c r="A1151" s="9">
        <v>31157</v>
      </c>
      <c r="B1151" s="4">
        <v>244</v>
      </c>
      <c r="C1151" s="4">
        <v>122</v>
      </c>
      <c r="D1151" s="4">
        <v>22</v>
      </c>
      <c r="E1151" s="4">
        <v>122</v>
      </c>
      <c r="F1151" s="4">
        <v>5295</v>
      </c>
      <c r="G1151" s="4">
        <v>54.7</v>
      </c>
      <c r="H1151" s="3">
        <v>4.0999999999999996</v>
      </c>
      <c r="I1151" s="3">
        <v>1.64</v>
      </c>
    </row>
    <row r="1152" spans="1:9" x14ac:dyDescent="0.25">
      <c r="A1152" s="9">
        <v>31159</v>
      </c>
      <c r="B1152" s="4">
        <v>24</v>
      </c>
      <c r="C1152" s="4">
        <v>24</v>
      </c>
      <c r="D1152" s="4">
        <v>14</v>
      </c>
      <c r="E1152" s="4">
        <v>24</v>
      </c>
      <c r="F1152" s="4">
        <v>388</v>
      </c>
      <c r="G1152" s="4">
        <v>8.4</v>
      </c>
      <c r="H1152" s="3">
        <v>2.6</v>
      </c>
      <c r="I1152" s="3">
        <v>0.88</v>
      </c>
    </row>
    <row r="1153" spans="1:9" x14ac:dyDescent="0.25">
      <c r="A1153" s="9">
        <v>31161</v>
      </c>
      <c r="B1153" s="4">
        <v>5</v>
      </c>
      <c r="C1153" s="4">
        <v>25</v>
      </c>
      <c r="D1153" s="4">
        <v>14</v>
      </c>
      <c r="E1153" s="4">
        <v>25</v>
      </c>
      <c r="F1153" s="4">
        <v>226</v>
      </c>
      <c r="G1153" s="4">
        <v>4</v>
      </c>
      <c r="H1153" s="3">
        <v>3</v>
      </c>
      <c r="I1153" s="3">
        <v>1</v>
      </c>
    </row>
    <row r="1154" spans="1:9" x14ac:dyDescent="0.25">
      <c r="A1154" s="9">
        <v>31169</v>
      </c>
      <c r="B1154" s="4">
        <v>10</v>
      </c>
      <c r="C1154" s="4">
        <v>19</v>
      </c>
      <c r="D1154" s="4">
        <v>14</v>
      </c>
      <c r="E1154" s="4">
        <v>19</v>
      </c>
      <c r="F1154" s="4">
        <v>220</v>
      </c>
      <c r="G1154" s="4">
        <v>3.6</v>
      </c>
      <c r="H1154" s="3">
        <v>3.1</v>
      </c>
      <c r="I1154" s="3">
        <v>1.04</v>
      </c>
    </row>
    <row r="1155" spans="1:9" x14ac:dyDescent="0.25">
      <c r="A1155" s="9">
        <v>31173</v>
      </c>
      <c r="B1155" s="4">
        <v>18</v>
      </c>
      <c r="C1155" s="4">
        <v>34</v>
      </c>
      <c r="D1155" s="4">
        <v>14</v>
      </c>
      <c r="E1155" s="4">
        <v>34</v>
      </c>
      <c r="F1155" s="4">
        <v>665</v>
      </c>
      <c r="G1155" s="4">
        <v>7.5</v>
      </c>
      <c r="H1155" s="3">
        <v>2.5999999999999996</v>
      </c>
      <c r="I1155" s="3">
        <v>0.99</v>
      </c>
    </row>
    <row r="1156" spans="1:9" x14ac:dyDescent="0.25">
      <c r="A1156" s="9">
        <v>31175</v>
      </c>
      <c r="B1156" s="4">
        <v>15</v>
      </c>
      <c r="C1156" s="4">
        <v>16</v>
      </c>
      <c r="D1156" s="4">
        <v>14</v>
      </c>
      <c r="E1156" s="4">
        <v>16</v>
      </c>
      <c r="F1156" s="4">
        <v>194</v>
      </c>
      <c r="G1156" s="4">
        <v>5.2</v>
      </c>
      <c r="H1156" s="3">
        <v>3</v>
      </c>
      <c r="I1156" s="3">
        <v>0.97</v>
      </c>
    </row>
    <row r="1157" spans="1:9" x14ac:dyDescent="0.25">
      <c r="A1157" s="9">
        <v>31177</v>
      </c>
      <c r="B1157" s="4">
        <v>32</v>
      </c>
      <c r="C1157" s="4">
        <v>21</v>
      </c>
      <c r="D1157" s="4">
        <v>14</v>
      </c>
      <c r="E1157" s="4">
        <v>21</v>
      </c>
      <c r="F1157" s="4">
        <v>181</v>
      </c>
      <c r="G1157" s="4">
        <v>1.8</v>
      </c>
      <c r="H1157" s="3">
        <v>3</v>
      </c>
      <c r="I1157" s="3">
        <v>1.1000000000000001</v>
      </c>
    </row>
    <row r="1158" spans="1:9" x14ac:dyDescent="0.25">
      <c r="A1158" s="9">
        <v>31179</v>
      </c>
      <c r="B1158" s="4">
        <v>18</v>
      </c>
      <c r="C1158" s="4">
        <v>21</v>
      </c>
      <c r="D1158" s="4">
        <v>14</v>
      </c>
      <c r="E1158" s="4">
        <v>21</v>
      </c>
      <c r="F1158" s="4">
        <v>338</v>
      </c>
      <c r="G1158" s="4">
        <v>4.0999999999999996</v>
      </c>
      <c r="H1158" s="3">
        <v>3.1</v>
      </c>
      <c r="I1158" s="3">
        <v>1.1100000000000001</v>
      </c>
    </row>
    <row r="1159" spans="1:9" x14ac:dyDescent="0.25">
      <c r="A1159" s="9">
        <v>31181</v>
      </c>
      <c r="B1159" s="4">
        <v>8</v>
      </c>
      <c r="C1159" s="4">
        <v>13</v>
      </c>
      <c r="D1159" s="4">
        <v>14</v>
      </c>
      <c r="E1159" s="4">
        <v>13</v>
      </c>
      <c r="F1159" s="4">
        <v>57</v>
      </c>
      <c r="G1159" s="4">
        <v>1.1000000000000001</v>
      </c>
      <c r="H1159" s="3">
        <v>2.5</v>
      </c>
      <c r="I1159" s="3">
        <v>0.99</v>
      </c>
    </row>
    <row r="1160" spans="1:9" x14ac:dyDescent="0.25">
      <c r="A1160" s="9">
        <v>31185</v>
      </c>
      <c r="B1160" s="4">
        <v>49</v>
      </c>
      <c r="C1160" s="4">
        <v>38</v>
      </c>
      <c r="D1160" s="4">
        <v>14</v>
      </c>
      <c r="E1160" s="4">
        <v>38</v>
      </c>
      <c r="F1160" s="4">
        <v>883</v>
      </c>
      <c r="G1160" s="4">
        <v>8.8000000000000007</v>
      </c>
      <c r="H1160" s="3">
        <v>2.95</v>
      </c>
      <c r="I1160" s="3">
        <v>1.0449999999999999</v>
      </c>
    </row>
    <row r="1161" spans="1:9" x14ac:dyDescent="0.25">
      <c r="A1161" s="9">
        <v>32001</v>
      </c>
      <c r="B1161" s="4">
        <v>57</v>
      </c>
      <c r="C1161" s="4">
        <v>25</v>
      </c>
      <c r="D1161" s="4">
        <v>14</v>
      </c>
      <c r="E1161" s="4">
        <v>25</v>
      </c>
      <c r="F1161" s="4">
        <v>1427</v>
      </c>
      <c r="G1161" s="4">
        <v>12.4</v>
      </c>
      <c r="H1161" s="3">
        <v>3.2</v>
      </c>
      <c r="I1161" s="3">
        <v>1.32</v>
      </c>
    </row>
    <row r="1162" spans="1:9" x14ac:dyDescent="0.25">
      <c r="A1162" s="9">
        <v>32003</v>
      </c>
      <c r="B1162" s="4">
        <v>3822</v>
      </c>
      <c r="C1162" s="4">
        <v>4082</v>
      </c>
      <c r="D1162" s="4">
        <v>434</v>
      </c>
      <c r="E1162" s="4">
        <v>4111</v>
      </c>
      <c r="F1162" s="4">
        <v>221461</v>
      </c>
      <c r="G1162" s="4">
        <v>2932.3000000000006</v>
      </c>
      <c r="H1162" s="3">
        <v>4.3722222222222227</v>
      </c>
      <c r="I1162" s="3">
        <v>1.5955555555555554</v>
      </c>
    </row>
    <row r="1163" spans="1:9" x14ac:dyDescent="0.25">
      <c r="A1163" s="9">
        <v>32005</v>
      </c>
      <c r="B1163" s="4">
        <v>72</v>
      </c>
      <c r="C1163" s="4">
        <v>23</v>
      </c>
      <c r="D1163" s="4">
        <v>14</v>
      </c>
      <c r="E1163" s="4">
        <v>23</v>
      </c>
      <c r="F1163" s="4">
        <v>1170</v>
      </c>
      <c r="G1163" s="4">
        <v>11.6</v>
      </c>
      <c r="H1163" s="3">
        <v>3.2</v>
      </c>
      <c r="I1163" s="3">
        <v>1.31</v>
      </c>
    </row>
    <row r="1164" spans="1:9" x14ac:dyDescent="0.25">
      <c r="A1164" s="9">
        <v>32007</v>
      </c>
      <c r="B1164" s="4">
        <v>114</v>
      </c>
      <c r="C1164" s="4">
        <v>59</v>
      </c>
      <c r="D1164" s="4">
        <v>7</v>
      </c>
      <c r="E1164" s="4">
        <v>59</v>
      </c>
      <c r="F1164" s="4">
        <v>1958</v>
      </c>
      <c r="G1164" s="4">
        <v>11.8</v>
      </c>
      <c r="H1164" s="3">
        <v>2.6</v>
      </c>
      <c r="I1164" s="3">
        <v>1.42</v>
      </c>
    </row>
    <row r="1165" spans="1:9" x14ac:dyDescent="0.25">
      <c r="A1165" s="9">
        <v>32013</v>
      </c>
      <c r="B1165" s="4">
        <v>44</v>
      </c>
      <c r="C1165" s="4">
        <v>25</v>
      </c>
      <c r="D1165" s="4">
        <v>3</v>
      </c>
      <c r="E1165" s="4">
        <v>25</v>
      </c>
      <c r="F1165" s="4">
        <v>882</v>
      </c>
      <c r="G1165" s="4">
        <v>7.7</v>
      </c>
      <c r="H1165" s="3">
        <v>2.7</v>
      </c>
      <c r="I1165" s="3">
        <v>1.33</v>
      </c>
    </row>
    <row r="1166" spans="1:9" x14ac:dyDescent="0.25">
      <c r="A1166" s="9">
        <v>32015</v>
      </c>
      <c r="B1166" s="4">
        <v>14</v>
      </c>
      <c r="C1166" s="4">
        <v>5</v>
      </c>
      <c r="D1166" s="4">
        <v>14</v>
      </c>
      <c r="E1166" s="4">
        <v>5</v>
      </c>
      <c r="F1166" s="4">
        <v>44</v>
      </c>
      <c r="G1166" s="4">
        <v>1.1000000000000001</v>
      </c>
      <c r="H1166" s="3">
        <v>3.8</v>
      </c>
      <c r="I1166" s="3">
        <v>1.03</v>
      </c>
    </row>
    <row r="1167" spans="1:9" x14ac:dyDescent="0.25">
      <c r="A1167" s="9">
        <v>32017</v>
      </c>
      <c r="B1167" s="4">
        <v>10</v>
      </c>
      <c r="C1167" s="4">
        <v>4</v>
      </c>
      <c r="D1167" s="4">
        <v>14</v>
      </c>
      <c r="E1167" s="4">
        <v>4</v>
      </c>
      <c r="F1167" s="4">
        <v>143</v>
      </c>
      <c r="G1167" s="4">
        <v>2.9</v>
      </c>
      <c r="H1167" s="3">
        <v>2.6</v>
      </c>
      <c r="I1167" s="3">
        <v>0.91</v>
      </c>
    </row>
    <row r="1168" spans="1:9" x14ac:dyDescent="0.25">
      <c r="A1168" s="9">
        <v>32019</v>
      </c>
      <c r="B1168" s="4">
        <v>22</v>
      </c>
      <c r="C1168" s="4">
        <v>14</v>
      </c>
      <c r="D1168" s="4">
        <v>14</v>
      </c>
      <c r="E1168" s="4">
        <v>14</v>
      </c>
      <c r="F1168" s="4">
        <v>147</v>
      </c>
      <c r="G1168" s="4">
        <v>2.2999999999999998</v>
      </c>
      <c r="H1168" s="3">
        <v>2.7</v>
      </c>
      <c r="I1168" s="3">
        <v>1</v>
      </c>
    </row>
    <row r="1169" spans="1:9" x14ac:dyDescent="0.25">
      <c r="A1169" s="9">
        <v>32021</v>
      </c>
      <c r="B1169" s="4">
        <v>18</v>
      </c>
      <c r="C1169" s="4">
        <v>11</v>
      </c>
      <c r="D1169" s="4">
        <v>14</v>
      </c>
      <c r="E1169" s="4">
        <v>11</v>
      </c>
      <c r="F1169" s="4">
        <v>267</v>
      </c>
      <c r="G1169" s="4">
        <v>6.5</v>
      </c>
      <c r="H1169" s="3">
        <v>3.8</v>
      </c>
      <c r="I1169" s="3">
        <v>0.99</v>
      </c>
    </row>
    <row r="1170" spans="1:9" x14ac:dyDescent="0.25">
      <c r="A1170" s="9">
        <v>32023</v>
      </c>
      <c r="B1170" s="4">
        <v>104</v>
      </c>
      <c r="C1170" s="4">
        <v>25</v>
      </c>
      <c r="D1170" s="4">
        <v>14</v>
      </c>
      <c r="E1170" s="4">
        <v>25</v>
      </c>
      <c r="F1170" s="4">
        <v>1409</v>
      </c>
      <c r="G1170" s="4">
        <v>10.1</v>
      </c>
      <c r="H1170" s="3">
        <v>2.6500000000000004</v>
      </c>
      <c r="I1170" s="3">
        <v>1.01</v>
      </c>
    </row>
    <row r="1171" spans="1:9" x14ac:dyDescent="0.25">
      <c r="A1171" s="9">
        <v>32027</v>
      </c>
      <c r="B1171" s="4">
        <v>10</v>
      </c>
      <c r="C1171" s="4">
        <v>13</v>
      </c>
      <c r="D1171" s="4">
        <v>14</v>
      </c>
      <c r="E1171" s="4">
        <v>13</v>
      </c>
      <c r="F1171" s="4">
        <v>45</v>
      </c>
      <c r="G1171" s="4">
        <v>1.4</v>
      </c>
      <c r="H1171" s="3">
        <v>3.7</v>
      </c>
      <c r="I1171" s="3">
        <v>0.96</v>
      </c>
    </row>
    <row r="1172" spans="1:9" x14ac:dyDescent="0.25">
      <c r="A1172" s="9">
        <v>32031</v>
      </c>
      <c r="B1172" s="4">
        <v>1542</v>
      </c>
      <c r="C1172" s="4">
        <v>1041</v>
      </c>
      <c r="D1172" s="4">
        <v>290</v>
      </c>
      <c r="E1172" s="4">
        <v>1041</v>
      </c>
      <c r="F1172" s="4">
        <v>54194</v>
      </c>
      <c r="G1172" s="4">
        <v>722.30000000000007</v>
      </c>
      <c r="H1172" s="3">
        <v>4</v>
      </c>
      <c r="I1172" s="3">
        <v>1.6520000000000004</v>
      </c>
    </row>
    <row r="1173" spans="1:9" x14ac:dyDescent="0.25">
      <c r="A1173" s="9">
        <v>32033</v>
      </c>
      <c r="B1173" s="4">
        <v>50</v>
      </c>
      <c r="C1173" s="4">
        <v>25</v>
      </c>
      <c r="D1173" s="4">
        <v>14</v>
      </c>
      <c r="E1173" s="4">
        <v>25</v>
      </c>
      <c r="F1173" s="4">
        <v>521</v>
      </c>
      <c r="G1173" s="4">
        <v>4.5999999999999996</v>
      </c>
      <c r="H1173" s="3">
        <v>2.6</v>
      </c>
      <c r="I1173" s="3">
        <v>1.26</v>
      </c>
    </row>
    <row r="1174" spans="1:9" x14ac:dyDescent="0.25">
      <c r="A1174" s="9">
        <v>32510</v>
      </c>
      <c r="B1174" s="4">
        <v>402</v>
      </c>
      <c r="C1174" s="4">
        <v>190</v>
      </c>
      <c r="D1174" s="4">
        <v>24</v>
      </c>
      <c r="E1174" s="4">
        <v>190</v>
      </c>
      <c r="F1174" s="4">
        <v>11548</v>
      </c>
      <c r="G1174" s="4">
        <v>129.1</v>
      </c>
      <c r="H1174" s="3">
        <v>3.3499999999999996</v>
      </c>
      <c r="I1174" s="3">
        <v>1.73</v>
      </c>
    </row>
    <row r="1175" spans="1:9" x14ac:dyDescent="0.25">
      <c r="A1175" s="9">
        <v>33001</v>
      </c>
      <c r="B1175" s="4">
        <v>192</v>
      </c>
      <c r="C1175" s="4">
        <v>86</v>
      </c>
      <c r="D1175" s="4">
        <v>10</v>
      </c>
      <c r="E1175" s="4">
        <v>86</v>
      </c>
      <c r="F1175" s="4">
        <v>3504</v>
      </c>
      <c r="G1175" s="4">
        <v>51.7</v>
      </c>
      <c r="H1175" s="3">
        <v>5.4</v>
      </c>
      <c r="I1175" s="3">
        <v>1.7</v>
      </c>
    </row>
    <row r="1176" spans="1:9" x14ac:dyDescent="0.25">
      <c r="A1176" s="9">
        <v>33003</v>
      </c>
      <c r="B1176" s="4">
        <v>161</v>
      </c>
      <c r="C1176" s="4">
        <v>50</v>
      </c>
      <c r="D1176" s="4">
        <v>8</v>
      </c>
      <c r="E1176" s="4">
        <v>50</v>
      </c>
      <c r="F1176" s="4">
        <v>1898</v>
      </c>
      <c r="G1176" s="4">
        <v>21.4</v>
      </c>
      <c r="H1176" s="3">
        <v>3.1</v>
      </c>
      <c r="I1176" s="3">
        <v>1.25</v>
      </c>
    </row>
    <row r="1177" spans="1:9" x14ac:dyDescent="0.25">
      <c r="A1177" s="9">
        <v>33005</v>
      </c>
      <c r="B1177" s="4">
        <v>243</v>
      </c>
      <c r="C1177" s="4">
        <v>86</v>
      </c>
      <c r="D1177" s="4">
        <v>27</v>
      </c>
      <c r="E1177" s="4">
        <v>86</v>
      </c>
      <c r="F1177" s="4">
        <v>4347</v>
      </c>
      <c r="G1177" s="4">
        <v>50.3</v>
      </c>
      <c r="H1177" s="3">
        <v>4.4000000000000004</v>
      </c>
      <c r="I1177" s="3">
        <v>1.47</v>
      </c>
    </row>
    <row r="1178" spans="1:9" x14ac:dyDescent="0.25">
      <c r="A1178" s="9">
        <v>33007</v>
      </c>
      <c r="B1178" s="4">
        <v>143</v>
      </c>
      <c r="C1178" s="4">
        <v>66</v>
      </c>
      <c r="D1178" s="4">
        <v>3</v>
      </c>
      <c r="E1178" s="4">
        <v>66</v>
      </c>
      <c r="F1178" s="4">
        <v>1769</v>
      </c>
      <c r="G1178" s="4">
        <v>23</v>
      </c>
      <c r="H1178" s="3">
        <v>3.3000000000000003</v>
      </c>
      <c r="I1178" s="3">
        <v>1.0733333333333335</v>
      </c>
    </row>
    <row r="1179" spans="1:9" x14ac:dyDescent="0.25">
      <c r="A1179" s="9">
        <v>33009</v>
      </c>
      <c r="B1179" s="4">
        <v>1677</v>
      </c>
      <c r="C1179" s="4">
        <v>500</v>
      </c>
      <c r="D1179" s="4">
        <v>52</v>
      </c>
      <c r="E1179" s="4">
        <v>500</v>
      </c>
      <c r="F1179" s="4">
        <v>23133</v>
      </c>
      <c r="G1179" s="4">
        <v>368.4</v>
      </c>
      <c r="H1179" s="3">
        <v>3.5</v>
      </c>
      <c r="I1179" s="3">
        <v>1.6300000000000001</v>
      </c>
    </row>
    <row r="1180" spans="1:9" x14ac:dyDescent="0.25">
      <c r="A1180" s="9">
        <v>33011</v>
      </c>
      <c r="B1180" s="4">
        <v>1870</v>
      </c>
      <c r="C1180" s="4">
        <v>789</v>
      </c>
      <c r="D1180" s="4">
        <v>72</v>
      </c>
      <c r="E1180" s="4">
        <v>977</v>
      </c>
      <c r="F1180" s="4">
        <v>38418</v>
      </c>
      <c r="G1180" s="4">
        <v>457.8</v>
      </c>
      <c r="H1180" s="3">
        <v>4.46</v>
      </c>
      <c r="I1180" s="3">
        <v>1.528</v>
      </c>
    </row>
    <row r="1181" spans="1:9" x14ac:dyDescent="0.25">
      <c r="A1181" s="9">
        <v>33013</v>
      </c>
      <c r="B1181" s="4">
        <v>712</v>
      </c>
      <c r="C1181" s="4">
        <v>256</v>
      </c>
      <c r="D1181" s="4">
        <v>18</v>
      </c>
      <c r="E1181" s="4">
        <v>256</v>
      </c>
      <c r="F1181" s="4">
        <v>13644</v>
      </c>
      <c r="G1181" s="4">
        <v>186.6</v>
      </c>
      <c r="H1181" s="3">
        <v>3.8000000000000003</v>
      </c>
      <c r="I1181" s="3">
        <v>1.36</v>
      </c>
    </row>
    <row r="1182" spans="1:9" x14ac:dyDescent="0.25">
      <c r="A1182" s="9">
        <v>33015</v>
      </c>
      <c r="B1182" s="4">
        <v>734</v>
      </c>
      <c r="C1182" s="4">
        <v>308</v>
      </c>
      <c r="D1182" s="4">
        <v>43</v>
      </c>
      <c r="E1182" s="4">
        <v>308</v>
      </c>
      <c r="F1182" s="4">
        <v>16758</v>
      </c>
      <c r="G1182" s="4">
        <v>224.4</v>
      </c>
      <c r="H1182" s="3">
        <v>4.8999999999999995</v>
      </c>
      <c r="I1182" s="3">
        <v>1.58</v>
      </c>
    </row>
    <row r="1183" spans="1:9" x14ac:dyDescent="0.25">
      <c r="A1183" s="9">
        <v>33017</v>
      </c>
      <c r="B1183" s="4">
        <v>596</v>
      </c>
      <c r="C1183" s="4">
        <v>182</v>
      </c>
      <c r="D1183" s="4">
        <v>17</v>
      </c>
      <c r="E1183" s="4">
        <v>182</v>
      </c>
      <c r="F1183" s="4">
        <v>11094</v>
      </c>
      <c r="G1183" s="4">
        <v>110.8</v>
      </c>
      <c r="H1183" s="3">
        <v>4.0999999999999996</v>
      </c>
      <c r="I1183" s="3">
        <v>1.4550000000000001</v>
      </c>
    </row>
    <row r="1184" spans="1:9" x14ac:dyDescent="0.25">
      <c r="A1184" s="9">
        <v>33019</v>
      </c>
      <c r="B1184" s="4">
        <v>52</v>
      </c>
      <c r="C1184" s="4">
        <v>25</v>
      </c>
      <c r="D1184" s="4">
        <v>14</v>
      </c>
      <c r="E1184" s="4">
        <v>25</v>
      </c>
      <c r="F1184" s="4">
        <v>501</v>
      </c>
      <c r="G1184" s="4">
        <v>10</v>
      </c>
      <c r="H1184" s="3">
        <v>3.1</v>
      </c>
      <c r="I1184" s="3">
        <v>1</v>
      </c>
    </row>
    <row r="1185" spans="1:9" x14ac:dyDescent="0.25">
      <c r="A1185" s="9">
        <v>34001</v>
      </c>
      <c r="B1185" s="4">
        <v>992</v>
      </c>
      <c r="C1185" s="4">
        <v>739</v>
      </c>
      <c r="D1185" s="4">
        <v>54</v>
      </c>
      <c r="E1185" s="4">
        <v>1005</v>
      </c>
      <c r="F1185" s="4">
        <v>41628</v>
      </c>
      <c r="G1185" s="4">
        <v>482.1</v>
      </c>
      <c r="H1185" s="3">
        <v>4.4333333333333336</v>
      </c>
      <c r="I1185" s="3">
        <v>1.5549999999999999</v>
      </c>
    </row>
    <row r="1186" spans="1:9" x14ac:dyDescent="0.25">
      <c r="A1186" s="9">
        <v>34003</v>
      </c>
      <c r="B1186" s="4">
        <v>4076</v>
      </c>
      <c r="C1186" s="4">
        <v>1814</v>
      </c>
      <c r="D1186" s="4">
        <v>112</v>
      </c>
      <c r="E1186" s="4">
        <v>2655</v>
      </c>
      <c r="F1186" s="4">
        <v>95185</v>
      </c>
      <c r="G1186" s="4">
        <v>1267.3999999999999</v>
      </c>
      <c r="H1186" s="3">
        <v>4.8</v>
      </c>
      <c r="I1186" s="3">
        <v>1.7216666666666667</v>
      </c>
    </row>
    <row r="1187" spans="1:9" x14ac:dyDescent="0.25">
      <c r="A1187" s="9">
        <v>34005</v>
      </c>
      <c r="B1187" s="4">
        <v>763</v>
      </c>
      <c r="C1187" s="4">
        <v>527</v>
      </c>
      <c r="D1187" s="4">
        <v>82</v>
      </c>
      <c r="E1187" s="4">
        <v>715</v>
      </c>
      <c r="F1187" s="4">
        <v>27481</v>
      </c>
      <c r="G1187" s="4">
        <v>324.3</v>
      </c>
      <c r="H1187" s="3">
        <v>4.7</v>
      </c>
      <c r="I1187" s="3">
        <v>1.8366666666666667</v>
      </c>
    </row>
    <row r="1188" spans="1:9" x14ac:dyDescent="0.25">
      <c r="A1188" s="9">
        <v>34007</v>
      </c>
      <c r="B1188" s="4">
        <v>2998</v>
      </c>
      <c r="C1188" s="4">
        <v>1940</v>
      </c>
      <c r="D1188" s="4">
        <v>166</v>
      </c>
      <c r="E1188" s="4">
        <v>2094</v>
      </c>
      <c r="F1188" s="4">
        <v>105109</v>
      </c>
      <c r="G1188" s="4">
        <v>1268.2</v>
      </c>
      <c r="H1188" s="3">
        <v>4.5250000000000004</v>
      </c>
      <c r="I1188" s="3">
        <v>1.7925</v>
      </c>
    </row>
    <row r="1189" spans="1:9" x14ac:dyDescent="0.25">
      <c r="A1189" s="9">
        <v>34009</v>
      </c>
      <c r="B1189" s="4">
        <v>294</v>
      </c>
      <c r="C1189" s="4">
        <v>149</v>
      </c>
      <c r="D1189" s="4">
        <v>16</v>
      </c>
      <c r="E1189" s="4">
        <v>149</v>
      </c>
      <c r="F1189" s="4">
        <v>6520</v>
      </c>
      <c r="G1189" s="4">
        <v>64.5</v>
      </c>
      <c r="H1189" s="3">
        <v>3.7</v>
      </c>
      <c r="I1189" s="3">
        <v>1.42</v>
      </c>
    </row>
    <row r="1190" spans="1:9" x14ac:dyDescent="0.25">
      <c r="A1190" s="9">
        <v>34011</v>
      </c>
      <c r="B1190" s="4">
        <v>513</v>
      </c>
      <c r="C1190" s="4">
        <v>280</v>
      </c>
      <c r="D1190" s="4">
        <v>12</v>
      </c>
      <c r="E1190" s="4">
        <v>280</v>
      </c>
      <c r="F1190" s="4">
        <v>16308</v>
      </c>
      <c r="G1190" s="4">
        <v>189.3</v>
      </c>
      <c r="H1190" s="3">
        <v>4.7</v>
      </c>
      <c r="I1190" s="3">
        <v>1.41</v>
      </c>
    </row>
    <row r="1191" spans="1:9" x14ac:dyDescent="0.25">
      <c r="A1191" s="9">
        <v>34013</v>
      </c>
      <c r="B1191" s="4">
        <v>3202</v>
      </c>
      <c r="C1191" s="4">
        <v>2120</v>
      </c>
      <c r="D1191" s="4">
        <v>215</v>
      </c>
      <c r="E1191" s="4">
        <v>2120</v>
      </c>
      <c r="F1191" s="4">
        <v>100259</v>
      </c>
      <c r="G1191" s="4">
        <v>1502.9</v>
      </c>
      <c r="H1191" s="3">
        <v>5.4999999999999991</v>
      </c>
      <c r="I1191" s="3">
        <v>1.8399999999999999</v>
      </c>
    </row>
    <row r="1192" spans="1:9" x14ac:dyDescent="0.25">
      <c r="A1192" s="9">
        <v>34015</v>
      </c>
      <c r="B1192" s="4">
        <v>260</v>
      </c>
      <c r="C1192" s="4">
        <v>233</v>
      </c>
      <c r="D1192" s="4">
        <v>14</v>
      </c>
      <c r="E1192" s="4">
        <v>233</v>
      </c>
      <c r="F1192" s="4">
        <v>8125</v>
      </c>
      <c r="G1192" s="4">
        <v>102</v>
      </c>
      <c r="H1192" s="3">
        <v>4.9000000000000004</v>
      </c>
      <c r="I1192" s="3">
        <v>1.45</v>
      </c>
    </row>
    <row r="1193" spans="1:9" x14ac:dyDescent="0.25">
      <c r="A1193" s="9">
        <v>34017</v>
      </c>
      <c r="B1193" s="4">
        <v>1146</v>
      </c>
      <c r="C1193" s="4">
        <v>1002</v>
      </c>
      <c r="D1193" s="4">
        <v>89</v>
      </c>
      <c r="E1193" s="4">
        <v>1002</v>
      </c>
      <c r="F1193" s="4">
        <v>43511</v>
      </c>
      <c r="G1193" s="4">
        <v>552.70000000000005</v>
      </c>
      <c r="H1193" s="3">
        <v>4.6833333333333336</v>
      </c>
      <c r="I1193" s="3">
        <v>1.5200000000000002</v>
      </c>
    </row>
    <row r="1194" spans="1:9" x14ac:dyDescent="0.25">
      <c r="A1194" s="9">
        <v>34019</v>
      </c>
      <c r="B1194" s="4">
        <v>474</v>
      </c>
      <c r="C1194" s="4">
        <v>170</v>
      </c>
      <c r="D1194" s="4">
        <v>12</v>
      </c>
      <c r="E1194" s="4">
        <v>170</v>
      </c>
      <c r="F1194" s="4">
        <v>8670</v>
      </c>
      <c r="G1194" s="4">
        <v>96.6</v>
      </c>
      <c r="H1194" s="3">
        <v>4.4000000000000004</v>
      </c>
      <c r="I1194" s="3">
        <v>1.5</v>
      </c>
    </row>
    <row r="1195" spans="1:9" x14ac:dyDescent="0.25">
      <c r="A1195" s="9">
        <v>34021</v>
      </c>
      <c r="B1195" s="4">
        <v>981</v>
      </c>
      <c r="C1195" s="4">
        <v>565</v>
      </c>
      <c r="D1195" s="4">
        <v>80</v>
      </c>
      <c r="E1195" s="4">
        <v>583</v>
      </c>
      <c r="F1195" s="4">
        <v>29540</v>
      </c>
      <c r="G1195" s="4">
        <v>398.4</v>
      </c>
      <c r="H1195" s="3">
        <v>5.3250000000000002</v>
      </c>
      <c r="I1195" s="3">
        <v>1.6875</v>
      </c>
    </row>
    <row r="1196" spans="1:9" x14ac:dyDescent="0.25">
      <c r="A1196" s="9">
        <v>34023</v>
      </c>
      <c r="B1196" s="4">
        <v>3642</v>
      </c>
      <c r="C1196" s="4">
        <v>1828</v>
      </c>
      <c r="D1196" s="4">
        <v>97</v>
      </c>
      <c r="E1196" s="4">
        <v>1931</v>
      </c>
      <c r="F1196" s="4">
        <v>95628</v>
      </c>
      <c r="G1196" s="4">
        <v>1225.6999999999998</v>
      </c>
      <c r="H1196" s="3">
        <v>4.8999999999999995</v>
      </c>
      <c r="I1196" s="3">
        <v>1.6640000000000001</v>
      </c>
    </row>
    <row r="1197" spans="1:9" x14ac:dyDescent="0.25">
      <c r="A1197" s="9">
        <v>34025</v>
      </c>
      <c r="B1197" s="4">
        <v>2653</v>
      </c>
      <c r="C1197" s="4">
        <v>1583</v>
      </c>
      <c r="D1197" s="4">
        <v>128</v>
      </c>
      <c r="E1197" s="4">
        <v>1583</v>
      </c>
      <c r="F1197" s="4">
        <v>77631</v>
      </c>
      <c r="G1197" s="4">
        <v>957.80000000000007</v>
      </c>
      <c r="H1197" s="3">
        <v>4.74</v>
      </c>
      <c r="I1197" s="3">
        <v>1.6700000000000004</v>
      </c>
    </row>
    <row r="1198" spans="1:9" x14ac:dyDescent="0.25">
      <c r="A1198" s="9">
        <v>34027</v>
      </c>
      <c r="B1198" s="4">
        <v>2264</v>
      </c>
      <c r="C1198" s="4">
        <v>1114</v>
      </c>
      <c r="D1198" s="4">
        <v>81</v>
      </c>
      <c r="E1198" s="4">
        <v>1113</v>
      </c>
      <c r="F1198" s="4">
        <v>64895</v>
      </c>
      <c r="G1198" s="4">
        <v>737.6</v>
      </c>
      <c r="H1198" s="3">
        <v>4.2666666666666666</v>
      </c>
      <c r="I1198" s="3">
        <v>1.7566666666666666</v>
      </c>
    </row>
    <row r="1199" spans="1:9" x14ac:dyDescent="0.25">
      <c r="A1199" s="9">
        <v>34029</v>
      </c>
      <c r="B1199" s="4">
        <v>1497</v>
      </c>
      <c r="C1199" s="4">
        <v>1097</v>
      </c>
      <c r="D1199" s="4">
        <v>94</v>
      </c>
      <c r="E1199" s="4">
        <v>1097</v>
      </c>
      <c r="F1199" s="4">
        <v>47256</v>
      </c>
      <c r="G1199" s="4">
        <v>652</v>
      </c>
      <c r="H1199" s="3">
        <v>5.0750000000000002</v>
      </c>
      <c r="I1199" s="3">
        <v>1.5349999999999999</v>
      </c>
    </row>
    <row r="1200" spans="1:9" x14ac:dyDescent="0.25">
      <c r="A1200" s="9">
        <v>34031</v>
      </c>
      <c r="B1200" s="4">
        <v>1112</v>
      </c>
      <c r="C1200" s="4">
        <v>823</v>
      </c>
      <c r="D1200" s="4">
        <v>53</v>
      </c>
      <c r="E1200" s="4">
        <v>1052</v>
      </c>
      <c r="F1200" s="4">
        <v>39053</v>
      </c>
      <c r="G1200" s="4">
        <v>578.9</v>
      </c>
      <c r="H1200" s="3">
        <v>5</v>
      </c>
      <c r="I1200" s="3">
        <v>1.85</v>
      </c>
    </row>
    <row r="1201" spans="1:9" x14ac:dyDescent="0.25">
      <c r="A1201" s="9">
        <v>34033</v>
      </c>
      <c r="B1201" s="4">
        <v>162</v>
      </c>
      <c r="C1201" s="4">
        <v>209</v>
      </c>
      <c r="D1201" s="4">
        <v>19</v>
      </c>
      <c r="E1201" s="4">
        <v>209</v>
      </c>
      <c r="F1201" s="4">
        <v>5563</v>
      </c>
      <c r="G1201" s="4">
        <v>55.400000000000006</v>
      </c>
      <c r="H1201" s="3">
        <v>3.7</v>
      </c>
      <c r="I1201" s="3">
        <v>1.27</v>
      </c>
    </row>
    <row r="1202" spans="1:9" x14ac:dyDescent="0.25">
      <c r="A1202" s="9">
        <v>34035</v>
      </c>
      <c r="B1202" s="4">
        <v>450</v>
      </c>
      <c r="C1202" s="4">
        <v>281</v>
      </c>
      <c r="D1202" s="4">
        <v>28</v>
      </c>
      <c r="E1202" s="4">
        <v>281</v>
      </c>
      <c r="F1202" s="4">
        <v>12611</v>
      </c>
      <c r="G1202" s="4">
        <v>160.6</v>
      </c>
      <c r="H1202" s="3">
        <v>4.8</v>
      </c>
      <c r="I1202" s="3">
        <v>1.54</v>
      </c>
    </row>
    <row r="1203" spans="1:9" x14ac:dyDescent="0.25">
      <c r="A1203" s="9">
        <v>34037</v>
      </c>
      <c r="B1203" s="4">
        <v>241</v>
      </c>
      <c r="C1203" s="4">
        <v>130</v>
      </c>
      <c r="D1203" s="4">
        <v>10</v>
      </c>
      <c r="E1203" s="4">
        <v>130</v>
      </c>
      <c r="F1203" s="4">
        <v>9306</v>
      </c>
      <c r="G1203" s="4">
        <v>102.89999999999999</v>
      </c>
      <c r="H1203" s="3">
        <v>3.7</v>
      </c>
      <c r="I1203" s="3">
        <v>1.46</v>
      </c>
    </row>
    <row r="1204" spans="1:9" x14ac:dyDescent="0.25">
      <c r="A1204" s="9">
        <v>34039</v>
      </c>
      <c r="B1204" s="4">
        <v>1359</v>
      </c>
      <c r="C1204" s="4">
        <v>785</v>
      </c>
      <c r="D1204" s="4">
        <v>55</v>
      </c>
      <c r="E1204" s="4">
        <v>785</v>
      </c>
      <c r="F1204" s="4">
        <v>46867</v>
      </c>
      <c r="G1204" s="4">
        <v>543.09999999999991</v>
      </c>
      <c r="H1204" s="3">
        <v>4.7249999999999996</v>
      </c>
      <c r="I1204" s="3">
        <v>1.6066666666666667</v>
      </c>
    </row>
    <row r="1205" spans="1:9" x14ac:dyDescent="0.25">
      <c r="A1205" s="9">
        <v>34041</v>
      </c>
      <c r="B1205" s="4">
        <v>320</v>
      </c>
      <c r="C1205" s="4">
        <v>156</v>
      </c>
      <c r="D1205" s="4">
        <v>20</v>
      </c>
      <c r="E1205" s="4">
        <v>156</v>
      </c>
      <c r="F1205" s="4">
        <v>7407</v>
      </c>
      <c r="G1205" s="4">
        <v>83.300000000000011</v>
      </c>
      <c r="H1205" s="3">
        <v>4.0999999999999996</v>
      </c>
      <c r="I1205" s="3">
        <v>1.5049999999999999</v>
      </c>
    </row>
    <row r="1206" spans="1:9" x14ac:dyDescent="0.25">
      <c r="A1206" s="9">
        <v>35001</v>
      </c>
      <c r="B1206" s="4">
        <v>3408</v>
      </c>
      <c r="C1206" s="4">
        <v>1669</v>
      </c>
      <c r="D1206" s="4">
        <v>111</v>
      </c>
      <c r="E1206" s="4">
        <v>1524</v>
      </c>
      <c r="F1206" s="4">
        <v>84228</v>
      </c>
      <c r="G1206" s="4">
        <v>1140.2</v>
      </c>
      <c r="H1206" s="3">
        <v>4.88</v>
      </c>
      <c r="I1206" s="3">
        <v>1.8060000000000003</v>
      </c>
    </row>
    <row r="1207" spans="1:9" x14ac:dyDescent="0.25">
      <c r="A1207" s="9">
        <v>35005</v>
      </c>
      <c r="B1207" s="4">
        <v>186</v>
      </c>
      <c r="C1207" s="4">
        <v>189</v>
      </c>
      <c r="D1207" s="4">
        <v>24</v>
      </c>
      <c r="E1207" s="4">
        <v>189</v>
      </c>
      <c r="F1207" s="4">
        <v>7116</v>
      </c>
      <c r="G1207" s="4">
        <v>66.400000000000006</v>
      </c>
      <c r="H1207" s="3">
        <v>3.5999999999999996</v>
      </c>
      <c r="I1207" s="3">
        <v>1.55</v>
      </c>
    </row>
    <row r="1208" spans="1:9" x14ac:dyDescent="0.25">
      <c r="A1208" s="9">
        <v>35006</v>
      </c>
      <c r="B1208" s="4">
        <v>64</v>
      </c>
      <c r="C1208" s="4">
        <v>31</v>
      </c>
      <c r="D1208" s="4">
        <v>4</v>
      </c>
      <c r="E1208" s="4">
        <v>31</v>
      </c>
      <c r="F1208" s="4">
        <v>846</v>
      </c>
      <c r="G1208" s="4">
        <v>6.3</v>
      </c>
      <c r="H1208" s="3">
        <v>2.9000000000000004</v>
      </c>
      <c r="I1208" s="3">
        <v>1.145</v>
      </c>
    </row>
    <row r="1209" spans="1:9" x14ac:dyDescent="0.25">
      <c r="A1209" s="9">
        <v>35007</v>
      </c>
      <c r="B1209" s="4">
        <v>42</v>
      </c>
      <c r="C1209" s="4">
        <v>25</v>
      </c>
      <c r="D1209" s="4">
        <v>4</v>
      </c>
      <c r="E1209" s="4">
        <v>25</v>
      </c>
      <c r="F1209" s="4">
        <v>393</v>
      </c>
      <c r="G1209" s="4">
        <v>6</v>
      </c>
      <c r="H1209" s="3">
        <v>3.6</v>
      </c>
      <c r="I1209" s="3">
        <v>1.18</v>
      </c>
    </row>
    <row r="1210" spans="1:9" x14ac:dyDescent="0.25">
      <c r="A1210" s="9">
        <v>35009</v>
      </c>
      <c r="B1210" s="4">
        <v>116</v>
      </c>
      <c r="C1210" s="4">
        <v>106</v>
      </c>
      <c r="D1210" s="4">
        <v>8</v>
      </c>
      <c r="E1210" s="4">
        <v>106</v>
      </c>
      <c r="F1210" s="4">
        <v>3562</v>
      </c>
      <c r="G1210" s="4">
        <v>30</v>
      </c>
      <c r="H1210" s="3">
        <v>3.7</v>
      </c>
      <c r="I1210" s="3">
        <v>1.36</v>
      </c>
    </row>
    <row r="1211" spans="1:9" x14ac:dyDescent="0.25">
      <c r="A1211" s="9">
        <v>35013</v>
      </c>
      <c r="B1211" s="4">
        <v>640</v>
      </c>
      <c r="C1211" s="4">
        <v>379</v>
      </c>
      <c r="D1211" s="4">
        <v>51</v>
      </c>
      <c r="E1211" s="4">
        <v>367</v>
      </c>
      <c r="F1211" s="4">
        <v>20042</v>
      </c>
      <c r="G1211" s="4">
        <v>223.3</v>
      </c>
      <c r="H1211" s="3">
        <v>4.45</v>
      </c>
      <c r="I1211" s="3">
        <v>1.8599999999999999</v>
      </c>
    </row>
    <row r="1212" spans="1:9" x14ac:dyDescent="0.25">
      <c r="A1212" s="9">
        <v>35015</v>
      </c>
      <c r="B1212" s="4">
        <v>174</v>
      </c>
      <c r="C1212" s="4">
        <v>116</v>
      </c>
      <c r="D1212" s="4">
        <v>15</v>
      </c>
      <c r="E1212" s="4">
        <v>116</v>
      </c>
      <c r="F1212" s="4">
        <v>2942</v>
      </c>
      <c r="G1212" s="4">
        <v>23.799999999999997</v>
      </c>
      <c r="H1212" s="3">
        <v>2.95</v>
      </c>
      <c r="I1212" s="3">
        <v>1.4950000000000001</v>
      </c>
    </row>
    <row r="1213" spans="1:9" x14ac:dyDescent="0.25">
      <c r="A1213" s="9">
        <v>35017</v>
      </c>
      <c r="B1213" s="4">
        <v>112</v>
      </c>
      <c r="C1213" s="4">
        <v>32</v>
      </c>
      <c r="D1213" s="4">
        <v>6</v>
      </c>
      <c r="E1213" s="4">
        <v>32</v>
      </c>
      <c r="F1213" s="4">
        <v>1033</v>
      </c>
      <c r="G1213" s="4">
        <v>10.7</v>
      </c>
      <c r="H1213" s="3">
        <v>4.3</v>
      </c>
      <c r="I1213" s="3">
        <v>1.47</v>
      </c>
    </row>
    <row r="1214" spans="1:9" x14ac:dyDescent="0.25">
      <c r="A1214" s="9">
        <v>35019</v>
      </c>
      <c r="B1214" s="4">
        <v>16</v>
      </c>
      <c r="C1214" s="4">
        <v>10</v>
      </c>
      <c r="D1214" s="4">
        <v>14</v>
      </c>
      <c r="E1214" s="4">
        <v>10</v>
      </c>
      <c r="F1214" s="4">
        <v>212</v>
      </c>
      <c r="G1214" s="4">
        <v>1.6</v>
      </c>
      <c r="H1214" s="3">
        <v>2.8</v>
      </c>
      <c r="I1214" s="3">
        <v>0.9</v>
      </c>
    </row>
    <row r="1215" spans="1:9" x14ac:dyDescent="0.25">
      <c r="A1215" s="9">
        <v>35025</v>
      </c>
      <c r="B1215" s="4">
        <v>129</v>
      </c>
      <c r="C1215" s="4">
        <v>86</v>
      </c>
      <c r="D1215" s="4">
        <v>8</v>
      </c>
      <c r="E1215" s="4">
        <v>86</v>
      </c>
      <c r="F1215" s="4">
        <v>2596</v>
      </c>
      <c r="G1215" s="4">
        <v>12.600000000000001</v>
      </c>
      <c r="H1215" s="3">
        <v>2.7</v>
      </c>
      <c r="I1215" s="3">
        <v>1.2799999999999998</v>
      </c>
    </row>
    <row r="1216" spans="1:9" x14ac:dyDescent="0.25">
      <c r="A1216" s="9">
        <v>35027</v>
      </c>
      <c r="B1216" s="4">
        <v>48</v>
      </c>
      <c r="C1216" s="4">
        <v>25</v>
      </c>
      <c r="D1216" s="4">
        <v>4</v>
      </c>
      <c r="E1216" s="4">
        <v>25</v>
      </c>
      <c r="F1216" s="4">
        <v>1026</v>
      </c>
      <c r="G1216" s="4">
        <v>10</v>
      </c>
      <c r="H1216" s="3">
        <v>3.2</v>
      </c>
      <c r="I1216" s="3">
        <v>1.07</v>
      </c>
    </row>
    <row r="1217" spans="1:9" x14ac:dyDescent="0.25">
      <c r="A1217" s="9">
        <v>35028</v>
      </c>
      <c r="B1217" s="4">
        <v>78</v>
      </c>
      <c r="C1217" s="4">
        <v>47</v>
      </c>
      <c r="D1217" s="4">
        <v>6</v>
      </c>
      <c r="E1217" s="4">
        <v>47</v>
      </c>
      <c r="F1217" s="4">
        <v>756</v>
      </c>
      <c r="G1217" s="4">
        <v>6.2</v>
      </c>
      <c r="H1217" s="3">
        <v>3.6</v>
      </c>
      <c r="I1217" s="3">
        <v>1.28</v>
      </c>
    </row>
    <row r="1218" spans="1:9" x14ac:dyDescent="0.25">
      <c r="A1218" s="9">
        <v>35029</v>
      </c>
      <c r="B1218" s="4">
        <v>38</v>
      </c>
      <c r="C1218" s="4">
        <v>25</v>
      </c>
      <c r="D1218" s="4">
        <v>6</v>
      </c>
      <c r="E1218" s="4">
        <v>25</v>
      </c>
      <c r="F1218" s="4">
        <v>1630</v>
      </c>
      <c r="G1218" s="4">
        <v>11.6</v>
      </c>
      <c r="H1218" s="3">
        <v>2.6</v>
      </c>
      <c r="I1218" s="3">
        <v>1.37</v>
      </c>
    </row>
    <row r="1219" spans="1:9" x14ac:dyDescent="0.25">
      <c r="A1219" s="9">
        <v>35031</v>
      </c>
      <c r="B1219" s="4">
        <v>368</v>
      </c>
      <c r="C1219" s="4">
        <v>148</v>
      </c>
      <c r="D1219" s="4">
        <v>5</v>
      </c>
      <c r="E1219" s="4">
        <v>148</v>
      </c>
      <c r="F1219" s="4">
        <v>5965</v>
      </c>
      <c r="G1219" s="4">
        <v>60.5</v>
      </c>
      <c r="H1219" s="3">
        <v>3.7</v>
      </c>
      <c r="I1219" s="3">
        <v>1.19</v>
      </c>
    </row>
    <row r="1220" spans="1:9" x14ac:dyDescent="0.25">
      <c r="A1220" s="9">
        <v>35035</v>
      </c>
      <c r="B1220" s="4">
        <v>201</v>
      </c>
      <c r="C1220" s="4">
        <v>56</v>
      </c>
      <c r="D1220" s="4">
        <v>10</v>
      </c>
      <c r="E1220" s="4">
        <v>56</v>
      </c>
      <c r="F1220" s="4">
        <v>3151</v>
      </c>
      <c r="G1220" s="4">
        <v>27.099999999999998</v>
      </c>
      <c r="H1220" s="3">
        <v>3.3499999999999996</v>
      </c>
      <c r="I1220" s="3">
        <v>1.23</v>
      </c>
    </row>
    <row r="1221" spans="1:9" x14ac:dyDescent="0.25">
      <c r="A1221" s="9">
        <v>35039</v>
      </c>
      <c r="B1221" s="4">
        <v>91</v>
      </c>
      <c r="C1221" s="4">
        <v>52</v>
      </c>
      <c r="D1221" s="4">
        <v>8</v>
      </c>
      <c r="E1221" s="4">
        <v>52</v>
      </c>
      <c r="F1221" s="4">
        <v>2097</v>
      </c>
      <c r="G1221" s="4">
        <v>21.1</v>
      </c>
      <c r="H1221" s="3">
        <v>3.8</v>
      </c>
      <c r="I1221" s="3">
        <v>1.52</v>
      </c>
    </row>
    <row r="1222" spans="1:9" x14ac:dyDescent="0.25">
      <c r="A1222" s="9">
        <v>35041</v>
      </c>
      <c r="B1222" s="4">
        <v>36</v>
      </c>
      <c r="C1222" s="4">
        <v>20</v>
      </c>
      <c r="D1222" s="4">
        <v>14</v>
      </c>
      <c r="E1222" s="4">
        <v>20</v>
      </c>
      <c r="F1222" s="4">
        <v>359</v>
      </c>
      <c r="G1222" s="4">
        <v>2.6</v>
      </c>
      <c r="H1222" s="3">
        <v>2.6</v>
      </c>
      <c r="I1222" s="3">
        <v>1.05</v>
      </c>
    </row>
    <row r="1223" spans="1:9" x14ac:dyDescent="0.25">
      <c r="A1223" s="9">
        <v>35043</v>
      </c>
      <c r="B1223" s="4">
        <v>106</v>
      </c>
      <c r="C1223" s="4">
        <v>60</v>
      </c>
      <c r="D1223" s="4">
        <v>14</v>
      </c>
      <c r="E1223" s="4">
        <v>200</v>
      </c>
      <c r="F1223" s="4">
        <v>2950</v>
      </c>
      <c r="G1223" s="4">
        <v>32.700000000000003</v>
      </c>
      <c r="H1223" s="3">
        <v>4.0999999999999996</v>
      </c>
      <c r="I1223" s="3">
        <v>1.68</v>
      </c>
    </row>
    <row r="1224" spans="1:9" x14ac:dyDescent="0.25">
      <c r="A1224" s="9">
        <v>35045</v>
      </c>
      <c r="B1224" s="4">
        <v>449</v>
      </c>
      <c r="C1224" s="4">
        <v>244</v>
      </c>
      <c r="D1224" s="4">
        <v>10</v>
      </c>
      <c r="E1224" s="4">
        <v>244</v>
      </c>
      <c r="F1224" s="4">
        <v>10549</v>
      </c>
      <c r="G1224" s="4">
        <v>114.10000000000001</v>
      </c>
      <c r="H1224" s="3">
        <v>4.0999999999999996</v>
      </c>
      <c r="I1224" s="3">
        <v>1.5049999999999999</v>
      </c>
    </row>
    <row r="1225" spans="1:9" x14ac:dyDescent="0.25">
      <c r="A1225" s="9">
        <v>35047</v>
      </c>
      <c r="B1225" s="4">
        <v>63</v>
      </c>
      <c r="C1225" s="4">
        <v>46</v>
      </c>
      <c r="D1225" s="4">
        <v>8</v>
      </c>
      <c r="E1225" s="4">
        <v>46</v>
      </c>
      <c r="F1225" s="4">
        <v>1090</v>
      </c>
      <c r="G1225" s="4">
        <v>9.6999999999999993</v>
      </c>
      <c r="H1225" s="3">
        <v>3.4</v>
      </c>
      <c r="I1225" s="3">
        <v>1.3</v>
      </c>
    </row>
    <row r="1226" spans="1:9" x14ac:dyDescent="0.25">
      <c r="A1226" s="9">
        <v>35049</v>
      </c>
      <c r="B1226" s="4">
        <v>561</v>
      </c>
      <c r="C1226" s="4">
        <v>225</v>
      </c>
      <c r="D1226" s="4">
        <v>24</v>
      </c>
      <c r="E1226" s="4">
        <v>244</v>
      </c>
      <c r="F1226" s="4">
        <v>11997</v>
      </c>
      <c r="G1226" s="4">
        <v>129.10000000000002</v>
      </c>
      <c r="H1226" s="3">
        <v>3.9333333333333336</v>
      </c>
      <c r="I1226" s="3">
        <v>1.8266666666666669</v>
      </c>
    </row>
    <row r="1227" spans="1:9" x14ac:dyDescent="0.25">
      <c r="A1227" s="9">
        <v>35051</v>
      </c>
      <c r="B1227" s="4">
        <v>40</v>
      </c>
      <c r="C1227" s="4">
        <v>11</v>
      </c>
      <c r="D1227" s="4">
        <v>14</v>
      </c>
      <c r="E1227" s="4">
        <v>11</v>
      </c>
      <c r="F1227" s="4">
        <v>338</v>
      </c>
      <c r="G1227" s="4">
        <v>4.0999999999999996</v>
      </c>
      <c r="H1227" s="3">
        <v>3.1</v>
      </c>
      <c r="I1227" s="3">
        <v>0.94</v>
      </c>
    </row>
    <row r="1228" spans="1:9" x14ac:dyDescent="0.25">
      <c r="A1228" s="9">
        <v>35053</v>
      </c>
      <c r="B1228" s="4">
        <v>42</v>
      </c>
      <c r="C1228" s="4">
        <v>24</v>
      </c>
      <c r="D1228" s="4">
        <v>14</v>
      </c>
      <c r="E1228" s="4">
        <v>24</v>
      </c>
      <c r="F1228" s="4">
        <v>338</v>
      </c>
      <c r="G1228" s="4">
        <v>4.0999999999999996</v>
      </c>
      <c r="H1228" s="3">
        <v>3.1</v>
      </c>
      <c r="I1228" s="3">
        <v>0.97</v>
      </c>
    </row>
    <row r="1229" spans="1:9" x14ac:dyDescent="0.25">
      <c r="A1229" s="9">
        <v>35055</v>
      </c>
      <c r="B1229" s="4">
        <v>156</v>
      </c>
      <c r="C1229" s="4">
        <v>25</v>
      </c>
      <c r="D1229" s="4">
        <v>6</v>
      </c>
      <c r="E1229" s="4">
        <v>6</v>
      </c>
      <c r="F1229" s="4">
        <v>1335</v>
      </c>
      <c r="G1229" s="4">
        <v>12.4</v>
      </c>
      <c r="H1229" s="3">
        <v>3.7</v>
      </c>
      <c r="I1229" s="3">
        <v>1.47</v>
      </c>
    </row>
    <row r="1230" spans="1:9" x14ac:dyDescent="0.25">
      <c r="A1230" s="9">
        <v>35059</v>
      </c>
      <c r="B1230" s="4">
        <v>23</v>
      </c>
      <c r="C1230" s="4">
        <v>50</v>
      </c>
      <c r="D1230" s="4">
        <v>14</v>
      </c>
      <c r="E1230" s="4">
        <v>50</v>
      </c>
      <c r="F1230" s="4">
        <v>248</v>
      </c>
      <c r="G1230" s="4">
        <v>4.4000000000000004</v>
      </c>
      <c r="H1230" s="3">
        <v>3.3499999999999996</v>
      </c>
      <c r="I1230" s="3">
        <v>1.0550000000000002</v>
      </c>
    </row>
    <row r="1231" spans="1:9" x14ac:dyDescent="0.25">
      <c r="A1231" s="9">
        <v>36001</v>
      </c>
      <c r="B1231" s="4">
        <v>2227</v>
      </c>
      <c r="C1231" s="4">
        <v>1302</v>
      </c>
      <c r="D1231" s="4">
        <v>81</v>
      </c>
      <c r="E1231" s="4">
        <v>1322</v>
      </c>
      <c r="F1231" s="4">
        <v>68100</v>
      </c>
      <c r="G1231" s="4">
        <v>963.9</v>
      </c>
      <c r="H1231" s="3">
        <v>5.65</v>
      </c>
      <c r="I1231" s="3">
        <v>1.7533333333333332</v>
      </c>
    </row>
    <row r="1232" spans="1:9" x14ac:dyDescent="0.25">
      <c r="A1232" s="9">
        <v>36003</v>
      </c>
      <c r="B1232" s="4">
        <v>88</v>
      </c>
      <c r="C1232" s="4">
        <v>69</v>
      </c>
      <c r="D1232" s="4">
        <v>6</v>
      </c>
      <c r="E1232" s="4">
        <v>69</v>
      </c>
      <c r="F1232" s="4">
        <v>1761</v>
      </c>
      <c r="G1232" s="4">
        <v>24.3</v>
      </c>
      <c r="H1232" s="3">
        <v>6.55</v>
      </c>
      <c r="I1232" s="3">
        <v>1.0249999999999999</v>
      </c>
    </row>
    <row r="1233" spans="1:9" x14ac:dyDescent="0.25">
      <c r="A1233" s="9">
        <v>36005</v>
      </c>
      <c r="B1233" s="4">
        <v>3994</v>
      </c>
      <c r="C1233" s="4">
        <v>2944</v>
      </c>
      <c r="D1233" s="4">
        <v>201</v>
      </c>
      <c r="E1233" s="4">
        <v>2944</v>
      </c>
      <c r="F1233" s="4">
        <v>172496</v>
      </c>
      <c r="G1233" s="4">
        <v>2400.6999999999998</v>
      </c>
      <c r="H1233" s="3">
        <v>5.2428571428571429</v>
      </c>
      <c r="I1233" s="3">
        <v>1.5483333333333336</v>
      </c>
    </row>
    <row r="1234" spans="1:9" x14ac:dyDescent="0.25">
      <c r="A1234" s="9">
        <v>36007</v>
      </c>
      <c r="B1234" s="4">
        <v>1093</v>
      </c>
      <c r="C1234" s="4">
        <v>534</v>
      </c>
      <c r="D1234" s="4">
        <v>47</v>
      </c>
      <c r="E1234" s="4">
        <v>661</v>
      </c>
      <c r="F1234" s="4">
        <v>24939</v>
      </c>
      <c r="G1234" s="4">
        <v>332.70000000000005</v>
      </c>
      <c r="H1234" s="3">
        <v>4.8499999999999996</v>
      </c>
      <c r="I1234" s="3">
        <v>1.645</v>
      </c>
    </row>
    <row r="1235" spans="1:9" x14ac:dyDescent="0.25">
      <c r="A1235" s="9">
        <v>36009</v>
      </c>
      <c r="B1235" s="4">
        <v>287</v>
      </c>
      <c r="C1235" s="4">
        <v>260</v>
      </c>
      <c r="D1235" s="4">
        <v>14</v>
      </c>
      <c r="E1235" s="4">
        <v>260</v>
      </c>
      <c r="F1235" s="4">
        <v>10425</v>
      </c>
      <c r="G1235" s="4">
        <v>151.1</v>
      </c>
      <c r="H1235" s="3">
        <v>5.6</v>
      </c>
      <c r="I1235" s="3">
        <v>1.38</v>
      </c>
    </row>
    <row r="1236" spans="1:9" x14ac:dyDescent="0.25">
      <c r="A1236" s="9">
        <v>36011</v>
      </c>
      <c r="B1236" s="4">
        <v>213</v>
      </c>
      <c r="C1236" s="4">
        <v>85</v>
      </c>
      <c r="D1236" s="4">
        <v>14</v>
      </c>
      <c r="E1236" s="4">
        <v>85</v>
      </c>
      <c r="F1236" s="4">
        <v>4466</v>
      </c>
      <c r="G1236" s="4">
        <v>47.1</v>
      </c>
      <c r="H1236" s="3">
        <v>4</v>
      </c>
      <c r="I1236" s="3">
        <v>1.34</v>
      </c>
    </row>
    <row r="1237" spans="1:9" x14ac:dyDescent="0.25">
      <c r="A1237" s="9">
        <v>36013</v>
      </c>
      <c r="B1237" s="4">
        <v>467</v>
      </c>
      <c r="C1237" s="4">
        <v>208</v>
      </c>
      <c r="D1237" s="4">
        <v>26</v>
      </c>
      <c r="E1237" s="4">
        <v>208</v>
      </c>
      <c r="F1237" s="4">
        <v>7746</v>
      </c>
      <c r="G1237" s="4">
        <v>93.199999999999989</v>
      </c>
      <c r="H1237" s="3">
        <v>4.4666666666666659</v>
      </c>
      <c r="I1237" s="3">
        <v>1.1425000000000001</v>
      </c>
    </row>
    <row r="1238" spans="1:9" x14ac:dyDescent="0.25">
      <c r="A1238" s="9">
        <v>36015</v>
      </c>
      <c r="B1238" s="4">
        <v>314</v>
      </c>
      <c r="C1238" s="4">
        <v>245</v>
      </c>
      <c r="D1238" s="4">
        <v>20</v>
      </c>
      <c r="E1238" s="4">
        <v>245</v>
      </c>
      <c r="F1238" s="4">
        <v>11229</v>
      </c>
      <c r="G1238" s="4">
        <v>137.9</v>
      </c>
      <c r="H1238" s="3">
        <v>12.45</v>
      </c>
      <c r="I1238" s="3">
        <v>1.29</v>
      </c>
    </row>
    <row r="1239" spans="1:9" x14ac:dyDescent="0.25">
      <c r="A1239" s="9">
        <v>36017</v>
      </c>
      <c r="B1239" s="4">
        <v>75</v>
      </c>
      <c r="C1239" s="4">
        <v>58</v>
      </c>
      <c r="D1239" s="4">
        <v>7</v>
      </c>
      <c r="E1239" s="4">
        <v>58</v>
      </c>
      <c r="F1239" s="4">
        <v>1184</v>
      </c>
      <c r="G1239" s="4">
        <v>10</v>
      </c>
      <c r="H1239" s="3">
        <v>3.6</v>
      </c>
      <c r="I1239" s="3">
        <v>1.35</v>
      </c>
    </row>
    <row r="1240" spans="1:9" x14ac:dyDescent="0.25">
      <c r="A1240" s="9">
        <v>36019</v>
      </c>
      <c r="B1240" s="4">
        <v>370</v>
      </c>
      <c r="C1240" s="4">
        <v>300</v>
      </c>
      <c r="D1240" s="4">
        <v>21</v>
      </c>
      <c r="E1240" s="4">
        <v>300</v>
      </c>
      <c r="F1240" s="4">
        <v>9754</v>
      </c>
      <c r="G1240" s="4">
        <v>131.69999999999999</v>
      </c>
      <c r="H1240" s="3">
        <v>5.0999999999999996</v>
      </c>
      <c r="I1240" s="3">
        <v>1.5</v>
      </c>
    </row>
    <row r="1241" spans="1:9" x14ac:dyDescent="0.25">
      <c r="A1241" s="9">
        <v>36021</v>
      </c>
      <c r="B1241" s="4">
        <v>286</v>
      </c>
      <c r="C1241" s="4">
        <v>95</v>
      </c>
      <c r="D1241" s="4">
        <v>9</v>
      </c>
      <c r="E1241" s="4">
        <v>95</v>
      </c>
      <c r="F1241" s="4">
        <v>4342</v>
      </c>
      <c r="G1241" s="4">
        <v>62.6</v>
      </c>
      <c r="H1241" s="3">
        <v>5.4</v>
      </c>
      <c r="I1241" s="3">
        <v>1.45</v>
      </c>
    </row>
    <row r="1242" spans="1:9" x14ac:dyDescent="0.25">
      <c r="A1242" s="9">
        <v>36023</v>
      </c>
      <c r="B1242" s="4">
        <v>163</v>
      </c>
      <c r="C1242" s="4">
        <v>103</v>
      </c>
      <c r="D1242" s="4">
        <v>12</v>
      </c>
      <c r="E1242" s="4">
        <v>103</v>
      </c>
      <c r="F1242" s="4">
        <v>3130</v>
      </c>
      <c r="G1242" s="4">
        <v>31.4</v>
      </c>
      <c r="H1242" s="3">
        <v>3.8</v>
      </c>
      <c r="I1242" s="3">
        <v>1.39</v>
      </c>
    </row>
    <row r="1243" spans="1:9" x14ac:dyDescent="0.25">
      <c r="A1243" s="9">
        <v>36025</v>
      </c>
      <c r="B1243" s="4">
        <v>103</v>
      </c>
      <c r="C1243" s="4">
        <v>56</v>
      </c>
      <c r="D1243" s="4">
        <v>14</v>
      </c>
      <c r="E1243" s="4">
        <v>56</v>
      </c>
      <c r="F1243" s="4">
        <v>636</v>
      </c>
      <c r="G1243" s="4">
        <v>20.399999999999999</v>
      </c>
      <c r="H1243" s="3">
        <v>2.7666666666666671</v>
      </c>
      <c r="I1243" s="3">
        <v>0.95000000000000007</v>
      </c>
    </row>
    <row r="1244" spans="1:9" x14ac:dyDescent="0.25">
      <c r="A1244" s="9">
        <v>36027</v>
      </c>
      <c r="B1244" s="4">
        <v>981</v>
      </c>
      <c r="C1244" s="4">
        <v>624</v>
      </c>
      <c r="D1244" s="4">
        <v>27</v>
      </c>
      <c r="E1244" s="4">
        <v>624</v>
      </c>
      <c r="F1244" s="4">
        <v>32224</v>
      </c>
      <c r="G1244" s="4">
        <v>411.4</v>
      </c>
      <c r="H1244" s="3">
        <v>4.9000000000000004</v>
      </c>
      <c r="I1244" s="3">
        <v>1.67</v>
      </c>
    </row>
    <row r="1245" spans="1:9" x14ac:dyDescent="0.25">
      <c r="A1245" s="9">
        <v>36029</v>
      </c>
      <c r="B1245" s="4">
        <v>3380</v>
      </c>
      <c r="C1245" s="4">
        <v>2364</v>
      </c>
      <c r="D1245" s="4">
        <v>190</v>
      </c>
      <c r="E1245" s="4">
        <v>2175</v>
      </c>
      <c r="F1245" s="4">
        <v>116839</v>
      </c>
      <c r="G1245" s="4">
        <v>1688.9</v>
      </c>
      <c r="H1245" s="3">
        <v>5.5625</v>
      </c>
      <c r="I1245" s="3">
        <v>1.74</v>
      </c>
    </row>
    <row r="1246" spans="1:9" x14ac:dyDescent="0.25">
      <c r="A1246" s="9">
        <v>36031</v>
      </c>
      <c r="B1246" s="4">
        <v>51</v>
      </c>
      <c r="C1246" s="4">
        <v>25</v>
      </c>
      <c r="D1246" s="4">
        <v>14</v>
      </c>
      <c r="E1246" s="4">
        <v>25</v>
      </c>
      <c r="F1246" s="4">
        <v>354</v>
      </c>
      <c r="G1246" s="4">
        <v>10.8</v>
      </c>
      <c r="H1246" s="3">
        <v>2.6500000000000004</v>
      </c>
      <c r="I1246" s="3">
        <v>0.86</v>
      </c>
    </row>
    <row r="1247" spans="1:9" x14ac:dyDescent="0.25">
      <c r="A1247" s="9">
        <v>36033</v>
      </c>
      <c r="B1247" s="4">
        <v>222</v>
      </c>
      <c r="C1247" s="4">
        <v>126</v>
      </c>
      <c r="D1247" s="4">
        <v>12</v>
      </c>
      <c r="E1247" s="4">
        <v>126</v>
      </c>
      <c r="F1247" s="4">
        <v>3656</v>
      </c>
      <c r="G1247" s="4">
        <v>35.200000000000003</v>
      </c>
      <c r="H1247" s="3">
        <v>3.7</v>
      </c>
      <c r="I1247" s="3">
        <v>1.46</v>
      </c>
    </row>
    <row r="1248" spans="1:9" x14ac:dyDescent="0.25">
      <c r="A1248" s="9">
        <v>36035</v>
      </c>
      <c r="B1248" s="4">
        <v>115</v>
      </c>
      <c r="C1248" s="4">
        <v>58</v>
      </c>
      <c r="D1248" s="4">
        <v>8</v>
      </c>
      <c r="E1248" s="4">
        <v>58</v>
      </c>
      <c r="F1248" s="4">
        <v>2407</v>
      </c>
      <c r="G1248" s="4">
        <v>21.1</v>
      </c>
      <c r="H1248" s="3">
        <v>3.5</v>
      </c>
      <c r="I1248" s="3">
        <v>1.4</v>
      </c>
    </row>
    <row r="1249" spans="1:9" x14ac:dyDescent="0.25">
      <c r="A1249" s="9">
        <v>36037</v>
      </c>
      <c r="B1249" s="4">
        <v>213</v>
      </c>
      <c r="C1249" s="4">
        <v>133</v>
      </c>
      <c r="D1249" s="4">
        <v>10</v>
      </c>
      <c r="E1249" s="4">
        <v>131</v>
      </c>
      <c r="F1249" s="4">
        <v>4362</v>
      </c>
      <c r="G1249" s="4">
        <v>49.7</v>
      </c>
      <c r="H1249" s="3">
        <v>4.4000000000000004</v>
      </c>
      <c r="I1249" s="3">
        <v>1.36</v>
      </c>
    </row>
    <row r="1250" spans="1:9" x14ac:dyDescent="0.25">
      <c r="A1250" s="9">
        <v>36043</v>
      </c>
      <c r="B1250" s="4">
        <v>35</v>
      </c>
      <c r="C1250" s="4">
        <v>25</v>
      </c>
      <c r="D1250" s="4">
        <v>14</v>
      </c>
      <c r="E1250" s="4">
        <v>25</v>
      </c>
      <c r="F1250" s="4">
        <v>675</v>
      </c>
      <c r="G1250" s="4">
        <v>15.3</v>
      </c>
      <c r="H1250" s="3">
        <v>4.5</v>
      </c>
      <c r="I1250" s="3">
        <v>0.92</v>
      </c>
    </row>
    <row r="1251" spans="1:9" x14ac:dyDescent="0.25">
      <c r="A1251" s="9">
        <v>36045</v>
      </c>
      <c r="B1251" s="4">
        <v>505</v>
      </c>
      <c r="C1251" s="4">
        <v>287</v>
      </c>
      <c r="D1251" s="4">
        <v>10</v>
      </c>
      <c r="E1251" s="4">
        <v>287</v>
      </c>
      <c r="F1251" s="4">
        <v>8163</v>
      </c>
      <c r="G1251" s="4">
        <v>188.3</v>
      </c>
      <c r="H1251" s="3">
        <v>3.9666666666666663</v>
      </c>
      <c r="I1251" s="3">
        <v>1.0966666666666667</v>
      </c>
    </row>
    <row r="1252" spans="1:9" x14ac:dyDescent="0.25">
      <c r="A1252" s="9">
        <v>36047</v>
      </c>
      <c r="B1252" s="4">
        <v>5674</v>
      </c>
      <c r="C1252" s="4">
        <v>3986</v>
      </c>
      <c r="D1252" s="4">
        <v>248</v>
      </c>
      <c r="E1252" s="4">
        <v>4198</v>
      </c>
      <c r="F1252" s="4">
        <v>217941</v>
      </c>
      <c r="G1252" s="4">
        <v>3198.2000000000003</v>
      </c>
      <c r="H1252" s="3">
        <v>5.6933333333333325</v>
      </c>
      <c r="I1252" s="3">
        <v>1.6491666666666669</v>
      </c>
    </row>
    <row r="1253" spans="1:9" x14ac:dyDescent="0.25">
      <c r="A1253" s="9">
        <v>36049</v>
      </c>
      <c r="B1253" s="4">
        <v>99</v>
      </c>
      <c r="C1253" s="4">
        <v>25</v>
      </c>
      <c r="D1253" s="4">
        <v>6</v>
      </c>
      <c r="E1253" s="4">
        <v>25</v>
      </c>
      <c r="F1253" s="4">
        <v>1030</v>
      </c>
      <c r="G1253" s="4">
        <v>11.6</v>
      </c>
      <c r="H1253" s="3">
        <v>3</v>
      </c>
      <c r="I1253" s="3">
        <v>1.1499999999999999</v>
      </c>
    </row>
    <row r="1254" spans="1:9" x14ac:dyDescent="0.25">
      <c r="A1254" s="9">
        <v>36051</v>
      </c>
      <c r="B1254" s="4">
        <v>160</v>
      </c>
      <c r="C1254" s="4">
        <v>67</v>
      </c>
      <c r="D1254" s="4">
        <v>14</v>
      </c>
      <c r="E1254" s="4">
        <v>67</v>
      </c>
      <c r="F1254" s="4">
        <v>2351</v>
      </c>
      <c r="G1254" s="4">
        <v>20.6</v>
      </c>
      <c r="H1254" s="3">
        <v>3.5</v>
      </c>
      <c r="I1254" s="3">
        <v>1.29</v>
      </c>
    </row>
    <row r="1255" spans="1:9" x14ac:dyDescent="0.25">
      <c r="A1255" s="9">
        <v>36053</v>
      </c>
      <c r="B1255" s="4">
        <v>283</v>
      </c>
      <c r="C1255" s="4">
        <v>126</v>
      </c>
      <c r="D1255" s="4">
        <v>6</v>
      </c>
      <c r="E1255" s="4">
        <v>126</v>
      </c>
      <c r="F1255" s="4">
        <v>3729</v>
      </c>
      <c r="G1255" s="4">
        <v>38.299999999999997</v>
      </c>
      <c r="H1255" s="3">
        <v>3.25</v>
      </c>
      <c r="I1255" s="3">
        <v>1.54</v>
      </c>
    </row>
    <row r="1256" spans="1:9" x14ac:dyDescent="0.25">
      <c r="A1256" s="9">
        <v>36055</v>
      </c>
      <c r="B1256" s="4">
        <v>4274</v>
      </c>
      <c r="C1256" s="4">
        <v>1732</v>
      </c>
      <c r="D1256" s="4">
        <v>154</v>
      </c>
      <c r="E1256" s="4">
        <v>1732</v>
      </c>
      <c r="F1256" s="4">
        <v>103384</v>
      </c>
      <c r="G1256" s="4">
        <v>1606.6000000000004</v>
      </c>
      <c r="H1256" s="3">
        <v>5.6</v>
      </c>
      <c r="I1256" s="3">
        <v>1.7825</v>
      </c>
    </row>
    <row r="1257" spans="1:9" x14ac:dyDescent="0.25">
      <c r="A1257" s="9">
        <v>36057</v>
      </c>
      <c r="B1257" s="4">
        <v>211</v>
      </c>
      <c r="C1257" s="4">
        <v>100</v>
      </c>
      <c r="D1257" s="4">
        <v>8</v>
      </c>
      <c r="E1257" s="4">
        <v>100</v>
      </c>
      <c r="F1257" s="4">
        <v>4513</v>
      </c>
      <c r="G1257" s="4">
        <v>62.1</v>
      </c>
      <c r="H1257" s="3">
        <v>5.2</v>
      </c>
      <c r="I1257" s="3">
        <v>1.38</v>
      </c>
    </row>
    <row r="1258" spans="1:9" x14ac:dyDescent="0.25">
      <c r="A1258" s="9">
        <v>36059</v>
      </c>
      <c r="B1258" s="4">
        <v>8091</v>
      </c>
      <c r="C1258" s="4">
        <v>4267</v>
      </c>
      <c r="D1258" s="4">
        <v>271</v>
      </c>
      <c r="E1258" s="4">
        <v>3985</v>
      </c>
      <c r="F1258" s="4">
        <v>235467</v>
      </c>
      <c r="G1258" s="4">
        <v>3255.0000000000005</v>
      </c>
      <c r="H1258" s="3">
        <v>5.0499999999999989</v>
      </c>
      <c r="I1258" s="3">
        <v>1.6180000000000003</v>
      </c>
    </row>
    <row r="1259" spans="1:9" x14ac:dyDescent="0.25">
      <c r="A1259" s="9">
        <v>36061</v>
      </c>
      <c r="B1259" s="4">
        <v>17278</v>
      </c>
      <c r="C1259" s="4">
        <v>8218</v>
      </c>
      <c r="D1259" s="4">
        <v>725</v>
      </c>
      <c r="E1259" s="4">
        <v>7852</v>
      </c>
      <c r="F1259" s="4">
        <v>409914</v>
      </c>
      <c r="G1259" s="4">
        <v>6828.8000000000029</v>
      </c>
      <c r="H1259" s="3">
        <v>408.51764705882351</v>
      </c>
      <c r="I1259" s="3">
        <v>1.9124999999999999</v>
      </c>
    </row>
    <row r="1260" spans="1:9" x14ac:dyDescent="0.25">
      <c r="A1260" s="9">
        <v>36063</v>
      </c>
      <c r="B1260" s="4">
        <v>536</v>
      </c>
      <c r="C1260" s="4">
        <v>443</v>
      </c>
      <c r="D1260" s="4">
        <v>32</v>
      </c>
      <c r="E1260" s="4">
        <v>443</v>
      </c>
      <c r="F1260" s="4">
        <v>13469</v>
      </c>
      <c r="G1260" s="4">
        <v>216.10000000000002</v>
      </c>
      <c r="H1260" s="3">
        <v>6.0666666666666664</v>
      </c>
      <c r="I1260" s="3">
        <v>1.3500000000000003</v>
      </c>
    </row>
    <row r="1261" spans="1:9" x14ac:dyDescent="0.25">
      <c r="A1261" s="9">
        <v>36065</v>
      </c>
      <c r="B1261" s="4">
        <v>734</v>
      </c>
      <c r="C1261" s="4">
        <v>487</v>
      </c>
      <c r="D1261" s="4">
        <v>26</v>
      </c>
      <c r="E1261" s="4">
        <v>653</v>
      </c>
      <c r="F1261" s="4">
        <v>24483</v>
      </c>
      <c r="G1261" s="4">
        <v>311.70000000000005</v>
      </c>
      <c r="H1261" s="3">
        <v>4.7</v>
      </c>
      <c r="I1261" s="3">
        <v>1.4833333333333334</v>
      </c>
    </row>
    <row r="1262" spans="1:9" x14ac:dyDescent="0.25">
      <c r="A1262" s="9">
        <v>36067</v>
      </c>
      <c r="B1262" s="4">
        <v>1904</v>
      </c>
      <c r="C1262" s="4">
        <v>1578</v>
      </c>
      <c r="D1262" s="4">
        <v>118</v>
      </c>
      <c r="E1262" s="4">
        <v>1884</v>
      </c>
      <c r="F1262" s="4">
        <v>75818</v>
      </c>
      <c r="G1262" s="4">
        <v>1129.2</v>
      </c>
      <c r="H1262" s="3">
        <v>5.2666666666666666</v>
      </c>
      <c r="I1262" s="3">
        <v>1.7933333333333332</v>
      </c>
    </row>
    <row r="1263" spans="1:9" x14ac:dyDescent="0.25">
      <c r="A1263" s="9">
        <v>36069</v>
      </c>
      <c r="B1263" s="4">
        <v>473</v>
      </c>
      <c r="C1263" s="4">
        <v>307</v>
      </c>
      <c r="D1263" s="4">
        <v>27</v>
      </c>
      <c r="E1263" s="4">
        <v>307</v>
      </c>
      <c r="F1263" s="4">
        <v>10158</v>
      </c>
      <c r="G1263" s="4">
        <v>135</v>
      </c>
      <c r="H1263" s="3">
        <v>5.3999999999999995</v>
      </c>
      <c r="I1263" s="3">
        <v>1.3833333333333335</v>
      </c>
    </row>
    <row r="1264" spans="1:9" x14ac:dyDescent="0.25">
      <c r="A1264" s="9">
        <v>36071</v>
      </c>
      <c r="B1264" s="4">
        <v>1133</v>
      </c>
      <c r="C1264" s="4">
        <v>680</v>
      </c>
      <c r="D1264" s="4">
        <v>76</v>
      </c>
      <c r="E1264" s="4">
        <v>680</v>
      </c>
      <c r="F1264" s="4">
        <v>36255</v>
      </c>
      <c r="G1264" s="4">
        <v>442.4</v>
      </c>
      <c r="H1264" s="3">
        <v>4.55</v>
      </c>
      <c r="I1264" s="3">
        <v>1.4500000000000002</v>
      </c>
    </row>
    <row r="1265" spans="1:9" x14ac:dyDescent="0.25">
      <c r="A1265" s="9">
        <v>36073</v>
      </c>
      <c r="B1265" s="4">
        <v>58</v>
      </c>
      <c r="C1265" s="4">
        <v>25</v>
      </c>
      <c r="D1265" s="4">
        <v>14</v>
      </c>
      <c r="E1265" s="4">
        <v>25</v>
      </c>
      <c r="F1265" s="4">
        <v>291</v>
      </c>
      <c r="G1265" s="4">
        <v>7.6</v>
      </c>
      <c r="H1265" s="3">
        <v>4.3</v>
      </c>
      <c r="I1265" s="3">
        <v>1.17</v>
      </c>
    </row>
    <row r="1266" spans="1:9" x14ac:dyDescent="0.25">
      <c r="A1266" s="9">
        <v>36075</v>
      </c>
      <c r="B1266" s="4">
        <v>493</v>
      </c>
      <c r="C1266" s="4">
        <v>132</v>
      </c>
      <c r="D1266" s="4">
        <v>8</v>
      </c>
      <c r="E1266" s="4">
        <v>132</v>
      </c>
      <c r="F1266" s="4">
        <v>4399</v>
      </c>
      <c r="G1266" s="4">
        <v>50.6</v>
      </c>
      <c r="H1266" s="3">
        <v>4.8000000000000007</v>
      </c>
      <c r="I1266" s="3">
        <v>1.4</v>
      </c>
    </row>
    <row r="1267" spans="1:9" x14ac:dyDescent="0.25">
      <c r="A1267" s="9">
        <v>36077</v>
      </c>
      <c r="B1267" s="4">
        <v>611</v>
      </c>
      <c r="C1267" s="4">
        <v>220</v>
      </c>
      <c r="D1267" s="4">
        <v>14</v>
      </c>
      <c r="E1267" s="4">
        <v>220</v>
      </c>
      <c r="F1267" s="4">
        <v>11078</v>
      </c>
      <c r="G1267" s="4">
        <v>137.4</v>
      </c>
      <c r="H1267" s="3">
        <v>4.4000000000000004</v>
      </c>
      <c r="I1267" s="3">
        <v>1.4649999999999999</v>
      </c>
    </row>
    <row r="1268" spans="1:9" x14ac:dyDescent="0.25">
      <c r="A1268" s="9">
        <v>36079</v>
      </c>
      <c r="B1268" s="4">
        <v>196</v>
      </c>
      <c r="C1268" s="4">
        <v>120</v>
      </c>
      <c r="D1268" s="4">
        <v>10</v>
      </c>
      <c r="E1268" s="4">
        <v>120</v>
      </c>
      <c r="F1268" s="4">
        <v>4901</v>
      </c>
      <c r="G1268" s="4">
        <v>45.5</v>
      </c>
      <c r="H1268" s="3">
        <v>3.6</v>
      </c>
      <c r="I1268" s="3">
        <v>1.56</v>
      </c>
    </row>
    <row r="1269" spans="1:9" x14ac:dyDescent="0.25">
      <c r="A1269" s="9">
        <v>36081</v>
      </c>
      <c r="B1269" s="4">
        <v>2803</v>
      </c>
      <c r="C1269" s="4">
        <v>1760</v>
      </c>
      <c r="D1269" s="4">
        <v>92</v>
      </c>
      <c r="E1269" s="4">
        <v>2535</v>
      </c>
      <c r="F1269" s="4">
        <v>102946</v>
      </c>
      <c r="G1269" s="4">
        <v>1453</v>
      </c>
      <c r="H1269" s="3">
        <v>5.4624999999999995</v>
      </c>
      <c r="I1269" s="3">
        <v>1.5649999999999997</v>
      </c>
    </row>
    <row r="1270" spans="1:9" x14ac:dyDescent="0.25">
      <c r="A1270" s="9">
        <v>36083</v>
      </c>
      <c r="B1270" s="4">
        <v>534</v>
      </c>
      <c r="C1270" s="4">
        <v>257</v>
      </c>
      <c r="D1270" s="4">
        <v>24</v>
      </c>
      <c r="E1270" s="4">
        <v>257</v>
      </c>
      <c r="F1270" s="4">
        <v>9336</v>
      </c>
      <c r="G1270" s="4">
        <v>156.80000000000001</v>
      </c>
      <c r="H1270" s="3">
        <v>9.4499999999999993</v>
      </c>
      <c r="I1270" s="3">
        <v>1.1300000000000001</v>
      </c>
    </row>
    <row r="1271" spans="1:9" x14ac:dyDescent="0.25">
      <c r="A1271" s="9">
        <v>36085</v>
      </c>
      <c r="B1271" s="4">
        <v>1453</v>
      </c>
      <c r="C1271" s="4">
        <v>803</v>
      </c>
      <c r="D1271" s="4">
        <v>62</v>
      </c>
      <c r="E1271" s="4">
        <v>997</v>
      </c>
      <c r="F1271" s="4">
        <v>48578</v>
      </c>
      <c r="G1271" s="4">
        <v>667</v>
      </c>
      <c r="H1271" s="3">
        <v>5.25</v>
      </c>
      <c r="I1271" s="3">
        <v>1.7000000000000002</v>
      </c>
    </row>
    <row r="1272" spans="1:9" x14ac:dyDescent="0.25">
      <c r="A1272" s="9">
        <v>36087</v>
      </c>
      <c r="B1272" s="4">
        <v>963</v>
      </c>
      <c r="C1272" s="4">
        <v>495</v>
      </c>
      <c r="D1272" s="4">
        <v>14</v>
      </c>
      <c r="E1272" s="4">
        <v>495</v>
      </c>
      <c r="F1272" s="4">
        <v>25246</v>
      </c>
      <c r="G1272" s="4">
        <v>322.60000000000002</v>
      </c>
      <c r="H1272" s="3">
        <v>5.0999999999999996</v>
      </c>
      <c r="I1272" s="3">
        <v>1.4733333333333334</v>
      </c>
    </row>
    <row r="1273" spans="1:9" x14ac:dyDescent="0.25">
      <c r="A1273" s="9">
        <v>36089</v>
      </c>
      <c r="B1273" s="4">
        <v>426</v>
      </c>
      <c r="C1273" s="4">
        <v>276</v>
      </c>
      <c r="D1273" s="4">
        <v>20</v>
      </c>
      <c r="E1273" s="4">
        <v>276</v>
      </c>
      <c r="F1273" s="4">
        <v>8862</v>
      </c>
      <c r="G1273" s="4">
        <v>136.9</v>
      </c>
      <c r="H1273" s="3">
        <v>4.3800000000000008</v>
      </c>
      <c r="I1273" s="3">
        <v>1.19</v>
      </c>
    </row>
    <row r="1274" spans="1:9" x14ac:dyDescent="0.25">
      <c r="A1274" s="9">
        <v>36091</v>
      </c>
      <c r="B1274" s="4">
        <v>457</v>
      </c>
      <c r="C1274" s="4">
        <v>171</v>
      </c>
      <c r="D1274" s="4">
        <v>14</v>
      </c>
      <c r="E1274" s="4">
        <v>171</v>
      </c>
      <c r="F1274" s="4">
        <v>10276</v>
      </c>
      <c r="G1274" s="4">
        <v>138.1</v>
      </c>
      <c r="H1274" s="3">
        <v>5.0999999999999996</v>
      </c>
      <c r="I1274" s="3">
        <v>1.54</v>
      </c>
    </row>
    <row r="1275" spans="1:9" x14ac:dyDescent="0.25">
      <c r="A1275" s="9">
        <v>36093</v>
      </c>
      <c r="B1275" s="4">
        <v>563</v>
      </c>
      <c r="C1275" s="4">
        <v>351</v>
      </c>
      <c r="D1275" s="4">
        <v>36</v>
      </c>
      <c r="E1275" s="4">
        <v>351</v>
      </c>
      <c r="F1275" s="4">
        <v>22044</v>
      </c>
      <c r="G1275" s="4">
        <v>319.89999999999998</v>
      </c>
      <c r="H1275" s="3">
        <v>6.6333333333333329</v>
      </c>
      <c r="I1275" s="3">
        <v>1.44</v>
      </c>
    </row>
    <row r="1276" spans="1:9" x14ac:dyDescent="0.25">
      <c r="A1276" s="9">
        <v>36095</v>
      </c>
      <c r="B1276" s="4">
        <v>37</v>
      </c>
      <c r="C1276" s="4">
        <v>40</v>
      </c>
      <c r="D1276" s="4">
        <v>14</v>
      </c>
      <c r="E1276" s="4">
        <v>40</v>
      </c>
      <c r="F1276" s="4">
        <v>426</v>
      </c>
      <c r="G1276" s="4">
        <v>10.8</v>
      </c>
      <c r="H1276" s="3">
        <v>10.1</v>
      </c>
      <c r="I1276" s="3">
        <v>0.95</v>
      </c>
    </row>
    <row r="1277" spans="1:9" x14ac:dyDescent="0.25">
      <c r="A1277" s="9">
        <v>36097</v>
      </c>
      <c r="B1277" s="4">
        <v>30</v>
      </c>
      <c r="C1277" s="4">
        <v>25</v>
      </c>
      <c r="D1277" s="4">
        <v>14</v>
      </c>
      <c r="E1277" s="4">
        <v>25</v>
      </c>
      <c r="F1277" s="4">
        <v>483</v>
      </c>
      <c r="G1277" s="4">
        <v>9.9</v>
      </c>
      <c r="H1277" s="3">
        <v>3.8</v>
      </c>
      <c r="I1277" s="3">
        <v>0.95</v>
      </c>
    </row>
    <row r="1278" spans="1:9" x14ac:dyDescent="0.25">
      <c r="A1278" s="9">
        <v>36101</v>
      </c>
      <c r="B1278" s="4">
        <v>339</v>
      </c>
      <c r="C1278" s="4">
        <v>95</v>
      </c>
      <c r="D1278" s="4">
        <v>8</v>
      </c>
      <c r="E1278" s="4">
        <v>95</v>
      </c>
      <c r="F1278" s="4">
        <v>5572</v>
      </c>
      <c r="G1278" s="4">
        <v>48.6</v>
      </c>
      <c r="H1278" s="3">
        <v>3.1</v>
      </c>
      <c r="I1278" s="3">
        <v>1.2233333333333334</v>
      </c>
    </row>
    <row r="1279" spans="1:9" x14ac:dyDescent="0.25">
      <c r="A1279" s="9">
        <v>36103</v>
      </c>
      <c r="B1279" s="4">
        <v>4923</v>
      </c>
      <c r="C1279" s="4">
        <v>2747</v>
      </c>
      <c r="D1279" s="4">
        <v>250</v>
      </c>
      <c r="E1279" s="4">
        <v>2747</v>
      </c>
      <c r="F1279" s="4">
        <v>153635</v>
      </c>
      <c r="G1279" s="4">
        <v>2099.8999999999996</v>
      </c>
      <c r="H1279" s="3">
        <v>5.0999999999999996</v>
      </c>
      <c r="I1279" s="3">
        <v>1.5390000000000001</v>
      </c>
    </row>
    <row r="1280" spans="1:9" x14ac:dyDescent="0.25">
      <c r="A1280" s="9">
        <v>36105</v>
      </c>
      <c r="B1280" s="4">
        <v>195</v>
      </c>
      <c r="C1280" s="4">
        <v>99</v>
      </c>
      <c r="D1280" s="4">
        <v>14</v>
      </c>
      <c r="E1280" s="4">
        <v>99</v>
      </c>
      <c r="F1280" s="4">
        <v>3522</v>
      </c>
      <c r="G1280" s="4">
        <v>44.2</v>
      </c>
      <c r="H1280" s="3">
        <v>3.2</v>
      </c>
      <c r="I1280" s="3">
        <v>1.105</v>
      </c>
    </row>
    <row r="1281" spans="1:9" x14ac:dyDescent="0.25">
      <c r="A1281" s="9">
        <v>36109</v>
      </c>
      <c r="B1281" s="4">
        <v>389</v>
      </c>
      <c r="C1281" s="4">
        <v>163</v>
      </c>
      <c r="D1281" s="4">
        <v>16</v>
      </c>
      <c r="E1281" s="4">
        <v>163</v>
      </c>
      <c r="F1281" s="4">
        <v>6257</v>
      </c>
      <c r="G1281" s="4">
        <v>71.400000000000006</v>
      </c>
      <c r="H1281" s="3">
        <v>4.5999999999999996</v>
      </c>
      <c r="I1281" s="3">
        <v>1.48</v>
      </c>
    </row>
    <row r="1282" spans="1:9" x14ac:dyDescent="0.25">
      <c r="A1282" s="9">
        <v>36111</v>
      </c>
      <c r="B1282" s="4">
        <v>248</v>
      </c>
      <c r="C1282" s="4">
        <v>209</v>
      </c>
      <c r="D1282" s="4">
        <v>25</v>
      </c>
      <c r="E1282" s="4">
        <v>209</v>
      </c>
      <c r="F1282" s="4">
        <v>7509</v>
      </c>
      <c r="G1282" s="4">
        <v>105.3</v>
      </c>
      <c r="H1282" s="3">
        <v>4.0333333333333332</v>
      </c>
      <c r="I1282" s="3">
        <v>1.18</v>
      </c>
    </row>
    <row r="1283" spans="1:9" x14ac:dyDescent="0.25">
      <c r="A1283" s="9">
        <v>36113</v>
      </c>
      <c r="B1283" s="4">
        <v>565</v>
      </c>
      <c r="C1283" s="4">
        <v>361</v>
      </c>
      <c r="D1283" s="4">
        <v>24</v>
      </c>
      <c r="E1283" s="4">
        <v>361</v>
      </c>
      <c r="F1283" s="4">
        <v>11172</v>
      </c>
      <c r="G1283" s="4">
        <v>132.69999999999999</v>
      </c>
      <c r="H1283" s="3">
        <v>4.5999999999999996</v>
      </c>
      <c r="I1283" s="3">
        <v>1.48</v>
      </c>
    </row>
    <row r="1284" spans="1:9" x14ac:dyDescent="0.25">
      <c r="A1284" s="9">
        <v>36117</v>
      </c>
      <c r="B1284" s="4">
        <v>72</v>
      </c>
      <c r="C1284" s="4">
        <v>101</v>
      </c>
      <c r="D1284" s="4">
        <v>8</v>
      </c>
      <c r="E1284" s="4">
        <v>101</v>
      </c>
      <c r="F1284" s="4">
        <v>5139</v>
      </c>
      <c r="G1284" s="4">
        <v>50.4</v>
      </c>
      <c r="H1284" s="3">
        <v>3.8</v>
      </c>
      <c r="I1284" s="3">
        <v>1.39</v>
      </c>
    </row>
    <row r="1285" spans="1:9" x14ac:dyDescent="0.25">
      <c r="A1285" s="9">
        <v>36119</v>
      </c>
      <c r="B1285" s="4">
        <v>4065</v>
      </c>
      <c r="C1285" s="4">
        <v>2341</v>
      </c>
      <c r="D1285" s="4">
        <v>158</v>
      </c>
      <c r="E1285" s="4">
        <v>2293</v>
      </c>
      <c r="F1285" s="4">
        <v>106963</v>
      </c>
      <c r="G1285" s="4">
        <v>1630.4000000000003</v>
      </c>
      <c r="H1285" s="3">
        <v>5.4700000000000006</v>
      </c>
      <c r="I1285" s="3">
        <v>1.556</v>
      </c>
    </row>
    <row r="1286" spans="1:9" x14ac:dyDescent="0.25">
      <c r="A1286" s="9">
        <v>36121</v>
      </c>
      <c r="B1286" s="4">
        <v>110</v>
      </c>
      <c r="C1286" s="4">
        <v>50</v>
      </c>
      <c r="D1286" s="4">
        <v>5</v>
      </c>
      <c r="E1286" s="4">
        <v>50</v>
      </c>
      <c r="F1286" s="4">
        <v>1455</v>
      </c>
      <c r="G1286" s="4">
        <v>15.4</v>
      </c>
      <c r="H1286" s="3">
        <v>4</v>
      </c>
      <c r="I1286" s="3">
        <v>1.2</v>
      </c>
    </row>
    <row r="1287" spans="1:9" x14ac:dyDescent="0.25">
      <c r="A1287" s="9">
        <v>36123</v>
      </c>
      <c r="B1287" s="4">
        <v>24</v>
      </c>
      <c r="C1287" s="4">
        <v>25</v>
      </c>
      <c r="D1287" s="4">
        <v>14</v>
      </c>
      <c r="E1287" s="4">
        <v>25</v>
      </c>
      <c r="F1287" s="4">
        <v>375</v>
      </c>
      <c r="G1287" s="4">
        <v>5.8</v>
      </c>
      <c r="H1287" s="3">
        <v>2.9</v>
      </c>
      <c r="I1287" s="3">
        <v>1.03</v>
      </c>
    </row>
    <row r="1288" spans="1:9" x14ac:dyDescent="0.25">
      <c r="A1288" s="9">
        <v>37001</v>
      </c>
      <c r="B1288" s="4">
        <v>532</v>
      </c>
      <c r="C1288" s="4">
        <v>176</v>
      </c>
      <c r="D1288" s="4">
        <v>20</v>
      </c>
      <c r="E1288" s="4">
        <v>176</v>
      </c>
      <c r="F1288" s="4">
        <v>10818</v>
      </c>
      <c r="G1288" s="4">
        <v>101</v>
      </c>
      <c r="H1288" s="3">
        <v>3.6</v>
      </c>
      <c r="I1288" s="3">
        <v>1.54</v>
      </c>
    </row>
    <row r="1289" spans="1:9" x14ac:dyDescent="0.25">
      <c r="A1289" s="9">
        <v>37005</v>
      </c>
      <c r="B1289" s="4">
        <v>22</v>
      </c>
      <c r="C1289" s="4">
        <v>25</v>
      </c>
      <c r="D1289" s="4">
        <v>14</v>
      </c>
      <c r="E1289" s="4">
        <v>25</v>
      </c>
      <c r="F1289" s="4">
        <v>210</v>
      </c>
      <c r="G1289" s="4">
        <v>2.2000000000000002</v>
      </c>
      <c r="H1289" s="3">
        <v>3.6</v>
      </c>
      <c r="I1289" s="3">
        <v>0.91</v>
      </c>
    </row>
    <row r="1290" spans="1:9" x14ac:dyDescent="0.25">
      <c r="A1290" s="9">
        <v>37007</v>
      </c>
      <c r="B1290" s="4">
        <v>19</v>
      </c>
      <c r="C1290" s="4">
        <v>15</v>
      </c>
      <c r="D1290" s="4">
        <v>14</v>
      </c>
      <c r="E1290" s="4">
        <v>15</v>
      </c>
      <c r="F1290" s="4">
        <v>341</v>
      </c>
      <c r="G1290" s="4">
        <v>2.1</v>
      </c>
      <c r="H1290" s="3">
        <v>2.2000000000000002</v>
      </c>
      <c r="I1290" s="3">
        <v>1.1100000000000001</v>
      </c>
    </row>
    <row r="1291" spans="1:9" x14ac:dyDescent="0.25">
      <c r="A1291" s="9">
        <v>37009</v>
      </c>
      <c r="B1291" s="4">
        <v>61</v>
      </c>
      <c r="C1291" s="4">
        <v>25</v>
      </c>
      <c r="D1291" s="4">
        <v>14</v>
      </c>
      <c r="E1291" s="4">
        <v>25</v>
      </c>
      <c r="F1291" s="4">
        <v>1245</v>
      </c>
      <c r="G1291" s="4">
        <v>11.7</v>
      </c>
      <c r="H1291" s="3">
        <v>3.2</v>
      </c>
      <c r="I1291" s="3">
        <v>1.07</v>
      </c>
    </row>
    <row r="1292" spans="1:9" x14ac:dyDescent="0.25">
      <c r="A1292" s="9">
        <v>37011</v>
      </c>
      <c r="B1292" s="4">
        <v>49</v>
      </c>
      <c r="C1292" s="4">
        <v>21</v>
      </c>
      <c r="D1292" s="4">
        <v>14</v>
      </c>
      <c r="E1292" s="4">
        <v>21</v>
      </c>
      <c r="F1292" s="4">
        <v>415</v>
      </c>
      <c r="G1292" s="4">
        <v>4.5999999999999996</v>
      </c>
      <c r="H1292" s="3">
        <v>2.8</v>
      </c>
      <c r="I1292" s="3">
        <v>1.1100000000000001</v>
      </c>
    </row>
    <row r="1293" spans="1:9" x14ac:dyDescent="0.25">
      <c r="A1293" s="9">
        <v>37013</v>
      </c>
      <c r="B1293" s="4">
        <v>130</v>
      </c>
      <c r="C1293" s="4">
        <v>72</v>
      </c>
      <c r="D1293" s="4">
        <v>8</v>
      </c>
      <c r="E1293" s="4">
        <v>72</v>
      </c>
      <c r="F1293" s="4">
        <v>3203</v>
      </c>
      <c r="G1293" s="4">
        <v>38.299999999999997</v>
      </c>
      <c r="H1293" s="3">
        <v>3.1500000000000004</v>
      </c>
      <c r="I1293" s="3">
        <v>1.43</v>
      </c>
    </row>
    <row r="1294" spans="1:9" x14ac:dyDescent="0.25">
      <c r="A1294" s="9">
        <v>37015</v>
      </c>
      <c r="B1294" s="4">
        <v>28</v>
      </c>
      <c r="C1294" s="4">
        <v>6</v>
      </c>
      <c r="D1294" s="4">
        <v>14</v>
      </c>
      <c r="E1294" s="4">
        <v>6</v>
      </c>
      <c r="F1294" s="4">
        <v>393</v>
      </c>
      <c r="G1294" s="4">
        <v>4</v>
      </c>
      <c r="H1294" s="3">
        <v>3.3</v>
      </c>
      <c r="I1294" s="3">
        <v>1.05</v>
      </c>
    </row>
    <row r="1295" spans="1:9" x14ac:dyDescent="0.25">
      <c r="A1295" s="9">
        <v>37017</v>
      </c>
      <c r="B1295" s="4">
        <v>46</v>
      </c>
      <c r="C1295" s="4">
        <v>25</v>
      </c>
      <c r="D1295" s="4">
        <v>4</v>
      </c>
      <c r="E1295" s="4">
        <v>25</v>
      </c>
      <c r="F1295" s="4">
        <v>581</v>
      </c>
      <c r="G1295" s="4">
        <v>8.6</v>
      </c>
      <c r="H1295" s="3">
        <v>2.8</v>
      </c>
      <c r="I1295" s="3">
        <v>1.1100000000000001</v>
      </c>
    </row>
    <row r="1296" spans="1:9" x14ac:dyDescent="0.25">
      <c r="A1296" s="9">
        <v>37019</v>
      </c>
      <c r="B1296" s="4">
        <v>240</v>
      </c>
      <c r="C1296" s="4">
        <v>86</v>
      </c>
      <c r="D1296" s="4">
        <v>19</v>
      </c>
      <c r="E1296" s="4">
        <v>86</v>
      </c>
      <c r="F1296" s="4">
        <v>4958</v>
      </c>
      <c r="G1296" s="4">
        <v>45.4</v>
      </c>
      <c r="H1296" s="3">
        <v>3.1</v>
      </c>
      <c r="I1296" s="3">
        <v>1.4049999999999998</v>
      </c>
    </row>
    <row r="1297" spans="1:9" x14ac:dyDescent="0.25">
      <c r="A1297" s="9">
        <v>37021</v>
      </c>
      <c r="B1297" s="4">
        <v>1404</v>
      </c>
      <c r="C1297" s="4">
        <v>679</v>
      </c>
      <c r="D1297" s="4">
        <v>146</v>
      </c>
      <c r="E1297" s="4">
        <v>1442</v>
      </c>
      <c r="F1297" s="4">
        <v>31570</v>
      </c>
      <c r="G1297" s="4">
        <v>570.6</v>
      </c>
      <c r="H1297" s="3">
        <v>6.8</v>
      </c>
      <c r="I1297" s="3">
        <v>2.04</v>
      </c>
    </row>
    <row r="1298" spans="1:9" x14ac:dyDescent="0.25">
      <c r="A1298" s="9">
        <v>37023</v>
      </c>
      <c r="B1298" s="4">
        <v>249</v>
      </c>
      <c r="C1298" s="4">
        <v>156</v>
      </c>
      <c r="D1298" s="4">
        <v>16</v>
      </c>
      <c r="E1298" s="4">
        <v>156</v>
      </c>
      <c r="F1298" s="4">
        <v>9071</v>
      </c>
      <c r="G1298" s="4">
        <v>97.6</v>
      </c>
      <c r="H1298" s="3">
        <v>4</v>
      </c>
      <c r="I1298" s="3">
        <v>1.47</v>
      </c>
    </row>
    <row r="1299" spans="1:9" x14ac:dyDescent="0.25">
      <c r="A1299" s="9">
        <v>37025</v>
      </c>
      <c r="B1299" s="4">
        <v>536</v>
      </c>
      <c r="C1299" s="4">
        <v>447</v>
      </c>
      <c r="D1299" s="4">
        <v>15</v>
      </c>
      <c r="E1299" s="4">
        <v>447</v>
      </c>
      <c r="F1299" s="4">
        <v>25750</v>
      </c>
      <c r="G1299" s="4">
        <v>288.60000000000002</v>
      </c>
      <c r="H1299" s="3">
        <v>4.3</v>
      </c>
      <c r="I1299" s="3">
        <v>1.73</v>
      </c>
    </row>
    <row r="1300" spans="1:9" x14ac:dyDescent="0.25">
      <c r="A1300" s="9">
        <v>37027</v>
      </c>
      <c r="B1300" s="4">
        <v>160</v>
      </c>
      <c r="C1300" s="4">
        <v>110</v>
      </c>
      <c r="D1300" s="4">
        <v>12</v>
      </c>
      <c r="E1300" s="4">
        <v>110</v>
      </c>
      <c r="F1300" s="4">
        <v>4338</v>
      </c>
      <c r="G1300" s="4">
        <v>53.6</v>
      </c>
      <c r="H1300" s="3">
        <v>4.7</v>
      </c>
      <c r="I1300" s="3">
        <v>1.69</v>
      </c>
    </row>
    <row r="1301" spans="1:9" x14ac:dyDescent="0.25">
      <c r="A1301" s="9">
        <v>37031</v>
      </c>
      <c r="B1301" s="4">
        <v>276</v>
      </c>
      <c r="C1301" s="4">
        <v>99</v>
      </c>
      <c r="D1301" s="4">
        <v>8</v>
      </c>
      <c r="E1301" s="4">
        <v>99</v>
      </c>
      <c r="F1301" s="4">
        <v>5959</v>
      </c>
      <c r="G1301" s="4">
        <v>65.400000000000006</v>
      </c>
      <c r="H1301" s="3">
        <v>4.3</v>
      </c>
      <c r="I1301" s="3">
        <v>1.5</v>
      </c>
    </row>
    <row r="1302" spans="1:9" x14ac:dyDescent="0.25">
      <c r="A1302" s="9">
        <v>37035</v>
      </c>
      <c r="B1302" s="4">
        <v>600</v>
      </c>
      <c r="C1302" s="4">
        <v>426</v>
      </c>
      <c r="D1302" s="4">
        <v>52</v>
      </c>
      <c r="E1302" s="4">
        <v>426</v>
      </c>
      <c r="F1302" s="4">
        <v>19107</v>
      </c>
      <c r="G1302" s="4">
        <v>166</v>
      </c>
      <c r="H1302" s="3">
        <v>3.75</v>
      </c>
      <c r="I1302" s="3">
        <v>1.6549999999999998</v>
      </c>
    </row>
    <row r="1303" spans="1:9" x14ac:dyDescent="0.25">
      <c r="A1303" s="9">
        <v>37037</v>
      </c>
      <c r="B1303" s="4">
        <v>54</v>
      </c>
      <c r="C1303" s="4">
        <v>25</v>
      </c>
      <c r="D1303" s="4">
        <v>4</v>
      </c>
      <c r="E1303" s="4">
        <v>25</v>
      </c>
      <c r="F1303" s="4">
        <v>697</v>
      </c>
      <c r="G1303" s="4">
        <v>12.3</v>
      </c>
      <c r="H1303" s="3">
        <v>3</v>
      </c>
      <c r="I1303" s="3">
        <v>1.1299999999999999</v>
      </c>
    </row>
    <row r="1304" spans="1:9" x14ac:dyDescent="0.25">
      <c r="A1304" s="9">
        <v>37039</v>
      </c>
      <c r="B1304" s="4">
        <v>93</v>
      </c>
      <c r="C1304" s="4">
        <v>25</v>
      </c>
      <c r="D1304" s="4">
        <v>14</v>
      </c>
      <c r="E1304" s="4">
        <v>25</v>
      </c>
      <c r="F1304" s="4">
        <v>1738</v>
      </c>
      <c r="G1304" s="4">
        <v>16.5</v>
      </c>
      <c r="H1304" s="3">
        <v>3.3</v>
      </c>
      <c r="I1304" s="3">
        <v>1.45</v>
      </c>
    </row>
    <row r="1305" spans="1:9" x14ac:dyDescent="0.25">
      <c r="A1305" s="9">
        <v>37041</v>
      </c>
      <c r="B1305" s="4">
        <v>77</v>
      </c>
      <c r="C1305" s="4">
        <v>25</v>
      </c>
      <c r="D1305" s="4">
        <v>4</v>
      </c>
      <c r="E1305" s="4">
        <v>25</v>
      </c>
      <c r="F1305" s="4">
        <v>1541</v>
      </c>
      <c r="G1305" s="4">
        <v>14.1</v>
      </c>
      <c r="H1305" s="3">
        <v>2.8</v>
      </c>
      <c r="I1305" s="3">
        <v>1.33</v>
      </c>
    </row>
    <row r="1306" spans="1:9" x14ac:dyDescent="0.25">
      <c r="A1306" s="9">
        <v>37045</v>
      </c>
      <c r="B1306" s="4">
        <v>236</v>
      </c>
      <c r="C1306" s="4">
        <v>292</v>
      </c>
      <c r="D1306" s="4">
        <v>57</v>
      </c>
      <c r="E1306" s="4">
        <v>292</v>
      </c>
      <c r="F1306" s="4">
        <v>10373</v>
      </c>
      <c r="G1306" s="4">
        <v>111.1</v>
      </c>
      <c r="H1306" s="3">
        <v>4.1500000000000004</v>
      </c>
      <c r="I1306" s="3">
        <v>1.33</v>
      </c>
    </row>
    <row r="1307" spans="1:9" x14ac:dyDescent="0.25">
      <c r="A1307" s="9">
        <v>37047</v>
      </c>
      <c r="B1307" s="4">
        <v>102</v>
      </c>
      <c r="C1307" s="4">
        <v>154</v>
      </c>
      <c r="D1307" s="4">
        <v>14</v>
      </c>
      <c r="E1307" s="4">
        <v>154</v>
      </c>
      <c r="F1307" s="4">
        <v>4492</v>
      </c>
      <c r="G1307" s="4">
        <v>49.6</v>
      </c>
      <c r="H1307" s="3">
        <v>4.2</v>
      </c>
      <c r="I1307" s="3">
        <v>1.47</v>
      </c>
    </row>
    <row r="1308" spans="1:9" x14ac:dyDescent="0.25">
      <c r="A1308" s="9">
        <v>37049</v>
      </c>
      <c r="B1308" s="4">
        <v>418</v>
      </c>
      <c r="C1308" s="4">
        <v>287</v>
      </c>
      <c r="D1308" s="4">
        <v>72</v>
      </c>
      <c r="E1308" s="4">
        <v>287</v>
      </c>
      <c r="F1308" s="4">
        <v>13714</v>
      </c>
      <c r="G1308" s="4">
        <v>178.3</v>
      </c>
      <c r="H1308" s="3">
        <v>4.9000000000000004</v>
      </c>
      <c r="I1308" s="3">
        <v>1.72</v>
      </c>
    </row>
    <row r="1309" spans="1:9" x14ac:dyDescent="0.25">
      <c r="A1309" s="9">
        <v>37051</v>
      </c>
      <c r="B1309" s="4">
        <v>749</v>
      </c>
      <c r="C1309" s="4">
        <v>575</v>
      </c>
      <c r="D1309" s="4">
        <v>48</v>
      </c>
      <c r="E1309" s="4">
        <v>490</v>
      </c>
      <c r="F1309" s="4">
        <v>35994</v>
      </c>
      <c r="G1309" s="4">
        <v>481.5</v>
      </c>
      <c r="H1309" s="3">
        <v>5.0999999999999996</v>
      </c>
      <c r="I1309" s="3">
        <v>1.58</v>
      </c>
    </row>
    <row r="1310" spans="1:9" x14ac:dyDescent="0.25">
      <c r="A1310" s="9">
        <v>37055</v>
      </c>
      <c r="B1310" s="4">
        <v>93</v>
      </c>
      <c r="C1310" s="4">
        <v>21</v>
      </c>
      <c r="D1310" s="4">
        <v>14</v>
      </c>
      <c r="E1310" s="4">
        <v>21</v>
      </c>
      <c r="F1310" s="4">
        <v>1158</v>
      </c>
      <c r="G1310" s="4">
        <v>6.7</v>
      </c>
      <c r="H1310" s="3">
        <v>1.4</v>
      </c>
      <c r="I1310" s="3">
        <v>1.35</v>
      </c>
    </row>
    <row r="1311" spans="1:9" x14ac:dyDescent="0.25">
      <c r="A1311" s="9">
        <v>37057</v>
      </c>
      <c r="B1311" s="4">
        <v>251</v>
      </c>
      <c r="C1311" s="4">
        <v>154</v>
      </c>
      <c r="D1311" s="4">
        <v>29</v>
      </c>
      <c r="E1311" s="4">
        <v>154</v>
      </c>
      <c r="F1311" s="4">
        <v>7616</v>
      </c>
      <c r="G1311" s="4">
        <v>65.8</v>
      </c>
      <c r="H1311" s="3">
        <v>3.45</v>
      </c>
      <c r="I1311" s="3">
        <v>1.415</v>
      </c>
    </row>
    <row r="1312" spans="1:9" x14ac:dyDescent="0.25">
      <c r="A1312" s="9">
        <v>37059</v>
      </c>
      <c r="B1312" s="4">
        <v>38</v>
      </c>
      <c r="C1312" s="4">
        <v>49</v>
      </c>
      <c r="D1312" s="4">
        <v>14</v>
      </c>
      <c r="E1312" s="4">
        <v>50</v>
      </c>
      <c r="F1312" s="4">
        <v>1694</v>
      </c>
      <c r="G1312" s="4">
        <v>10.3</v>
      </c>
      <c r="H1312" s="3">
        <v>2.2000000000000002</v>
      </c>
      <c r="I1312" s="3">
        <v>1.73</v>
      </c>
    </row>
    <row r="1313" spans="1:9" x14ac:dyDescent="0.25">
      <c r="A1313" s="9">
        <v>37061</v>
      </c>
      <c r="B1313" s="4">
        <v>79</v>
      </c>
      <c r="C1313" s="4">
        <v>49</v>
      </c>
      <c r="D1313" s="4">
        <v>9</v>
      </c>
      <c r="E1313" s="4">
        <v>49</v>
      </c>
      <c r="F1313" s="4">
        <v>2562</v>
      </c>
      <c r="G1313" s="4">
        <v>27.2</v>
      </c>
      <c r="H1313" s="3">
        <v>4.2</v>
      </c>
      <c r="I1313" s="3">
        <v>1.38</v>
      </c>
    </row>
    <row r="1314" spans="1:9" x14ac:dyDescent="0.25">
      <c r="A1314" s="9">
        <v>37063</v>
      </c>
      <c r="B1314" s="4">
        <v>2782</v>
      </c>
      <c r="C1314" s="4">
        <v>1278</v>
      </c>
      <c r="D1314" s="4">
        <v>70</v>
      </c>
      <c r="E1314" s="4">
        <v>1328</v>
      </c>
      <c r="F1314" s="4">
        <v>60628</v>
      </c>
      <c r="G1314" s="4">
        <v>1017.1999999999999</v>
      </c>
      <c r="H1314" s="3">
        <v>4.5666666666666664</v>
      </c>
      <c r="I1314" s="3">
        <v>2.0866666666666664</v>
      </c>
    </row>
    <row r="1315" spans="1:9" x14ac:dyDescent="0.25">
      <c r="A1315" s="9">
        <v>37065</v>
      </c>
      <c r="B1315" s="4">
        <v>100</v>
      </c>
      <c r="C1315" s="4">
        <v>101</v>
      </c>
      <c r="D1315" s="4">
        <v>15</v>
      </c>
      <c r="E1315" s="4">
        <v>101</v>
      </c>
      <c r="F1315" s="4">
        <v>3259</v>
      </c>
      <c r="G1315" s="4">
        <v>36</v>
      </c>
      <c r="H1315" s="3">
        <v>4.4000000000000004</v>
      </c>
      <c r="I1315" s="3">
        <v>1.61</v>
      </c>
    </row>
    <row r="1316" spans="1:9" x14ac:dyDescent="0.25">
      <c r="A1316" s="9">
        <v>37067</v>
      </c>
      <c r="B1316" s="4">
        <v>3164</v>
      </c>
      <c r="C1316" s="4">
        <v>1708</v>
      </c>
      <c r="D1316" s="4">
        <v>180</v>
      </c>
      <c r="E1316" s="4">
        <v>1794</v>
      </c>
      <c r="F1316" s="4">
        <v>80027</v>
      </c>
      <c r="G1316" s="4">
        <v>1273.5</v>
      </c>
      <c r="H1316" s="3">
        <v>5.0333333333333341</v>
      </c>
      <c r="I1316" s="3">
        <v>1.8833333333333335</v>
      </c>
    </row>
    <row r="1317" spans="1:9" x14ac:dyDescent="0.25">
      <c r="A1317" s="9">
        <v>37069</v>
      </c>
      <c r="B1317" s="4">
        <v>80</v>
      </c>
      <c r="C1317" s="4">
        <v>49</v>
      </c>
      <c r="D1317" s="4">
        <v>14</v>
      </c>
      <c r="E1317" s="4">
        <v>49</v>
      </c>
      <c r="F1317" s="4">
        <v>177</v>
      </c>
      <c r="G1317" s="4">
        <v>1.6</v>
      </c>
      <c r="H1317" s="3">
        <v>3.2</v>
      </c>
      <c r="I1317" s="3">
        <v>1</v>
      </c>
    </row>
    <row r="1318" spans="1:9" x14ac:dyDescent="0.25">
      <c r="A1318" s="9">
        <v>37071</v>
      </c>
      <c r="B1318" s="4">
        <v>582</v>
      </c>
      <c r="C1318" s="4">
        <v>383</v>
      </c>
      <c r="D1318" s="4">
        <v>57</v>
      </c>
      <c r="E1318" s="4">
        <v>383</v>
      </c>
      <c r="F1318" s="4">
        <v>23028</v>
      </c>
      <c r="G1318" s="4">
        <v>281.39999999999998</v>
      </c>
      <c r="H1318" s="3">
        <v>4.7</v>
      </c>
      <c r="I1318" s="3">
        <v>1.73</v>
      </c>
    </row>
    <row r="1319" spans="1:9" x14ac:dyDescent="0.25">
      <c r="A1319" s="9">
        <v>37077</v>
      </c>
      <c r="B1319" s="4">
        <v>87</v>
      </c>
      <c r="C1319" s="4">
        <v>42</v>
      </c>
      <c r="D1319" s="4">
        <v>6</v>
      </c>
      <c r="E1319" s="4">
        <v>942</v>
      </c>
      <c r="F1319" s="4">
        <v>1857</v>
      </c>
      <c r="G1319" s="4">
        <v>16.2</v>
      </c>
      <c r="H1319" s="3">
        <v>3.4</v>
      </c>
      <c r="I1319" s="3">
        <v>1.35</v>
      </c>
    </row>
    <row r="1320" spans="1:9" x14ac:dyDescent="0.25">
      <c r="A1320" s="9">
        <v>37081</v>
      </c>
      <c r="B1320" s="4">
        <v>1558</v>
      </c>
      <c r="C1320" s="4">
        <v>1012</v>
      </c>
      <c r="D1320" s="4">
        <v>94</v>
      </c>
      <c r="E1320" s="4">
        <v>1143</v>
      </c>
      <c r="F1320" s="4">
        <v>60259</v>
      </c>
      <c r="G1320" s="4">
        <v>695.40000000000009</v>
      </c>
      <c r="H1320" s="3">
        <v>4.45</v>
      </c>
      <c r="I1320" s="3">
        <v>1.71</v>
      </c>
    </row>
    <row r="1321" spans="1:9" x14ac:dyDescent="0.25">
      <c r="A1321" s="9">
        <v>37083</v>
      </c>
      <c r="B1321" s="4">
        <v>137</v>
      </c>
      <c r="C1321" s="4">
        <v>106</v>
      </c>
      <c r="D1321" s="4">
        <v>16</v>
      </c>
      <c r="E1321" s="4">
        <v>106</v>
      </c>
      <c r="F1321" s="4">
        <v>4305</v>
      </c>
      <c r="G1321" s="4">
        <v>52.5</v>
      </c>
      <c r="H1321" s="3">
        <v>3.25</v>
      </c>
      <c r="I1321" s="3">
        <v>1.45</v>
      </c>
    </row>
    <row r="1322" spans="1:9" x14ac:dyDescent="0.25">
      <c r="A1322" s="9">
        <v>37085</v>
      </c>
      <c r="B1322" s="4">
        <v>123</v>
      </c>
      <c r="C1322" s="4">
        <v>126</v>
      </c>
      <c r="D1322" s="4">
        <v>14</v>
      </c>
      <c r="E1322" s="4">
        <v>227</v>
      </c>
      <c r="F1322" s="4">
        <v>5514</v>
      </c>
      <c r="G1322" s="4">
        <v>43</v>
      </c>
      <c r="H1322" s="3">
        <v>3.4</v>
      </c>
      <c r="I1322" s="3">
        <v>1.29</v>
      </c>
    </row>
    <row r="1323" spans="1:9" x14ac:dyDescent="0.25">
      <c r="A1323" s="9">
        <v>37087</v>
      </c>
      <c r="B1323" s="4">
        <v>185</v>
      </c>
      <c r="C1323" s="4">
        <v>122</v>
      </c>
      <c r="D1323" s="4">
        <v>12</v>
      </c>
      <c r="E1323" s="4">
        <v>122</v>
      </c>
      <c r="F1323" s="4">
        <v>4556</v>
      </c>
      <c r="G1323" s="4">
        <v>46</v>
      </c>
      <c r="H1323" s="3">
        <v>3.8</v>
      </c>
      <c r="I1323" s="3">
        <v>1.54</v>
      </c>
    </row>
    <row r="1324" spans="1:9" x14ac:dyDescent="0.25">
      <c r="A1324" s="9">
        <v>37089</v>
      </c>
      <c r="B1324" s="4">
        <v>505</v>
      </c>
      <c r="C1324" s="4">
        <v>233</v>
      </c>
      <c r="D1324" s="4">
        <v>27</v>
      </c>
      <c r="E1324" s="4">
        <v>233</v>
      </c>
      <c r="F1324" s="4">
        <v>11796</v>
      </c>
      <c r="G1324" s="4">
        <v>122.3</v>
      </c>
      <c r="H1324" s="3">
        <v>4.05</v>
      </c>
      <c r="I1324" s="3">
        <v>1.63</v>
      </c>
    </row>
    <row r="1325" spans="1:9" x14ac:dyDescent="0.25">
      <c r="A1325" s="9">
        <v>37091</v>
      </c>
      <c r="B1325" s="4">
        <v>79</v>
      </c>
      <c r="C1325" s="4">
        <v>70</v>
      </c>
      <c r="D1325" s="4">
        <v>10</v>
      </c>
      <c r="E1325" s="4">
        <v>70</v>
      </c>
      <c r="F1325" s="4">
        <v>3274</v>
      </c>
      <c r="G1325" s="4">
        <v>35.1</v>
      </c>
      <c r="H1325" s="3">
        <v>4.0999999999999996</v>
      </c>
      <c r="I1325" s="3">
        <v>1.38</v>
      </c>
    </row>
    <row r="1326" spans="1:9" x14ac:dyDescent="0.25">
      <c r="A1326" s="9">
        <v>37093</v>
      </c>
      <c r="B1326" s="4">
        <v>32</v>
      </c>
      <c r="C1326" s="4">
        <v>41</v>
      </c>
      <c r="D1326" s="4">
        <v>4</v>
      </c>
      <c r="E1326" s="4">
        <v>41</v>
      </c>
      <c r="F1326" s="4">
        <v>1491</v>
      </c>
      <c r="G1326" s="4">
        <v>11.2</v>
      </c>
      <c r="H1326" s="3">
        <v>2.7</v>
      </c>
      <c r="I1326" s="3">
        <v>1.44</v>
      </c>
    </row>
    <row r="1327" spans="1:9" x14ac:dyDescent="0.25">
      <c r="A1327" s="9">
        <v>37097</v>
      </c>
      <c r="B1327" s="4">
        <v>507</v>
      </c>
      <c r="C1327" s="4">
        <v>410</v>
      </c>
      <c r="D1327" s="4">
        <v>36</v>
      </c>
      <c r="E1327" s="4">
        <v>410</v>
      </c>
      <c r="F1327" s="4">
        <v>16209</v>
      </c>
      <c r="G1327" s="4">
        <v>163.4</v>
      </c>
      <c r="H1327" s="3">
        <v>3.8666666666666667</v>
      </c>
      <c r="I1327" s="3">
        <v>1.54</v>
      </c>
    </row>
    <row r="1328" spans="1:9" x14ac:dyDescent="0.25">
      <c r="A1328" s="9">
        <v>37099</v>
      </c>
      <c r="B1328" s="4">
        <v>151</v>
      </c>
      <c r="C1328" s="4">
        <v>82</v>
      </c>
      <c r="D1328" s="4">
        <v>9</v>
      </c>
      <c r="E1328" s="4">
        <v>82</v>
      </c>
      <c r="F1328" s="4">
        <v>3310</v>
      </c>
      <c r="G1328" s="4">
        <v>33.4</v>
      </c>
      <c r="H1328" s="3">
        <v>4</v>
      </c>
      <c r="I1328" s="3">
        <v>1.64</v>
      </c>
    </row>
    <row r="1329" spans="1:9" x14ac:dyDescent="0.25">
      <c r="A1329" s="9">
        <v>37101</v>
      </c>
      <c r="B1329" s="4">
        <v>249</v>
      </c>
      <c r="C1329" s="4">
        <v>179</v>
      </c>
      <c r="D1329" s="4">
        <v>24</v>
      </c>
      <c r="E1329" s="4">
        <v>229</v>
      </c>
      <c r="F1329" s="4">
        <v>11459</v>
      </c>
      <c r="G1329" s="4">
        <v>93.5</v>
      </c>
      <c r="H1329" s="3">
        <v>3.3</v>
      </c>
      <c r="I1329" s="3">
        <v>1.49</v>
      </c>
    </row>
    <row r="1330" spans="1:9" x14ac:dyDescent="0.25">
      <c r="A1330" s="9">
        <v>37105</v>
      </c>
      <c r="B1330" s="4">
        <v>150</v>
      </c>
      <c r="C1330" s="4">
        <v>127</v>
      </c>
      <c r="D1330" s="4">
        <v>8</v>
      </c>
      <c r="E1330" s="4">
        <v>127</v>
      </c>
      <c r="F1330" s="4">
        <v>4879</v>
      </c>
      <c r="G1330" s="4">
        <v>38.9</v>
      </c>
      <c r="H1330" s="3">
        <v>3.2</v>
      </c>
      <c r="I1330" s="3">
        <v>1.35</v>
      </c>
    </row>
    <row r="1331" spans="1:9" x14ac:dyDescent="0.25">
      <c r="A1331" s="9">
        <v>37107</v>
      </c>
      <c r="B1331" s="4">
        <v>144</v>
      </c>
      <c r="C1331" s="4">
        <v>1086</v>
      </c>
      <c r="D1331" s="4">
        <v>14</v>
      </c>
      <c r="E1331" s="4">
        <v>1086</v>
      </c>
      <c r="F1331" s="4">
        <v>5520</v>
      </c>
      <c r="G1331" s="4">
        <v>487.1</v>
      </c>
      <c r="H1331" s="3">
        <v>4.5999999999999996</v>
      </c>
      <c r="I1331" s="3">
        <v>1.37</v>
      </c>
    </row>
    <row r="1332" spans="1:9" x14ac:dyDescent="0.25">
      <c r="A1332" s="9">
        <v>37109</v>
      </c>
      <c r="B1332" s="4">
        <v>132</v>
      </c>
      <c r="C1332" s="4">
        <v>101</v>
      </c>
      <c r="D1332" s="4">
        <v>10</v>
      </c>
      <c r="E1332" s="4">
        <v>101</v>
      </c>
      <c r="F1332" s="4">
        <v>4571</v>
      </c>
      <c r="G1332" s="4">
        <v>51.7</v>
      </c>
      <c r="H1332" s="3">
        <v>4.3</v>
      </c>
      <c r="I1332" s="3">
        <v>1.37</v>
      </c>
    </row>
    <row r="1333" spans="1:9" x14ac:dyDescent="0.25">
      <c r="A1333" s="9">
        <v>37111</v>
      </c>
      <c r="B1333" s="4">
        <v>93</v>
      </c>
      <c r="C1333" s="4">
        <v>49</v>
      </c>
      <c r="D1333" s="4">
        <v>9</v>
      </c>
      <c r="E1333" s="4">
        <v>49</v>
      </c>
      <c r="F1333" s="4">
        <v>2026</v>
      </c>
      <c r="G1333" s="4">
        <v>21.4</v>
      </c>
      <c r="H1333" s="3">
        <v>4.0999999999999996</v>
      </c>
      <c r="I1333" s="3">
        <v>1.31</v>
      </c>
    </row>
    <row r="1334" spans="1:9" x14ac:dyDescent="0.25">
      <c r="A1334" s="9">
        <v>37113</v>
      </c>
      <c r="B1334" s="4">
        <v>93</v>
      </c>
      <c r="C1334" s="4">
        <v>49</v>
      </c>
      <c r="D1334" s="4">
        <v>5</v>
      </c>
      <c r="E1334" s="4">
        <v>49</v>
      </c>
      <c r="F1334" s="4">
        <v>1901</v>
      </c>
      <c r="G1334" s="4">
        <v>25.9</v>
      </c>
      <c r="H1334" s="3">
        <v>2.15</v>
      </c>
      <c r="I1334" s="3">
        <v>1.1600000000000001</v>
      </c>
    </row>
    <row r="1335" spans="1:9" x14ac:dyDescent="0.25">
      <c r="A1335" s="9">
        <v>37117</v>
      </c>
      <c r="B1335" s="4">
        <v>44</v>
      </c>
      <c r="C1335" s="4">
        <v>43</v>
      </c>
      <c r="D1335" s="4">
        <v>6</v>
      </c>
      <c r="E1335" s="4">
        <v>43</v>
      </c>
      <c r="F1335" s="4">
        <v>1140</v>
      </c>
      <c r="G1335" s="4">
        <v>10.9</v>
      </c>
      <c r="H1335" s="3">
        <v>3.8</v>
      </c>
      <c r="I1335" s="3">
        <v>1.22</v>
      </c>
    </row>
    <row r="1336" spans="1:9" x14ac:dyDescent="0.25">
      <c r="A1336" s="9">
        <v>37119</v>
      </c>
      <c r="B1336" s="4">
        <v>4961</v>
      </c>
      <c r="C1336" s="4">
        <v>2212</v>
      </c>
      <c r="D1336" s="4">
        <v>141</v>
      </c>
      <c r="E1336" s="4">
        <v>2395</v>
      </c>
      <c r="F1336" s="4">
        <v>134440</v>
      </c>
      <c r="G1336" s="4">
        <v>1676.3</v>
      </c>
      <c r="H1336" s="3">
        <v>4.1857142857142859</v>
      </c>
      <c r="I1336" s="3">
        <v>1.6585714285714286</v>
      </c>
    </row>
    <row r="1337" spans="1:9" x14ac:dyDescent="0.25">
      <c r="A1337" s="9">
        <v>37121</v>
      </c>
      <c r="B1337" s="4">
        <v>75</v>
      </c>
      <c r="C1337" s="4">
        <v>25</v>
      </c>
      <c r="D1337" s="4">
        <v>14</v>
      </c>
      <c r="E1337" s="4">
        <v>25</v>
      </c>
      <c r="F1337" s="4">
        <v>1220</v>
      </c>
      <c r="G1337" s="4">
        <v>13.1</v>
      </c>
      <c r="H1337" s="3">
        <v>1.1000000000000001</v>
      </c>
      <c r="I1337" s="3">
        <v>1.1599999999999999</v>
      </c>
    </row>
    <row r="1338" spans="1:9" x14ac:dyDescent="0.25">
      <c r="A1338" s="9">
        <v>37123</v>
      </c>
      <c r="B1338" s="4">
        <v>16</v>
      </c>
      <c r="C1338" s="4">
        <v>3</v>
      </c>
      <c r="D1338" s="4">
        <v>14</v>
      </c>
      <c r="E1338" s="4">
        <v>3</v>
      </c>
      <c r="F1338" s="4">
        <v>184</v>
      </c>
      <c r="G1338" s="4">
        <v>1.9</v>
      </c>
      <c r="H1338" s="3">
        <v>1.3</v>
      </c>
      <c r="I1338" s="3">
        <v>1.19</v>
      </c>
    </row>
    <row r="1339" spans="1:9" x14ac:dyDescent="0.25">
      <c r="A1339" s="9">
        <v>37125</v>
      </c>
      <c r="B1339" s="4">
        <v>739</v>
      </c>
      <c r="C1339" s="4">
        <v>412</v>
      </c>
      <c r="D1339" s="4">
        <v>14</v>
      </c>
      <c r="E1339" s="4">
        <v>412</v>
      </c>
      <c r="F1339" s="4">
        <v>24349</v>
      </c>
      <c r="G1339" s="4">
        <v>277</v>
      </c>
      <c r="H1339" s="3">
        <v>4.3</v>
      </c>
      <c r="I1339" s="3">
        <v>1.81</v>
      </c>
    </row>
    <row r="1340" spans="1:9" x14ac:dyDescent="0.25">
      <c r="A1340" s="9">
        <v>37127</v>
      </c>
      <c r="B1340" s="4">
        <v>297</v>
      </c>
      <c r="C1340" s="4">
        <v>322</v>
      </c>
      <c r="D1340" s="4">
        <v>21</v>
      </c>
      <c r="E1340" s="4">
        <v>322</v>
      </c>
      <c r="F1340" s="4">
        <v>11870</v>
      </c>
      <c r="G1340" s="4">
        <v>141</v>
      </c>
      <c r="H1340" s="3">
        <v>4.5</v>
      </c>
      <c r="I1340" s="3">
        <v>1.52</v>
      </c>
    </row>
    <row r="1341" spans="1:9" x14ac:dyDescent="0.25">
      <c r="A1341" s="9">
        <v>37129</v>
      </c>
      <c r="B1341" s="4">
        <v>1035</v>
      </c>
      <c r="C1341" s="4">
        <v>769</v>
      </c>
      <c r="D1341" s="4">
        <v>36</v>
      </c>
      <c r="E1341" s="4">
        <v>837</v>
      </c>
      <c r="F1341" s="4">
        <v>37160</v>
      </c>
      <c r="G1341" s="4">
        <v>554.5</v>
      </c>
      <c r="H1341" s="3">
        <v>10.050000000000001</v>
      </c>
      <c r="I1341" s="3">
        <v>1.3149999999999999</v>
      </c>
    </row>
    <row r="1342" spans="1:9" x14ac:dyDescent="0.25">
      <c r="A1342" s="9">
        <v>37133</v>
      </c>
      <c r="B1342" s="4">
        <v>263</v>
      </c>
      <c r="C1342" s="4">
        <v>162</v>
      </c>
      <c r="D1342" s="4">
        <v>14</v>
      </c>
      <c r="E1342" s="4">
        <v>162</v>
      </c>
      <c r="F1342" s="4">
        <v>7706</v>
      </c>
      <c r="G1342" s="4">
        <v>74.2</v>
      </c>
      <c r="H1342" s="3">
        <v>4</v>
      </c>
      <c r="I1342" s="3">
        <v>1.43</v>
      </c>
    </row>
    <row r="1343" spans="1:9" x14ac:dyDescent="0.25">
      <c r="A1343" s="9">
        <v>37135</v>
      </c>
      <c r="B1343" s="4">
        <v>1699</v>
      </c>
      <c r="C1343" s="4">
        <v>803</v>
      </c>
      <c r="D1343" s="4">
        <v>14</v>
      </c>
      <c r="E1343" s="4">
        <v>936</v>
      </c>
      <c r="F1343" s="4">
        <v>37342</v>
      </c>
      <c r="G1343" s="4">
        <v>676.6</v>
      </c>
      <c r="H1343" s="3">
        <v>6.8</v>
      </c>
      <c r="I1343" s="3">
        <v>2.19</v>
      </c>
    </row>
    <row r="1344" spans="1:9" x14ac:dyDescent="0.25">
      <c r="A1344" s="9">
        <v>37139</v>
      </c>
      <c r="B1344" s="4">
        <v>176</v>
      </c>
      <c r="C1344" s="4">
        <v>91</v>
      </c>
      <c r="D1344" s="4">
        <v>10</v>
      </c>
      <c r="E1344" s="4">
        <v>91</v>
      </c>
      <c r="F1344" s="4">
        <v>4818</v>
      </c>
      <c r="G1344" s="4">
        <v>53.6</v>
      </c>
      <c r="H1344" s="3">
        <v>4.2</v>
      </c>
      <c r="I1344" s="3">
        <v>1.42</v>
      </c>
    </row>
    <row r="1345" spans="1:9" x14ac:dyDescent="0.25">
      <c r="A1345" s="9">
        <v>37141</v>
      </c>
      <c r="B1345" s="4">
        <v>17</v>
      </c>
      <c r="C1345" s="4">
        <v>25</v>
      </c>
      <c r="D1345" s="4">
        <v>14</v>
      </c>
      <c r="E1345" s="4">
        <v>25</v>
      </c>
      <c r="F1345" s="4">
        <v>356</v>
      </c>
      <c r="G1345" s="4">
        <v>11.5</v>
      </c>
      <c r="H1345" s="3">
        <v>3.5</v>
      </c>
      <c r="I1345" s="3">
        <v>1</v>
      </c>
    </row>
    <row r="1346" spans="1:9" x14ac:dyDescent="0.25">
      <c r="A1346" s="9">
        <v>37145</v>
      </c>
      <c r="B1346" s="4">
        <v>79</v>
      </c>
      <c r="C1346" s="4">
        <v>38</v>
      </c>
      <c r="D1346" s="4">
        <v>6</v>
      </c>
      <c r="E1346" s="4">
        <v>38</v>
      </c>
      <c r="F1346" s="4">
        <v>986</v>
      </c>
      <c r="G1346" s="4">
        <v>9.3000000000000007</v>
      </c>
      <c r="H1346" s="3">
        <v>3.4</v>
      </c>
      <c r="I1346" s="3">
        <v>1.27</v>
      </c>
    </row>
    <row r="1347" spans="1:9" x14ac:dyDescent="0.25">
      <c r="A1347" s="9">
        <v>37147</v>
      </c>
      <c r="B1347" s="4">
        <v>1076</v>
      </c>
      <c r="C1347" s="4">
        <v>913</v>
      </c>
      <c r="D1347" s="4">
        <v>71</v>
      </c>
      <c r="E1347" s="4">
        <v>913</v>
      </c>
      <c r="F1347" s="4">
        <v>41753</v>
      </c>
      <c r="G1347" s="4">
        <v>708.2</v>
      </c>
      <c r="H1347" s="3">
        <v>8.9</v>
      </c>
      <c r="I1347" s="3">
        <v>2</v>
      </c>
    </row>
    <row r="1348" spans="1:9" x14ac:dyDescent="0.25">
      <c r="A1348" s="9">
        <v>37149</v>
      </c>
      <c r="B1348" s="4">
        <v>52</v>
      </c>
      <c r="C1348" s="4">
        <v>25</v>
      </c>
      <c r="D1348" s="4">
        <v>6</v>
      </c>
      <c r="E1348" s="4">
        <v>25</v>
      </c>
      <c r="F1348" s="4">
        <v>1283</v>
      </c>
      <c r="G1348" s="4">
        <v>12.8</v>
      </c>
      <c r="H1348" s="3">
        <v>3.2</v>
      </c>
      <c r="I1348" s="3">
        <v>1.46</v>
      </c>
    </row>
    <row r="1349" spans="1:9" x14ac:dyDescent="0.25">
      <c r="A1349" s="9">
        <v>37151</v>
      </c>
      <c r="B1349" s="4">
        <v>151</v>
      </c>
      <c r="C1349" s="4">
        <v>145</v>
      </c>
      <c r="D1349" s="4">
        <v>12</v>
      </c>
      <c r="E1349" s="4">
        <v>145</v>
      </c>
      <c r="F1349" s="4">
        <v>5384</v>
      </c>
      <c r="G1349" s="4">
        <v>36.299999999999997</v>
      </c>
      <c r="H1349" s="3">
        <v>2.7</v>
      </c>
      <c r="I1349" s="3">
        <v>1.43</v>
      </c>
    </row>
    <row r="1350" spans="1:9" x14ac:dyDescent="0.25">
      <c r="A1350" s="9">
        <v>37153</v>
      </c>
      <c r="B1350" s="4">
        <v>80</v>
      </c>
      <c r="C1350" s="4">
        <v>49</v>
      </c>
      <c r="D1350" s="4">
        <v>14</v>
      </c>
      <c r="E1350" s="4">
        <v>99</v>
      </c>
      <c r="F1350" s="4">
        <v>1604</v>
      </c>
      <c r="G1350" s="4">
        <v>7.2</v>
      </c>
      <c r="H1350" s="3">
        <v>1.6</v>
      </c>
      <c r="I1350" s="3">
        <v>1</v>
      </c>
    </row>
    <row r="1351" spans="1:9" x14ac:dyDescent="0.25">
      <c r="A1351" s="9">
        <v>37155</v>
      </c>
      <c r="B1351" s="4">
        <v>354</v>
      </c>
      <c r="C1351" s="4">
        <v>246</v>
      </c>
      <c r="D1351" s="4">
        <v>30</v>
      </c>
      <c r="E1351" s="4">
        <v>246</v>
      </c>
      <c r="F1351" s="4">
        <v>12747</v>
      </c>
      <c r="G1351" s="4">
        <v>147.9</v>
      </c>
      <c r="H1351" s="3">
        <v>4.5</v>
      </c>
      <c r="I1351" s="3">
        <v>1.48</v>
      </c>
    </row>
    <row r="1352" spans="1:9" x14ac:dyDescent="0.25">
      <c r="A1352" s="9">
        <v>37157</v>
      </c>
      <c r="B1352" s="4">
        <v>75</v>
      </c>
      <c r="C1352" s="4">
        <v>108</v>
      </c>
      <c r="D1352" s="4">
        <v>9</v>
      </c>
      <c r="E1352" s="4">
        <v>218</v>
      </c>
      <c r="F1352" s="4">
        <v>3207</v>
      </c>
      <c r="G1352" s="4">
        <v>27.4</v>
      </c>
      <c r="H1352" s="3">
        <v>3.4</v>
      </c>
      <c r="I1352" s="3">
        <v>1.28</v>
      </c>
    </row>
    <row r="1353" spans="1:9" x14ac:dyDescent="0.25">
      <c r="A1353" s="9">
        <v>37159</v>
      </c>
      <c r="B1353" s="4">
        <v>268</v>
      </c>
      <c r="C1353" s="4">
        <v>169</v>
      </c>
      <c r="D1353" s="4">
        <v>20</v>
      </c>
      <c r="E1353" s="4">
        <v>169</v>
      </c>
      <c r="F1353" s="4">
        <v>9946</v>
      </c>
      <c r="G1353" s="4">
        <v>117.8</v>
      </c>
      <c r="H1353" s="3">
        <v>4.5</v>
      </c>
      <c r="I1353" s="3">
        <v>1.45</v>
      </c>
    </row>
    <row r="1354" spans="1:9" x14ac:dyDescent="0.25">
      <c r="A1354" s="9">
        <v>37161</v>
      </c>
      <c r="B1354" s="4">
        <v>105</v>
      </c>
      <c r="C1354" s="4">
        <v>111</v>
      </c>
      <c r="D1354" s="4">
        <v>18</v>
      </c>
      <c r="E1354" s="4">
        <v>111</v>
      </c>
      <c r="F1354" s="4">
        <v>3170</v>
      </c>
      <c r="G1354" s="4">
        <v>27.7</v>
      </c>
      <c r="H1354" s="3">
        <v>3.5</v>
      </c>
      <c r="I1354" s="3">
        <v>1.5</v>
      </c>
    </row>
    <row r="1355" spans="1:9" x14ac:dyDescent="0.25">
      <c r="A1355" s="9">
        <v>37163</v>
      </c>
      <c r="B1355" s="4">
        <v>103</v>
      </c>
      <c r="C1355" s="4">
        <v>59</v>
      </c>
      <c r="D1355" s="4">
        <v>8</v>
      </c>
      <c r="E1355" s="4">
        <v>59</v>
      </c>
      <c r="F1355" s="4">
        <v>2808</v>
      </c>
      <c r="G1355" s="4">
        <v>23.8</v>
      </c>
      <c r="H1355" s="3">
        <v>3.3</v>
      </c>
      <c r="I1355" s="3">
        <v>1.32</v>
      </c>
    </row>
    <row r="1356" spans="1:9" x14ac:dyDescent="0.25">
      <c r="A1356" s="9">
        <v>37165</v>
      </c>
      <c r="B1356" s="4">
        <v>172</v>
      </c>
      <c r="C1356" s="4">
        <v>97</v>
      </c>
      <c r="D1356" s="4">
        <v>8</v>
      </c>
      <c r="E1356" s="4">
        <v>97</v>
      </c>
      <c r="F1356" s="4">
        <v>5673</v>
      </c>
      <c r="G1356" s="4">
        <v>53.5</v>
      </c>
      <c r="H1356" s="3">
        <v>3.8</v>
      </c>
      <c r="I1356" s="3">
        <v>1.51</v>
      </c>
    </row>
    <row r="1357" spans="1:9" x14ac:dyDescent="0.25">
      <c r="A1357" s="9">
        <v>37167</v>
      </c>
      <c r="B1357" s="4">
        <v>106</v>
      </c>
      <c r="C1357" s="4">
        <v>97</v>
      </c>
      <c r="D1357" s="4">
        <v>10</v>
      </c>
      <c r="E1357" s="4">
        <v>97</v>
      </c>
      <c r="F1357" s="4">
        <v>3313</v>
      </c>
      <c r="G1357" s="4">
        <v>31.1</v>
      </c>
      <c r="H1357" s="3">
        <v>3.7</v>
      </c>
      <c r="I1357" s="3">
        <v>1.35</v>
      </c>
    </row>
    <row r="1358" spans="1:9" x14ac:dyDescent="0.25">
      <c r="A1358" s="9">
        <v>37169</v>
      </c>
      <c r="B1358" s="4">
        <v>16</v>
      </c>
      <c r="C1358" s="4">
        <v>25</v>
      </c>
      <c r="D1358" s="4">
        <v>14</v>
      </c>
      <c r="E1358" s="4">
        <v>25</v>
      </c>
      <c r="F1358" s="4">
        <v>194</v>
      </c>
      <c r="G1358" s="4">
        <v>5</v>
      </c>
      <c r="H1358" s="3">
        <v>3.4</v>
      </c>
      <c r="I1358" s="3">
        <v>0.97</v>
      </c>
    </row>
    <row r="1359" spans="1:9" x14ac:dyDescent="0.25">
      <c r="A1359" s="9">
        <v>37171</v>
      </c>
      <c r="B1359" s="4">
        <v>252</v>
      </c>
      <c r="C1359" s="4">
        <v>181</v>
      </c>
      <c r="D1359" s="4">
        <v>10</v>
      </c>
      <c r="E1359" s="4">
        <v>181</v>
      </c>
      <c r="F1359" s="4">
        <v>7205</v>
      </c>
      <c r="G1359" s="4">
        <v>71</v>
      </c>
      <c r="H1359" s="3">
        <v>3.8</v>
      </c>
      <c r="I1359" s="3">
        <v>1.3</v>
      </c>
    </row>
    <row r="1360" spans="1:9" x14ac:dyDescent="0.25">
      <c r="A1360" s="9">
        <v>37173</v>
      </c>
      <c r="B1360" s="4">
        <v>81</v>
      </c>
      <c r="C1360" s="4">
        <v>44</v>
      </c>
      <c r="D1360" s="4">
        <v>14</v>
      </c>
      <c r="E1360" s="4">
        <v>44</v>
      </c>
      <c r="F1360" s="4">
        <v>962</v>
      </c>
      <c r="G1360" s="4">
        <v>14.700000000000001</v>
      </c>
      <c r="H1360" s="3">
        <v>2.7</v>
      </c>
      <c r="I1360" s="3">
        <v>0.94</v>
      </c>
    </row>
    <row r="1361" spans="1:9" x14ac:dyDescent="0.25">
      <c r="A1361" s="9">
        <v>37175</v>
      </c>
      <c r="B1361" s="4">
        <v>84</v>
      </c>
      <c r="C1361" s="4">
        <v>25</v>
      </c>
      <c r="D1361" s="4">
        <v>4</v>
      </c>
      <c r="E1361" s="4">
        <v>25</v>
      </c>
      <c r="F1361" s="4">
        <v>1510</v>
      </c>
      <c r="G1361" s="4">
        <v>14.6</v>
      </c>
      <c r="H1361" s="3">
        <v>1</v>
      </c>
      <c r="I1361" s="3">
        <v>1.24</v>
      </c>
    </row>
    <row r="1362" spans="1:9" x14ac:dyDescent="0.25">
      <c r="A1362" s="9">
        <v>37179</v>
      </c>
      <c r="B1362" s="4">
        <v>168</v>
      </c>
      <c r="C1362" s="4">
        <v>182</v>
      </c>
      <c r="D1362" s="4">
        <v>14</v>
      </c>
      <c r="E1362" s="4">
        <v>182</v>
      </c>
      <c r="F1362" s="4">
        <v>8954</v>
      </c>
      <c r="G1362" s="4">
        <v>92.3</v>
      </c>
      <c r="H1362" s="3">
        <v>3.9</v>
      </c>
      <c r="I1362" s="3">
        <v>1.49</v>
      </c>
    </row>
    <row r="1363" spans="1:9" x14ac:dyDescent="0.25">
      <c r="A1363" s="9">
        <v>37181</v>
      </c>
      <c r="B1363" s="4">
        <v>147</v>
      </c>
      <c r="C1363" s="4">
        <v>91</v>
      </c>
      <c r="D1363" s="4">
        <v>20</v>
      </c>
      <c r="E1363" s="4">
        <v>91</v>
      </c>
      <c r="F1363" s="4">
        <v>4446</v>
      </c>
      <c r="G1363" s="4">
        <v>47</v>
      </c>
      <c r="H1363" s="3">
        <v>4.0999999999999996</v>
      </c>
      <c r="I1363" s="3">
        <v>1.4</v>
      </c>
    </row>
    <row r="1364" spans="1:9" x14ac:dyDescent="0.25">
      <c r="A1364" s="9">
        <v>37183</v>
      </c>
      <c r="B1364" s="4">
        <v>3091</v>
      </c>
      <c r="C1364" s="4">
        <v>1406</v>
      </c>
      <c r="D1364" s="4">
        <v>117</v>
      </c>
      <c r="E1364" s="4">
        <v>1969</v>
      </c>
      <c r="F1364" s="4">
        <v>84855</v>
      </c>
      <c r="G1364" s="4">
        <v>1034.4000000000001</v>
      </c>
      <c r="H1364" s="3">
        <v>4.75</v>
      </c>
      <c r="I1364" s="3">
        <v>1.8275000000000001</v>
      </c>
    </row>
    <row r="1365" spans="1:9" x14ac:dyDescent="0.25">
      <c r="A1365" s="9">
        <v>37187</v>
      </c>
      <c r="B1365" s="4">
        <v>28</v>
      </c>
      <c r="C1365" s="4">
        <v>33</v>
      </c>
      <c r="D1365" s="4">
        <v>14</v>
      </c>
      <c r="E1365" s="4">
        <v>33</v>
      </c>
      <c r="F1365" s="4">
        <v>111</v>
      </c>
      <c r="G1365" s="4">
        <v>1.9</v>
      </c>
      <c r="H1365" s="3">
        <v>3</v>
      </c>
      <c r="I1365" s="3">
        <v>0.88</v>
      </c>
    </row>
    <row r="1366" spans="1:9" x14ac:dyDescent="0.25">
      <c r="A1366" s="9">
        <v>37189</v>
      </c>
      <c r="B1366" s="4">
        <v>178</v>
      </c>
      <c r="C1366" s="4">
        <v>95</v>
      </c>
      <c r="D1366" s="4">
        <v>10</v>
      </c>
      <c r="E1366" s="4">
        <v>95</v>
      </c>
      <c r="F1366" s="4">
        <v>4485</v>
      </c>
      <c r="G1366" s="4">
        <v>51.900000000000006</v>
      </c>
      <c r="H1366" s="3">
        <v>7.4</v>
      </c>
      <c r="I1366" s="3">
        <v>1.59</v>
      </c>
    </row>
    <row r="1367" spans="1:9" x14ac:dyDescent="0.25">
      <c r="A1367" s="9">
        <v>37191</v>
      </c>
      <c r="B1367" s="4">
        <v>297</v>
      </c>
      <c r="C1367" s="4">
        <v>261</v>
      </c>
      <c r="D1367" s="4">
        <v>16</v>
      </c>
      <c r="E1367" s="4">
        <v>261</v>
      </c>
      <c r="F1367" s="4">
        <v>10306</v>
      </c>
      <c r="G1367" s="4">
        <v>128.80000000000001</v>
      </c>
      <c r="H1367" s="3">
        <v>4.8</v>
      </c>
      <c r="I1367" s="3">
        <v>1.61</v>
      </c>
    </row>
    <row r="1368" spans="1:9" x14ac:dyDescent="0.25">
      <c r="A1368" s="9">
        <v>37193</v>
      </c>
      <c r="B1368" s="4">
        <v>99</v>
      </c>
      <c r="C1368" s="4">
        <v>93</v>
      </c>
      <c r="D1368" s="4">
        <v>8</v>
      </c>
      <c r="E1368" s="4">
        <v>93</v>
      </c>
      <c r="F1368" s="4">
        <v>3609</v>
      </c>
      <c r="G1368" s="4">
        <v>30.7</v>
      </c>
      <c r="H1368" s="3">
        <v>3.3</v>
      </c>
      <c r="I1368" s="3">
        <v>1.33</v>
      </c>
    </row>
    <row r="1369" spans="1:9" x14ac:dyDescent="0.25">
      <c r="A1369" s="9">
        <v>37195</v>
      </c>
      <c r="B1369" s="4">
        <v>207</v>
      </c>
      <c r="C1369" s="4">
        <v>270</v>
      </c>
      <c r="D1369" s="4">
        <v>14</v>
      </c>
      <c r="E1369" s="4">
        <v>270</v>
      </c>
      <c r="F1369" s="4">
        <v>6650</v>
      </c>
      <c r="G1369" s="4">
        <v>69.400000000000006</v>
      </c>
      <c r="H1369" s="3">
        <v>4</v>
      </c>
      <c r="I1369" s="3">
        <v>1.47</v>
      </c>
    </row>
    <row r="1370" spans="1:9" x14ac:dyDescent="0.25">
      <c r="A1370" s="9">
        <v>37197</v>
      </c>
      <c r="B1370" s="4">
        <v>80</v>
      </c>
      <c r="C1370" s="4">
        <v>49</v>
      </c>
      <c r="D1370" s="4">
        <v>14</v>
      </c>
      <c r="E1370" s="4">
        <v>49</v>
      </c>
      <c r="F1370" s="4">
        <v>130</v>
      </c>
      <c r="G1370" s="4">
        <v>4.8</v>
      </c>
      <c r="H1370" s="3">
        <v>3.1</v>
      </c>
      <c r="I1370" s="3">
        <v>1</v>
      </c>
    </row>
    <row r="1371" spans="1:9" x14ac:dyDescent="0.25">
      <c r="A1371" s="9">
        <v>38001</v>
      </c>
      <c r="B1371" s="4">
        <v>29</v>
      </c>
      <c r="C1371" s="4">
        <v>25</v>
      </c>
      <c r="D1371" s="4">
        <v>14</v>
      </c>
      <c r="E1371" s="4">
        <v>25</v>
      </c>
      <c r="F1371" s="4">
        <v>468</v>
      </c>
      <c r="G1371" s="4">
        <v>6.8</v>
      </c>
      <c r="H1371" s="3">
        <v>3.6</v>
      </c>
      <c r="I1371" s="3">
        <v>0.93</v>
      </c>
    </row>
    <row r="1372" spans="1:9" x14ac:dyDescent="0.25">
      <c r="A1372" s="9">
        <v>38003</v>
      </c>
      <c r="B1372" s="4">
        <v>12</v>
      </c>
      <c r="C1372" s="4">
        <v>25</v>
      </c>
      <c r="D1372" s="4">
        <v>14</v>
      </c>
      <c r="E1372" s="4">
        <v>25</v>
      </c>
      <c r="F1372" s="4">
        <v>225</v>
      </c>
      <c r="G1372" s="4">
        <v>8.1</v>
      </c>
      <c r="H1372" s="3">
        <v>3.1</v>
      </c>
      <c r="I1372" s="3">
        <v>1.2</v>
      </c>
    </row>
    <row r="1373" spans="1:9" x14ac:dyDescent="0.25">
      <c r="A1373" s="9">
        <v>38009</v>
      </c>
      <c r="B1373" s="4">
        <v>13</v>
      </c>
      <c r="C1373" s="4">
        <v>25</v>
      </c>
      <c r="D1373" s="4">
        <v>14</v>
      </c>
      <c r="E1373" s="4">
        <v>25</v>
      </c>
      <c r="F1373" s="4">
        <v>104</v>
      </c>
      <c r="G1373" s="4">
        <v>15.1</v>
      </c>
      <c r="H1373" s="3">
        <v>2.8</v>
      </c>
      <c r="I1373" s="3">
        <v>0.91</v>
      </c>
    </row>
    <row r="1374" spans="1:9" x14ac:dyDescent="0.25">
      <c r="A1374" s="9">
        <v>38011</v>
      </c>
      <c r="B1374" s="4">
        <v>5</v>
      </c>
      <c r="C1374" s="4">
        <v>23</v>
      </c>
      <c r="D1374" s="4">
        <v>14</v>
      </c>
      <c r="E1374" s="4">
        <v>23</v>
      </c>
      <c r="F1374" s="4">
        <v>107</v>
      </c>
      <c r="G1374" s="4">
        <v>3.1</v>
      </c>
      <c r="H1374" s="3">
        <v>2.7</v>
      </c>
      <c r="I1374" s="3">
        <v>0.92</v>
      </c>
    </row>
    <row r="1375" spans="1:9" x14ac:dyDescent="0.25">
      <c r="A1375" s="9">
        <v>38015</v>
      </c>
      <c r="B1375" s="4">
        <v>696</v>
      </c>
      <c r="C1375" s="4">
        <v>386</v>
      </c>
      <c r="D1375" s="4">
        <v>52</v>
      </c>
      <c r="E1375" s="4">
        <v>386</v>
      </c>
      <c r="F1375" s="4">
        <v>17904</v>
      </c>
      <c r="G1375" s="4">
        <v>215.2</v>
      </c>
      <c r="H1375" s="3">
        <v>4.5999999999999996</v>
      </c>
      <c r="I1375" s="3">
        <v>1.915</v>
      </c>
    </row>
    <row r="1376" spans="1:9" x14ac:dyDescent="0.25">
      <c r="A1376" s="9">
        <v>38017</v>
      </c>
      <c r="B1376" s="4">
        <v>1422</v>
      </c>
      <c r="C1376" s="4">
        <v>601</v>
      </c>
      <c r="D1376" s="4">
        <v>111</v>
      </c>
      <c r="E1376" s="4">
        <v>656</v>
      </c>
      <c r="F1376" s="4">
        <v>32903</v>
      </c>
      <c r="G1376" s="4">
        <v>429.79999999999995</v>
      </c>
      <c r="H1376" s="3">
        <v>4.5999999999999996</v>
      </c>
      <c r="I1376" s="3">
        <v>1.94</v>
      </c>
    </row>
    <row r="1377" spans="1:9" x14ac:dyDescent="0.25">
      <c r="A1377" s="9">
        <v>38019</v>
      </c>
      <c r="B1377" s="4">
        <v>11</v>
      </c>
      <c r="C1377" s="4">
        <v>20</v>
      </c>
      <c r="D1377" s="4">
        <v>14</v>
      </c>
      <c r="E1377" s="4">
        <v>20</v>
      </c>
      <c r="F1377" s="4">
        <v>83</v>
      </c>
      <c r="G1377" s="4">
        <v>1.3</v>
      </c>
      <c r="H1377" s="3">
        <v>3.2</v>
      </c>
      <c r="I1377" s="3">
        <v>0.84</v>
      </c>
    </row>
    <row r="1378" spans="1:9" x14ac:dyDescent="0.25">
      <c r="A1378" s="9">
        <v>38021</v>
      </c>
      <c r="B1378" s="4">
        <v>16</v>
      </c>
      <c r="C1378" s="4">
        <v>20</v>
      </c>
      <c r="D1378" s="4">
        <v>14</v>
      </c>
      <c r="E1378" s="4">
        <v>20</v>
      </c>
      <c r="F1378" s="4">
        <v>215</v>
      </c>
      <c r="G1378" s="4">
        <v>4.4000000000000004</v>
      </c>
      <c r="H1378" s="3">
        <v>3.1</v>
      </c>
      <c r="I1378" s="3">
        <v>1.04</v>
      </c>
    </row>
    <row r="1379" spans="1:9" x14ac:dyDescent="0.25">
      <c r="A1379" s="9">
        <v>38023</v>
      </c>
      <c r="B1379" s="4">
        <v>4</v>
      </c>
      <c r="C1379" s="4">
        <v>15</v>
      </c>
      <c r="D1379" s="4">
        <v>14</v>
      </c>
      <c r="E1379" s="4">
        <v>15</v>
      </c>
      <c r="F1379" s="4">
        <v>59</v>
      </c>
      <c r="G1379" s="4">
        <v>3.9</v>
      </c>
      <c r="H1379" s="3">
        <v>3.2</v>
      </c>
      <c r="I1379" s="3">
        <v>0.94</v>
      </c>
    </row>
    <row r="1380" spans="1:9" x14ac:dyDescent="0.25">
      <c r="A1380" s="9">
        <v>38029</v>
      </c>
      <c r="B1380" s="4">
        <v>12</v>
      </c>
      <c r="C1380" s="4">
        <v>14</v>
      </c>
      <c r="D1380" s="4">
        <v>14</v>
      </c>
      <c r="E1380" s="4">
        <v>14</v>
      </c>
      <c r="F1380" s="4">
        <v>107</v>
      </c>
      <c r="G1380" s="4">
        <v>1.4</v>
      </c>
      <c r="H1380" s="3">
        <v>3.3</v>
      </c>
      <c r="I1380" s="3">
        <v>1.02</v>
      </c>
    </row>
    <row r="1381" spans="1:9" x14ac:dyDescent="0.25">
      <c r="A1381" s="9">
        <v>38031</v>
      </c>
      <c r="B1381" s="4">
        <v>10</v>
      </c>
      <c r="C1381" s="4">
        <v>25</v>
      </c>
      <c r="D1381" s="4">
        <v>14</v>
      </c>
      <c r="E1381" s="4">
        <v>25</v>
      </c>
      <c r="F1381" s="4">
        <v>220</v>
      </c>
      <c r="G1381" s="4">
        <v>3.3</v>
      </c>
      <c r="H1381" s="3">
        <v>2.8</v>
      </c>
      <c r="I1381" s="3">
        <v>0.94</v>
      </c>
    </row>
    <row r="1382" spans="1:9" x14ac:dyDescent="0.25">
      <c r="A1382" s="9">
        <v>38035</v>
      </c>
      <c r="B1382" s="4">
        <v>514</v>
      </c>
      <c r="C1382" s="4">
        <v>283</v>
      </c>
      <c r="D1382" s="4">
        <v>16</v>
      </c>
      <c r="E1382" s="4">
        <v>269</v>
      </c>
      <c r="F1382" s="4">
        <v>12943</v>
      </c>
      <c r="G1382" s="4">
        <v>138.5</v>
      </c>
      <c r="H1382" s="3">
        <v>3.65</v>
      </c>
      <c r="I1382" s="3">
        <v>1.37</v>
      </c>
    </row>
    <row r="1383" spans="1:9" x14ac:dyDescent="0.25">
      <c r="A1383" s="9">
        <v>38037</v>
      </c>
      <c r="B1383" s="4">
        <v>16</v>
      </c>
      <c r="C1383" s="4">
        <v>30</v>
      </c>
      <c r="D1383" s="4">
        <v>14</v>
      </c>
      <c r="E1383" s="4">
        <v>30</v>
      </c>
      <c r="F1383" s="4">
        <v>113</v>
      </c>
      <c r="G1383" s="4">
        <v>24.9</v>
      </c>
      <c r="H1383" s="3">
        <v>3</v>
      </c>
      <c r="I1383" s="3">
        <v>0.97</v>
      </c>
    </row>
    <row r="1384" spans="1:9" x14ac:dyDescent="0.25">
      <c r="A1384" s="9">
        <v>38039</v>
      </c>
      <c r="B1384" s="4">
        <v>7</v>
      </c>
      <c r="C1384" s="4">
        <v>18</v>
      </c>
      <c r="D1384" s="4">
        <v>14</v>
      </c>
      <c r="E1384" s="4">
        <v>18</v>
      </c>
      <c r="F1384" s="4">
        <v>46</v>
      </c>
      <c r="G1384" s="4">
        <v>2.1</v>
      </c>
      <c r="H1384" s="3">
        <v>3.4</v>
      </c>
      <c r="I1384" s="3">
        <v>0.94</v>
      </c>
    </row>
    <row r="1385" spans="1:9" x14ac:dyDescent="0.25">
      <c r="A1385" s="9">
        <v>38051</v>
      </c>
      <c r="B1385" s="4">
        <v>12</v>
      </c>
      <c r="C1385" s="4">
        <v>44</v>
      </c>
      <c r="D1385" s="4">
        <v>14</v>
      </c>
      <c r="E1385" s="4">
        <v>44</v>
      </c>
      <c r="F1385" s="4">
        <v>256</v>
      </c>
      <c r="G1385" s="4">
        <v>5.4</v>
      </c>
      <c r="H1385" s="3">
        <v>2.85</v>
      </c>
      <c r="I1385" s="3">
        <v>0.90500000000000003</v>
      </c>
    </row>
    <row r="1386" spans="1:9" x14ac:dyDescent="0.25">
      <c r="A1386" s="9">
        <v>38053</v>
      </c>
      <c r="B1386" s="4">
        <v>25</v>
      </c>
      <c r="C1386" s="4">
        <v>24</v>
      </c>
      <c r="D1386" s="4">
        <v>14</v>
      </c>
      <c r="E1386" s="4">
        <v>24</v>
      </c>
      <c r="F1386" s="4">
        <v>105</v>
      </c>
      <c r="G1386" s="4">
        <v>2.5</v>
      </c>
      <c r="H1386" s="3">
        <v>2.6</v>
      </c>
      <c r="I1386" s="3">
        <v>0.88</v>
      </c>
    </row>
    <row r="1387" spans="1:9" x14ac:dyDescent="0.25">
      <c r="A1387" s="9">
        <v>38055</v>
      </c>
      <c r="B1387" s="4">
        <v>19</v>
      </c>
      <c r="C1387" s="4">
        <v>47</v>
      </c>
      <c r="D1387" s="4">
        <v>14</v>
      </c>
      <c r="E1387" s="4">
        <v>47</v>
      </c>
      <c r="F1387" s="4">
        <v>143</v>
      </c>
      <c r="G1387" s="4">
        <v>29.4</v>
      </c>
      <c r="H1387" s="3">
        <v>3</v>
      </c>
      <c r="I1387" s="3">
        <v>0.97499999999999998</v>
      </c>
    </row>
    <row r="1388" spans="1:9" x14ac:dyDescent="0.25">
      <c r="A1388" s="9">
        <v>38057</v>
      </c>
      <c r="B1388" s="4">
        <v>28</v>
      </c>
      <c r="C1388" s="4">
        <v>13</v>
      </c>
      <c r="D1388" s="4">
        <v>14</v>
      </c>
      <c r="E1388" s="4">
        <v>13</v>
      </c>
      <c r="F1388" s="4">
        <v>153</v>
      </c>
      <c r="G1388" s="4">
        <v>3.9</v>
      </c>
      <c r="H1388" s="3">
        <v>3.2</v>
      </c>
      <c r="I1388" s="3">
        <v>0.92</v>
      </c>
    </row>
    <row r="1389" spans="1:9" x14ac:dyDescent="0.25">
      <c r="A1389" s="9">
        <v>38061</v>
      </c>
      <c r="B1389" s="4">
        <v>14</v>
      </c>
      <c r="C1389" s="4">
        <v>11</v>
      </c>
      <c r="D1389" s="4">
        <v>14</v>
      </c>
      <c r="E1389" s="4">
        <v>11</v>
      </c>
      <c r="F1389" s="4">
        <v>28</v>
      </c>
      <c r="G1389" s="4">
        <v>1.6</v>
      </c>
      <c r="H1389" s="3">
        <v>2.8</v>
      </c>
      <c r="I1389" s="3">
        <v>1.2</v>
      </c>
    </row>
    <row r="1390" spans="1:9" x14ac:dyDescent="0.25">
      <c r="A1390" s="9">
        <v>38063</v>
      </c>
      <c r="B1390" s="4">
        <v>5</v>
      </c>
      <c r="C1390" s="4">
        <v>19</v>
      </c>
      <c r="D1390" s="4">
        <v>14</v>
      </c>
      <c r="E1390" s="4">
        <v>19</v>
      </c>
      <c r="F1390" s="4">
        <v>56</v>
      </c>
      <c r="G1390" s="4">
        <v>2.7</v>
      </c>
      <c r="H1390" s="3">
        <v>3.4</v>
      </c>
      <c r="I1390" s="3">
        <v>0.83</v>
      </c>
    </row>
    <row r="1391" spans="1:9" x14ac:dyDescent="0.25">
      <c r="A1391" s="9">
        <v>38067</v>
      </c>
      <c r="B1391" s="4">
        <v>7</v>
      </c>
      <c r="C1391" s="4">
        <v>20</v>
      </c>
      <c r="D1391" s="4">
        <v>14</v>
      </c>
      <c r="E1391" s="4">
        <v>20</v>
      </c>
      <c r="F1391" s="4">
        <v>211</v>
      </c>
      <c r="G1391" s="4">
        <v>2.1</v>
      </c>
      <c r="H1391" s="3">
        <v>2.9</v>
      </c>
      <c r="I1391" s="3">
        <v>0.88</v>
      </c>
    </row>
    <row r="1392" spans="1:9" x14ac:dyDescent="0.25">
      <c r="A1392" s="9">
        <v>38069</v>
      </c>
      <c r="B1392" s="4">
        <v>33</v>
      </c>
      <c r="C1392" s="4">
        <v>25</v>
      </c>
      <c r="D1392" s="4">
        <v>14</v>
      </c>
      <c r="E1392" s="4">
        <v>25</v>
      </c>
      <c r="F1392" s="4">
        <v>292</v>
      </c>
      <c r="G1392" s="4">
        <v>7.4</v>
      </c>
      <c r="H1392" s="3">
        <v>2.5</v>
      </c>
      <c r="I1392" s="3">
        <v>0.92</v>
      </c>
    </row>
    <row r="1393" spans="1:9" x14ac:dyDescent="0.25">
      <c r="A1393" s="9">
        <v>38071</v>
      </c>
      <c r="B1393" s="4">
        <v>16</v>
      </c>
      <c r="C1393" s="4">
        <v>25</v>
      </c>
      <c r="D1393" s="4">
        <v>14</v>
      </c>
      <c r="E1393" s="4">
        <v>25</v>
      </c>
      <c r="F1393" s="4">
        <v>723</v>
      </c>
      <c r="G1393" s="4">
        <v>8.6999999999999993</v>
      </c>
      <c r="H1393" s="3">
        <v>2.5</v>
      </c>
      <c r="I1393" s="3">
        <v>1.17</v>
      </c>
    </row>
    <row r="1394" spans="1:9" x14ac:dyDescent="0.25">
      <c r="A1394" s="9">
        <v>38073</v>
      </c>
      <c r="B1394" s="4">
        <v>8</v>
      </c>
      <c r="C1394" s="4">
        <v>25</v>
      </c>
      <c r="D1394" s="4">
        <v>14</v>
      </c>
      <c r="E1394" s="4">
        <v>25</v>
      </c>
      <c r="F1394" s="4">
        <v>175</v>
      </c>
      <c r="G1394" s="4">
        <v>9.6999999999999993</v>
      </c>
      <c r="H1394" s="3">
        <v>3.2</v>
      </c>
      <c r="I1394" s="3">
        <v>1.1100000000000001</v>
      </c>
    </row>
    <row r="1395" spans="1:9" x14ac:dyDescent="0.25">
      <c r="A1395" s="9">
        <v>38079</v>
      </c>
      <c r="B1395" s="4">
        <v>50</v>
      </c>
      <c r="C1395" s="4">
        <v>52</v>
      </c>
      <c r="D1395" s="4">
        <v>14</v>
      </c>
      <c r="E1395" s="4">
        <v>52</v>
      </c>
      <c r="F1395" s="4">
        <v>600</v>
      </c>
      <c r="G1395" s="4">
        <v>12.9</v>
      </c>
      <c r="H1395" s="3">
        <v>3.55</v>
      </c>
      <c r="I1395" s="3">
        <v>0.89500000000000002</v>
      </c>
    </row>
    <row r="1396" spans="1:9" x14ac:dyDescent="0.25">
      <c r="A1396" s="9">
        <v>38085</v>
      </c>
      <c r="B1396" s="4">
        <v>14</v>
      </c>
      <c r="C1396" s="4">
        <v>12</v>
      </c>
      <c r="D1396" s="4">
        <v>14</v>
      </c>
      <c r="E1396" s="4">
        <v>12</v>
      </c>
      <c r="F1396" s="4">
        <v>50</v>
      </c>
      <c r="G1396" s="4">
        <v>0.5</v>
      </c>
      <c r="H1396" s="3">
        <v>3.7</v>
      </c>
      <c r="I1396" s="3">
        <v>1</v>
      </c>
    </row>
    <row r="1397" spans="1:9" x14ac:dyDescent="0.25">
      <c r="A1397" s="9">
        <v>38089</v>
      </c>
      <c r="B1397" s="4">
        <v>75</v>
      </c>
      <c r="C1397" s="4">
        <v>25</v>
      </c>
      <c r="D1397" s="4">
        <v>4</v>
      </c>
      <c r="E1397" s="4">
        <v>25</v>
      </c>
      <c r="F1397" s="4">
        <v>1755</v>
      </c>
      <c r="G1397" s="4">
        <v>29</v>
      </c>
      <c r="H1397" s="3">
        <v>133.55000000000001</v>
      </c>
      <c r="I1397" s="3">
        <v>1.18</v>
      </c>
    </row>
    <row r="1398" spans="1:9" x14ac:dyDescent="0.25">
      <c r="A1398" s="9">
        <v>38093</v>
      </c>
      <c r="B1398" s="4">
        <v>52</v>
      </c>
      <c r="C1398" s="4">
        <v>25</v>
      </c>
      <c r="D1398" s="4">
        <v>6</v>
      </c>
      <c r="E1398" s="4">
        <v>25</v>
      </c>
      <c r="F1398" s="4">
        <v>1036</v>
      </c>
      <c r="G1398" s="4">
        <v>7.7</v>
      </c>
      <c r="H1398" s="3">
        <v>2.8</v>
      </c>
      <c r="I1398" s="3">
        <v>1.37</v>
      </c>
    </row>
    <row r="1399" spans="1:9" x14ac:dyDescent="0.25">
      <c r="A1399" s="9">
        <v>38095</v>
      </c>
      <c r="B1399" s="4">
        <v>11</v>
      </c>
      <c r="C1399" s="4">
        <v>20</v>
      </c>
      <c r="D1399" s="4">
        <v>14</v>
      </c>
      <c r="E1399" s="4">
        <v>20</v>
      </c>
      <c r="F1399" s="4">
        <v>119</v>
      </c>
      <c r="G1399" s="4">
        <v>3.2</v>
      </c>
      <c r="H1399" s="3">
        <v>2.2000000000000002</v>
      </c>
      <c r="I1399" s="3">
        <v>0.84</v>
      </c>
    </row>
    <row r="1400" spans="1:9" x14ac:dyDescent="0.25">
      <c r="A1400" s="9">
        <v>38097</v>
      </c>
      <c r="B1400" s="4">
        <v>12</v>
      </c>
      <c r="C1400" s="4">
        <v>41</v>
      </c>
      <c r="D1400" s="4">
        <v>14</v>
      </c>
      <c r="E1400" s="4">
        <v>41</v>
      </c>
      <c r="F1400" s="4">
        <v>162</v>
      </c>
      <c r="G1400" s="4">
        <v>7.8000000000000007</v>
      </c>
      <c r="H1400" s="3">
        <v>2.5999999999999996</v>
      </c>
      <c r="I1400" s="3">
        <v>0.96499999999999997</v>
      </c>
    </row>
    <row r="1401" spans="1:9" x14ac:dyDescent="0.25">
      <c r="A1401" s="9">
        <v>38099</v>
      </c>
      <c r="B1401" s="4">
        <v>22</v>
      </c>
      <c r="C1401" s="4">
        <v>28</v>
      </c>
      <c r="D1401" s="4">
        <v>14</v>
      </c>
      <c r="E1401" s="4">
        <v>28</v>
      </c>
      <c r="F1401" s="4">
        <v>423</v>
      </c>
      <c r="G1401" s="4">
        <v>11</v>
      </c>
      <c r="H1401" s="3">
        <v>3.0999999999999996</v>
      </c>
      <c r="I1401" s="3">
        <v>0.95</v>
      </c>
    </row>
    <row r="1402" spans="1:9" x14ac:dyDescent="0.25">
      <c r="A1402" s="9">
        <v>38101</v>
      </c>
      <c r="B1402" s="4">
        <v>360</v>
      </c>
      <c r="C1402" s="4">
        <v>177</v>
      </c>
      <c r="D1402" s="4">
        <v>19</v>
      </c>
      <c r="E1402" s="4">
        <v>441</v>
      </c>
      <c r="F1402" s="4">
        <v>7136</v>
      </c>
      <c r="G1402" s="4">
        <v>101.1</v>
      </c>
      <c r="H1402" s="3">
        <v>3.45</v>
      </c>
      <c r="I1402" s="3">
        <v>1.425</v>
      </c>
    </row>
    <row r="1403" spans="1:9" x14ac:dyDescent="0.25">
      <c r="A1403" s="9">
        <v>38103</v>
      </c>
      <c r="B1403" s="4">
        <v>16</v>
      </c>
      <c r="C1403" s="4">
        <v>25</v>
      </c>
      <c r="D1403" s="4">
        <v>14</v>
      </c>
      <c r="E1403" s="4">
        <v>25</v>
      </c>
      <c r="F1403" s="4">
        <v>194</v>
      </c>
      <c r="G1403" s="4">
        <v>5.4</v>
      </c>
      <c r="H1403" s="3">
        <v>2.9</v>
      </c>
      <c r="I1403" s="3">
        <v>0.86</v>
      </c>
    </row>
    <row r="1404" spans="1:9" x14ac:dyDescent="0.25">
      <c r="A1404" s="9">
        <v>38105</v>
      </c>
      <c r="B1404" s="4">
        <v>74</v>
      </c>
      <c r="C1404" s="4">
        <v>50</v>
      </c>
      <c r="D1404" s="4">
        <v>14</v>
      </c>
      <c r="E1404" s="4">
        <v>50</v>
      </c>
      <c r="F1404" s="4">
        <v>1802</v>
      </c>
      <c r="G1404" s="4">
        <v>14.9</v>
      </c>
      <c r="H1404" s="3">
        <v>2.6</v>
      </c>
      <c r="I1404" s="3">
        <v>1.03</v>
      </c>
    </row>
    <row r="1405" spans="1:9" x14ac:dyDescent="0.25">
      <c r="A1405" s="9">
        <v>39001</v>
      </c>
      <c r="B1405" s="4">
        <v>48</v>
      </c>
      <c r="C1405" s="4">
        <v>25</v>
      </c>
      <c r="D1405" s="4">
        <v>14</v>
      </c>
      <c r="E1405" s="4">
        <v>25</v>
      </c>
      <c r="F1405" s="4">
        <v>863</v>
      </c>
      <c r="G1405" s="4">
        <v>13.6</v>
      </c>
      <c r="H1405" s="3">
        <v>3.3</v>
      </c>
      <c r="I1405" s="3">
        <v>0.95</v>
      </c>
    </row>
    <row r="1406" spans="1:9" x14ac:dyDescent="0.25">
      <c r="A1406" s="9">
        <v>39003</v>
      </c>
      <c r="B1406" s="4">
        <v>654</v>
      </c>
      <c r="C1406" s="4">
        <v>443</v>
      </c>
      <c r="D1406" s="4">
        <v>34</v>
      </c>
      <c r="E1406" s="4">
        <v>443</v>
      </c>
      <c r="F1406" s="4">
        <v>24188</v>
      </c>
      <c r="G1406" s="4">
        <v>244.1</v>
      </c>
      <c r="H1406" s="3">
        <v>3</v>
      </c>
      <c r="I1406" s="3">
        <v>1.69</v>
      </c>
    </row>
    <row r="1407" spans="1:9" x14ac:dyDescent="0.25">
      <c r="A1407" s="9">
        <v>39005</v>
      </c>
      <c r="B1407" s="4">
        <v>140</v>
      </c>
      <c r="C1407" s="4">
        <v>39</v>
      </c>
      <c r="D1407" s="4">
        <v>6</v>
      </c>
      <c r="E1407" s="4">
        <v>39</v>
      </c>
      <c r="F1407" s="4">
        <v>2448</v>
      </c>
      <c r="G1407" s="4">
        <v>20.6</v>
      </c>
      <c r="H1407" s="3">
        <v>3.3</v>
      </c>
      <c r="I1407" s="3">
        <v>1.31</v>
      </c>
    </row>
    <row r="1408" spans="1:9" x14ac:dyDescent="0.25">
      <c r="A1408" s="9">
        <v>39007</v>
      </c>
      <c r="B1408" s="4">
        <v>249</v>
      </c>
      <c r="C1408" s="4">
        <v>268</v>
      </c>
      <c r="D1408" s="4">
        <v>19</v>
      </c>
      <c r="E1408" s="4">
        <v>268</v>
      </c>
      <c r="F1408" s="4">
        <v>9281</v>
      </c>
      <c r="G1408" s="4">
        <v>153.69999999999999</v>
      </c>
      <c r="H1408" s="3">
        <v>5.4499999999999993</v>
      </c>
      <c r="I1408" s="3">
        <v>1.3074999999999999</v>
      </c>
    </row>
    <row r="1409" spans="1:9" x14ac:dyDescent="0.25">
      <c r="A1409" s="9">
        <v>39009</v>
      </c>
      <c r="B1409" s="4">
        <v>191</v>
      </c>
      <c r="C1409" s="4">
        <v>64</v>
      </c>
      <c r="D1409" s="4">
        <v>14</v>
      </c>
      <c r="E1409" s="4">
        <v>64</v>
      </c>
      <c r="F1409" s="4">
        <v>2289</v>
      </c>
      <c r="G1409" s="4">
        <v>12.1</v>
      </c>
      <c r="H1409" s="3">
        <v>2.35</v>
      </c>
      <c r="I1409" s="3">
        <v>1.47</v>
      </c>
    </row>
    <row r="1410" spans="1:9" x14ac:dyDescent="0.25">
      <c r="A1410" s="9">
        <v>39011</v>
      </c>
      <c r="B1410" s="4">
        <v>80</v>
      </c>
      <c r="C1410" s="4">
        <v>36</v>
      </c>
      <c r="D1410" s="4">
        <v>6</v>
      </c>
      <c r="E1410" s="4">
        <v>36</v>
      </c>
      <c r="F1410" s="4">
        <v>1732</v>
      </c>
      <c r="G1410" s="4">
        <v>13.9</v>
      </c>
      <c r="H1410" s="3">
        <v>3.3</v>
      </c>
      <c r="I1410" s="3">
        <v>1.4</v>
      </c>
    </row>
    <row r="1411" spans="1:9" x14ac:dyDescent="0.25">
      <c r="A1411" s="9">
        <v>39013</v>
      </c>
      <c r="B1411" s="4">
        <v>35</v>
      </c>
      <c r="C1411" s="4">
        <v>25</v>
      </c>
      <c r="D1411" s="4">
        <v>14</v>
      </c>
      <c r="E1411" s="4">
        <v>25</v>
      </c>
      <c r="F1411" s="4">
        <v>2260</v>
      </c>
      <c r="G1411" s="4">
        <v>24.6</v>
      </c>
      <c r="H1411" s="3">
        <v>6.8666666666666671</v>
      </c>
      <c r="I1411" s="3">
        <v>1.1700000000000002</v>
      </c>
    </row>
    <row r="1412" spans="1:9" x14ac:dyDescent="0.25">
      <c r="A1412" s="9">
        <v>39015</v>
      </c>
      <c r="B1412" s="4">
        <v>80</v>
      </c>
      <c r="C1412" s="4">
        <v>49</v>
      </c>
      <c r="D1412" s="4">
        <v>14</v>
      </c>
      <c r="E1412" s="4">
        <v>49</v>
      </c>
      <c r="F1412" s="4">
        <v>748</v>
      </c>
      <c r="G1412" s="4">
        <v>5.7</v>
      </c>
      <c r="H1412" s="3">
        <v>2.8</v>
      </c>
      <c r="I1412" s="3">
        <v>1</v>
      </c>
    </row>
    <row r="1413" spans="1:9" x14ac:dyDescent="0.25">
      <c r="A1413" s="9">
        <v>39017</v>
      </c>
      <c r="B1413" s="4">
        <v>810</v>
      </c>
      <c r="C1413" s="4">
        <v>535</v>
      </c>
      <c r="D1413" s="4">
        <v>56</v>
      </c>
      <c r="E1413" s="4">
        <v>625</v>
      </c>
      <c r="F1413" s="4">
        <v>30558</v>
      </c>
      <c r="G1413" s="4">
        <v>315.59999999999997</v>
      </c>
      <c r="H1413" s="3">
        <v>3.9249999999999998</v>
      </c>
      <c r="I1413" s="3">
        <v>1.54</v>
      </c>
    </row>
    <row r="1414" spans="1:9" x14ac:dyDescent="0.25">
      <c r="A1414" s="9">
        <v>39021</v>
      </c>
      <c r="B1414" s="4">
        <v>23</v>
      </c>
      <c r="C1414" s="4">
        <v>25</v>
      </c>
      <c r="D1414" s="4">
        <v>14</v>
      </c>
      <c r="E1414" s="4">
        <v>25</v>
      </c>
      <c r="F1414" s="4">
        <v>909</v>
      </c>
      <c r="G1414" s="4">
        <v>8.1</v>
      </c>
      <c r="H1414" s="3">
        <v>3.1</v>
      </c>
      <c r="I1414" s="3">
        <v>1.1399999999999999</v>
      </c>
    </row>
    <row r="1415" spans="1:9" x14ac:dyDescent="0.25">
      <c r="A1415" s="9">
        <v>39023</v>
      </c>
      <c r="B1415" s="4">
        <v>397</v>
      </c>
      <c r="C1415" s="4">
        <v>254</v>
      </c>
      <c r="D1415" s="4">
        <v>38</v>
      </c>
      <c r="E1415" s="4">
        <v>254</v>
      </c>
      <c r="F1415" s="4">
        <v>14678</v>
      </c>
      <c r="G1415" s="4">
        <v>143.4</v>
      </c>
      <c r="H1415" s="3">
        <v>3.05</v>
      </c>
      <c r="I1415" s="3">
        <v>1.99</v>
      </c>
    </row>
    <row r="1416" spans="1:9" x14ac:dyDescent="0.25">
      <c r="A1416" s="9">
        <v>39025</v>
      </c>
      <c r="B1416" s="4">
        <v>172</v>
      </c>
      <c r="C1416" s="4">
        <v>147</v>
      </c>
      <c r="D1416" s="4">
        <v>16</v>
      </c>
      <c r="E1416" s="4">
        <v>147</v>
      </c>
      <c r="F1416" s="4">
        <v>7250</v>
      </c>
      <c r="G1416" s="4">
        <v>77</v>
      </c>
      <c r="H1416" s="3">
        <v>3.9</v>
      </c>
      <c r="I1416" s="3">
        <v>1.52</v>
      </c>
    </row>
    <row r="1417" spans="1:9" x14ac:dyDescent="0.25">
      <c r="A1417" s="9">
        <v>39027</v>
      </c>
      <c r="B1417" s="4">
        <v>108</v>
      </c>
      <c r="C1417" s="4">
        <v>75</v>
      </c>
      <c r="D1417" s="4">
        <v>6</v>
      </c>
      <c r="E1417" s="4">
        <v>89</v>
      </c>
      <c r="F1417" s="4">
        <v>3071</v>
      </c>
      <c r="G1417" s="4">
        <v>26.3</v>
      </c>
      <c r="H1417" s="3">
        <v>3.4</v>
      </c>
      <c r="I1417" s="3">
        <v>1.38</v>
      </c>
    </row>
    <row r="1418" spans="1:9" x14ac:dyDescent="0.25">
      <c r="A1418" s="9">
        <v>39029</v>
      </c>
      <c r="B1418" s="4">
        <v>238</v>
      </c>
      <c r="C1418" s="4">
        <v>219</v>
      </c>
      <c r="D1418" s="4">
        <v>20</v>
      </c>
      <c r="E1418" s="4">
        <v>219</v>
      </c>
      <c r="F1418" s="4">
        <v>9241</v>
      </c>
      <c r="G1418" s="4">
        <v>88</v>
      </c>
      <c r="H1418" s="3">
        <v>3.6</v>
      </c>
      <c r="I1418" s="3">
        <v>1.42</v>
      </c>
    </row>
    <row r="1419" spans="1:9" x14ac:dyDescent="0.25">
      <c r="A1419" s="9">
        <v>39031</v>
      </c>
      <c r="B1419" s="4">
        <v>55</v>
      </c>
      <c r="C1419" s="4">
        <v>56</v>
      </c>
      <c r="D1419" s="4">
        <v>7</v>
      </c>
      <c r="E1419" s="4">
        <v>56</v>
      </c>
      <c r="F1419" s="4">
        <v>1828</v>
      </c>
      <c r="G1419" s="4">
        <v>17.7</v>
      </c>
      <c r="H1419" s="3">
        <v>3.5</v>
      </c>
      <c r="I1419" s="3">
        <v>1.5</v>
      </c>
    </row>
    <row r="1420" spans="1:9" x14ac:dyDescent="0.25">
      <c r="A1420" s="9">
        <v>39033</v>
      </c>
      <c r="B1420" s="4">
        <v>150</v>
      </c>
      <c r="C1420" s="4">
        <v>50</v>
      </c>
      <c r="D1420" s="4">
        <v>9</v>
      </c>
      <c r="E1420" s="4">
        <v>50</v>
      </c>
      <c r="F1420" s="4">
        <v>2361</v>
      </c>
      <c r="G1420" s="4">
        <v>19.899999999999999</v>
      </c>
      <c r="H1420" s="3">
        <v>3.0999999999999996</v>
      </c>
      <c r="I1420" s="3">
        <v>1.35</v>
      </c>
    </row>
    <row r="1421" spans="1:9" x14ac:dyDescent="0.25">
      <c r="A1421" s="9">
        <v>39035</v>
      </c>
      <c r="B1421" s="4">
        <v>9756</v>
      </c>
      <c r="C1421" s="4">
        <v>4799</v>
      </c>
      <c r="D1421" s="4">
        <v>397</v>
      </c>
      <c r="E1421" s="4">
        <v>5158</v>
      </c>
      <c r="F1421" s="4">
        <v>246267</v>
      </c>
      <c r="G1421" s="4">
        <v>3212.1</v>
      </c>
      <c r="H1421" s="3">
        <v>4.1705882352941179</v>
      </c>
      <c r="I1421" s="3">
        <v>1.7186666666666666</v>
      </c>
    </row>
    <row r="1422" spans="1:9" x14ac:dyDescent="0.25">
      <c r="A1422" s="9">
        <v>39037</v>
      </c>
      <c r="B1422" s="4">
        <v>110</v>
      </c>
      <c r="C1422" s="4">
        <v>40</v>
      </c>
      <c r="D1422" s="4">
        <v>6</v>
      </c>
      <c r="E1422" s="4">
        <v>40</v>
      </c>
      <c r="F1422" s="4">
        <v>1834</v>
      </c>
      <c r="G1422" s="4">
        <v>10.9</v>
      </c>
      <c r="H1422" s="3">
        <v>2.5</v>
      </c>
      <c r="I1422" s="3">
        <v>1.31</v>
      </c>
    </row>
    <row r="1423" spans="1:9" x14ac:dyDescent="0.25">
      <c r="A1423" s="9">
        <v>39039</v>
      </c>
      <c r="B1423" s="4">
        <v>167</v>
      </c>
      <c r="C1423" s="4">
        <v>73</v>
      </c>
      <c r="D1423" s="4">
        <v>8</v>
      </c>
      <c r="E1423" s="4">
        <v>73</v>
      </c>
      <c r="F1423" s="4">
        <v>2741</v>
      </c>
      <c r="G1423" s="4">
        <v>21.2</v>
      </c>
      <c r="H1423" s="3">
        <v>2.9333333333333336</v>
      </c>
      <c r="I1423" s="3">
        <v>1.2033333333333334</v>
      </c>
    </row>
    <row r="1424" spans="1:9" x14ac:dyDescent="0.25">
      <c r="A1424" s="9">
        <v>39041</v>
      </c>
      <c r="B1424" s="4">
        <v>117</v>
      </c>
      <c r="C1424" s="4">
        <v>64</v>
      </c>
      <c r="D1424" s="4">
        <v>6</v>
      </c>
      <c r="E1424" s="4">
        <v>64</v>
      </c>
      <c r="F1424" s="4">
        <v>1876</v>
      </c>
      <c r="G1424" s="4">
        <v>15</v>
      </c>
      <c r="H1424" s="3">
        <v>3.3</v>
      </c>
      <c r="I1424" s="3">
        <v>1.48</v>
      </c>
    </row>
    <row r="1425" spans="1:9" x14ac:dyDescent="0.25">
      <c r="A1425" s="9">
        <v>39043</v>
      </c>
      <c r="B1425" s="4">
        <v>279</v>
      </c>
      <c r="C1425" s="4">
        <v>183</v>
      </c>
      <c r="D1425" s="4">
        <v>18</v>
      </c>
      <c r="E1425" s="4">
        <v>410</v>
      </c>
      <c r="F1425" s="4">
        <v>8583</v>
      </c>
      <c r="G1425" s="4">
        <v>99.6</v>
      </c>
      <c r="H1425" s="3">
        <v>4.4000000000000004</v>
      </c>
      <c r="I1425" s="3">
        <v>1.47</v>
      </c>
    </row>
    <row r="1426" spans="1:9" x14ac:dyDescent="0.25">
      <c r="A1426" s="9">
        <v>39045</v>
      </c>
      <c r="B1426" s="4">
        <v>313</v>
      </c>
      <c r="C1426" s="4">
        <v>213</v>
      </c>
      <c r="D1426" s="4">
        <v>20</v>
      </c>
      <c r="E1426" s="4">
        <v>213</v>
      </c>
      <c r="F1426" s="4">
        <v>12174</v>
      </c>
      <c r="G1426" s="4">
        <v>115.7</v>
      </c>
      <c r="H1426" s="3">
        <v>3.6</v>
      </c>
      <c r="I1426" s="3">
        <v>1.65</v>
      </c>
    </row>
    <row r="1427" spans="1:9" x14ac:dyDescent="0.25">
      <c r="A1427" s="9">
        <v>39047</v>
      </c>
      <c r="B1427" s="4">
        <v>94</v>
      </c>
      <c r="C1427" s="4">
        <v>25</v>
      </c>
      <c r="D1427" s="4">
        <v>14</v>
      </c>
      <c r="E1427" s="4">
        <v>25</v>
      </c>
      <c r="F1427" s="4">
        <v>871</v>
      </c>
      <c r="G1427" s="4">
        <v>9.8000000000000007</v>
      </c>
      <c r="H1427" s="3">
        <v>2.9</v>
      </c>
      <c r="I1427" s="3">
        <v>1.07</v>
      </c>
    </row>
    <row r="1428" spans="1:9" x14ac:dyDescent="0.25">
      <c r="A1428" s="9">
        <v>39049</v>
      </c>
      <c r="B1428" s="4">
        <v>6541</v>
      </c>
      <c r="C1428" s="4">
        <v>3083</v>
      </c>
      <c r="D1428" s="4">
        <v>294</v>
      </c>
      <c r="E1428" s="4">
        <v>3971</v>
      </c>
      <c r="F1428" s="4">
        <v>193903</v>
      </c>
      <c r="G1428" s="4">
        <v>2549.4999999999995</v>
      </c>
      <c r="H1428" s="3">
        <v>4.3</v>
      </c>
      <c r="I1428" s="3">
        <v>1.9769999999999999</v>
      </c>
    </row>
    <row r="1429" spans="1:9" x14ac:dyDescent="0.25">
      <c r="A1429" s="9">
        <v>39051</v>
      </c>
      <c r="B1429" s="4">
        <v>86</v>
      </c>
      <c r="C1429" s="4">
        <v>25</v>
      </c>
      <c r="D1429" s="4">
        <v>7</v>
      </c>
      <c r="E1429" s="4">
        <v>25</v>
      </c>
      <c r="F1429" s="4">
        <v>1072</v>
      </c>
      <c r="G1429" s="4">
        <v>6.9</v>
      </c>
      <c r="H1429" s="3">
        <v>2.1</v>
      </c>
      <c r="I1429" s="3">
        <v>1.36</v>
      </c>
    </row>
    <row r="1430" spans="1:9" x14ac:dyDescent="0.25">
      <c r="A1430" s="9">
        <v>39053</v>
      </c>
      <c r="B1430" s="4">
        <v>272</v>
      </c>
      <c r="C1430" s="4">
        <v>157</v>
      </c>
      <c r="D1430" s="4">
        <v>14</v>
      </c>
      <c r="E1430" s="4">
        <v>157</v>
      </c>
      <c r="F1430" s="4">
        <v>3940</v>
      </c>
      <c r="G1430" s="4">
        <v>39.5</v>
      </c>
      <c r="H1430" s="3">
        <v>4</v>
      </c>
      <c r="I1430" s="3">
        <v>1.46</v>
      </c>
    </row>
    <row r="1431" spans="1:9" x14ac:dyDescent="0.25">
      <c r="A1431" s="9">
        <v>39055</v>
      </c>
      <c r="B1431" s="4">
        <v>227</v>
      </c>
      <c r="C1431" s="4">
        <v>124</v>
      </c>
      <c r="D1431" s="4">
        <v>12</v>
      </c>
      <c r="E1431" s="4">
        <v>124</v>
      </c>
      <c r="F1431" s="4">
        <v>7102</v>
      </c>
      <c r="G1431" s="4">
        <v>68.2</v>
      </c>
      <c r="H1431" s="3">
        <v>3.7</v>
      </c>
      <c r="I1431" s="3">
        <v>1.59</v>
      </c>
    </row>
    <row r="1432" spans="1:9" x14ac:dyDescent="0.25">
      <c r="A1432" s="9">
        <v>39057</v>
      </c>
      <c r="B1432" s="4">
        <v>256</v>
      </c>
      <c r="C1432" s="4">
        <v>178</v>
      </c>
      <c r="D1432" s="4">
        <v>20</v>
      </c>
      <c r="E1432" s="4">
        <v>178</v>
      </c>
      <c r="F1432" s="4">
        <v>9606</v>
      </c>
      <c r="G1432" s="4">
        <v>96.3</v>
      </c>
      <c r="H1432" s="3">
        <v>3.9</v>
      </c>
      <c r="I1432" s="3">
        <v>1.5</v>
      </c>
    </row>
    <row r="1433" spans="1:9" x14ac:dyDescent="0.25">
      <c r="A1433" s="9">
        <v>39059</v>
      </c>
      <c r="B1433" s="4">
        <v>120</v>
      </c>
      <c r="C1433" s="4">
        <v>90</v>
      </c>
      <c r="D1433" s="4">
        <v>11</v>
      </c>
      <c r="E1433" s="4">
        <v>90</v>
      </c>
      <c r="F1433" s="4">
        <v>3195</v>
      </c>
      <c r="G1433" s="4">
        <v>29.2</v>
      </c>
      <c r="H1433" s="3">
        <v>3.6</v>
      </c>
      <c r="I1433" s="3">
        <v>1.48</v>
      </c>
    </row>
    <row r="1434" spans="1:9" x14ac:dyDescent="0.25">
      <c r="A1434" s="9">
        <v>39061</v>
      </c>
      <c r="B1434" s="4">
        <v>4139</v>
      </c>
      <c r="C1434" s="4">
        <v>2371</v>
      </c>
      <c r="D1434" s="4">
        <v>197</v>
      </c>
      <c r="E1434" s="4">
        <v>2371</v>
      </c>
      <c r="F1434" s="4">
        <v>132706</v>
      </c>
      <c r="G1434" s="4">
        <v>1660.1000000000001</v>
      </c>
      <c r="H1434" s="3">
        <v>4.4399999999999995</v>
      </c>
      <c r="I1434" s="3">
        <v>1.9624999999999999</v>
      </c>
    </row>
    <row r="1435" spans="1:9" x14ac:dyDescent="0.25">
      <c r="A1435" s="9">
        <v>39063</v>
      </c>
      <c r="B1435" s="4">
        <v>319</v>
      </c>
      <c r="C1435" s="4">
        <v>141</v>
      </c>
      <c r="D1435" s="4">
        <v>14</v>
      </c>
      <c r="E1435" s="4">
        <v>141</v>
      </c>
      <c r="F1435" s="4">
        <v>6824</v>
      </c>
      <c r="G1435" s="4">
        <v>64.7</v>
      </c>
      <c r="H1435" s="3">
        <v>3.9</v>
      </c>
      <c r="I1435" s="3">
        <v>1.57</v>
      </c>
    </row>
    <row r="1436" spans="1:9" x14ac:dyDescent="0.25">
      <c r="A1436" s="9">
        <v>39065</v>
      </c>
      <c r="B1436" s="4">
        <v>37</v>
      </c>
      <c r="C1436" s="4">
        <v>25</v>
      </c>
      <c r="D1436" s="4">
        <v>14</v>
      </c>
      <c r="E1436" s="4">
        <v>25</v>
      </c>
      <c r="F1436" s="4">
        <v>421</v>
      </c>
      <c r="G1436" s="4">
        <v>3.7</v>
      </c>
      <c r="H1436" s="3">
        <v>3.2</v>
      </c>
      <c r="I1436" s="3">
        <v>0.96</v>
      </c>
    </row>
    <row r="1437" spans="1:9" x14ac:dyDescent="0.25">
      <c r="A1437" s="9">
        <v>39067</v>
      </c>
      <c r="B1437" s="4">
        <v>25</v>
      </c>
      <c r="C1437" s="4">
        <v>25</v>
      </c>
      <c r="D1437" s="4">
        <v>14</v>
      </c>
      <c r="E1437" s="4">
        <v>25</v>
      </c>
      <c r="F1437" s="4">
        <v>89</v>
      </c>
      <c r="G1437" s="4">
        <v>2.4</v>
      </c>
      <c r="H1437" s="3">
        <v>2.5</v>
      </c>
      <c r="I1437" s="3">
        <v>1.07</v>
      </c>
    </row>
    <row r="1438" spans="1:9" x14ac:dyDescent="0.25">
      <c r="A1438" s="9">
        <v>39069</v>
      </c>
      <c r="B1438" s="4">
        <v>35</v>
      </c>
      <c r="C1438" s="4">
        <v>25</v>
      </c>
      <c r="D1438" s="4">
        <v>5</v>
      </c>
      <c r="E1438" s="4">
        <v>25</v>
      </c>
      <c r="F1438" s="4">
        <v>648</v>
      </c>
      <c r="G1438" s="4">
        <v>7.2</v>
      </c>
      <c r="H1438" s="3">
        <v>2.6</v>
      </c>
      <c r="I1438" s="3">
        <v>1.1399999999999999</v>
      </c>
    </row>
    <row r="1439" spans="1:9" x14ac:dyDescent="0.25">
      <c r="A1439" s="9">
        <v>39071</v>
      </c>
      <c r="B1439" s="4">
        <v>127</v>
      </c>
      <c r="C1439" s="4">
        <v>50</v>
      </c>
      <c r="D1439" s="4">
        <v>14</v>
      </c>
      <c r="E1439" s="4">
        <v>50</v>
      </c>
      <c r="F1439" s="4">
        <v>1474</v>
      </c>
      <c r="G1439" s="4">
        <v>19.5</v>
      </c>
      <c r="H1439" s="3">
        <v>2.6</v>
      </c>
      <c r="I1439" s="3">
        <v>1.095</v>
      </c>
    </row>
    <row r="1440" spans="1:9" x14ac:dyDescent="0.25">
      <c r="A1440" s="9">
        <v>39073</v>
      </c>
      <c r="B1440" s="4">
        <v>60</v>
      </c>
      <c r="C1440" s="4">
        <v>25</v>
      </c>
      <c r="D1440" s="4">
        <v>14</v>
      </c>
      <c r="E1440" s="4">
        <v>25</v>
      </c>
      <c r="F1440" s="4">
        <v>520</v>
      </c>
      <c r="G1440" s="4">
        <v>10.3</v>
      </c>
      <c r="H1440" s="3">
        <v>3.5</v>
      </c>
      <c r="I1440" s="3">
        <v>1.1399999999999999</v>
      </c>
    </row>
    <row r="1441" spans="1:9" x14ac:dyDescent="0.25">
      <c r="A1441" s="9">
        <v>39075</v>
      </c>
      <c r="B1441" s="4">
        <v>54</v>
      </c>
      <c r="C1441" s="4">
        <v>41</v>
      </c>
      <c r="D1441" s="4">
        <v>4</v>
      </c>
      <c r="E1441" s="4">
        <v>41</v>
      </c>
      <c r="F1441" s="4">
        <v>1521</v>
      </c>
      <c r="G1441" s="4">
        <v>10.6</v>
      </c>
      <c r="H1441" s="3">
        <v>3</v>
      </c>
      <c r="I1441" s="3">
        <v>1.22</v>
      </c>
    </row>
    <row r="1442" spans="1:9" x14ac:dyDescent="0.25">
      <c r="A1442" s="9">
        <v>39077</v>
      </c>
      <c r="B1442" s="4">
        <v>232</v>
      </c>
      <c r="C1442" s="4">
        <v>148</v>
      </c>
      <c r="D1442" s="4">
        <v>22</v>
      </c>
      <c r="E1442" s="4">
        <v>148</v>
      </c>
      <c r="F1442" s="4">
        <v>5375</v>
      </c>
      <c r="G1442" s="4">
        <v>42.3</v>
      </c>
      <c r="H1442" s="3">
        <v>3.1666666666666665</v>
      </c>
      <c r="I1442" s="3">
        <v>1.3</v>
      </c>
    </row>
    <row r="1443" spans="1:9" x14ac:dyDescent="0.25">
      <c r="A1443" s="9">
        <v>39079</v>
      </c>
      <c r="B1443" s="4">
        <v>27</v>
      </c>
      <c r="C1443" s="4">
        <v>24</v>
      </c>
      <c r="D1443" s="4">
        <v>14</v>
      </c>
      <c r="E1443" s="4">
        <v>24</v>
      </c>
      <c r="F1443" s="4">
        <v>516</v>
      </c>
      <c r="G1443" s="4">
        <v>7.5</v>
      </c>
      <c r="H1443" s="3">
        <v>2.8</v>
      </c>
      <c r="I1443" s="3">
        <v>1.1100000000000001</v>
      </c>
    </row>
    <row r="1444" spans="1:9" x14ac:dyDescent="0.25">
      <c r="A1444" s="9">
        <v>39081</v>
      </c>
      <c r="B1444" s="4">
        <v>251</v>
      </c>
      <c r="C1444" s="4">
        <v>171</v>
      </c>
      <c r="D1444" s="4">
        <v>12</v>
      </c>
      <c r="E1444" s="4">
        <v>171</v>
      </c>
      <c r="F1444" s="4">
        <v>7479</v>
      </c>
      <c r="G1444" s="4">
        <v>82.5</v>
      </c>
      <c r="H1444" s="3">
        <v>4.2</v>
      </c>
      <c r="I1444" s="3">
        <v>1.66</v>
      </c>
    </row>
    <row r="1445" spans="1:9" x14ac:dyDescent="0.25">
      <c r="A1445" s="9">
        <v>39083</v>
      </c>
      <c r="B1445" s="4">
        <v>163</v>
      </c>
      <c r="C1445" s="4">
        <v>65</v>
      </c>
      <c r="D1445" s="4">
        <v>12</v>
      </c>
      <c r="E1445" s="4">
        <v>65</v>
      </c>
      <c r="F1445" s="4">
        <v>3553</v>
      </c>
      <c r="G1445" s="4">
        <v>32.5</v>
      </c>
      <c r="H1445" s="3">
        <v>3.5</v>
      </c>
      <c r="I1445" s="3">
        <v>1.54</v>
      </c>
    </row>
    <row r="1446" spans="1:9" x14ac:dyDescent="0.25">
      <c r="A1446" s="9">
        <v>39085</v>
      </c>
      <c r="B1446" s="4">
        <v>493</v>
      </c>
      <c r="C1446" s="4">
        <v>312</v>
      </c>
      <c r="D1446" s="4">
        <v>27</v>
      </c>
      <c r="E1446" s="4">
        <v>550</v>
      </c>
      <c r="F1446" s="4">
        <v>14972</v>
      </c>
      <c r="G1446" s="4">
        <v>155.19999999999999</v>
      </c>
      <c r="H1446" s="3">
        <v>4</v>
      </c>
      <c r="I1446" s="3">
        <v>1.57</v>
      </c>
    </row>
    <row r="1447" spans="1:9" x14ac:dyDescent="0.25">
      <c r="A1447" s="9">
        <v>39087</v>
      </c>
      <c r="B1447" s="4">
        <v>8</v>
      </c>
      <c r="C1447" s="4">
        <v>8</v>
      </c>
      <c r="D1447" s="4">
        <v>14</v>
      </c>
      <c r="E1447" s="4">
        <v>8</v>
      </c>
      <c r="F1447" s="4">
        <v>74</v>
      </c>
      <c r="G1447" s="4">
        <v>0.2</v>
      </c>
      <c r="H1447" s="3">
        <v>1</v>
      </c>
      <c r="I1447" s="3">
        <v>2.4300000000000002</v>
      </c>
    </row>
    <row r="1448" spans="1:9" x14ac:dyDescent="0.25">
      <c r="A1448" s="9">
        <v>39089</v>
      </c>
      <c r="B1448" s="4">
        <v>323</v>
      </c>
      <c r="C1448" s="4">
        <v>219</v>
      </c>
      <c r="D1448" s="4">
        <v>13</v>
      </c>
      <c r="E1448" s="4">
        <v>227</v>
      </c>
      <c r="F1448" s="4">
        <v>9074</v>
      </c>
      <c r="G1448" s="4">
        <v>75.100000000000009</v>
      </c>
      <c r="H1448" s="3">
        <v>3.3</v>
      </c>
      <c r="I1448" s="3">
        <v>1.4</v>
      </c>
    </row>
    <row r="1449" spans="1:9" x14ac:dyDescent="0.25">
      <c r="A1449" s="9">
        <v>39091</v>
      </c>
      <c r="B1449" s="4">
        <v>116</v>
      </c>
      <c r="C1449" s="4">
        <v>39</v>
      </c>
      <c r="D1449" s="4">
        <v>14</v>
      </c>
      <c r="E1449" s="4">
        <v>39</v>
      </c>
      <c r="F1449" s="4">
        <v>1389</v>
      </c>
      <c r="G1449" s="4">
        <v>9.9</v>
      </c>
      <c r="H1449" s="3">
        <v>3.1</v>
      </c>
      <c r="I1449" s="3">
        <v>1.3</v>
      </c>
    </row>
    <row r="1450" spans="1:9" x14ac:dyDescent="0.25">
      <c r="A1450" s="9">
        <v>39093</v>
      </c>
      <c r="B1450" s="4">
        <v>704</v>
      </c>
      <c r="C1450" s="4">
        <v>528</v>
      </c>
      <c r="D1450" s="4">
        <v>54</v>
      </c>
      <c r="E1450" s="4">
        <v>528</v>
      </c>
      <c r="F1450" s="4">
        <v>27308</v>
      </c>
      <c r="G1450" s="4">
        <v>281.89999999999998</v>
      </c>
      <c r="H1450" s="3">
        <v>3.5400000000000005</v>
      </c>
      <c r="I1450" s="3">
        <v>1.4375</v>
      </c>
    </row>
    <row r="1451" spans="1:9" x14ac:dyDescent="0.25">
      <c r="A1451" s="9">
        <v>39095</v>
      </c>
      <c r="B1451" s="4">
        <v>2698</v>
      </c>
      <c r="C1451" s="4">
        <v>1881</v>
      </c>
      <c r="D1451" s="4">
        <v>146</v>
      </c>
      <c r="E1451" s="4">
        <v>1923</v>
      </c>
      <c r="F1451" s="4">
        <v>89853</v>
      </c>
      <c r="G1451" s="4">
        <v>1132.8</v>
      </c>
      <c r="H1451" s="3">
        <v>4.1499999999999995</v>
      </c>
      <c r="I1451" s="3">
        <v>1.6912499999999999</v>
      </c>
    </row>
    <row r="1452" spans="1:9" x14ac:dyDescent="0.25">
      <c r="A1452" s="9">
        <v>39097</v>
      </c>
      <c r="B1452" s="4">
        <v>66</v>
      </c>
      <c r="C1452" s="4">
        <v>45</v>
      </c>
      <c r="D1452" s="4">
        <v>13</v>
      </c>
      <c r="E1452" s="4">
        <v>45</v>
      </c>
      <c r="F1452" s="4">
        <v>1589</v>
      </c>
      <c r="G1452" s="4">
        <v>11.1</v>
      </c>
      <c r="H1452" s="3">
        <v>2.8</v>
      </c>
      <c r="I1452" s="3">
        <v>1.3</v>
      </c>
    </row>
    <row r="1453" spans="1:9" x14ac:dyDescent="0.25">
      <c r="A1453" s="9">
        <v>39099</v>
      </c>
      <c r="B1453" s="4">
        <v>969</v>
      </c>
      <c r="C1453" s="4">
        <v>554</v>
      </c>
      <c r="D1453" s="4">
        <v>38</v>
      </c>
      <c r="E1453" s="4">
        <v>554</v>
      </c>
      <c r="F1453" s="4">
        <v>34767</v>
      </c>
      <c r="G1453" s="4">
        <v>396.9</v>
      </c>
      <c r="H1453" s="3">
        <v>8.4400000000000013</v>
      </c>
      <c r="I1453" s="3">
        <v>1.8774999999999999</v>
      </c>
    </row>
    <row r="1454" spans="1:9" x14ac:dyDescent="0.25">
      <c r="A1454" s="9">
        <v>39101</v>
      </c>
      <c r="B1454" s="4">
        <v>230</v>
      </c>
      <c r="C1454" s="4">
        <v>174</v>
      </c>
      <c r="D1454" s="4">
        <v>15</v>
      </c>
      <c r="E1454" s="4">
        <v>174</v>
      </c>
      <c r="F1454" s="4">
        <v>6479</v>
      </c>
      <c r="G1454" s="4">
        <v>61.8</v>
      </c>
      <c r="H1454" s="3">
        <v>3.8</v>
      </c>
      <c r="I1454" s="3">
        <v>1.52</v>
      </c>
    </row>
    <row r="1455" spans="1:9" x14ac:dyDescent="0.25">
      <c r="A1455" s="9">
        <v>39103</v>
      </c>
      <c r="B1455" s="4">
        <v>161</v>
      </c>
      <c r="C1455" s="4">
        <v>150</v>
      </c>
      <c r="D1455" s="4">
        <v>12</v>
      </c>
      <c r="E1455" s="4">
        <v>150</v>
      </c>
      <c r="F1455" s="4">
        <v>8014</v>
      </c>
      <c r="G1455" s="4">
        <v>93.799999999999983</v>
      </c>
      <c r="H1455" s="3">
        <v>3.4666666666666668</v>
      </c>
      <c r="I1455" s="3">
        <v>1.2450000000000001</v>
      </c>
    </row>
    <row r="1456" spans="1:9" x14ac:dyDescent="0.25">
      <c r="A1456" s="9">
        <v>39107</v>
      </c>
      <c r="B1456" s="4">
        <v>97</v>
      </c>
      <c r="C1456" s="4">
        <v>42</v>
      </c>
      <c r="D1456" s="4">
        <v>5</v>
      </c>
      <c r="E1456" s="4">
        <v>42</v>
      </c>
      <c r="F1456" s="4">
        <v>2266</v>
      </c>
      <c r="G1456" s="4">
        <v>15.3</v>
      </c>
      <c r="H1456" s="3">
        <v>2.8</v>
      </c>
      <c r="I1456" s="3">
        <v>1.2</v>
      </c>
    </row>
    <row r="1457" spans="1:9" x14ac:dyDescent="0.25">
      <c r="A1457" s="9">
        <v>39109</v>
      </c>
      <c r="B1457" s="4">
        <v>210</v>
      </c>
      <c r="C1457" s="4">
        <v>119</v>
      </c>
      <c r="D1457" s="4">
        <v>10</v>
      </c>
      <c r="E1457" s="4">
        <v>119</v>
      </c>
      <c r="F1457" s="4">
        <v>5267</v>
      </c>
      <c r="G1457" s="4">
        <v>48.7</v>
      </c>
      <c r="H1457" s="3">
        <v>3.7</v>
      </c>
      <c r="I1457" s="3">
        <v>1.36</v>
      </c>
    </row>
    <row r="1458" spans="1:9" x14ac:dyDescent="0.25">
      <c r="A1458" s="9">
        <v>39113</v>
      </c>
      <c r="B1458" s="4">
        <v>2662</v>
      </c>
      <c r="C1458" s="4">
        <v>1585</v>
      </c>
      <c r="D1458" s="4">
        <v>162</v>
      </c>
      <c r="E1458" s="4">
        <v>1656</v>
      </c>
      <c r="F1458" s="4">
        <v>89367</v>
      </c>
      <c r="G1458" s="4">
        <v>1061.8999999999999</v>
      </c>
      <c r="H1458" s="3">
        <v>3.9</v>
      </c>
      <c r="I1458" s="3">
        <v>1.9233333333333331</v>
      </c>
    </row>
    <row r="1459" spans="1:9" x14ac:dyDescent="0.25">
      <c r="A1459" s="9">
        <v>39117</v>
      </c>
      <c r="B1459" s="4">
        <v>40</v>
      </c>
      <c r="C1459" s="4">
        <v>23</v>
      </c>
      <c r="D1459" s="4">
        <v>3</v>
      </c>
      <c r="E1459" s="4">
        <v>23</v>
      </c>
      <c r="F1459" s="4">
        <v>402</v>
      </c>
      <c r="G1459" s="4">
        <v>3.8</v>
      </c>
      <c r="H1459" s="3">
        <v>2.7</v>
      </c>
      <c r="I1459" s="3">
        <v>1.06</v>
      </c>
    </row>
    <row r="1460" spans="1:9" x14ac:dyDescent="0.25">
      <c r="A1460" s="9">
        <v>39119</v>
      </c>
      <c r="B1460" s="4">
        <v>503</v>
      </c>
      <c r="C1460" s="4">
        <v>282</v>
      </c>
      <c r="D1460" s="4">
        <v>24</v>
      </c>
      <c r="E1460" s="4">
        <v>282</v>
      </c>
      <c r="F1460" s="4">
        <v>13909</v>
      </c>
      <c r="G1460" s="4">
        <v>140.80000000000001</v>
      </c>
      <c r="H1460" s="3">
        <v>4</v>
      </c>
      <c r="I1460" s="3">
        <v>1.64</v>
      </c>
    </row>
    <row r="1461" spans="1:9" x14ac:dyDescent="0.25">
      <c r="A1461" s="9">
        <v>39123</v>
      </c>
      <c r="B1461" s="4">
        <v>52</v>
      </c>
      <c r="C1461" s="4">
        <v>25</v>
      </c>
      <c r="D1461" s="4">
        <v>4</v>
      </c>
      <c r="E1461" s="4">
        <v>25</v>
      </c>
      <c r="F1461" s="4">
        <v>344</v>
      </c>
      <c r="G1461" s="4">
        <v>3</v>
      </c>
      <c r="H1461" s="3">
        <v>2.9</v>
      </c>
      <c r="I1461" s="3">
        <v>1.29</v>
      </c>
    </row>
    <row r="1462" spans="1:9" x14ac:dyDescent="0.25">
      <c r="A1462" s="9">
        <v>39125</v>
      </c>
      <c r="B1462" s="4">
        <v>18</v>
      </c>
      <c r="C1462" s="4">
        <v>25</v>
      </c>
      <c r="D1462" s="4">
        <v>14</v>
      </c>
      <c r="E1462" s="4">
        <v>25</v>
      </c>
      <c r="F1462" s="4">
        <v>293</v>
      </c>
      <c r="G1462" s="4">
        <v>4.5999999999999996</v>
      </c>
      <c r="H1462" s="3">
        <v>3.1</v>
      </c>
      <c r="I1462" s="3">
        <v>0.98</v>
      </c>
    </row>
    <row r="1463" spans="1:9" x14ac:dyDescent="0.25">
      <c r="A1463" s="9">
        <v>39129</v>
      </c>
      <c r="B1463" s="4">
        <v>91</v>
      </c>
      <c r="C1463" s="4">
        <v>83</v>
      </c>
      <c r="D1463" s="4">
        <v>8</v>
      </c>
      <c r="E1463" s="4">
        <v>83</v>
      </c>
      <c r="F1463" s="4">
        <v>1808</v>
      </c>
      <c r="G1463" s="4">
        <v>20.399999999999999</v>
      </c>
      <c r="H1463" s="3">
        <v>3.1</v>
      </c>
      <c r="I1463" s="3">
        <v>1.51</v>
      </c>
    </row>
    <row r="1464" spans="1:9" x14ac:dyDescent="0.25">
      <c r="A1464" s="9">
        <v>39131</v>
      </c>
      <c r="B1464" s="4">
        <v>19</v>
      </c>
      <c r="C1464" s="4">
        <v>25</v>
      </c>
      <c r="D1464" s="4">
        <v>14</v>
      </c>
      <c r="E1464" s="4">
        <v>25</v>
      </c>
      <c r="F1464" s="4">
        <v>297</v>
      </c>
      <c r="G1464" s="4">
        <v>7.2</v>
      </c>
      <c r="H1464" s="3">
        <v>2.5</v>
      </c>
      <c r="I1464" s="3">
        <v>1</v>
      </c>
    </row>
    <row r="1465" spans="1:9" x14ac:dyDescent="0.25">
      <c r="A1465" s="9">
        <v>39133</v>
      </c>
      <c r="B1465" s="4">
        <v>225</v>
      </c>
      <c r="C1465" s="4">
        <v>191</v>
      </c>
      <c r="D1465" s="4">
        <v>16</v>
      </c>
      <c r="E1465" s="4">
        <v>191</v>
      </c>
      <c r="F1465" s="4">
        <v>6915</v>
      </c>
      <c r="G1465" s="4">
        <v>74.8</v>
      </c>
      <c r="H1465" s="3">
        <v>4.0999999999999996</v>
      </c>
      <c r="I1465" s="3">
        <v>1.54</v>
      </c>
    </row>
    <row r="1466" spans="1:9" x14ac:dyDescent="0.25">
      <c r="A1466" s="9">
        <v>39139</v>
      </c>
      <c r="B1466" s="4">
        <v>418</v>
      </c>
      <c r="C1466" s="4">
        <v>279</v>
      </c>
      <c r="D1466" s="4">
        <v>37</v>
      </c>
      <c r="E1466" s="4">
        <v>279</v>
      </c>
      <c r="F1466" s="4">
        <v>12462</v>
      </c>
      <c r="G1466" s="4">
        <v>155.60000000000002</v>
      </c>
      <c r="H1466" s="3">
        <v>3.5333333333333337</v>
      </c>
      <c r="I1466" s="3">
        <v>1.4333333333333333</v>
      </c>
    </row>
    <row r="1467" spans="1:9" x14ac:dyDescent="0.25">
      <c r="A1467" s="9">
        <v>39141</v>
      </c>
      <c r="B1467" s="4">
        <v>444</v>
      </c>
      <c r="C1467" s="4">
        <v>189</v>
      </c>
      <c r="D1467" s="4">
        <v>12</v>
      </c>
      <c r="E1467" s="4">
        <v>189</v>
      </c>
      <c r="F1467" s="4">
        <v>10231</v>
      </c>
      <c r="G1467" s="4">
        <v>105.9</v>
      </c>
      <c r="H1467" s="3">
        <v>4</v>
      </c>
      <c r="I1467" s="3">
        <v>1.65</v>
      </c>
    </row>
    <row r="1468" spans="1:9" x14ac:dyDescent="0.25">
      <c r="A1468" s="9">
        <v>39143</v>
      </c>
      <c r="B1468" s="4">
        <v>128</v>
      </c>
      <c r="C1468" s="4">
        <v>102</v>
      </c>
      <c r="D1468" s="4">
        <v>8</v>
      </c>
      <c r="E1468" s="4">
        <v>102</v>
      </c>
      <c r="F1468" s="4">
        <v>1215</v>
      </c>
      <c r="G1468" s="4">
        <v>14.7</v>
      </c>
      <c r="H1468" s="3">
        <v>2.7</v>
      </c>
      <c r="I1468" s="3">
        <v>1.35</v>
      </c>
    </row>
    <row r="1469" spans="1:9" x14ac:dyDescent="0.25">
      <c r="A1469" s="9">
        <v>39145</v>
      </c>
      <c r="B1469" s="4">
        <v>370</v>
      </c>
      <c r="C1469" s="4">
        <v>202</v>
      </c>
      <c r="D1469" s="4">
        <v>16</v>
      </c>
      <c r="E1469" s="4">
        <v>202</v>
      </c>
      <c r="F1469" s="4">
        <v>11033</v>
      </c>
      <c r="G1469" s="4">
        <v>119.60000000000001</v>
      </c>
      <c r="H1469" s="3">
        <v>2.9499999999999997</v>
      </c>
      <c r="I1469" s="3">
        <v>1.98</v>
      </c>
    </row>
    <row r="1470" spans="1:9" x14ac:dyDescent="0.25">
      <c r="A1470" s="9">
        <v>39147</v>
      </c>
      <c r="B1470" s="4">
        <v>114</v>
      </c>
      <c r="C1470" s="4">
        <v>70</v>
      </c>
      <c r="D1470" s="4">
        <v>9</v>
      </c>
      <c r="E1470" s="4">
        <v>70</v>
      </c>
      <c r="F1470" s="4">
        <v>2790</v>
      </c>
      <c r="G1470" s="4">
        <v>18.600000000000001</v>
      </c>
      <c r="H1470" s="3">
        <v>2.7</v>
      </c>
      <c r="I1470" s="3">
        <v>1.24</v>
      </c>
    </row>
    <row r="1471" spans="1:9" x14ac:dyDescent="0.25">
      <c r="A1471" s="9">
        <v>39149</v>
      </c>
      <c r="B1471" s="4">
        <v>102</v>
      </c>
      <c r="C1471" s="4">
        <v>61</v>
      </c>
      <c r="D1471" s="4">
        <v>7</v>
      </c>
      <c r="E1471" s="4">
        <v>61</v>
      </c>
      <c r="F1471" s="4">
        <v>2404</v>
      </c>
      <c r="G1471" s="4">
        <v>17.2</v>
      </c>
      <c r="H1471" s="3">
        <v>3.2</v>
      </c>
      <c r="I1471" s="3">
        <v>1.2</v>
      </c>
    </row>
    <row r="1472" spans="1:9" x14ac:dyDescent="0.25">
      <c r="A1472" s="9">
        <v>39151</v>
      </c>
      <c r="B1472" s="4">
        <v>1259</v>
      </c>
      <c r="C1472" s="4">
        <v>794</v>
      </c>
      <c r="D1472" s="4">
        <v>68</v>
      </c>
      <c r="E1472" s="4">
        <v>794</v>
      </c>
      <c r="F1472" s="4">
        <v>42656</v>
      </c>
      <c r="G1472" s="4">
        <v>503.50000000000006</v>
      </c>
      <c r="H1472" s="3">
        <v>4.1500000000000004</v>
      </c>
      <c r="I1472" s="3">
        <v>1.6525000000000001</v>
      </c>
    </row>
    <row r="1473" spans="1:9" x14ac:dyDescent="0.25">
      <c r="A1473" s="9">
        <v>39153</v>
      </c>
      <c r="B1473" s="4">
        <v>2109</v>
      </c>
      <c r="C1473" s="4">
        <v>1267</v>
      </c>
      <c r="D1473" s="4">
        <v>122</v>
      </c>
      <c r="E1473" s="4">
        <v>1591</v>
      </c>
      <c r="F1473" s="4">
        <v>66352</v>
      </c>
      <c r="G1473" s="4">
        <v>746.69999999999993</v>
      </c>
      <c r="H1473" s="3">
        <v>3.9200000000000004</v>
      </c>
      <c r="I1473" s="3">
        <v>1.8374999999999999</v>
      </c>
    </row>
    <row r="1474" spans="1:9" x14ac:dyDescent="0.25">
      <c r="A1474" s="9">
        <v>39155</v>
      </c>
      <c r="B1474" s="4">
        <v>391</v>
      </c>
      <c r="C1474" s="4">
        <v>330</v>
      </c>
      <c r="D1474" s="4">
        <v>42</v>
      </c>
      <c r="E1474" s="4">
        <v>330</v>
      </c>
      <c r="F1474" s="4">
        <v>17563</v>
      </c>
      <c r="G1474" s="4">
        <v>189.2</v>
      </c>
      <c r="H1474" s="3">
        <v>4.1500000000000004</v>
      </c>
      <c r="I1474" s="3">
        <v>1.54</v>
      </c>
    </row>
    <row r="1475" spans="1:9" x14ac:dyDescent="0.25">
      <c r="A1475" s="9">
        <v>39157</v>
      </c>
      <c r="B1475" s="4">
        <v>210</v>
      </c>
      <c r="C1475" s="4">
        <v>153</v>
      </c>
      <c r="D1475" s="4">
        <v>10</v>
      </c>
      <c r="E1475" s="4">
        <v>153</v>
      </c>
      <c r="F1475" s="4">
        <v>4146</v>
      </c>
      <c r="G1475" s="4">
        <v>39.800000000000004</v>
      </c>
      <c r="H1475" s="3">
        <v>3.15</v>
      </c>
      <c r="I1475" s="3">
        <v>1.25</v>
      </c>
    </row>
    <row r="1476" spans="1:9" x14ac:dyDescent="0.25">
      <c r="A1476" s="9">
        <v>39159</v>
      </c>
      <c r="B1476" s="4">
        <v>179</v>
      </c>
      <c r="C1476" s="4">
        <v>60</v>
      </c>
      <c r="D1476" s="4">
        <v>7</v>
      </c>
      <c r="E1476" s="4">
        <v>60</v>
      </c>
      <c r="F1476" s="4">
        <v>1967</v>
      </c>
      <c r="G1476" s="4">
        <v>14.2</v>
      </c>
      <c r="H1476" s="3">
        <v>3.2</v>
      </c>
      <c r="I1476" s="3">
        <v>1.33</v>
      </c>
    </row>
    <row r="1477" spans="1:9" x14ac:dyDescent="0.25">
      <c r="A1477" s="9">
        <v>39161</v>
      </c>
      <c r="B1477" s="4">
        <v>65</v>
      </c>
      <c r="C1477" s="4">
        <v>61</v>
      </c>
      <c r="D1477" s="4">
        <v>5</v>
      </c>
      <c r="E1477" s="4">
        <v>61</v>
      </c>
      <c r="F1477" s="4">
        <v>1023</v>
      </c>
      <c r="G1477" s="4">
        <v>7</v>
      </c>
      <c r="H1477" s="3">
        <v>2.8</v>
      </c>
      <c r="I1477" s="3">
        <v>1.53</v>
      </c>
    </row>
    <row r="1478" spans="1:9" x14ac:dyDescent="0.25">
      <c r="A1478" s="9">
        <v>39165</v>
      </c>
      <c r="B1478" s="4">
        <v>279</v>
      </c>
      <c r="C1478" s="4">
        <v>217</v>
      </c>
      <c r="D1478" s="4">
        <v>16</v>
      </c>
      <c r="E1478" s="4">
        <v>217</v>
      </c>
      <c r="F1478" s="4">
        <v>7653</v>
      </c>
      <c r="G1478" s="4">
        <v>81.7</v>
      </c>
      <c r="H1478" s="3">
        <v>4.0999999999999996</v>
      </c>
      <c r="I1478" s="3">
        <v>1.72</v>
      </c>
    </row>
    <row r="1479" spans="1:9" x14ac:dyDescent="0.25">
      <c r="A1479" s="9">
        <v>39167</v>
      </c>
      <c r="B1479" s="4">
        <v>400</v>
      </c>
      <c r="C1479" s="4">
        <v>213</v>
      </c>
      <c r="D1479" s="4">
        <v>11</v>
      </c>
      <c r="E1479" s="4">
        <v>213</v>
      </c>
      <c r="F1479" s="4">
        <v>12038</v>
      </c>
      <c r="G1479" s="4">
        <v>118</v>
      </c>
      <c r="H1479" s="3">
        <v>3.3</v>
      </c>
      <c r="I1479" s="3">
        <v>1.63</v>
      </c>
    </row>
    <row r="1480" spans="1:9" x14ac:dyDescent="0.25">
      <c r="A1480" s="9">
        <v>39169</v>
      </c>
      <c r="B1480" s="4">
        <v>262</v>
      </c>
      <c r="C1480" s="4">
        <v>129</v>
      </c>
      <c r="D1480" s="4">
        <v>14</v>
      </c>
      <c r="E1480" s="4">
        <v>129</v>
      </c>
      <c r="F1480" s="4">
        <v>7005</v>
      </c>
      <c r="G1480" s="4">
        <v>51.4</v>
      </c>
      <c r="H1480" s="3">
        <v>2.4500000000000002</v>
      </c>
      <c r="I1480" s="3">
        <v>1.31</v>
      </c>
    </row>
    <row r="1481" spans="1:9" x14ac:dyDescent="0.25">
      <c r="A1481" s="9">
        <v>39171</v>
      </c>
      <c r="B1481" s="4">
        <v>60</v>
      </c>
      <c r="C1481" s="4">
        <v>100</v>
      </c>
      <c r="D1481" s="4">
        <v>7</v>
      </c>
      <c r="E1481" s="4">
        <v>100</v>
      </c>
      <c r="F1481" s="4">
        <v>2009</v>
      </c>
      <c r="G1481" s="4">
        <v>24.799999999999997</v>
      </c>
      <c r="H1481" s="3">
        <v>2.65</v>
      </c>
      <c r="I1481" s="3">
        <v>1.165</v>
      </c>
    </row>
    <row r="1482" spans="1:9" x14ac:dyDescent="0.25">
      <c r="A1482" s="9">
        <v>39173</v>
      </c>
      <c r="B1482" s="4">
        <v>154</v>
      </c>
      <c r="C1482" s="4">
        <v>103</v>
      </c>
      <c r="D1482" s="4">
        <v>10</v>
      </c>
      <c r="E1482" s="4">
        <v>149</v>
      </c>
      <c r="F1482" s="4">
        <v>2608</v>
      </c>
      <c r="G1482" s="4">
        <v>20.399999999999999</v>
      </c>
      <c r="H1482" s="3">
        <v>3.1</v>
      </c>
      <c r="I1482" s="3">
        <v>1.32</v>
      </c>
    </row>
    <row r="1483" spans="1:9" x14ac:dyDescent="0.25">
      <c r="A1483" s="9">
        <v>39175</v>
      </c>
      <c r="B1483" s="4">
        <v>58</v>
      </c>
      <c r="C1483" s="4">
        <v>24</v>
      </c>
      <c r="D1483" s="4">
        <v>14</v>
      </c>
      <c r="E1483" s="4">
        <v>24</v>
      </c>
      <c r="F1483" s="4">
        <v>742</v>
      </c>
      <c r="G1483" s="4">
        <v>10.5</v>
      </c>
      <c r="H1483" s="3">
        <v>3.4</v>
      </c>
      <c r="I1483" s="3">
        <v>1.1399999999999999</v>
      </c>
    </row>
    <row r="1484" spans="1:9" x14ac:dyDescent="0.25">
      <c r="A1484" s="9">
        <v>40001</v>
      </c>
      <c r="B1484" s="4">
        <v>43</v>
      </c>
      <c r="C1484" s="4">
        <v>30</v>
      </c>
      <c r="D1484" s="4">
        <v>14</v>
      </c>
      <c r="E1484" s="4">
        <v>30</v>
      </c>
      <c r="F1484" s="4">
        <v>1047</v>
      </c>
      <c r="G1484" s="4">
        <v>14.8</v>
      </c>
      <c r="H1484" s="3">
        <v>5.2</v>
      </c>
      <c r="I1484" s="3">
        <v>1.03</v>
      </c>
    </row>
    <row r="1485" spans="1:9" x14ac:dyDescent="0.25">
      <c r="A1485" s="9">
        <v>40005</v>
      </c>
      <c r="B1485" s="4">
        <v>14</v>
      </c>
      <c r="C1485" s="4">
        <v>25</v>
      </c>
      <c r="D1485" s="4">
        <v>14</v>
      </c>
      <c r="E1485" s="4">
        <v>25</v>
      </c>
      <c r="F1485" s="4">
        <v>323</v>
      </c>
      <c r="G1485" s="4">
        <v>7.5</v>
      </c>
      <c r="H1485" s="3">
        <v>2.7</v>
      </c>
      <c r="I1485" s="3">
        <v>0.92</v>
      </c>
    </row>
    <row r="1486" spans="1:9" x14ac:dyDescent="0.25">
      <c r="A1486" s="9">
        <v>40007</v>
      </c>
      <c r="B1486" s="4">
        <v>1</v>
      </c>
      <c r="C1486" s="4">
        <v>24</v>
      </c>
      <c r="D1486" s="4">
        <v>14</v>
      </c>
      <c r="E1486" s="4">
        <v>24</v>
      </c>
      <c r="F1486" s="4">
        <v>80</v>
      </c>
      <c r="G1486" s="4">
        <v>1.8</v>
      </c>
      <c r="H1486" s="3">
        <v>3</v>
      </c>
      <c r="I1486" s="3">
        <v>0.94</v>
      </c>
    </row>
    <row r="1487" spans="1:9" x14ac:dyDescent="0.25">
      <c r="A1487" s="9">
        <v>40009</v>
      </c>
      <c r="B1487" s="4">
        <v>91</v>
      </c>
      <c r="C1487" s="4">
        <v>34</v>
      </c>
      <c r="D1487" s="4">
        <v>6</v>
      </c>
      <c r="E1487" s="4">
        <v>34</v>
      </c>
      <c r="F1487" s="4">
        <v>1505</v>
      </c>
      <c r="G1487" s="4">
        <v>17</v>
      </c>
      <c r="H1487" s="3">
        <v>4.5</v>
      </c>
      <c r="I1487" s="3">
        <v>1.155</v>
      </c>
    </row>
    <row r="1488" spans="1:9" x14ac:dyDescent="0.25">
      <c r="A1488" s="9">
        <v>40011</v>
      </c>
      <c r="B1488" s="4">
        <v>17</v>
      </c>
      <c r="C1488" s="4">
        <v>42</v>
      </c>
      <c r="D1488" s="4">
        <v>14</v>
      </c>
      <c r="E1488" s="4">
        <v>42</v>
      </c>
      <c r="F1488" s="4">
        <v>213</v>
      </c>
      <c r="G1488" s="4">
        <v>4.0999999999999996</v>
      </c>
      <c r="H1488" s="3">
        <v>2.8</v>
      </c>
      <c r="I1488" s="3">
        <v>1.1499999999999999</v>
      </c>
    </row>
    <row r="1489" spans="1:9" x14ac:dyDescent="0.25">
      <c r="A1489" s="9">
        <v>40013</v>
      </c>
      <c r="B1489" s="4">
        <v>80</v>
      </c>
      <c r="C1489" s="4">
        <v>140</v>
      </c>
      <c r="D1489" s="4">
        <v>8</v>
      </c>
      <c r="E1489" s="4">
        <v>140</v>
      </c>
      <c r="F1489" s="4">
        <v>5606</v>
      </c>
      <c r="G1489" s="4">
        <v>46.7</v>
      </c>
      <c r="H1489" s="3">
        <v>3.4</v>
      </c>
      <c r="I1489" s="3">
        <v>1.38</v>
      </c>
    </row>
    <row r="1490" spans="1:9" x14ac:dyDescent="0.25">
      <c r="A1490" s="9">
        <v>40015</v>
      </c>
      <c r="B1490" s="4">
        <v>33</v>
      </c>
      <c r="C1490" s="4">
        <v>42</v>
      </c>
      <c r="D1490" s="4">
        <v>14</v>
      </c>
      <c r="E1490" s="4">
        <v>42</v>
      </c>
      <c r="F1490" s="4">
        <v>371</v>
      </c>
      <c r="G1490" s="4">
        <v>26.9</v>
      </c>
      <c r="H1490" s="3">
        <v>3.05</v>
      </c>
      <c r="I1490" s="3">
        <v>0.91999999999999993</v>
      </c>
    </row>
    <row r="1491" spans="1:9" x14ac:dyDescent="0.25">
      <c r="A1491" s="9">
        <v>40017</v>
      </c>
      <c r="B1491" s="4">
        <v>76</v>
      </c>
      <c r="C1491" s="4">
        <v>74</v>
      </c>
      <c r="D1491" s="4">
        <v>8</v>
      </c>
      <c r="E1491" s="4">
        <v>74</v>
      </c>
      <c r="F1491" s="4">
        <v>3644</v>
      </c>
      <c r="G1491" s="4">
        <v>37.799999999999997</v>
      </c>
      <c r="H1491" s="3">
        <v>3.0999999999999996</v>
      </c>
      <c r="I1491" s="3">
        <v>1.4</v>
      </c>
    </row>
    <row r="1492" spans="1:9" x14ac:dyDescent="0.25">
      <c r="A1492" s="9">
        <v>40019</v>
      </c>
      <c r="B1492" s="4">
        <v>173</v>
      </c>
      <c r="C1492" s="4">
        <v>162</v>
      </c>
      <c r="D1492" s="4">
        <v>13</v>
      </c>
      <c r="E1492" s="4">
        <v>162</v>
      </c>
      <c r="F1492" s="4">
        <v>5788</v>
      </c>
      <c r="G1492" s="4">
        <v>62</v>
      </c>
      <c r="H1492" s="3">
        <v>3.5</v>
      </c>
      <c r="I1492" s="3">
        <v>1.3049999999999999</v>
      </c>
    </row>
    <row r="1493" spans="1:9" x14ac:dyDescent="0.25">
      <c r="A1493" s="9">
        <v>40021</v>
      </c>
      <c r="B1493" s="4">
        <v>428</v>
      </c>
      <c r="C1493" s="4">
        <v>122</v>
      </c>
      <c r="D1493" s="4">
        <v>14</v>
      </c>
      <c r="E1493" s="4">
        <v>122</v>
      </c>
      <c r="F1493" s="4">
        <v>6210</v>
      </c>
      <c r="G1493" s="4">
        <v>57.4</v>
      </c>
      <c r="H1493" s="3">
        <v>3.3499999999999996</v>
      </c>
      <c r="I1493" s="3">
        <v>1.42</v>
      </c>
    </row>
    <row r="1494" spans="1:9" x14ac:dyDescent="0.25">
      <c r="A1494" s="9">
        <v>40023</v>
      </c>
      <c r="B1494" s="4">
        <v>17</v>
      </c>
      <c r="C1494" s="4">
        <v>34</v>
      </c>
      <c r="D1494" s="4">
        <v>14</v>
      </c>
      <c r="E1494" s="4">
        <v>34</v>
      </c>
      <c r="F1494" s="4">
        <v>919</v>
      </c>
      <c r="G1494" s="4">
        <v>10.6</v>
      </c>
      <c r="H1494" s="3">
        <v>4.2</v>
      </c>
      <c r="I1494" s="3">
        <v>0.98</v>
      </c>
    </row>
    <row r="1495" spans="1:9" x14ac:dyDescent="0.25">
      <c r="A1495" s="9">
        <v>40025</v>
      </c>
      <c r="B1495" s="4">
        <v>3</v>
      </c>
      <c r="C1495" s="4">
        <v>25</v>
      </c>
      <c r="D1495" s="4">
        <v>14</v>
      </c>
      <c r="E1495" s="4">
        <v>25</v>
      </c>
      <c r="F1495" s="4">
        <v>151</v>
      </c>
      <c r="G1495" s="4">
        <v>2.6</v>
      </c>
      <c r="H1495" s="3">
        <v>3.4</v>
      </c>
      <c r="I1495" s="3">
        <v>0.89</v>
      </c>
    </row>
    <row r="1496" spans="1:9" x14ac:dyDescent="0.25">
      <c r="A1496" s="9">
        <v>40027</v>
      </c>
      <c r="B1496" s="4">
        <v>460</v>
      </c>
      <c r="C1496" s="4">
        <v>331</v>
      </c>
      <c r="D1496" s="4">
        <v>52</v>
      </c>
      <c r="E1496" s="4">
        <v>869</v>
      </c>
      <c r="F1496" s="4">
        <v>16287</v>
      </c>
      <c r="G1496" s="4">
        <v>174.6</v>
      </c>
      <c r="H1496" s="3">
        <v>4.2</v>
      </c>
      <c r="I1496" s="3">
        <v>1.69</v>
      </c>
    </row>
    <row r="1497" spans="1:9" x14ac:dyDescent="0.25">
      <c r="A1497" s="9">
        <v>40029</v>
      </c>
      <c r="B1497" s="4">
        <v>11</v>
      </c>
      <c r="C1497" s="4">
        <v>20</v>
      </c>
      <c r="D1497" s="4">
        <v>14</v>
      </c>
      <c r="E1497" s="4">
        <v>20</v>
      </c>
      <c r="F1497" s="4">
        <v>297</v>
      </c>
      <c r="G1497" s="4">
        <v>4.3</v>
      </c>
      <c r="H1497" s="3">
        <v>2.8</v>
      </c>
      <c r="I1497" s="3">
        <v>0.86</v>
      </c>
    </row>
    <row r="1498" spans="1:9" x14ac:dyDescent="0.25">
      <c r="A1498" s="9">
        <v>40031</v>
      </c>
      <c r="B1498" s="4">
        <v>455</v>
      </c>
      <c r="C1498" s="4">
        <v>351</v>
      </c>
      <c r="D1498" s="4">
        <v>28</v>
      </c>
      <c r="E1498" s="4">
        <v>351</v>
      </c>
      <c r="F1498" s="4">
        <v>13763</v>
      </c>
      <c r="G1498" s="4">
        <v>159.6</v>
      </c>
      <c r="H1498" s="3">
        <v>5.5666666666666664</v>
      </c>
      <c r="I1498" s="3">
        <v>1.4133333333333333</v>
      </c>
    </row>
    <row r="1499" spans="1:9" x14ac:dyDescent="0.25">
      <c r="A1499" s="9">
        <v>40035</v>
      </c>
      <c r="B1499" s="4">
        <v>31</v>
      </c>
      <c r="C1499" s="4">
        <v>35</v>
      </c>
      <c r="D1499" s="4">
        <v>14</v>
      </c>
      <c r="E1499" s="4">
        <v>35</v>
      </c>
      <c r="F1499" s="4">
        <v>734</v>
      </c>
      <c r="G1499" s="4">
        <v>8.1</v>
      </c>
      <c r="H1499" s="3">
        <v>4</v>
      </c>
      <c r="I1499" s="3">
        <v>1.0900000000000001</v>
      </c>
    </row>
    <row r="1500" spans="1:9" x14ac:dyDescent="0.25">
      <c r="A1500" s="9">
        <v>40037</v>
      </c>
      <c r="B1500" s="4">
        <v>72</v>
      </c>
      <c r="C1500" s="4">
        <v>95</v>
      </c>
      <c r="D1500" s="4">
        <v>14</v>
      </c>
      <c r="E1500" s="4">
        <v>95</v>
      </c>
      <c r="F1500" s="4">
        <v>2303</v>
      </c>
      <c r="G1500" s="4">
        <v>30.599999999999998</v>
      </c>
      <c r="H1500" s="3">
        <v>2.0666666666666664</v>
      </c>
      <c r="I1500" s="3">
        <v>1.3233333333333333</v>
      </c>
    </row>
    <row r="1501" spans="1:9" x14ac:dyDescent="0.25">
      <c r="A1501" s="9">
        <v>40039</v>
      </c>
      <c r="B1501" s="4">
        <v>55</v>
      </c>
      <c r="C1501" s="4">
        <v>70</v>
      </c>
      <c r="D1501" s="4">
        <v>4</v>
      </c>
      <c r="E1501" s="4">
        <v>70</v>
      </c>
      <c r="F1501" s="4">
        <v>1396</v>
      </c>
      <c r="G1501" s="4">
        <v>11.3</v>
      </c>
      <c r="H1501" s="3">
        <v>2.7</v>
      </c>
      <c r="I1501" s="3">
        <v>1.07</v>
      </c>
    </row>
    <row r="1502" spans="1:9" x14ac:dyDescent="0.25">
      <c r="A1502" s="9">
        <v>40041</v>
      </c>
      <c r="B1502" s="4">
        <v>59</v>
      </c>
      <c r="C1502" s="4">
        <v>58</v>
      </c>
      <c r="D1502" s="4">
        <v>6</v>
      </c>
      <c r="E1502" s="4">
        <v>58</v>
      </c>
      <c r="F1502" s="4">
        <v>1765</v>
      </c>
      <c r="G1502" s="4">
        <v>15.2</v>
      </c>
      <c r="H1502" s="3">
        <v>3.5</v>
      </c>
      <c r="I1502" s="3">
        <v>1.42</v>
      </c>
    </row>
    <row r="1503" spans="1:9" x14ac:dyDescent="0.25">
      <c r="A1503" s="9">
        <v>40043</v>
      </c>
      <c r="B1503" s="4">
        <v>7</v>
      </c>
      <c r="C1503" s="4">
        <v>18</v>
      </c>
      <c r="D1503" s="4">
        <v>14</v>
      </c>
      <c r="E1503" s="4">
        <v>18</v>
      </c>
      <c r="F1503" s="4">
        <v>124</v>
      </c>
      <c r="G1503" s="4">
        <v>4.4000000000000004</v>
      </c>
      <c r="H1503" s="3">
        <v>2.9</v>
      </c>
      <c r="I1503" s="3">
        <v>0.93</v>
      </c>
    </row>
    <row r="1504" spans="1:9" x14ac:dyDescent="0.25">
      <c r="A1504" s="9">
        <v>40045</v>
      </c>
      <c r="B1504" s="4">
        <v>8</v>
      </c>
      <c r="C1504" s="4">
        <v>25</v>
      </c>
      <c r="D1504" s="4">
        <v>14</v>
      </c>
      <c r="E1504" s="4">
        <v>25</v>
      </c>
      <c r="F1504" s="4">
        <v>134</v>
      </c>
      <c r="G1504" s="4">
        <v>2.2000000000000002</v>
      </c>
      <c r="H1504" s="3">
        <v>3.2</v>
      </c>
      <c r="I1504" s="3">
        <v>1.03</v>
      </c>
    </row>
    <row r="1505" spans="1:9" x14ac:dyDescent="0.25">
      <c r="A1505" s="9">
        <v>40047</v>
      </c>
      <c r="B1505" s="4">
        <v>201</v>
      </c>
      <c r="C1505" s="4">
        <v>325</v>
      </c>
      <c r="D1505" s="4">
        <v>30</v>
      </c>
      <c r="E1505" s="4">
        <v>325</v>
      </c>
      <c r="F1505" s="4">
        <v>8528</v>
      </c>
      <c r="G1505" s="4">
        <v>110.8</v>
      </c>
      <c r="H1505" s="3">
        <v>5.4</v>
      </c>
      <c r="I1505" s="3">
        <v>1.5049999999999999</v>
      </c>
    </row>
    <row r="1506" spans="1:9" x14ac:dyDescent="0.25">
      <c r="A1506" s="9">
        <v>40049</v>
      </c>
      <c r="B1506" s="4">
        <v>33</v>
      </c>
      <c r="C1506" s="4">
        <v>26</v>
      </c>
      <c r="D1506" s="4">
        <v>14</v>
      </c>
      <c r="E1506" s="4">
        <v>26</v>
      </c>
      <c r="F1506" s="4">
        <v>1377</v>
      </c>
      <c r="G1506" s="4">
        <v>21.6</v>
      </c>
      <c r="H1506" s="3">
        <v>5</v>
      </c>
      <c r="I1506" s="3">
        <v>1.1299999999999999</v>
      </c>
    </row>
    <row r="1507" spans="1:9" x14ac:dyDescent="0.25">
      <c r="A1507" s="9">
        <v>40051</v>
      </c>
      <c r="B1507" s="4">
        <v>57</v>
      </c>
      <c r="C1507" s="4">
        <v>49</v>
      </c>
      <c r="D1507" s="4">
        <v>9</v>
      </c>
      <c r="E1507" s="4">
        <v>49</v>
      </c>
      <c r="F1507" s="4">
        <v>910</v>
      </c>
      <c r="G1507" s="4">
        <v>9.5</v>
      </c>
      <c r="H1507" s="3">
        <v>3.8</v>
      </c>
      <c r="I1507" s="3">
        <v>1.36</v>
      </c>
    </row>
    <row r="1508" spans="1:9" x14ac:dyDescent="0.25">
      <c r="A1508" s="9">
        <v>40055</v>
      </c>
      <c r="B1508" s="4">
        <v>9</v>
      </c>
      <c r="C1508" s="4">
        <v>18</v>
      </c>
      <c r="D1508" s="4">
        <v>14</v>
      </c>
      <c r="E1508" s="4">
        <v>18</v>
      </c>
      <c r="F1508" s="4">
        <v>350</v>
      </c>
      <c r="G1508" s="4">
        <v>4.5</v>
      </c>
      <c r="H1508" s="3">
        <v>2</v>
      </c>
      <c r="I1508" s="3">
        <v>0.96</v>
      </c>
    </row>
    <row r="1509" spans="1:9" x14ac:dyDescent="0.25">
      <c r="A1509" s="9">
        <v>40057</v>
      </c>
      <c r="B1509" s="4">
        <v>5</v>
      </c>
      <c r="C1509" s="4">
        <v>22</v>
      </c>
      <c r="D1509" s="4">
        <v>14</v>
      </c>
      <c r="E1509" s="4">
        <v>22</v>
      </c>
      <c r="F1509" s="4">
        <v>337</v>
      </c>
      <c r="G1509" s="4">
        <v>5</v>
      </c>
      <c r="H1509" s="3">
        <v>2.2000000000000002</v>
      </c>
      <c r="I1509" s="3">
        <v>0.93</v>
      </c>
    </row>
    <row r="1510" spans="1:9" x14ac:dyDescent="0.25">
      <c r="A1510" s="9">
        <v>40059</v>
      </c>
      <c r="B1510" s="4">
        <v>5</v>
      </c>
      <c r="C1510" s="4">
        <v>15</v>
      </c>
      <c r="D1510" s="4">
        <v>14</v>
      </c>
      <c r="E1510" s="4">
        <v>15</v>
      </c>
      <c r="F1510" s="4">
        <v>178</v>
      </c>
      <c r="G1510" s="4">
        <v>2.6</v>
      </c>
      <c r="H1510" s="3">
        <v>2.6</v>
      </c>
      <c r="I1510" s="3">
        <v>0.84</v>
      </c>
    </row>
    <row r="1511" spans="1:9" x14ac:dyDescent="0.25">
      <c r="A1511" s="9">
        <v>40061</v>
      </c>
      <c r="B1511" s="4">
        <v>80</v>
      </c>
      <c r="C1511" s="4">
        <v>49</v>
      </c>
      <c r="D1511" s="4">
        <v>14</v>
      </c>
      <c r="E1511" s="4">
        <v>49</v>
      </c>
      <c r="F1511" s="4">
        <v>142</v>
      </c>
      <c r="G1511" s="4">
        <v>4</v>
      </c>
      <c r="H1511" s="3">
        <v>2.4</v>
      </c>
      <c r="I1511" s="3">
        <v>0.92</v>
      </c>
    </row>
    <row r="1512" spans="1:9" x14ac:dyDescent="0.25">
      <c r="A1512" s="9">
        <v>40063</v>
      </c>
      <c r="B1512" s="4">
        <v>28</v>
      </c>
      <c r="C1512" s="4">
        <v>25</v>
      </c>
      <c r="D1512" s="4">
        <v>14</v>
      </c>
      <c r="E1512" s="4">
        <v>25</v>
      </c>
      <c r="F1512" s="4">
        <v>288</v>
      </c>
      <c r="G1512" s="4">
        <v>7.4</v>
      </c>
      <c r="H1512" s="3">
        <v>3.8</v>
      </c>
      <c r="I1512" s="3">
        <v>0.87</v>
      </c>
    </row>
    <row r="1513" spans="1:9" x14ac:dyDescent="0.25">
      <c r="A1513" s="9">
        <v>40065</v>
      </c>
      <c r="B1513" s="4">
        <v>66</v>
      </c>
      <c r="C1513" s="4">
        <v>49</v>
      </c>
      <c r="D1513" s="4">
        <v>6</v>
      </c>
      <c r="E1513" s="4">
        <v>49</v>
      </c>
      <c r="F1513" s="4">
        <v>2162</v>
      </c>
      <c r="G1513" s="4">
        <v>23.8</v>
      </c>
      <c r="H1513" s="3">
        <v>4.3</v>
      </c>
      <c r="I1513" s="3">
        <v>1.56</v>
      </c>
    </row>
    <row r="1514" spans="1:9" x14ac:dyDescent="0.25">
      <c r="A1514" s="9">
        <v>40067</v>
      </c>
      <c r="B1514" s="4">
        <v>6</v>
      </c>
      <c r="C1514" s="4">
        <v>25</v>
      </c>
      <c r="D1514" s="4">
        <v>14</v>
      </c>
      <c r="E1514" s="4">
        <v>25</v>
      </c>
      <c r="F1514" s="4">
        <v>39</v>
      </c>
      <c r="G1514" s="4">
        <v>2.8</v>
      </c>
      <c r="H1514" s="3">
        <v>2.7</v>
      </c>
      <c r="I1514" s="3">
        <v>0.96</v>
      </c>
    </row>
    <row r="1515" spans="1:9" x14ac:dyDescent="0.25">
      <c r="A1515" s="9">
        <v>40069</v>
      </c>
      <c r="B1515" s="4">
        <v>6</v>
      </c>
      <c r="C1515" s="4">
        <v>25</v>
      </c>
      <c r="D1515" s="4">
        <v>14</v>
      </c>
      <c r="E1515" s="4">
        <v>25</v>
      </c>
      <c r="F1515" s="4">
        <v>126</v>
      </c>
      <c r="G1515" s="4">
        <v>4.5</v>
      </c>
      <c r="H1515" s="3">
        <v>3.1</v>
      </c>
      <c r="I1515" s="3">
        <v>1.1299999999999999</v>
      </c>
    </row>
    <row r="1516" spans="1:9" x14ac:dyDescent="0.25">
      <c r="A1516" s="9">
        <v>40071</v>
      </c>
      <c r="B1516" s="4">
        <v>73</v>
      </c>
      <c r="C1516" s="4">
        <v>82</v>
      </c>
      <c r="D1516" s="4">
        <v>10</v>
      </c>
      <c r="E1516" s="4">
        <v>82</v>
      </c>
      <c r="F1516" s="4">
        <v>2789</v>
      </c>
      <c r="G1516" s="4">
        <v>25.3</v>
      </c>
      <c r="H1516" s="3">
        <v>3.45</v>
      </c>
      <c r="I1516" s="3">
        <v>1.345</v>
      </c>
    </row>
    <row r="1517" spans="1:9" x14ac:dyDescent="0.25">
      <c r="A1517" s="9">
        <v>40073</v>
      </c>
      <c r="B1517" s="4">
        <v>23</v>
      </c>
      <c r="C1517" s="4">
        <v>25</v>
      </c>
      <c r="D1517" s="4">
        <v>14</v>
      </c>
      <c r="E1517" s="4">
        <v>25</v>
      </c>
      <c r="F1517" s="4">
        <v>228</v>
      </c>
      <c r="G1517" s="4">
        <v>5.4</v>
      </c>
      <c r="H1517" s="3">
        <v>3.6</v>
      </c>
      <c r="I1517" s="3">
        <v>1.1399999999999999</v>
      </c>
    </row>
    <row r="1518" spans="1:9" x14ac:dyDescent="0.25">
      <c r="A1518" s="9">
        <v>40075</v>
      </c>
      <c r="B1518" s="4">
        <v>13</v>
      </c>
      <c r="C1518" s="4">
        <v>38</v>
      </c>
      <c r="D1518" s="4">
        <v>14</v>
      </c>
      <c r="E1518" s="4">
        <v>38</v>
      </c>
      <c r="F1518" s="4">
        <v>567</v>
      </c>
      <c r="G1518" s="4">
        <v>6.3</v>
      </c>
      <c r="H1518" s="3">
        <v>4.0999999999999996</v>
      </c>
      <c r="I1518" s="3">
        <v>1.33</v>
      </c>
    </row>
    <row r="1519" spans="1:9" x14ac:dyDescent="0.25">
      <c r="A1519" s="9">
        <v>40077</v>
      </c>
      <c r="B1519" s="4">
        <v>170</v>
      </c>
      <c r="C1519" s="4">
        <v>43</v>
      </c>
      <c r="D1519" s="4">
        <v>14</v>
      </c>
      <c r="E1519" s="4">
        <v>43</v>
      </c>
      <c r="F1519" s="4">
        <v>1279</v>
      </c>
      <c r="G1519" s="4">
        <v>9.2000000000000011</v>
      </c>
      <c r="H1519" s="3">
        <v>2.6</v>
      </c>
      <c r="I1519" s="3">
        <v>0.91999999999999993</v>
      </c>
    </row>
    <row r="1520" spans="1:9" x14ac:dyDescent="0.25">
      <c r="A1520" s="9">
        <v>40079</v>
      </c>
      <c r="B1520" s="4">
        <v>49</v>
      </c>
      <c r="C1520" s="4">
        <v>25</v>
      </c>
      <c r="D1520" s="4">
        <v>4</v>
      </c>
      <c r="E1520" s="4">
        <v>25</v>
      </c>
      <c r="F1520" s="4">
        <v>621</v>
      </c>
      <c r="G1520" s="4">
        <v>10.4</v>
      </c>
      <c r="H1520" s="3">
        <v>2.9</v>
      </c>
      <c r="I1520" s="3">
        <v>1.08</v>
      </c>
    </row>
    <row r="1521" spans="1:9" x14ac:dyDescent="0.25">
      <c r="A1521" s="9">
        <v>40081</v>
      </c>
      <c r="B1521" s="4">
        <v>24</v>
      </c>
      <c r="C1521" s="4">
        <v>50</v>
      </c>
      <c r="D1521" s="4">
        <v>14</v>
      </c>
      <c r="E1521" s="4">
        <v>50</v>
      </c>
      <c r="F1521" s="4">
        <v>142</v>
      </c>
      <c r="G1521" s="4">
        <v>26.8</v>
      </c>
      <c r="H1521" s="3">
        <v>2.8499999999999996</v>
      </c>
      <c r="I1521" s="3">
        <v>0.995</v>
      </c>
    </row>
    <row r="1522" spans="1:9" x14ac:dyDescent="0.25">
      <c r="A1522" s="9">
        <v>40083</v>
      </c>
      <c r="B1522" s="4">
        <v>33</v>
      </c>
      <c r="C1522" s="4">
        <v>25</v>
      </c>
      <c r="D1522" s="4">
        <v>14</v>
      </c>
      <c r="E1522" s="4">
        <v>25</v>
      </c>
      <c r="F1522" s="4">
        <v>308</v>
      </c>
      <c r="G1522" s="4">
        <v>6.2</v>
      </c>
      <c r="H1522" s="3">
        <v>3.4</v>
      </c>
      <c r="I1522" s="3">
        <v>1.32</v>
      </c>
    </row>
    <row r="1523" spans="1:9" x14ac:dyDescent="0.25">
      <c r="A1523" s="9">
        <v>40085</v>
      </c>
      <c r="B1523" s="4">
        <v>6</v>
      </c>
      <c r="C1523" s="4">
        <v>25</v>
      </c>
      <c r="D1523" s="4">
        <v>14</v>
      </c>
      <c r="E1523" s="4">
        <v>25</v>
      </c>
      <c r="F1523" s="4">
        <v>150</v>
      </c>
      <c r="G1523" s="4">
        <v>8.8000000000000007</v>
      </c>
      <c r="H1523" s="3">
        <v>3.4</v>
      </c>
      <c r="I1523" s="3">
        <v>0.88</v>
      </c>
    </row>
    <row r="1524" spans="1:9" x14ac:dyDescent="0.25">
      <c r="A1524" s="9">
        <v>40087</v>
      </c>
      <c r="B1524" s="4">
        <v>30</v>
      </c>
      <c r="C1524" s="4">
        <v>39</v>
      </c>
      <c r="D1524" s="4">
        <v>14</v>
      </c>
      <c r="E1524" s="4">
        <v>39</v>
      </c>
      <c r="F1524" s="4">
        <v>501</v>
      </c>
      <c r="G1524" s="4">
        <v>4.5</v>
      </c>
      <c r="H1524" s="3">
        <v>3.3</v>
      </c>
      <c r="I1524" s="3">
        <v>1.04</v>
      </c>
    </row>
    <row r="1525" spans="1:9" x14ac:dyDescent="0.25">
      <c r="A1525" s="9">
        <v>40089</v>
      </c>
      <c r="B1525" s="4">
        <v>48</v>
      </c>
      <c r="C1525" s="4">
        <v>25</v>
      </c>
      <c r="D1525" s="4">
        <v>14</v>
      </c>
      <c r="E1525" s="4">
        <v>25</v>
      </c>
      <c r="F1525" s="4">
        <v>884</v>
      </c>
      <c r="G1525" s="4">
        <v>10.4</v>
      </c>
      <c r="H1525" s="3">
        <v>2.8</v>
      </c>
      <c r="I1525" s="3">
        <v>0.93</v>
      </c>
    </row>
    <row r="1526" spans="1:9" x14ac:dyDescent="0.25">
      <c r="A1526" s="9">
        <v>40091</v>
      </c>
      <c r="B1526" s="4">
        <v>80</v>
      </c>
      <c r="C1526" s="4">
        <v>49</v>
      </c>
      <c r="D1526" s="4">
        <v>14</v>
      </c>
      <c r="E1526" s="4">
        <v>49</v>
      </c>
      <c r="F1526" s="4">
        <v>53</v>
      </c>
      <c r="G1526" s="4">
        <v>0.4</v>
      </c>
      <c r="H1526" s="3">
        <v>3</v>
      </c>
      <c r="I1526" s="3">
        <v>1</v>
      </c>
    </row>
    <row r="1527" spans="1:9" x14ac:dyDescent="0.25">
      <c r="A1527" s="9">
        <v>40093</v>
      </c>
      <c r="B1527" s="4">
        <v>8</v>
      </c>
      <c r="C1527" s="4">
        <v>25</v>
      </c>
      <c r="D1527" s="4">
        <v>14</v>
      </c>
      <c r="E1527" s="4">
        <v>25</v>
      </c>
      <c r="F1527" s="4">
        <v>90</v>
      </c>
      <c r="G1527" s="4">
        <v>2.2000000000000002</v>
      </c>
      <c r="H1527" s="3">
        <v>3.5</v>
      </c>
      <c r="I1527" s="3">
        <v>1.01</v>
      </c>
    </row>
    <row r="1528" spans="1:9" x14ac:dyDescent="0.25">
      <c r="A1528" s="9">
        <v>40095</v>
      </c>
      <c r="B1528" s="4">
        <v>23</v>
      </c>
      <c r="C1528" s="4">
        <v>21</v>
      </c>
      <c r="D1528" s="4">
        <v>14</v>
      </c>
      <c r="E1528" s="4">
        <v>21</v>
      </c>
      <c r="F1528" s="4">
        <v>246</v>
      </c>
      <c r="G1528" s="4">
        <v>4.5999999999999996</v>
      </c>
      <c r="H1528" s="3">
        <v>2.1</v>
      </c>
      <c r="I1528" s="3">
        <v>0.93</v>
      </c>
    </row>
    <row r="1529" spans="1:9" x14ac:dyDescent="0.25">
      <c r="A1529" s="9">
        <v>40097</v>
      </c>
      <c r="B1529" s="4">
        <v>43</v>
      </c>
      <c r="C1529" s="4">
        <v>24</v>
      </c>
      <c r="D1529" s="4">
        <v>14</v>
      </c>
      <c r="E1529" s="4">
        <v>24</v>
      </c>
      <c r="F1529" s="4">
        <v>603</v>
      </c>
      <c r="G1529" s="4">
        <v>3.3</v>
      </c>
      <c r="H1529" s="3">
        <v>2</v>
      </c>
      <c r="I1529" s="3">
        <v>1.27</v>
      </c>
    </row>
    <row r="1530" spans="1:9" x14ac:dyDescent="0.25">
      <c r="A1530" s="9">
        <v>40099</v>
      </c>
      <c r="B1530" s="4">
        <v>26</v>
      </c>
      <c r="C1530" s="4">
        <v>25</v>
      </c>
      <c r="D1530" s="4">
        <v>14</v>
      </c>
      <c r="E1530" s="4">
        <v>25</v>
      </c>
      <c r="F1530" s="4">
        <v>440</v>
      </c>
      <c r="G1530" s="4">
        <v>16.399999999999999</v>
      </c>
      <c r="H1530" s="3">
        <v>3.4</v>
      </c>
      <c r="I1530" s="3">
        <v>0.85</v>
      </c>
    </row>
    <row r="1531" spans="1:9" x14ac:dyDescent="0.25">
      <c r="A1531" s="9">
        <v>40101</v>
      </c>
      <c r="B1531" s="4">
        <v>266</v>
      </c>
      <c r="C1531" s="4">
        <v>264</v>
      </c>
      <c r="D1531" s="4">
        <v>24</v>
      </c>
      <c r="E1531" s="4">
        <v>309</v>
      </c>
      <c r="F1531" s="4">
        <v>7856</v>
      </c>
      <c r="G1531" s="4">
        <v>103.7</v>
      </c>
      <c r="H1531" s="3">
        <v>4.9000000000000004</v>
      </c>
      <c r="I1531" s="3">
        <v>1.43</v>
      </c>
    </row>
    <row r="1532" spans="1:9" x14ac:dyDescent="0.25">
      <c r="A1532" s="9">
        <v>40103</v>
      </c>
      <c r="B1532" s="4">
        <v>13</v>
      </c>
      <c r="C1532" s="4">
        <v>26</v>
      </c>
      <c r="D1532" s="4">
        <v>14</v>
      </c>
      <c r="E1532" s="4">
        <v>26</v>
      </c>
      <c r="F1532" s="4">
        <v>224</v>
      </c>
      <c r="G1532" s="4">
        <v>4.2</v>
      </c>
      <c r="H1532" s="3">
        <v>6.8</v>
      </c>
      <c r="I1532" s="3">
        <v>0.96</v>
      </c>
    </row>
    <row r="1533" spans="1:9" x14ac:dyDescent="0.25">
      <c r="A1533" s="9">
        <v>40105</v>
      </c>
      <c r="B1533" s="4">
        <v>7</v>
      </c>
      <c r="C1533" s="4">
        <v>25</v>
      </c>
      <c r="D1533" s="4">
        <v>14</v>
      </c>
      <c r="E1533" s="4">
        <v>25</v>
      </c>
      <c r="F1533" s="4">
        <v>100</v>
      </c>
      <c r="G1533" s="4">
        <v>5.0999999999999996</v>
      </c>
      <c r="H1533" s="3">
        <v>2.2999999999999998</v>
      </c>
      <c r="I1533" s="3">
        <v>0.91</v>
      </c>
    </row>
    <row r="1534" spans="1:9" x14ac:dyDescent="0.25">
      <c r="A1534" s="9">
        <v>40107</v>
      </c>
      <c r="B1534" s="4">
        <v>23</v>
      </c>
      <c r="C1534" s="4">
        <v>25</v>
      </c>
      <c r="D1534" s="4">
        <v>14</v>
      </c>
      <c r="E1534" s="4">
        <v>25</v>
      </c>
      <c r="F1534" s="4">
        <v>296</v>
      </c>
      <c r="G1534" s="4">
        <v>1.9</v>
      </c>
      <c r="H1534" s="3">
        <v>2.2000000000000002</v>
      </c>
      <c r="I1534" s="3">
        <v>0.9</v>
      </c>
    </row>
    <row r="1535" spans="1:9" x14ac:dyDescent="0.25">
      <c r="A1535" s="9">
        <v>40109</v>
      </c>
      <c r="B1535" s="4">
        <v>3902</v>
      </c>
      <c r="C1535" s="4">
        <v>3066</v>
      </c>
      <c r="D1535" s="4">
        <v>267</v>
      </c>
      <c r="E1535" s="4">
        <v>3295</v>
      </c>
      <c r="F1535" s="4">
        <v>149254</v>
      </c>
      <c r="G1535" s="4">
        <v>2040.8</v>
      </c>
      <c r="H1535" s="3">
        <v>3.6631578947368424</v>
      </c>
      <c r="I1535" s="3">
        <v>2.2494736842105265</v>
      </c>
    </row>
    <row r="1536" spans="1:9" x14ac:dyDescent="0.25">
      <c r="A1536" s="9">
        <v>40111</v>
      </c>
      <c r="B1536" s="4">
        <v>87</v>
      </c>
      <c r="C1536" s="4">
        <v>89</v>
      </c>
      <c r="D1536" s="4">
        <v>14</v>
      </c>
      <c r="E1536" s="4">
        <v>89</v>
      </c>
      <c r="F1536" s="4">
        <v>1255</v>
      </c>
      <c r="G1536" s="4">
        <v>20</v>
      </c>
      <c r="H1536" s="3">
        <v>4.4000000000000004</v>
      </c>
      <c r="I1536" s="3">
        <v>1.07</v>
      </c>
    </row>
    <row r="1537" spans="1:9" x14ac:dyDescent="0.25">
      <c r="A1537" s="9">
        <v>40113</v>
      </c>
      <c r="B1537" s="4">
        <v>26</v>
      </c>
      <c r="C1537" s="4">
        <v>40</v>
      </c>
      <c r="D1537" s="4">
        <v>14</v>
      </c>
      <c r="E1537" s="4">
        <v>40</v>
      </c>
      <c r="F1537" s="4">
        <v>117</v>
      </c>
      <c r="G1537" s="4">
        <v>15.3</v>
      </c>
      <c r="H1537" s="3">
        <v>2.95</v>
      </c>
      <c r="I1537" s="3">
        <v>0.93500000000000005</v>
      </c>
    </row>
    <row r="1538" spans="1:9" x14ac:dyDescent="0.25">
      <c r="A1538" s="9">
        <v>40115</v>
      </c>
      <c r="B1538" s="4">
        <v>59</v>
      </c>
      <c r="C1538" s="4">
        <v>94</v>
      </c>
      <c r="D1538" s="4">
        <v>9</v>
      </c>
      <c r="E1538" s="4">
        <v>94</v>
      </c>
      <c r="F1538" s="4">
        <v>1754</v>
      </c>
      <c r="G1538" s="4">
        <v>13.8</v>
      </c>
      <c r="H1538" s="3">
        <v>3.2</v>
      </c>
      <c r="I1538" s="3">
        <v>1.33</v>
      </c>
    </row>
    <row r="1539" spans="1:9" x14ac:dyDescent="0.25">
      <c r="A1539" s="9">
        <v>40117</v>
      </c>
      <c r="B1539" s="4">
        <v>31</v>
      </c>
      <c r="C1539" s="4">
        <v>14</v>
      </c>
      <c r="D1539" s="4">
        <v>14</v>
      </c>
      <c r="E1539" s="4">
        <v>14</v>
      </c>
      <c r="F1539" s="4">
        <v>77</v>
      </c>
      <c r="G1539" s="4">
        <v>6.3</v>
      </c>
      <c r="H1539" s="3">
        <v>2.6</v>
      </c>
      <c r="I1539" s="3">
        <v>0.96</v>
      </c>
    </row>
    <row r="1540" spans="1:9" x14ac:dyDescent="0.25">
      <c r="A1540" s="9">
        <v>40119</v>
      </c>
      <c r="B1540" s="4">
        <v>216</v>
      </c>
      <c r="C1540" s="4">
        <v>161</v>
      </c>
      <c r="D1540" s="4">
        <v>11</v>
      </c>
      <c r="E1540" s="4">
        <v>161</v>
      </c>
      <c r="F1540" s="4">
        <v>4265</v>
      </c>
      <c r="G1540" s="4">
        <v>32.6</v>
      </c>
      <c r="H1540" s="3">
        <v>3.1500000000000004</v>
      </c>
      <c r="I1540" s="3">
        <v>1.3149999999999999</v>
      </c>
    </row>
    <row r="1541" spans="1:9" x14ac:dyDescent="0.25">
      <c r="A1541" s="9">
        <v>40121</v>
      </c>
      <c r="B1541" s="4">
        <v>129</v>
      </c>
      <c r="C1541" s="4">
        <v>117</v>
      </c>
      <c r="D1541" s="4">
        <v>15</v>
      </c>
      <c r="E1541" s="4">
        <v>117</v>
      </c>
      <c r="F1541" s="4">
        <v>4135</v>
      </c>
      <c r="G1541" s="4">
        <v>33.200000000000003</v>
      </c>
      <c r="H1541" s="3">
        <v>3.2</v>
      </c>
      <c r="I1541" s="3">
        <v>1.43</v>
      </c>
    </row>
    <row r="1542" spans="1:9" x14ac:dyDescent="0.25">
      <c r="A1542" s="9">
        <v>40123</v>
      </c>
      <c r="B1542" s="4">
        <v>318</v>
      </c>
      <c r="C1542" s="4">
        <v>180</v>
      </c>
      <c r="D1542" s="4">
        <v>12</v>
      </c>
      <c r="E1542" s="4">
        <v>180</v>
      </c>
      <c r="F1542" s="4">
        <v>5833</v>
      </c>
      <c r="G1542" s="4">
        <v>56.4</v>
      </c>
      <c r="H1542" s="3">
        <v>3.65</v>
      </c>
      <c r="I1542" s="3">
        <v>1.5</v>
      </c>
    </row>
    <row r="1543" spans="1:9" x14ac:dyDescent="0.25">
      <c r="A1543" s="9">
        <v>40125</v>
      </c>
      <c r="B1543" s="4">
        <v>144</v>
      </c>
      <c r="C1543" s="4">
        <v>77</v>
      </c>
      <c r="D1543" s="4">
        <v>14</v>
      </c>
      <c r="E1543" s="4">
        <v>77</v>
      </c>
      <c r="F1543" s="4">
        <v>2595</v>
      </c>
      <c r="G1543" s="4">
        <v>32.700000000000003</v>
      </c>
      <c r="H1543" s="3">
        <v>6.2</v>
      </c>
      <c r="I1543" s="3">
        <v>1.61</v>
      </c>
    </row>
    <row r="1544" spans="1:9" x14ac:dyDescent="0.25">
      <c r="A1544" s="9">
        <v>40127</v>
      </c>
      <c r="B1544" s="4">
        <v>3</v>
      </c>
      <c r="C1544" s="4">
        <v>42</v>
      </c>
      <c r="D1544" s="4">
        <v>14</v>
      </c>
      <c r="E1544" s="4">
        <v>42</v>
      </c>
      <c r="F1544" s="4">
        <v>503</v>
      </c>
      <c r="G1544" s="4">
        <v>10.7</v>
      </c>
      <c r="H1544" s="3">
        <v>7.7</v>
      </c>
      <c r="I1544" s="3">
        <v>0.92</v>
      </c>
    </row>
    <row r="1545" spans="1:9" x14ac:dyDescent="0.25">
      <c r="A1545" s="9">
        <v>40129</v>
      </c>
      <c r="B1545" s="4">
        <v>5</v>
      </c>
      <c r="C1545" s="4">
        <v>15</v>
      </c>
      <c r="D1545" s="4">
        <v>14</v>
      </c>
      <c r="E1545" s="4">
        <v>15</v>
      </c>
      <c r="F1545" s="4">
        <v>104</v>
      </c>
      <c r="G1545" s="4">
        <v>2.4</v>
      </c>
      <c r="H1545" s="3">
        <v>2.8</v>
      </c>
      <c r="I1545" s="3">
        <v>0.86</v>
      </c>
    </row>
    <row r="1546" spans="1:9" x14ac:dyDescent="0.25">
      <c r="A1546" s="9">
        <v>40131</v>
      </c>
      <c r="B1546" s="4">
        <v>181</v>
      </c>
      <c r="C1546" s="4">
        <v>100</v>
      </c>
      <c r="D1546" s="4">
        <v>6</v>
      </c>
      <c r="E1546" s="4">
        <v>100</v>
      </c>
      <c r="F1546" s="4">
        <v>3415</v>
      </c>
      <c r="G1546" s="4">
        <v>27.700000000000003</v>
      </c>
      <c r="H1546" s="3">
        <v>3.15</v>
      </c>
      <c r="I1546" s="3">
        <v>1.2050000000000001</v>
      </c>
    </row>
    <row r="1547" spans="1:9" x14ac:dyDescent="0.25">
      <c r="A1547" s="9">
        <v>40133</v>
      </c>
      <c r="B1547" s="4">
        <v>27</v>
      </c>
      <c r="C1547" s="4">
        <v>32</v>
      </c>
      <c r="D1547" s="4">
        <v>14</v>
      </c>
      <c r="E1547" s="4">
        <v>32</v>
      </c>
      <c r="F1547" s="4">
        <v>507</v>
      </c>
      <c r="G1547" s="4">
        <v>5.8</v>
      </c>
      <c r="H1547" s="3">
        <v>4.0999999999999996</v>
      </c>
      <c r="I1547" s="3">
        <v>1.1599999999999999</v>
      </c>
    </row>
    <row r="1548" spans="1:9" x14ac:dyDescent="0.25">
      <c r="A1548" s="9">
        <v>40135</v>
      </c>
      <c r="B1548" s="4">
        <v>31</v>
      </c>
      <c r="C1548" s="4">
        <v>41</v>
      </c>
      <c r="D1548" s="4">
        <v>14</v>
      </c>
      <c r="E1548" s="4">
        <v>41</v>
      </c>
      <c r="F1548" s="4">
        <v>505</v>
      </c>
      <c r="G1548" s="4">
        <v>6.5</v>
      </c>
      <c r="H1548" s="3">
        <v>4.7</v>
      </c>
      <c r="I1548" s="3">
        <v>1.0900000000000001</v>
      </c>
    </row>
    <row r="1549" spans="1:9" x14ac:dyDescent="0.25">
      <c r="A1549" s="9">
        <v>40137</v>
      </c>
      <c r="B1549" s="4">
        <v>107</v>
      </c>
      <c r="C1549" s="4">
        <v>86</v>
      </c>
      <c r="D1549" s="4">
        <v>9</v>
      </c>
      <c r="E1549" s="4">
        <v>86</v>
      </c>
      <c r="F1549" s="4">
        <v>3928</v>
      </c>
      <c r="G1549" s="4">
        <v>37.6</v>
      </c>
      <c r="H1549" s="3">
        <v>3.8</v>
      </c>
      <c r="I1549" s="3">
        <v>1.39</v>
      </c>
    </row>
    <row r="1550" spans="1:9" x14ac:dyDescent="0.25">
      <c r="A1550" s="9">
        <v>40139</v>
      </c>
      <c r="B1550" s="4">
        <v>29</v>
      </c>
      <c r="C1550" s="4">
        <v>49</v>
      </c>
      <c r="D1550" s="4">
        <v>14</v>
      </c>
      <c r="E1550" s="4">
        <v>25</v>
      </c>
      <c r="F1550" s="4">
        <v>254</v>
      </c>
      <c r="G1550" s="4">
        <v>3.9</v>
      </c>
      <c r="H1550" s="3">
        <v>5.6</v>
      </c>
      <c r="I1550" s="3">
        <v>1</v>
      </c>
    </row>
    <row r="1551" spans="1:9" x14ac:dyDescent="0.25">
      <c r="A1551" s="9">
        <v>40141</v>
      </c>
      <c r="B1551" s="4">
        <v>80</v>
      </c>
      <c r="C1551" s="4">
        <v>49</v>
      </c>
      <c r="D1551" s="4">
        <v>14</v>
      </c>
      <c r="E1551" s="4">
        <v>49</v>
      </c>
      <c r="F1551" s="4">
        <v>250</v>
      </c>
      <c r="G1551" s="4">
        <v>3.1</v>
      </c>
      <c r="H1551" s="3">
        <v>4.5</v>
      </c>
      <c r="I1551" s="3">
        <v>1</v>
      </c>
    </row>
    <row r="1552" spans="1:9" x14ac:dyDescent="0.25">
      <c r="A1552" s="9">
        <v>40143</v>
      </c>
      <c r="B1552" s="4">
        <v>2643</v>
      </c>
      <c r="C1552" s="4">
        <v>2529</v>
      </c>
      <c r="D1552" s="4">
        <v>266</v>
      </c>
      <c r="E1552" s="4">
        <v>2650</v>
      </c>
      <c r="F1552" s="4">
        <v>129626</v>
      </c>
      <c r="G1552" s="4">
        <v>1691</v>
      </c>
      <c r="H1552" s="3">
        <v>3.8916666666666675</v>
      </c>
      <c r="I1552" s="3">
        <v>2.0446153846153843</v>
      </c>
    </row>
    <row r="1553" spans="1:9" x14ac:dyDescent="0.25">
      <c r="A1553" s="9">
        <v>40145</v>
      </c>
      <c r="B1553" s="4">
        <v>32</v>
      </c>
      <c r="C1553" s="4">
        <v>100</v>
      </c>
      <c r="D1553" s="4">
        <v>6</v>
      </c>
      <c r="E1553" s="4">
        <v>100</v>
      </c>
      <c r="F1553" s="4">
        <v>2597</v>
      </c>
      <c r="G1553" s="4">
        <v>37.700000000000003</v>
      </c>
      <c r="H1553" s="3">
        <v>5.3</v>
      </c>
      <c r="I1553" s="3">
        <v>1.1599999999999999</v>
      </c>
    </row>
    <row r="1554" spans="1:9" x14ac:dyDescent="0.25">
      <c r="A1554" s="9">
        <v>40147</v>
      </c>
      <c r="B1554" s="4">
        <v>151</v>
      </c>
      <c r="C1554" s="4">
        <v>81</v>
      </c>
      <c r="D1554" s="4">
        <v>14</v>
      </c>
      <c r="E1554" s="4">
        <v>81</v>
      </c>
      <c r="F1554" s="4">
        <v>4210</v>
      </c>
      <c r="G1554" s="4">
        <v>34.5</v>
      </c>
      <c r="H1554" s="3">
        <v>3.2</v>
      </c>
      <c r="I1554" s="3">
        <v>1.67</v>
      </c>
    </row>
    <row r="1555" spans="1:9" x14ac:dyDescent="0.25">
      <c r="A1555" s="9">
        <v>40149</v>
      </c>
      <c r="B1555" s="4">
        <v>6</v>
      </c>
      <c r="C1555" s="4">
        <v>14</v>
      </c>
      <c r="D1555" s="4">
        <v>14</v>
      </c>
      <c r="E1555" s="4">
        <v>14</v>
      </c>
      <c r="F1555" s="4">
        <v>158</v>
      </c>
      <c r="G1555" s="4">
        <v>2.7</v>
      </c>
      <c r="H1555" s="3">
        <v>2.8</v>
      </c>
      <c r="I1555" s="3">
        <v>0.99</v>
      </c>
    </row>
    <row r="1556" spans="1:9" x14ac:dyDescent="0.25">
      <c r="A1556" s="9">
        <v>40151</v>
      </c>
      <c r="B1556" s="4">
        <v>16</v>
      </c>
      <c r="C1556" s="4">
        <v>25</v>
      </c>
      <c r="D1556" s="4">
        <v>14</v>
      </c>
      <c r="E1556" s="4">
        <v>25</v>
      </c>
      <c r="F1556" s="4">
        <v>209</v>
      </c>
      <c r="G1556" s="4">
        <v>5.0999999999999996</v>
      </c>
      <c r="H1556" s="3">
        <v>2.5</v>
      </c>
      <c r="I1556" s="3">
        <v>0.97</v>
      </c>
    </row>
    <row r="1557" spans="1:9" x14ac:dyDescent="0.25">
      <c r="A1557" s="9">
        <v>40153</v>
      </c>
      <c r="B1557" s="4">
        <v>46</v>
      </c>
      <c r="C1557" s="4">
        <v>40</v>
      </c>
      <c r="D1557" s="4">
        <v>6</v>
      </c>
      <c r="E1557" s="4">
        <v>40</v>
      </c>
      <c r="F1557" s="4">
        <v>1077</v>
      </c>
      <c r="G1557" s="4">
        <v>8.8000000000000007</v>
      </c>
      <c r="H1557" s="3">
        <v>3.4</v>
      </c>
      <c r="I1557" s="3">
        <v>1.45</v>
      </c>
    </row>
    <row r="1558" spans="1:9" x14ac:dyDescent="0.25">
      <c r="A1558" s="9">
        <v>41001</v>
      </c>
      <c r="B1558" s="4">
        <v>35</v>
      </c>
      <c r="C1558" s="4">
        <v>21</v>
      </c>
      <c r="D1558" s="4">
        <v>2</v>
      </c>
      <c r="E1558" s="4">
        <v>21</v>
      </c>
      <c r="F1558" s="4">
        <v>730</v>
      </c>
      <c r="G1558" s="4">
        <v>6</v>
      </c>
      <c r="H1558" s="3">
        <v>2</v>
      </c>
      <c r="I1558" s="3">
        <v>1.28</v>
      </c>
    </row>
    <row r="1559" spans="1:9" x14ac:dyDescent="0.25">
      <c r="A1559" s="9">
        <v>41003</v>
      </c>
      <c r="B1559" s="4">
        <v>427</v>
      </c>
      <c r="C1559" s="4">
        <v>169</v>
      </c>
      <c r="D1559" s="4">
        <v>12</v>
      </c>
      <c r="E1559" s="4">
        <v>169</v>
      </c>
      <c r="F1559" s="4">
        <v>7747</v>
      </c>
      <c r="G1559" s="4">
        <v>90.8</v>
      </c>
      <c r="H1559" s="3">
        <v>4.5</v>
      </c>
      <c r="I1559" s="3">
        <v>1.9</v>
      </c>
    </row>
    <row r="1560" spans="1:9" x14ac:dyDescent="0.25">
      <c r="A1560" s="9">
        <v>41005</v>
      </c>
      <c r="B1560" s="4">
        <v>1028</v>
      </c>
      <c r="C1560" s="4">
        <v>453</v>
      </c>
      <c r="D1560" s="4">
        <v>54</v>
      </c>
      <c r="E1560" s="4">
        <v>453</v>
      </c>
      <c r="F1560" s="4">
        <v>26042</v>
      </c>
      <c r="G1560" s="4">
        <v>234.3</v>
      </c>
      <c r="H1560" s="3">
        <v>3.6333333333333329</v>
      </c>
      <c r="I1560" s="3">
        <v>1.7166666666666668</v>
      </c>
    </row>
    <row r="1561" spans="1:9" x14ac:dyDescent="0.25">
      <c r="A1561" s="9">
        <v>41007</v>
      </c>
      <c r="B1561" s="4">
        <v>207</v>
      </c>
      <c r="C1561" s="4">
        <v>48</v>
      </c>
      <c r="D1561" s="4">
        <v>4</v>
      </c>
      <c r="E1561" s="4">
        <v>48</v>
      </c>
      <c r="F1561" s="4">
        <v>2419</v>
      </c>
      <c r="G1561" s="4">
        <v>21.799999999999997</v>
      </c>
      <c r="H1561" s="3">
        <v>3.05</v>
      </c>
      <c r="I1561" s="3">
        <v>1.23</v>
      </c>
    </row>
    <row r="1562" spans="1:9" x14ac:dyDescent="0.25">
      <c r="A1562" s="9">
        <v>41011</v>
      </c>
      <c r="B1562" s="4">
        <v>237</v>
      </c>
      <c r="C1562" s="4">
        <v>166</v>
      </c>
      <c r="D1562" s="4">
        <v>12</v>
      </c>
      <c r="E1562" s="4">
        <v>166</v>
      </c>
      <c r="F1562" s="4">
        <v>6522</v>
      </c>
      <c r="G1562" s="4">
        <v>76.8</v>
      </c>
      <c r="H1562" s="3">
        <v>3.5333333333333337</v>
      </c>
      <c r="I1562" s="3">
        <v>1.26</v>
      </c>
    </row>
    <row r="1563" spans="1:9" x14ac:dyDescent="0.25">
      <c r="A1563" s="9">
        <v>41013</v>
      </c>
      <c r="B1563" s="4">
        <v>51</v>
      </c>
      <c r="C1563" s="4">
        <v>16</v>
      </c>
      <c r="D1563" s="4">
        <v>14</v>
      </c>
      <c r="E1563" s="4">
        <v>16</v>
      </c>
      <c r="F1563" s="4">
        <v>536</v>
      </c>
      <c r="G1563" s="4">
        <v>7.4</v>
      </c>
      <c r="H1563" s="3">
        <v>3.2</v>
      </c>
      <c r="I1563" s="3">
        <v>1.24</v>
      </c>
    </row>
    <row r="1564" spans="1:9" x14ac:dyDescent="0.25">
      <c r="A1564" s="9">
        <v>41015</v>
      </c>
      <c r="B1564" s="4">
        <v>56</v>
      </c>
      <c r="C1564" s="4">
        <v>16</v>
      </c>
      <c r="D1564" s="4">
        <v>14</v>
      </c>
      <c r="E1564" s="4">
        <v>16</v>
      </c>
      <c r="F1564" s="4">
        <v>464</v>
      </c>
      <c r="G1564" s="4">
        <v>5</v>
      </c>
      <c r="H1564" s="3">
        <v>2.9</v>
      </c>
      <c r="I1564" s="3">
        <v>1.22</v>
      </c>
    </row>
    <row r="1565" spans="1:9" x14ac:dyDescent="0.25">
      <c r="A1565" s="9">
        <v>41017</v>
      </c>
      <c r="B1565" s="4">
        <v>950</v>
      </c>
      <c r="C1565" s="4">
        <v>270</v>
      </c>
      <c r="D1565" s="4">
        <v>36</v>
      </c>
      <c r="E1565" s="4">
        <v>270</v>
      </c>
      <c r="F1565" s="4">
        <v>17805</v>
      </c>
      <c r="G1565" s="4">
        <v>176.3</v>
      </c>
      <c r="H1565" s="3">
        <v>3.65</v>
      </c>
      <c r="I1565" s="3">
        <v>1.73</v>
      </c>
    </row>
    <row r="1566" spans="1:9" x14ac:dyDescent="0.25">
      <c r="A1566" s="9">
        <v>41019</v>
      </c>
      <c r="B1566" s="4">
        <v>385</v>
      </c>
      <c r="C1566" s="4">
        <v>156</v>
      </c>
      <c r="D1566" s="4">
        <v>32</v>
      </c>
      <c r="E1566" s="4">
        <v>156</v>
      </c>
      <c r="F1566" s="4">
        <v>7684</v>
      </c>
      <c r="G1566" s="4">
        <v>75.5</v>
      </c>
      <c r="H1566" s="3">
        <v>3.4000000000000004</v>
      </c>
      <c r="I1566" s="3">
        <v>1.375</v>
      </c>
    </row>
    <row r="1567" spans="1:9" x14ac:dyDescent="0.25">
      <c r="A1567" s="9">
        <v>41023</v>
      </c>
      <c r="B1567" s="4">
        <v>18</v>
      </c>
      <c r="C1567" s="4">
        <v>14</v>
      </c>
      <c r="D1567" s="4">
        <v>14</v>
      </c>
      <c r="E1567" s="4">
        <v>14</v>
      </c>
      <c r="F1567" s="4">
        <v>319</v>
      </c>
      <c r="G1567" s="4">
        <v>5.6</v>
      </c>
      <c r="H1567" s="3">
        <v>3.1</v>
      </c>
      <c r="I1567" s="3">
        <v>0.99</v>
      </c>
    </row>
    <row r="1568" spans="1:9" x14ac:dyDescent="0.25">
      <c r="A1568" s="9">
        <v>41025</v>
      </c>
      <c r="B1568" s="4">
        <v>31</v>
      </c>
      <c r="C1568" s="4">
        <v>19</v>
      </c>
      <c r="D1568" s="4">
        <v>2</v>
      </c>
      <c r="E1568" s="4">
        <v>19</v>
      </c>
      <c r="F1568" s="4">
        <v>321</v>
      </c>
      <c r="G1568" s="4">
        <v>4.7</v>
      </c>
      <c r="H1568" s="3">
        <v>2.9</v>
      </c>
      <c r="I1568" s="3">
        <v>1.05</v>
      </c>
    </row>
    <row r="1569" spans="1:9" x14ac:dyDescent="0.25">
      <c r="A1569" s="9">
        <v>41027</v>
      </c>
      <c r="B1569" s="4">
        <v>125</v>
      </c>
      <c r="C1569" s="4">
        <v>25</v>
      </c>
      <c r="D1569" s="4">
        <v>14</v>
      </c>
      <c r="E1569" s="4">
        <v>25</v>
      </c>
      <c r="F1569" s="4">
        <v>1559</v>
      </c>
      <c r="G1569" s="4">
        <v>10.8</v>
      </c>
      <c r="H1569" s="3">
        <v>2.6</v>
      </c>
      <c r="I1569" s="3">
        <v>1.39</v>
      </c>
    </row>
    <row r="1570" spans="1:9" x14ac:dyDescent="0.25">
      <c r="A1570" s="9">
        <v>41029</v>
      </c>
      <c r="B1570" s="4">
        <v>1027</v>
      </c>
      <c r="C1570" s="4">
        <v>471</v>
      </c>
      <c r="D1570" s="4">
        <v>34</v>
      </c>
      <c r="E1570" s="4">
        <v>471</v>
      </c>
      <c r="F1570" s="4">
        <v>23650</v>
      </c>
      <c r="G1570" s="4">
        <v>285.39999999999998</v>
      </c>
      <c r="H1570" s="3">
        <v>4.0333333333333341</v>
      </c>
      <c r="I1570" s="3">
        <v>1.8366666666666667</v>
      </c>
    </row>
    <row r="1571" spans="1:9" x14ac:dyDescent="0.25">
      <c r="A1571" s="9">
        <v>41031</v>
      </c>
      <c r="B1571" s="4">
        <v>36</v>
      </c>
      <c r="C1571" s="4">
        <v>25</v>
      </c>
      <c r="D1571" s="4">
        <v>14</v>
      </c>
      <c r="E1571" s="4">
        <v>25</v>
      </c>
      <c r="F1571" s="4">
        <v>598</v>
      </c>
      <c r="G1571" s="4">
        <v>7.1</v>
      </c>
      <c r="H1571" s="3">
        <v>1.9</v>
      </c>
      <c r="I1571" s="3">
        <v>1.1399999999999999</v>
      </c>
    </row>
    <row r="1572" spans="1:9" x14ac:dyDescent="0.25">
      <c r="A1572" s="9">
        <v>41033</v>
      </c>
      <c r="B1572" s="4">
        <v>293</v>
      </c>
      <c r="C1572" s="4">
        <v>122</v>
      </c>
      <c r="D1572" s="4">
        <v>12</v>
      </c>
      <c r="E1572" s="4">
        <v>122</v>
      </c>
      <c r="F1572" s="4">
        <v>7056</v>
      </c>
      <c r="G1572" s="4">
        <v>66.7</v>
      </c>
      <c r="H1572" s="3">
        <v>3.7</v>
      </c>
      <c r="I1572" s="3">
        <v>1.5</v>
      </c>
    </row>
    <row r="1573" spans="1:9" x14ac:dyDescent="0.25">
      <c r="A1573" s="9">
        <v>41035</v>
      </c>
      <c r="B1573" s="4">
        <v>220</v>
      </c>
      <c r="C1573" s="4">
        <v>105</v>
      </c>
      <c r="D1573" s="4">
        <v>14</v>
      </c>
      <c r="E1573" s="4">
        <v>105</v>
      </c>
      <c r="F1573" s="4">
        <v>4913</v>
      </c>
      <c r="G1573" s="4">
        <v>46.2</v>
      </c>
      <c r="H1573" s="3">
        <v>3.7</v>
      </c>
      <c r="I1573" s="3">
        <v>1.71</v>
      </c>
    </row>
    <row r="1574" spans="1:9" x14ac:dyDescent="0.25">
      <c r="A1574" s="9">
        <v>41037</v>
      </c>
      <c r="B1574" s="4">
        <v>18</v>
      </c>
      <c r="C1574" s="4">
        <v>24</v>
      </c>
      <c r="D1574" s="4">
        <v>14</v>
      </c>
      <c r="E1574" s="4">
        <v>24</v>
      </c>
      <c r="F1574" s="4">
        <v>387</v>
      </c>
      <c r="G1574" s="4">
        <v>7.5</v>
      </c>
      <c r="H1574" s="3">
        <v>2.5</v>
      </c>
      <c r="I1574" s="3">
        <v>0.92</v>
      </c>
    </row>
    <row r="1575" spans="1:9" x14ac:dyDescent="0.25">
      <c r="A1575" s="9">
        <v>41039</v>
      </c>
      <c r="B1575" s="4">
        <v>1219</v>
      </c>
      <c r="C1575" s="4">
        <v>571</v>
      </c>
      <c r="D1575" s="4">
        <v>71</v>
      </c>
      <c r="E1575" s="4">
        <v>571</v>
      </c>
      <c r="F1575" s="4">
        <v>40302</v>
      </c>
      <c r="G1575" s="4">
        <v>438.29999999999995</v>
      </c>
      <c r="H1575" s="3">
        <v>3.4199999999999995</v>
      </c>
      <c r="I1575" s="3">
        <v>1.444</v>
      </c>
    </row>
    <row r="1576" spans="1:9" x14ac:dyDescent="0.25">
      <c r="A1576" s="9">
        <v>41041</v>
      </c>
      <c r="B1576" s="4">
        <v>171</v>
      </c>
      <c r="C1576" s="4">
        <v>50</v>
      </c>
      <c r="D1576" s="4">
        <v>14</v>
      </c>
      <c r="E1576" s="4">
        <v>50</v>
      </c>
      <c r="F1576" s="4">
        <v>2065</v>
      </c>
      <c r="G1576" s="4">
        <v>19</v>
      </c>
      <c r="H1576" s="3">
        <v>3.05</v>
      </c>
      <c r="I1576" s="3">
        <v>1.2349999999999999</v>
      </c>
    </row>
    <row r="1577" spans="1:9" x14ac:dyDescent="0.25">
      <c r="A1577" s="9">
        <v>41043</v>
      </c>
      <c r="B1577" s="4">
        <v>314</v>
      </c>
      <c r="C1577" s="4">
        <v>92</v>
      </c>
      <c r="D1577" s="4">
        <v>11</v>
      </c>
      <c r="E1577" s="4">
        <v>92</v>
      </c>
      <c r="F1577" s="4">
        <v>4130</v>
      </c>
      <c r="G1577" s="4">
        <v>36.5</v>
      </c>
      <c r="H1577" s="3">
        <v>3.5</v>
      </c>
      <c r="I1577" s="3">
        <v>1.5049999999999999</v>
      </c>
    </row>
    <row r="1578" spans="1:9" x14ac:dyDescent="0.25">
      <c r="A1578" s="9">
        <v>41045</v>
      </c>
      <c r="B1578" s="4">
        <v>103</v>
      </c>
      <c r="C1578" s="4">
        <v>44</v>
      </c>
      <c r="D1578" s="4">
        <v>8</v>
      </c>
      <c r="E1578" s="4">
        <v>44</v>
      </c>
      <c r="F1578" s="4">
        <v>1934</v>
      </c>
      <c r="G1578" s="4">
        <v>13.3</v>
      </c>
      <c r="H1578" s="3">
        <v>2.8</v>
      </c>
      <c r="I1578" s="3">
        <v>1.52</v>
      </c>
    </row>
    <row r="1579" spans="1:9" x14ac:dyDescent="0.25">
      <c r="A1579" s="9">
        <v>41047</v>
      </c>
      <c r="B1579" s="4">
        <v>1140</v>
      </c>
      <c r="C1579" s="4">
        <v>490</v>
      </c>
      <c r="D1579" s="4">
        <v>68</v>
      </c>
      <c r="E1579" s="4">
        <v>490</v>
      </c>
      <c r="F1579" s="4">
        <v>28699</v>
      </c>
      <c r="G1579" s="4">
        <v>322</v>
      </c>
      <c r="H1579" s="3">
        <v>3.6333333333333329</v>
      </c>
      <c r="I1579" s="3">
        <v>1.5333333333333332</v>
      </c>
    </row>
    <row r="1580" spans="1:9" x14ac:dyDescent="0.25">
      <c r="A1580" s="9">
        <v>41049</v>
      </c>
      <c r="B1580" s="4">
        <v>20</v>
      </c>
      <c r="C1580" s="4">
        <v>21</v>
      </c>
      <c r="D1580" s="4">
        <v>14</v>
      </c>
      <c r="E1580" s="4">
        <v>21</v>
      </c>
      <c r="F1580" s="4">
        <v>49</v>
      </c>
      <c r="G1580" s="4">
        <v>6.1</v>
      </c>
      <c r="H1580" s="3">
        <v>2.9</v>
      </c>
      <c r="I1580" s="3">
        <v>0.96</v>
      </c>
    </row>
    <row r="1581" spans="1:9" x14ac:dyDescent="0.25">
      <c r="A1581" s="9">
        <v>41051</v>
      </c>
      <c r="B1581" s="4">
        <v>4932</v>
      </c>
      <c r="C1581" s="4">
        <v>1713</v>
      </c>
      <c r="D1581" s="4">
        <v>165</v>
      </c>
      <c r="E1581" s="4">
        <v>1713</v>
      </c>
      <c r="F1581" s="4">
        <v>95193</v>
      </c>
      <c r="G1581" s="4">
        <v>1243.3000000000002</v>
      </c>
      <c r="H1581" s="3">
        <v>4.416666666666667</v>
      </c>
      <c r="I1581" s="3">
        <v>1.9600000000000002</v>
      </c>
    </row>
    <row r="1582" spans="1:9" x14ac:dyDescent="0.25">
      <c r="A1582" s="9">
        <v>41053</v>
      </c>
      <c r="B1582" s="4">
        <v>56</v>
      </c>
      <c r="C1582" s="4">
        <v>15</v>
      </c>
      <c r="D1582" s="4">
        <v>14</v>
      </c>
      <c r="E1582" s="4">
        <v>15</v>
      </c>
      <c r="F1582" s="4">
        <v>173</v>
      </c>
      <c r="G1582" s="4">
        <v>3.6</v>
      </c>
      <c r="H1582" s="3">
        <v>3.3</v>
      </c>
      <c r="I1582" s="3">
        <v>1.1499999999999999</v>
      </c>
    </row>
    <row r="1583" spans="1:9" x14ac:dyDescent="0.25">
      <c r="A1583" s="9">
        <v>41057</v>
      </c>
      <c r="B1583" s="4">
        <v>103</v>
      </c>
      <c r="C1583" s="4">
        <v>25</v>
      </c>
      <c r="D1583" s="4">
        <v>4</v>
      </c>
      <c r="E1583" s="4">
        <v>25</v>
      </c>
      <c r="F1583" s="4">
        <v>1228</v>
      </c>
      <c r="G1583" s="4">
        <v>12.1</v>
      </c>
      <c r="H1583" s="3">
        <v>3.2</v>
      </c>
      <c r="I1583" s="3">
        <v>1.41</v>
      </c>
    </row>
    <row r="1584" spans="1:9" x14ac:dyDescent="0.25">
      <c r="A1584" s="9">
        <v>41059</v>
      </c>
      <c r="B1584" s="4">
        <v>168</v>
      </c>
      <c r="C1584" s="4">
        <v>50</v>
      </c>
      <c r="D1584" s="4">
        <v>8</v>
      </c>
      <c r="E1584" s="4">
        <v>66</v>
      </c>
      <c r="F1584" s="4">
        <v>2634</v>
      </c>
      <c r="G1584" s="4">
        <v>22.6</v>
      </c>
      <c r="H1584" s="3">
        <v>3.1</v>
      </c>
      <c r="I1584" s="3">
        <v>1.4249999999999998</v>
      </c>
    </row>
    <row r="1585" spans="1:9" x14ac:dyDescent="0.25">
      <c r="A1585" s="9">
        <v>41061</v>
      </c>
      <c r="B1585" s="4">
        <v>97</v>
      </c>
      <c r="C1585" s="4">
        <v>25</v>
      </c>
      <c r="D1585" s="4">
        <v>4</v>
      </c>
      <c r="E1585" s="4">
        <v>25</v>
      </c>
      <c r="F1585" s="4">
        <v>1602</v>
      </c>
      <c r="G1585" s="4">
        <v>11.2</v>
      </c>
      <c r="H1585" s="3">
        <v>2.7</v>
      </c>
      <c r="I1585" s="3">
        <v>1.45</v>
      </c>
    </row>
    <row r="1586" spans="1:9" x14ac:dyDescent="0.25">
      <c r="A1586" s="9">
        <v>41063</v>
      </c>
      <c r="B1586" s="4">
        <v>21</v>
      </c>
      <c r="C1586" s="4">
        <v>23</v>
      </c>
      <c r="D1586" s="4">
        <v>14</v>
      </c>
      <c r="E1586" s="4">
        <v>23</v>
      </c>
      <c r="F1586" s="4">
        <v>471</v>
      </c>
      <c r="G1586" s="4">
        <v>6.6</v>
      </c>
      <c r="H1586" s="3">
        <v>2.7</v>
      </c>
      <c r="I1586" s="3">
        <v>1.0900000000000001</v>
      </c>
    </row>
    <row r="1587" spans="1:9" x14ac:dyDescent="0.25">
      <c r="A1587" s="9">
        <v>41065</v>
      </c>
      <c r="B1587" s="4">
        <v>139</v>
      </c>
      <c r="C1587" s="4">
        <v>43</v>
      </c>
      <c r="D1587" s="4">
        <v>17</v>
      </c>
      <c r="E1587" s="4">
        <v>43</v>
      </c>
      <c r="F1587" s="4">
        <v>1713</v>
      </c>
      <c r="G1587" s="4">
        <v>16</v>
      </c>
      <c r="H1587" s="3">
        <v>3.7</v>
      </c>
      <c r="I1587" s="3">
        <v>1.45</v>
      </c>
    </row>
    <row r="1588" spans="1:9" x14ac:dyDescent="0.25">
      <c r="A1588" s="9">
        <v>41067</v>
      </c>
      <c r="B1588" s="4">
        <v>1761</v>
      </c>
      <c r="C1588" s="4">
        <v>802</v>
      </c>
      <c r="D1588" s="4">
        <v>66</v>
      </c>
      <c r="E1588" s="4">
        <v>802</v>
      </c>
      <c r="F1588" s="4">
        <v>45104</v>
      </c>
      <c r="G1588" s="4">
        <v>514.4</v>
      </c>
      <c r="H1588" s="3">
        <v>4.625</v>
      </c>
      <c r="I1588" s="3">
        <v>1.8125</v>
      </c>
    </row>
    <row r="1589" spans="1:9" x14ac:dyDescent="0.25">
      <c r="A1589" s="9">
        <v>41071</v>
      </c>
      <c r="B1589" s="4">
        <v>344</v>
      </c>
      <c r="C1589" s="4">
        <v>90</v>
      </c>
      <c r="D1589" s="4">
        <v>11</v>
      </c>
      <c r="E1589" s="4">
        <v>90</v>
      </c>
      <c r="F1589" s="4">
        <v>5809</v>
      </c>
      <c r="G1589" s="4">
        <v>50.3</v>
      </c>
      <c r="H1589" s="3">
        <v>3.5</v>
      </c>
      <c r="I1589" s="3">
        <v>1.4950000000000001</v>
      </c>
    </row>
    <row r="1590" spans="1:9" x14ac:dyDescent="0.25">
      <c r="A1590" s="9">
        <v>42001</v>
      </c>
      <c r="B1590" s="4">
        <v>227</v>
      </c>
      <c r="C1590" s="4">
        <v>76</v>
      </c>
      <c r="D1590" s="4">
        <v>8</v>
      </c>
      <c r="E1590" s="4">
        <v>76</v>
      </c>
      <c r="F1590" s="4">
        <v>4552</v>
      </c>
      <c r="G1590" s="4">
        <v>44.2</v>
      </c>
      <c r="H1590" s="3">
        <v>3.8</v>
      </c>
      <c r="I1590" s="3">
        <v>1.33</v>
      </c>
    </row>
    <row r="1591" spans="1:9" x14ac:dyDescent="0.25">
      <c r="A1591" s="9">
        <v>42003</v>
      </c>
      <c r="B1591" s="4">
        <v>7140</v>
      </c>
      <c r="C1591" s="4">
        <v>4752</v>
      </c>
      <c r="D1591" s="4">
        <v>407</v>
      </c>
      <c r="E1591" s="4">
        <v>5282</v>
      </c>
      <c r="F1591" s="4">
        <v>214036</v>
      </c>
      <c r="G1591" s="4">
        <v>3132.7000000000003</v>
      </c>
      <c r="H1591" s="3">
        <v>4.8588235294117652</v>
      </c>
      <c r="I1591" s="3">
        <v>1.684666666666667</v>
      </c>
    </row>
    <row r="1592" spans="1:9" x14ac:dyDescent="0.25">
      <c r="A1592" s="9">
        <v>42005</v>
      </c>
      <c r="B1592" s="4">
        <v>164</v>
      </c>
      <c r="C1592" s="4">
        <v>131</v>
      </c>
      <c r="D1592" s="4">
        <v>12</v>
      </c>
      <c r="E1592" s="4">
        <v>131</v>
      </c>
      <c r="F1592" s="4">
        <v>3826</v>
      </c>
      <c r="G1592" s="4">
        <v>40.299999999999997</v>
      </c>
      <c r="H1592" s="3">
        <v>4</v>
      </c>
      <c r="I1592" s="3">
        <v>1.37</v>
      </c>
    </row>
    <row r="1593" spans="1:9" x14ac:dyDescent="0.25">
      <c r="A1593" s="9">
        <v>42007</v>
      </c>
      <c r="B1593" s="4">
        <v>424</v>
      </c>
      <c r="C1593" s="4">
        <v>194</v>
      </c>
      <c r="D1593" s="4">
        <v>20</v>
      </c>
      <c r="E1593" s="4">
        <v>194</v>
      </c>
      <c r="F1593" s="4">
        <v>10480</v>
      </c>
      <c r="G1593" s="4">
        <v>135.9</v>
      </c>
      <c r="H1593" s="3">
        <v>5.25</v>
      </c>
      <c r="I1593" s="3">
        <v>1.67</v>
      </c>
    </row>
    <row r="1594" spans="1:9" x14ac:dyDescent="0.25">
      <c r="A1594" s="9">
        <v>42009</v>
      </c>
      <c r="B1594" s="4">
        <v>69</v>
      </c>
      <c r="C1594" s="4">
        <v>40</v>
      </c>
      <c r="D1594" s="4">
        <v>4</v>
      </c>
      <c r="E1594" s="4">
        <v>40</v>
      </c>
      <c r="F1594" s="4">
        <v>1180</v>
      </c>
      <c r="G1594" s="4">
        <v>11</v>
      </c>
      <c r="H1594" s="3">
        <v>3.3</v>
      </c>
      <c r="I1594" s="3">
        <v>1.29</v>
      </c>
    </row>
    <row r="1595" spans="1:9" x14ac:dyDescent="0.25">
      <c r="A1595" s="9">
        <v>42011</v>
      </c>
      <c r="B1595" s="4">
        <v>1598</v>
      </c>
      <c r="C1595" s="4">
        <v>757</v>
      </c>
      <c r="D1595" s="4">
        <v>50</v>
      </c>
      <c r="E1595" s="4">
        <v>757</v>
      </c>
      <c r="F1595" s="4">
        <v>40572</v>
      </c>
      <c r="G1595" s="4">
        <v>481.2</v>
      </c>
      <c r="H1595" s="3">
        <v>3.6</v>
      </c>
      <c r="I1595" s="3">
        <v>1.9066666666666665</v>
      </c>
    </row>
    <row r="1596" spans="1:9" x14ac:dyDescent="0.25">
      <c r="A1596" s="9">
        <v>42013</v>
      </c>
      <c r="B1596" s="4">
        <v>607</v>
      </c>
      <c r="C1596" s="4">
        <v>414</v>
      </c>
      <c r="D1596" s="4">
        <v>42</v>
      </c>
      <c r="E1596" s="4">
        <v>416</v>
      </c>
      <c r="F1596" s="4">
        <v>20587</v>
      </c>
      <c r="G1596" s="4">
        <v>256.2</v>
      </c>
      <c r="H1596" s="3">
        <v>3.3333333333333335</v>
      </c>
      <c r="I1596" s="3">
        <v>1.6133333333333333</v>
      </c>
    </row>
    <row r="1597" spans="1:9" x14ac:dyDescent="0.25">
      <c r="A1597" s="9">
        <v>42015</v>
      </c>
      <c r="B1597" s="4">
        <v>477</v>
      </c>
      <c r="C1597" s="4">
        <v>310</v>
      </c>
      <c r="D1597" s="4">
        <v>42</v>
      </c>
      <c r="E1597" s="4">
        <v>310</v>
      </c>
      <c r="F1597" s="4">
        <v>16674</v>
      </c>
      <c r="G1597" s="4">
        <v>203.1</v>
      </c>
      <c r="H1597" s="3">
        <v>4.5</v>
      </c>
      <c r="I1597" s="3">
        <v>1.3466666666666667</v>
      </c>
    </row>
    <row r="1598" spans="1:9" x14ac:dyDescent="0.25">
      <c r="A1598" s="9">
        <v>42017</v>
      </c>
      <c r="B1598" s="4">
        <v>1812</v>
      </c>
      <c r="C1598" s="4">
        <v>943</v>
      </c>
      <c r="D1598" s="4">
        <v>91</v>
      </c>
      <c r="E1598" s="4">
        <v>1055</v>
      </c>
      <c r="F1598" s="4">
        <v>56202</v>
      </c>
      <c r="G1598" s="4">
        <v>524.5</v>
      </c>
      <c r="H1598" s="3">
        <v>3.0750000000000002</v>
      </c>
      <c r="I1598" s="3">
        <v>1.6657142857142857</v>
      </c>
    </row>
    <row r="1599" spans="1:9" x14ac:dyDescent="0.25">
      <c r="A1599" s="9">
        <v>42019</v>
      </c>
      <c r="B1599" s="4">
        <v>498</v>
      </c>
      <c r="C1599" s="4">
        <v>266</v>
      </c>
      <c r="D1599" s="4">
        <v>35</v>
      </c>
      <c r="E1599" s="4">
        <v>291</v>
      </c>
      <c r="F1599" s="4">
        <v>11945</v>
      </c>
      <c r="G1599" s="4">
        <v>148.1</v>
      </c>
      <c r="H1599" s="3">
        <v>4.7</v>
      </c>
      <c r="I1599" s="3">
        <v>1.8</v>
      </c>
    </row>
    <row r="1600" spans="1:9" x14ac:dyDescent="0.25">
      <c r="A1600" s="9">
        <v>42021</v>
      </c>
      <c r="B1600" s="4">
        <v>599</v>
      </c>
      <c r="C1600" s="4">
        <v>384</v>
      </c>
      <c r="D1600" s="4">
        <v>19</v>
      </c>
      <c r="E1600" s="4">
        <v>384</v>
      </c>
      <c r="F1600" s="4">
        <v>17687</v>
      </c>
      <c r="G1600" s="4">
        <v>213.5</v>
      </c>
      <c r="H1600" s="3">
        <v>4.1999999999999993</v>
      </c>
      <c r="I1600" s="3">
        <v>1.4049999999999998</v>
      </c>
    </row>
    <row r="1601" spans="1:9" x14ac:dyDescent="0.25">
      <c r="A1601" s="9">
        <v>42025</v>
      </c>
      <c r="B1601" s="4">
        <v>122</v>
      </c>
      <c r="C1601" s="4">
        <v>68</v>
      </c>
      <c r="D1601" s="4">
        <v>6</v>
      </c>
      <c r="E1601" s="4">
        <v>68</v>
      </c>
      <c r="F1601" s="4">
        <v>2338</v>
      </c>
      <c r="G1601" s="4">
        <v>34.5</v>
      </c>
      <c r="H1601" s="3">
        <v>5.4</v>
      </c>
      <c r="I1601" s="3">
        <v>1.3</v>
      </c>
    </row>
    <row r="1602" spans="1:9" x14ac:dyDescent="0.25">
      <c r="A1602" s="9">
        <v>42027</v>
      </c>
      <c r="B1602" s="4">
        <v>476</v>
      </c>
      <c r="C1602" s="4">
        <v>248</v>
      </c>
      <c r="D1602" s="4">
        <v>14</v>
      </c>
      <c r="E1602" s="4">
        <v>248</v>
      </c>
      <c r="F1602" s="4">
        <v>12576</v>
      </c>
      <c r="G1602" s="4">
        <v>122.3</v>
      </c>
      <c r="H1602" s="3">
        <v>3.8</v>
      </c>
      <c r="I1602" s="3">
        <v>1.71</v>
      </c>
    </row>
    <row r="1603" spans="1:9" x14ac:dyDescent="0.25">
      <c r="A1603" s="9">
        <v>42029</v>
      </c>
      <c r="B1603" s="4">
        <v>1556</v>
      </c>
      <c r="C1603" s="4">
        <v>806</v>
      </c>
      <c r="D1603" s="4">
        <v>93</v>
      </c>
      <c r="E1603" s="4">
        <v>886</v>
      </c>
      <c r="F1603" s="4">
        <v>45670</v>
      </c>
      <c r="G1603" s="4">
        <v>457</v>
      </c>
      <c r="H1603" s="3">
        <v>4.0199999999999996</v>
      </c>
      <c r="I1603" s="3">
        <v>1.536</v>
      </c>
    </row>
    <row r="1604" spans="1:9" x14ac:dyDescent="0.25">
      <c r="A1604" s="9">
        <v>42031</v>
      </c>
      <c r="B1604" s="4">
        <v>86</v>
      </c>
      <c r="C1604" s="4">
        <v>57</v>
      </c>
      <c r="D1604" s="4">
        <v>7</v>
      </c>
      <c r="E1604" s="4">
        <v>57</v>
      </c>
      <c r="F1604" s="4">
        <v>1318</v>
      </c>
      <c r="G1604" s="4">
        <v>15.3</v>
      </c>
      <c r="H1604" s="3">
        <v>4.4000000000000004</v>
      </c>
      <c r="I1604" s="3">
        <v>1.33</v>
      </c>
    </row>
    <row r="1605" spans="1:9" x14ac:dyDescent="0.25">
      <c r="A1605" s="9">
        <v>42033</v>
      </c>
      <c r="B1605" s="4">
        <v>484</v>
      </c>
      <c r="C1605" s="4">
        <v>241</v>
      </c>
      <c r="D1605" s="4">
        <v>15</v>
      </c>
      <c r="E1605" s="4">
        <v>241</v>
      </c>
      <c r="F1605" s="4">
        <v>11111</v>
      </c>
      <c r="G1605" s="4">
        <v>129</v>
      </c>
      <c r="H1605" s="3">
        <v>4.3000000000000007</v>
      </c>
      <c r="I1605" s="3">
        <v>1.44</v>
      </c>
    </row>
    <row r="1606" spans="1:9" x14ac:dyDescent="0.25">
      <c r="A1606" s="9">
        <v>42035</v>
      </c>
      <c r="B1606" s="4">
        <v>50</v>
      </c>
      <c r="C1606" s="4">
        <v>63</v>
      </c>
      <c r="D1606" s="4">
        <v>14</v>
      </c>
      <c r="E1606" s="4">
        <v>63</v>
      </c>
      <c r="F1606" s="4">
        <v>860</v>
      </c>
      <c r="G1606" s="4">
        <v>9.6999999999999993</v>
      </c>
      <c r="H1606" s="3">
        <v>3.7</v>
      </c>
      <c r="I1606" s="3">
        <v>1.0249999999999999</v>
      </c>
    </row>
    <row r="1607" spans="1:9" x14ac:dyDescent="0.25">
      <c r="A1607" s="9">
        <v>42037</v>
      </c>
      <c r="B1607" s="4">
        <v>90</v>
      </c>
      <c r="C1607" s="4">
        <v>143</v>
      </c>
      <c r="D1607" s="4">
        <v>22</v>
      </c>
      <c r="E1607" s="4">
        <v>143</v>
      </c>
      <c r="F1607" s="4">
        <v>2348</v>
      </c>
      <c r="G1607" s="4">
        <v>17.399999999999999</v>
      </c>
      <c r="H1607" s="3">
        <v>3.0999999999999996</v>
      </c>
      <c r="I1607" s="3">
        <v>1.2349999999999999</v>
      </c>
    </row>
    <row r="1608" spans="1:9" x14ac:dyDescent="0.25">
      <c r="A1608" s="9">
        <v>42039</v>
      </c>
      <c r="B1608" s="4">
        <v>259</v>
      </c>
      <c r="C1608" s="4">
        <v>170</v>
      </c>
      <c r="D1608" s="4">
        <v>16</v>
      </c>
      <c r="E1608" s="4">
        <v>170</v>
      </c>
      <c r="F1608" s="4">
        <v>5984</v>
      </c>
      <c r="G1608" s="4">
        <v>73.599999999999994</v>
      </c>
      <c r="H1608" s="3">
        <v>4</v>
      </c>
      <c r="I1608" s="3">
        <v>1.26</v>
      </c>
    </row>
    <row r="1609" spans="1:9" x14ac:dyDescent="0.25">
      <c r="A1609" s="9">
        <v>42041</v>
      </c>
      <c r="B1609" s="4">
        <v>626</v>
      </c>
      <c r="C1609" s="4">
        <v>343</v>
      </c>
      <c r="D1609" s="4">
        <v>31</v>
      </c>
      <c r="E1609" s="4">
        <v>445</v>
      </c>
      <c r="F1609" s="4">
        <v>14149</v>
      </c>
      <c r="G1609" s="4">
        <v>169.2</v>
      </c>
      <c r="H1609" s="3">
        <v>4.25</v>
      </c>
      <c r="I1609" s="3">
        <v>1.6</v>
      </c>
    </row>
    <row r="1610" spans="1:9" x14ac:dyDescent="0.25">
      <c r="A1610" s="9">
        <v>42043</v>
      </c>
      <c r="B1610" s="4">
        <v>2806</v>
      </c>
      <c r="C1610" s="4">
        <v>1041</v>
      </c>
      <c r="D1610" s="4">
        <v>36</v>
      </c>
      <c r="E1610" s="4">
        <v>1186</v>
      </c>
      <c r="F1610" s="4">
        <v>64706</v>
      </c>
      <c r="G1610" s="4">
        <v>880.1</v>
      </c>
      <c r="H1610" s="3">
        <v>5.25</v>
      </c>
      <c r="I1610" s="3">
        <v>2.0249999999999999</v>
      </c>
    </row>
    <row r="1611" spans="1:9" x14ac:dyDescent="0.25">
      <c r="A1611" s="9">
        <v>42045</v>
      </c>
      <c r="B1611" s="4">
        <v>2226</v>
      </c>
      <c r="C1611" s="4">
        <v>1267</v>
      </c>
      <c r="D1611" s="4">
        <v>101</v>
      </c>
      <c r="E1611" s="4">
        <v>1979</v>
      </c>
      <c r="F1611" s="4">
        <v>60388</v>
      </c>
      <c r="G1611" s="4">
        <v>699.40000000000009</v>
      </c>
      <c r="H1611" s="3">
        <v>4.3600000000000012</v>
      </c>
      <c r="I1611" s="3">
        <v>1.536</v>
      </c>
    </row>
    <row r="1612" spans="1:9" x14ac:dyDescent="0.25">
      <c r="A1612" s="9">
        <v>42047</v>
      </c>
      <c r="B1612" s="4">
        <v>71</v>
      </c>
      <c r="C1612" s="4">
        <v>25</v>
      </c>
      <c r="D1612" s="4">
        <v>14</v>
      </c>
      <c r="E1612" s="4">
        <v>25</v>
      </c>
      <c r="F1612" s="4">
        <v>1352</v>
      </c>
      <c r="G1612" s="4">
        <v>14.7</v>
      </c>
      <c r="H1612" s="3">
        <v>2.9</v>
      </c>
      <c r="I1612" s="3">
        <v>1.1100000000000001</v>
      </c>
    </row>
    <row r="1613" spans="1:9" x14ac:dyDescent="0.25">
      <c r="A1613" s="9">
        <v>42049</v>
      </c>
      <c r="B1613" s="4">
        <v>1180</v>
      </c>
      <c r="C1613" s="4">
        <v>869</v>
      </c>
      <c r="D1613" s="4">
        <v>40</v>
      </c>
      <c r="E1613" s="4">
        <v>869</v>
      </c>
      <c r="F1613" s="4">
        <v>37207</v>
      </c>
      <c r="G1613" s="4">
        <v>497.50000000000006</v>
      </c>
      <c r="H1613" s="3">
        <v>4.7249999999999996</v>
      </c>
      <c r="I1613" s="3">
        <v>1.51</v>
      </c>
    </row>
    <row r="1614" spans="1:9" x14ac:dyDescent="0.25">
      <c r="A1614" s="9">
        <v>42051</v>
      </c>
      <c r="B1614" s="4">
        <v>331</v>
      </c>
      <c r="C1614" s="4">
        <v>210</v>
      </c>
      <c r="D1614" s="4">
        <v>15</v>
      </c>
      <c r="E1614" s="4">
        <v>210</v>
      </c>
      <c r="F1614" s="4">
        <v>10302</v>
      </c>
      <c r="G1614" s="4">
        <v>120.8</v>
      </c>
      <c r="H1614" s="3">
        <v>5.0000000000000009</v>
      </c>
      <c r="I1614" s="3">
        <v>1.25</v>
      </c>
    </row>
    <row r="1615" spans="1:9" x14ac:dyDescent="0.25">
      <c r="A1615" s="9">
        <v>42055</v>
      </c>
      <c r="B1615" s="4">
        <v>563</v>
      </c>
      <c r="C1615" s="4">
        <v>299</v>
      </c>
      <c r="D1615" s="4">
        <v>14</v>
      </c>
      <c r="E1615" s="4">
        <v>299</v>
      </c>
      <c r="F1615" s="4">
        <v>11663</v>
      </c>
      <c r="G1615" s="4">
        <v>111.10000000000001</v>
      </c>
      <c r="H1615" s="3">
        <v>3.5</v>
      </c>
      <c r="I1615" s="3">
        <v>1.48</v>
      </c>
    </row>
    <row r="1616" spans="1:9" x14ac:dyDescent="0.25">
      <c r="A1616" s="9">
        <v>42057</v>
      </c>
      <c r="B1616" s="4">
        <v>55</v>
      </c>
      <c r="C1616" s="4">
        <v>21</v>
      </c>
      <c r="D1616" s="4">
        <v>14</v>
      </c>
      <c r="E1616" s="4">
        <v>21</v>
      </c>
      <c r="F1616" s="4">
        <v>498</v>
      </c>
      <c r="G1616" s="4">
        <v>7.1</v>
      </c>
      <c r="H1616" s="3">
        <v>4.0999999999999996</v>
      </c>
      <c r="I1616" s="3">
        <v>0.96</v>
      </c>
    </row>
    <row r="1617" spans="1:9" x14ac:dyDescent="0.25">
      <c r="A1617" s="9">
        <v>42059</v>
      </c>
      <c r="B1617" s="4">
        <v>41</v>
      </c>
      <c r="C1617" s="4">
        <v>23</v>
      </c>
      <c r="D1617" s="4">
        <v>14</v>
      </c>
      <c r="E1617" s="4">
        <v>23</v>
      </c>
      <c r="F1617" s="4">
        <v>681</v>
      </c>
      <c r="G1617" s="4">
        <v>8.1</v>
      </c>
      <c r="H1617" s="3">
        <v>4.4000000000000004</v>
      </c>
      <c r="I1617" s="3">
        <v>1.07</v>
      </c>
    </row>
    <row r="1618" spans="1:9" x14ac:dyDescent="0.25">
      <c r="A1618" s="9">
        <v>42061</v>
      </c>
      <c r="B1618" s="4">
        <v>147</v>
      </c>
      <c r="C1618" s="4">
        <v>57</v>
      </c>
      <c r="D1618" s="4">
        <v>7</v>
      </c>
      <c r="E1618" s="4">
        <v>57</v>
      </c>
      <c r="F1618" s="4">
        <v>1628</v>
      </c>
      <c r="G1618" s="4">
        <v>16.8</v>
      </c>
      <c r="H1618" s="3">
        <v>3.9</v>
      </c>
      <c r="I1618" s="3">
        <v>1.28</v>
      </c>
    </row>
    <row r="1619" spans="1:9" x14ac:dyDescent="0.25">
      <c r="A1619" s="9">
        <v>42063</v>
      </c>
      <c r="B1619" s="4">
        <v>214</v>
      </c>
      <c r="C1619" s="4">
        <v>134</v>
      </c>
      <c r="D1619" s="4">
        <v>12</v>
      </c>
      <c r="E1619" s="4">
        <v>134</v>
      </c>
      <c r="F1619" s="4">
        <v>5612</v>
      </c>
      <c r="G1619" s="4">
        <v>54</v>
      </c>
      <c r="H1619" s="3">
        <v>3.7</v>
      </c>
      <c r="I1619" s="3">
        <v>1.51</v>
      </c>
    </row>
    <row r="1620" spans="1:9" x14ac:dyDescent="0.25">
      <c r="A1620" s="9">
        <v>42065</v>
      </c>
      <c r="B1620" s="4">
        <v>106</v>
      </c>
      <c r="C1620" s="4">
        <v>69</v>
      </c>
      <c r="D1620" s="4">
        <v>5</v>
      </c>
      <c r="E1620" s="4">
        <v>69</v>
      </c>
      <c r="F1620" s="4">
        <v>1599</v>
      </c>
      <c r="G1620" s="4">
        <v>26.8</v>
      </c>
      <c r="H1620" s="3">
        <v>4.7</v>
      </c>
      <c r="I1620" s="3">
        <v>1.3900000000000001</v>
      </c>
    </row>
    <row r="1621" spans="1:9" x14ac:dyDescent="0.25">
      <c r="A1621" s="9">
        <v>42069</v>
      </c>
      <c r="B1621" s="4">
        <v>784</v>
      </c>
      <c r="C1621" s="4">
        <v>570</v>
      </c>
      <c r="D1621" s="4">
        <v>53</v>
      </c>
      <c r="E1621" s="4">
        <v>570</v>
      </c>
      <c r="F1621" s="4">
        <v>28238</v>
      </c>
      <c r="G1621" s="4">
        <v>338.6</v>
      </c>
      <c r="H1621" s="3">
        <v>4.4499999999999993</v>
      </c>
      <c r="I1621" s="3">
        <v>1.7</v>
      </c>
    </row>
    <row r="1622" spans="1:9" x14ac:dyDescent="0.25">
      <c r="A1622" s="9">
        <v>42071</v>
      </c>
      <c r="B1622" s="4">
        <v>1805</v>
      </c>
      <c r="C1622" s="4">
        <v>751</v>
      </c>
      <c r="D1622" s="4">
        <v>73</v>
      </c>
      <c r="E1622" s="4">
        <v>846</v>
      </c>
      <c r="F1622" s="4">
        <v>41882</v>
      </c>
      <c r="G1622" s="4">
        <v>517.9</v>
      </c>
      <c r="H1622" s="3">
        <v>4.0999999999999996</v>
      </c>
      <c r="I1622" s="3">
        <v>1.6924999999999999</v>
      </c>
    </row>
    <row r="1623" spans="1:9" x14ac:dyDescent="0.25">
      <c r="A1623" s="9">
        <v>42073</v>
      </c>
      <c r="B1623" s="4">
        <v>157</v>
      </c>
      <c r="C1623" s="4">
        <v>121</v>
      </c>
      <c r="D1623" s="4">
        <v>12</v>
      </c>
      <c r="E1623" s="4">
        <v>121</v>
      </c>
      <c r="F1623" s="4">
        <v>5323</v>
      </c>
      <c r="G1623" s="4">
        <v>68.7</v>
      </c>
      <c r="H1623" s="3">
        <v>4.3</v>
      </c>
      <c r="I1623" s="3">
        <v>1.28</v>
      </c>
    </row>
    <row r="1624" spans="1:9" x14ac:dyDescent="0.25">
      <c r="A1624" s="9">
        <v>42075</v>
      </c>
      <c r="B1624" s="4">
        <v>351</v>
      </c>
      <c r="C1624" s="4">
        <v>145</v>
      </c>
      <c r="D1624" s="4">
        <v>18</v>
      </c>
      <c r="E1624" s="4">
        <v>145</v>
      </c>
      <c r="F1624" s="4">
        <v>7751</v>
      </c>
      <c r="G1624" s="4">
        <v>78.2</v>
      </c>
      <c r="H1624" s="3">
        <v>3.9</v>
      </c>
      <c r="I1624" s="3">
        <v>1.63</v>
      </c>
    </row>
    <row r="1625" spans="1:9" x14ac:dyDescent="0.25">
      <c r="A1625" s="9">
        <v>42077</v>
      </c>
      <c r="B1625" s="4">
        <v>2597</v>
      </c>
      <c r="C1625" s="4">
        <v>1172</v>
      </c>
      <c r="D1625" s="4">
        <v>98</v>
      </c>
      <c r="E1625" s="4">
        <v>2051</v>
      </c>
      <c r="F1625" s="4">
        <v>58374</v>
      </c>
      <c r="G1625" s="4">
        <v>782.19999999999993</v>
      </c>
      <c r="H1625" s="3">
        <v>3.8</v>
      </c>
      <c r="I1625" s="3">
        <v>1.9266666666666667</v>
      </c>
    </row>
    <row r="1626" spans="1:9" x14ac:dyDescent="0.25">
      <c r="A1626" s="9">
        <v>42079</v>
      </c>
      <c r="B1626" s="4">
        <v>1276</v>
      </c>
      <c r="C1626" s="4">
        <v>692</v>
      </c>
      <c r="D1626" s="4">
        <v>67</v>
      </c>
      <c r="E1626" s="4">
        <v>966</v>
      </c>
      <c r="F1626" s="4">
        <v>37828</v>
      </c>
      <c r="G1626" s="4">
        <v>430.99999999999994</v>
      </c>
      <c r="H1626" s="3">
        <v>4.0999999999999996</v>
      </c>
      <c r="I1626" s="3">
        <v>1.5766666666666669</v>
      </c>
    </row>
    <row r="1627" spans="1:9" x14ac:dyDescent="0.25">
      <c r="A1627" s="9">
        <v>42081</v>
      </c>
      <c r="B1627" s="4">
        <v>609</v>
      </c>
      <c r="C1627" s="4">
        <v>272</v>
      </c>
      <c r="D1627" s="4">
        <v>32</v>
      </c>
      <c r="E1627" s="4">
        <v>272</v>
      </c>
      <c r="F1627" s="4">
        <v>11707</v>
      </c>
      <c r="G1627" s="4">
        <v>154.39999999999998</v>
      </c>
      <c r="H1627" s="3">
        <v>3.2999999999999994</v>
      </c>
      <c r="I1627" s="3">
        <v>1.3733333333333331</v>
      </c>
    </row>
    <row r="1628" spans="1:9" x14ac:dyDescent="0.25">
      <c r="A1628" s="9">
        <v>42083</v>
      </c>
      <c r="B1628" s="4">
        <v>63</v>
      </c>
      <c r="C1628" s="4">
        <v>138</v>
      </c>
      <c r="D1628" s="4">
        <v>10</v>
      </c>
      <c r="E1628" s="4">
        <v>138</v>
      </c>
      <c r="F1628" s="4">
        <v>3236</v>
      </c>
      <c r="G1628" s="4">
        <v>42.6</v>
      </c>
      <c r="H1628" s="3">
        <v>4.4499999999999993</v>
      </c>
      <c r="I1628" s="3">
        <v>1.2549999999999999</v>
      </c>
    </row>
    <row r="1629" spans="1:9" x14ac:dyDescent="0.25">
      <c r="A1629" s="9">
        <v>42085</v>
      </c>
      <c r="B1629" s="4">
        <v>531</v>
      </c>
      <c r="C1629" s="4">
        <v>404</v>
      </c>
      <c r="D1629" s="4">
        <v>26</v>
      </c>
      <c r="E1629" s="4">
        <v>562</v>
      </c>
      <c r="F1629" s="4">
        <v>12189</v>
      </c>
      <c r="G1629" s="4">
        <v>129.9</v>
      </c>
      <c r="H1629" s="3">
        <v>3.6749999999999998</v>
      </c>
      <c r="I1629" s="3">
        <v>1.6099999999999999</v>
      </c>
    </row>
    <row r="1630" spans="1:9" x14ac:dyDescent="0.25">
      <c r="A1630" s="9">
        <v>42087</v>
      </c>
      <c r="B1630" s="4">
        <v>162</v>
      </c>
      <c r="C1630" s="4">
        <v>109</v>
      </c>
      <c r="D1630" s="4">
        <v>10</v>
      </c>
      <c r="E1630" s="4">
        <v>109</v>
      </c>
      <c r="F1630" s="4">
        <v>4320</v>
      </c>
      <c r="G1630" s="4">
        <v>33.200000000000003</v>
      </c>
      <c r="H1630" s="3">
        <v>3</v>
      </c>
      <c r="I1630" s="3">
        <v>1.37</v>
      </c>
    </row>
    <row r="1631" spans="1:9" x14ac:dyDescent="0.25">
      <c r="A1631" s="9">
        <v>42089</v>
      </c>
      <c r="B1631" s="4">
        <v>501</v>
      </c>
      <c r="C1631" s="4">
        <v>295</v>
      </c>
      <c r="D1631" s="4">
        <v>24</v>
      </c>
      <c r="E1631" s="4">
        <v>295</v>
      </c>
      <c r="F1631" s="4">
        <v>15528</v>
      </c>
      <c r="G1631" s="4">
        <v>162.9</v>
      </c>
      <c r="H1631" s="3">
        <v>3.95</v>
      </c>
      <c r="I1631" s="3">
        <v>1.49</v>
      </c>
    </row>
    <row r="1632" spans="1:9" x14ac:dyDescent="0.25">
      <c r="A1632" s="9">
        <v>42091</v>
      </c>
      <c r="B1632" s="4">
        <v>3347</v>
      </c>
      <c r="C1632" s="4">
        <v>1878</v>
      </c>
      <c r="D1632" s="4">
        <v>165</v>
      </c>
      <c r="E1632" s="4">
        <v>2231</v>
      </c>
      <c r="F1632" s="4">
        <v>90342</v>
      </c>
      <c r="G1632" s="4">
        <v>1028.5</v>
      </c>
      <c r="H1632" s="3">
        <v>4.6399999999999997</v>
      </c>
      <c r="I1632" s="3">
        <v>1.589</v>
      </c>
    </row>
    <row r="1633" spans="1:9" x14ac:dyDescent="0.25">
      <c r="A1633" s="9">
        <v>42093</v>
      </c>
      <c r="B1633" s="4">
        <v>1327</v>
      </c>
      <c r="C1633" s="4">
        <v>524</v>
      </c>
      <c r="D1633" s="4">
        <v>68</v>
      </c>
      <c r="E1633" s="4">
        <v>524</v>
      </c>
      <c r="F1633" s="4">
        <v>29642</v>
      </c>
      <c r="G1633" s="4">
        <v>386.4</v>
      </c>
      <c r="H1633" s="3">
        <v>4.9000000000000004</v>
      </c>
      <c r="I1633" s="3">
        <v>1.99</v>
      </c>
    </row>
    <row r="1634" spans="1:9" x14ac:dyDescent="0.25">
      <c r="A1634" s="9">
        <v>42095</v>
      </c>
      <c r="B1634" s="4">
        <v>1753</v>
      </c>
      <c r="C1634" s="4">
        <v>990</v>
      </c>
      <c r="D1634" s="4">
        <v>80</v>
      </c>
      <c r="E1634" s="4">
        <v>948</v>
      </c>
      <c r="F1634" s="4">
        <v>55527</v>
      </c>
      <c r="G1634" s="4">
        <v>625.69999999999993</v>
      </c>
      <c r="H1634" s="3">
        <v>3.9199999999999995</v>
      </c>
      <c r="I1634" s="3">
        <v>1.7259999999999998</v>
      </c>
    </row>
    <row r="1635" spans="1:9" x14ac:dyDescent="0.25">
      <c r="A1635" s="9">
        <v>42097</v>
      </c>
      <c r="B1635" s="4">
        <v>80</v>
      </c>
      <c r="C1635" s="4">
        <v>49</v>
      </c>
      <c r="D1635" s="4">
        <v>14</v>
      </c>
      <c r="E1635" s="4">
        <v>45</v>
      </c>
      <c r="F1635" s="4">
        <v>948</v>
      </c>
      <c r="G1635" s="4">
        <v>12.6</v>
      </c>
      <c r="H1635" s="3">
        <v>5.3</v>
      </c>
      <c r="I1635" s="3">
        <v>1.32</v>
      </c>
    </row>
    <row r="1636" spans="1:9" x14ac:dyDescent="0.25">
      <c r="A1636" s="9">
        <v>42101</v>
      </c>
      <c r="B1636" s="4">
        <v>9274</v>
      </c>
      <c r="C1636" s="4">
        <v>4333</v>
      </c>
      <c r="D1636" s="4">
        <v>229</v>
      </c>
      <c r="E1636" s="4">
        <v>4820</v>
      </c>
      <c r="F1636" s="4">
        <v>240080</v>
      </c>
      <c r="G1636" s="4">
        <v>3413.5</v>
      </c>
      <c r="H1636" s="3">
        <v>6.5333333333333332</v>
      </c>
      <c r="I1636" s="3">
        <v>1.7537500000000001</v>
      </c>
    </row>
    <row r="1637" spans="1:9" x14ac:dyDescent="0.25">
      <c r="A1637" s="9">
        <v>42105</v>
      </c>
      <c r="B1637" s="4">
        <v>86</v>
      </c>
      <c r="C1637" s="4">
        <v>25</v>
      </c>
      <c r="D1637" s="4">
        <v>4</v>
      </c>
      <c r="E1637" s="4">
        <v>25</v>
      </c>
      <c r="F1637" s="4">
        <v>1532</v>
      </c>
      <c r="G1637" s="4">
        <v>13.4</v>
      </c>
      <c r="H1637" s="3">
        <v>2.8</v>
      </c>
      <c r="I1637" s="3">
        <v>1.32</v>
      </c>
    </row>
    <row r="1638" spans="1:9" x14ac:dyDescent="0.25">
      <c r="A1638" s="9">
        <v>42107</v>
      </c>
      <c r="B1638" s="4">
        <v>334</v>
      </c>
      <c r="C1638" s="4">
        <v>266</v>
      </c>
      <c r="D1638" s="4">
        <v>26</v>
      </c>
      <c r="E1638" s="4">
        <v>266</v>
      </c>
      <c r="F1638" s="4">
        <v>15498</v>
      </c>
      <c r="G1638" s="4">
        <v>171.60000000000002</v>
      </c>
      <c r="H1638" s="3">
        <v>4.2750000000000004</v>
      </c>
      <c r="I1638" s="3">
        <v>1.3666666666666665</v>
      </c>
    </row>
    <row r="1639" spans="1:9" x14ac:dyDescent="0.25">
      <c r="A1639" s="9">
        <v>42111</v>
      </c>
      <c r="B1639" s="4">
        <v>270</v>
      </c>
      <c r="C1639" s="4">
        <v>148</v>
      </c>
      <c r="D1639" s="4">
        <v>6</v>
      </c>
      <c r="E1639" s="4">
        <v>148</v>
      </c>
      <c r="F1639" s="4">
        <v>3209</v>
      </c>
      <c r="G1639" s="4">
        <v>31.9</v>
      </c>
      <c r="H1639" s="3">
        <v>4.9333333333333336</v>
      </c>
      <c r="I1639" s="3">
        <v>1.2933333333333332</v>
      </c>
    </row>
    <row r="1640" spans="1:9" x14ac:dyDescent="0.25">
      <c r="A1640" s="9">
        <v>42115</v>
      </c>
      <c r="B1640" s="4">
        <v>40</v>
      </c>
      <c r="C1640" s="4">
        <v>50</v>
      </c>
      <c r="D1640" s="4">
        <v>4</v>
      </c>
      <c r="E1640" s="4">
        <v>50</v>
      </c>
      <c r="F1640" s="4">
        <v>1321</v>
      </c>
      <c r="G1640" s="4">
        <v>15.1</v>
      </c>
      <c r="H1640" s="3">
        <v>8.25</v>
      </c>
      <c r="I1640" s="3">
        <v>0.95500000000000007</v>
      </c>
    </row>
    <row r="1641" spans="1:9" x14ac:dyDescent="0.25">
      <c r="A1641" s="9">
        <v>42117</v>
      </c>
      <c r="B1641" s="4">
        <v>92</v>
      </c>
      <c r="C1641" s="4">
        <v>25</v>
      </c>
      <c r="D1641" s="4">
        <v>6</v>
      </c>
      <c r="E1641" s="4">
        <v>25</v>
      </c>
      <c r="F1641" s="4">
        <v>1570</v>
      </c>
      <c r="G1641" s="4">
        <v>15.4</v>
      </c>
      <c r="H1641" s="3">
        <v>3.6</v>
      </c>
      <c r="I1641" s="3">
        <v>1.43</v>
      </c>
    </row>
    <row r="1642" spans="1:9" x14ac:dyDescent="0.25">
      <c r="A1642" s="9">
        <v>42119</v>
      </c>
      <c r="B1642" s="4">
        <v>325</v>
      </c>
      <c r="C1642" s="4">
        <v>123</v>
      </c>
      <c r="D1642" s="4">
        <v>12</v>
      </c>
      <c r="E1642" s="4">
        <v>123</v>
      </c>
      <c r="F1642" s="4">
        <v>5618</v>
      </c>
      <c r="G1642" s="4">
        <v>45.9</v>
      </c>
      <c r="H1642" s="3">
        <v>3.3</v>
      </c>
      <c r="I1642" s="3">
        <v>1.51</v>
      </c>
    </row>
    <row r="1643" spans="1:9" x14ac:dyDescent="0.25">
      <c r="A1643" s="9">
        <v>42121</v>
      </c>
      <c r="B1643" s="4">
        <v>172</v>
      </c>
      <c r="C1643" s="4">
        <v>118</v>
      </c>
      <c r="D1643" s="4">
        <v>8</v>
      </c>
      <c r="E1643" s="4">
        <v>118</v>
      </c>
      <c r="F1643" s="4">
        <v>4734</v>
      </c>
      <c r="G1643" s="4">
        <v>51.1</v>
      </c>
      <c r="H1643" s="3">
        <v>4.0999999999999996</v>
      </c>
      <c r="I1643" s="3">
        <v>1.28</v>
      </c>
    </row>
    <row r="1644" spans="1:9" x14ac:dyDescent="0.25">
      <c r="A1644" s="9">
        <v>42123</v>
      </c>
      <c r="B1644" s="4">
        <v>106</v>
      </c>
      <c r="C1644" s="4">
        <v>85</v>
      </c>
      <c r="D1644" s="4">
        <v>6</v>
      </c>
      <c r="E1644" s="4">
        <v>85</v>
      </c>
      <c r="F1644" s="4">
        <v>2306</v>
      </c>
      <c r="G1644" s="4">
        <v>28.7</v>
      </c>
      <c r="H1644" s="3">
        <v>4.8</v>
      </c>
      <c r="I1644" s="3">
        <v>1.21</v>
      </c>
    </row>
    <row r="1645" spans="1:9" x14ac:dyDescent="0.25">
      <c r="A1645" s="9">
        <v>42125</v>
      </c>
      <c r="B1645" s="4">
        <v>682</v>
      </c>
      <c r="C1645" s="4">
        <v>448</v>
      </c>
      <c r="D1645" s="4">
        <v>16</v>
      </c>
      <c r="E1645" s="4">
        <v>448</v>
      </c>
      <c r="F1645" s="4">
        <v>16234</v>
      </c>
      <c r="G1645" s="4">
        <v>181</v>
      </c>
      <c r="H1645" s="3">
        <v>3.6250000000000004</v>
      </c>
      <c r="I1645" s="3">
        <v>1.6525000000000001</v>
      </c>
    </row>
    <row r="1646" spans="1:9" x14ac:dyDescent="0.25">
      <c r="A1646" s="9">
        <v>42127</v>
      </c>
      <c r="B1646" s="4">
        <v>162</v>
      </c>
      <c r="C1646" s="4">
        <v>76</v>
      </c>
      <c r="D1646" s="4">
        <v>8</v>
      </c>
      <c r="E1646" s="4">
        <v>76</v>
      </c>
      <c r="F1646" s="4">
        <v>3568</v>
      </c>
      <c r="G1646" s="4">
        <v>27.7</v>
      </c>
      <c r="H1646" s="3">
        <v>3.1</v>
      </c>
      <c r="I1646" s="3">
        <v>1.29</v>
      </c>
    </row>
    <row r="1647" spans="1:9" x14ac:dyDescent="0.25">
      <c r="A1647" s="9">
        <v>42129</v>
      </c>
      <c r="B1647" s="4">
        <v>784</v>
      </c>
      <c r="C1647" s="4">
        <v>401</v>
      </c>
      <c r="D1647" s="4">
        <v>33</v>
      </c>
      <c r="E1647" s="4">
        <v>401</v>
      </c>
      <c r="F1647" s="4">
        <v>29525</v>
      </c>
      <c r="G1647" s="4">
        <v>332.4</v>
      </c>
      <c r="H1647" s="3">
        <v>4.1750000000000007</v>
      </c>
      <c r="I1647" s="3">
        <v>1.4933333333333334</v>
      </c>
    </row>
    <row r="1648" spans="1:9" x14ac:dyDescent="0.25">
      <c r="A1648" s="9">
        <v>42131</v>
      </c>
      <c r="B1648" s="4">
        <v>27</v>
      </c>
      <c r="C1648" s="4">
        <v>44</v>
      </c>
      <c r="D1648" s="4">
        <v>6</v>
      </c>
      <c r="E1648" s="4">
        <v>44</v>
      </c>
      <c r="F1648" s="4">
        <v>372</v>
      </c>
      <c r="G1648" s="4">
        <v>2.7</v>
      </c>
      <c r="H1648" s="3">
        <v>2.6</v>
      </c>
      <c r="I1648" s="3">
        <v>1.03</v>
      </c>
    </row>
    <row r="1649" spans="1:9" x14ac:dyDescent="0.25">
      <c r="A1649" s="9">
        <v>42133</v>
      </c>
      <c r="B1649" s="4">
        <v>1823</v>
      </c>
      <c r="C1649" s="4">
        <v>718</v>
      </c>
      <c r="D1649" s="4">
        <v>70</v>
      </c>
      <c r="E1649" s="4">
        <v>718</v>
      </c>
      <c r="F1649" s="4">
        <v>38799</v>
      </c>
      <c r="G1649" s="4">
        <v>505.6</v>
      </c>
      <c r="H1649" s="3">
        <v>3.4799999999999995</v>
      </c>
      <c r="I1649" s="3">
        <v>1.6859999999999999</v>
      </c>
    </row>
    <row r="1650" spans="1:9" x14ac:dyDescent="0.25">
      <c r="A1650" s="9">
        <v>44003</v>
      </c>
      <c r="B1650" s="4">
        <v>536</v>
      </c>
      <c r="C1650" s="4">
        <v>323</v>
      </c>
      <c r="D1650" s="4">
        <v>15</v>
      </c>
      <c r="E1650" s="4">
        <v>323</v>
      </c>
      <c r="F1650" s="4">
        <v>14113</v>
      </c>
      <c r="G1650" s="4">
        <v>161.4</v>
      </c>
      <c r="H1650" s="3">
        <v>4.3</v>
      </c>
      <c r="I1650" s="3">
        <v>1.49</v>
      </c>
    </row>
    <row r="1651" spans="1:9" x14ac:dyDescent="0.25">
      <c r="A1651" s="9">
        <v>44005</v>
      </c>
      <c r="B1651" s="4">
        <v>161</v>
      </c>
      <c r="C1651" s="4">
        <v>102</v>
      </c>
      <c r="D1651" s="4">
        <v>10</v>
      </c>
      <c r="E1651" s="4">
        <v>102</v>
      </c>
      <c r="F1651" s="4">
        <v>4431</v>
      </c>
      <c r="G1651" s="4">
        <v>42.4</v>
      </c>
      <c r="H1651" s="3">
        <v>3.7</v>
      </c>
      <c r="I1651" s="3">
        <v>1.35</v>
      </c>
    </row>
    <row r="1652" spans="1:9" x14ac:dyDescent="0.25">
      <c r="A1652" s="9">
        <v>44007</v>
      </c>
      <c r="B1652" s="4">
        <v>3234</v>
      </c>
      <c r="C1652" s="4">
        <v>1562</v>
      </c>
      <c r="D1652" s="4">
        <v>203</v>
      </c>
      <c r="E1652" s="4">
        <v>1562</v>
      </c>
      <c r="F1652" s="4">
        <v>82186</v>
      </c>
      <c r="G1652" s="4">
        <v>1032.3000000000002</v>
      </c>
      <c r="H1652" s="3">
        <v>4.4428571428571431</v>
      </c>
      <c r="I1652" s="3">
        <v>1.5916666666666668</v>
      </c>
    </row>
    <row r="1653" spans="1:9" x14ac:dyDescent="0.25">
      <c r="A1653" s="9">
        <v>44009</v>
      </c>
      <c r="B1653" s="4">
        <v>468</v>
      </c>
      <c r="C1653" s="4">
        <v>158</v>
      </c>
      <c r="D1653" s="4">
        <v>17</v>
      </c>
      <c r="E1653" s="4">
        <v>158</v>
      </c>
      <c r="F1653" s="4">
        <v>9015</v>
      </c>
      <c r="G1653" s="4">
        <v>85</v>
      </c>
      <c r="H1653" s="3">
        <v>3.75</v>
      </c>
      <c r="I1653" s="3">
        <v>1.5049999999999999</v>
      </c>
    </row>
    <row r="1654" spans="1:9" x14ac:dyDescent="0.25">
      <c r="A1654" s="9">
        <v>45001</v>
      </c>
      <c r="B1654" s="4">
        <v>37</v>
      </c>
      <c r="C1654" s="4">
        <v>25</v>
      </c>
      <c r="D1654" s="4">
        <v>6</v>
      </c>
      <c r="E1654" s="4">
        <v>25</v>
      </c>
      <c r="F1654" s="4">
        <v>465</v>
      </c>
      <c r="G1654" s="4">
        <v>8</v>
      </c>
      <c r="H1654" s="3">
        <v>3.4</v>
      </c>
      <c r="I1654" s="3">
        <v>1.21</v>
      </c>
    </row>
    <row r="1655" spans="1:9" x14ac:dyDescent="0.25">
      <c r="A1655" s="9">
        <v>45003</v>
      </c>
      <c r="B1655" s="4">
        <v>278</v>
      </c>
      <c r="C1655" s="4">
        <v>204</v>
      </c>
      <c r="D1655" s="4">
        <v>35</v>
      </c>
      <c r="E1655" s="4">
        <v>204</v>
      </c>
      <c r="F1655" s="4">
        <v>10569</v>
      </c>
      <c r="G1655" s="4">
        <v>129.30000000000001</v>
      </c>
      <c r="H1655" s="3">
        <v>4.3</v>
      </c>
      <c r="I1655" s="3">
        <v>1.55</v>
      </c>
    </row>
    <row r="1656" spans="1:9" x14ac:dyDescent="0.25">
      <c r="A1656" s="9">
        <v>45005</v>
      </c>
      <c r="B1656" s="4">
        <v>27</v>
      </c>
      <c r="C1656" s="4">
        <v>25</v>
      </c>
      <c r="D1656" s="4">
        <v>14</v>
      </c>
      <c r="E1656" s="4">
        <v>25</v>
      </c>
      <c r="F1656" s="4">
        <v>90</v>
      </c>
      <c r="G1656" s="4">
        <v>3.3</v>
      </c>
      <c r="H1656" s="3">
        <v>3</v>
      </c>
      <c r="I1656" s="3">
        <v>0.85</v>
      </c>
    </row>
    <row r="1657" spans="1:9" x14ac:dyDescent="0.25">
      <c r="A1657" s="9">
        <v>45007</v>
      </c>
      <c r="B1657" s="4">
        <v>549</v>
      </c>
      <c r="C1657" s="4">
        <v>367</v>
      </c>
      <c r="D1657" s="4">
        <v>25</v>
      </c>
      <c r="E1657" s="4">
        <v>269</v>
      </c>
      <c r="F1657" s="4">
        <v>18401</v>
      </c>
      <c r="G1657" s="4">
        <v>217</v>
      </c>
      <c r="H1657" s="3">
        <v>4.5</v>
      </c>
      <c r="I1657" s="3">
        <v>1.65</v>
      </c>
    </row>
    <row r="1658" spans="1:9" x14ac:dyDescent="0.25">
      <c r="A1658" s="9">
        <v>45009</v>
      </c>
      <c r="B1658" s="4">
        <v>80</v>
      </c>
      <c r="C1658" s="4">
        <v>49</v>
      </c>
      <c r="D1658" s="4">
        <v>14</v>
      </c>
      <c r="E1658" s="4">
        <v>49</v>
      </c>
      <c r="F1658" s="4">
        <v>21</v>
      </c>
      <c r="G1658" s="4">
        <v>0.2</v>
      </c>
      <c r="H1658" s="3">
        <v>3.2</v>
      </c>
      <c r="I1658" s="3">
        <v>1</v>
      </c>
    </row>
    <row r="1659" spans="1:9" x14ac:dyDescent="0.25">
      <c r="A1659" s="9">
        <v>45011</v>
      </c>
      <c r="B1659" s="4">
        <v>80</v>
      </c>
      <c r="C1659" s="4">
        <v>49</v>
      </c>
      <c r="D1659" s="4">
        <v>14</v>
      </c>
      <c r="E1659" s="4">
        <v>49</v>
      </c>
      <c r="F1659" s="4">
        <v>300</v>
      </c>
      <c r="G1659" s="4">
        <v>3.5</v>
      </c>
      <c r="H1659" s="3">
        <v>4.2</v>
      </c>
      <c r="I1659" s="3">
        <v>1</v>
      </c>
    </row>
    <row r="1660" spans="1:9" x14ac:dyDescent="0.25">
      <c r="A1660" s="9">
        <v>45013</v>
      </c>
      <c r="B1660" s="4">
        <v>489</v>
      </c>
      <c r="C1660" s="4">
        <v>260</v>
      </c>
      <c r="D1660" s="4">
        <v>24</v>
      </c>
      <c r="E1660" s="4">
        <v>260</v>
      </c>
      <c r="F1660" s="4">
        <v>14035</v>
      </c>
      <c r="G1660" s="4">
        <v>140.69999999999999</v>
      </c>
      <c r="H1660" s="3">
        <v>3.8499999999999996</v>
      </c>
      <c r="I1660" s="3">
        <v>1.4750000000000001</v>
      </c>
    </row>
    <row r="1661" spans="1:9" x14ac:dyDescent="0.25">
      <c r="A1661" s="9">
        <v>45019</v>
      </c>
      <c r="B1661" s="4">
        <v>3541</v>
      </c>
      <c r="C1661" s="4">
        <v>1834</v>
      </c>
      <c r="D1661" s="4">
        <v>221</v>
      </c>
      <c r="E1661" s="4">
        <v>1638</v>
      </c>
      <c r="F1661" s="4">
        <v>88844</v>
      </c>
      <c r="G1661" s="4">
        <v>1239.4000000000001</v>
      </c>
      <c r="H1661" s="3">
        <v>14.071428571428571</v>
      </c>
      <c r="I1661" s="3">
        <v>1.9083333333333334</v>
      </c>
    </row>
    <row r="1662" spans="1:9" x14ac:dyDescent="0.25">
      <c r="A1662" s="9">
        <v>45021</v>
      </c>
      <c r="B1662" s="4">
        <v>59</v>
      </c>
      <c r="C1662" s="4">
        <v>44</v>
      </c>
      <c r="D1662" s="4">
        <v>12</v>
      </c>
      <c r="E1662" s="4">
        <v>44</v>
      </c>
      <c r="F1662" s="4">
        <v>1443</v>
      </c>
      <c r="G1662" s="4">
        <v>15.1</v>
      </c>
      <c r="H1662" s="3">
        <v>3.8</v>
      </c>
      <c r="I1662" s="3">
        <v>1.48</v>
      </c>
    </row>
    <row r="1663" spans="1:9" x14ac:dyDescent="0.25">
      <c r="A1663" s="9">
        <v>45023</v>
      </c>
      <c r="B1663" s="4">
        <v>30</v>
      </c>
      <c r="C1663" s="4">
        <v>36</v>
      </c>
      <c r="D1663" s="4">
        <v>6</v>
      </c>
      <c r="E1663" s="4">
        <v>36</v>
      </c>
      <c r="F1663" s="4">
        <v>825</v>
      </c>
      <c r="G1663" s="4">
        <v>7.7</v>
      </c>
      <c r="H1663" s="3">
        <v>3.4</v>
      </c>
      <c r="I1663" s="3">
        <v>1.4</v>
      </c>
    </row>
    <row r="1664" spans="1:9" x14ac:dyDescent="0.25">
      <c r="A1664" s="9">
        <v>45025</v>
      </c>
      <c r="B1664" s="4">
        <v>72</v>
      </c>
      <c r="C1664" s="4">
        <v>48</v>
      </c>
      <c r="D1664" s="4">
        <v>6</v>
      </c>
      <c r="E1664" s="4">
        <v>48</v>
      </c>
      <c r="F1664" s="4">
        <v>1927</v>
      </c>
      <c r="G1664" s="4">
        <v>26.8</v>
      </c>
      <c r="H1664" s="3">
        <v>5.0999999999999996</v>
      </c>
      <c r="I1664" s="3">
        <v>1.38</v>
      </c>
    </row>
    <row r="1665" spans="1:9" x14ac:dyDescent="0.25">
      <c r="A1665" s="9">
        <v>45027</v>
      </c>
      <c r="B1665" s="4">
        <v>93</v>
      </c>
      <c r="C1665" s="4">
        <v>49</v>
      </c>
      <c r="D1665" s="4">
        <v>6</v>
      </c>
      <c r="E1665" s="4">
        <v>49</v>
      </c>
      <c r="F1665" s="4">
        <v>2083</v>
      </c>
      <c r="G1665" s="4">
        <v>20.399999999999999</v>
      </c>
      <c r="H1665" s="3">
        <v>3.9</v>
      </c>
      <c r="I1665" s="3">
        <v>1.41</v>
      </c>
    </row>
    <row r="1666" spans="1:9" x14ac:dyDescent="0.25">
      <c r="A1666" s="9">
        <v>45029</v>
      </c>
      <c r="B1666" s="4">
        <v>100</v>
      </c>
      <c r="C1666" s="4">
        <v>102</v>
      </c>
      <c r="D1666" s="4">
        <v>8</v>
      </c>
      <c r="E1666" s="4">
        <v>102</v>
      </c>
      <c r="F1666" s="4">
        <v>3662</v>
      </c>
      <c r="G1666" s="4">
        <v>38</v>
      </c>
      <c r="H1666" s="3">
        <v>3.9</v>
      </c>
      <c r="I1666" s="3">
        <v>1.43</v>
      </c>
    </row>
    <row r="1667" spans="1:9" x14ac:dyDescent="0.25">
      <c r="A1667" s="9">
        <v>45031</v>
      </c>
      <c r="B1667" s="4">
        <v>104</v>
      </c>
      <c r="C1667" s="4">
        <v>152</v>
      </c>
      <c r="D1667" s="4">
        <v>12</v>
      </c>
      <c r="E1667" s="4">
        <v>152</v>
      </c>
      <c r="F1667" s="4">
        <v>4454</v>
      </c>
      <c r="G1667" s="4">
        <v>57.599999999999994</v>
      </c>
      <c r="H1667" s="3">
        <v>83.35</v>
      </c>
      <c r="I1667" s="3">
        <v>1.3250000000000002</v>
      </c>
    </row>
    <row r="1668" spans="1:9" x14ac:dyDescent="0.25">
      <c r="A1668" s="9">
        <v>45033</v>
      </c>
      <c r="B1668" s="4">
        <v>56</v>
      </c>
      <c r="C1668" s="4">
        <v>72</v>
      </c>
      <c r="D1668" s="4">
        <v>6</v>
      </c>
      <c r="E1668" s="4">
        <v>72</v>
      </c>
      <c r="F1668" s="4">
        <v>1793</v>
      </c>
      <c r="G1668" s="4">
        <v>20.9</v>
      </c>
      <c r="H1668" s="3">
        <v>4.5999999999999996</v>
      </c>
      <c r="I1668" s="3">
        <v>1.25</v>
      </c>
    </row>
    <row r="1669" spans="1:9" x14ac:dyDescent="0.25">
      <c r="A1669" s="9">
        <v>45035</v>
      </c>
      <c r="B1669" s="4">
        <v>6</v>
      </c>
      <c r="C1669" s="4">
        <v>49</v>
      </c>
      <c r="D1669" s="4">
        <v>14</v>
      </c>
      <c r="E1669" s="4">
        <v>94</v>
      </c>
      <c r="F1669" s="4">
        <v>1532</v>
      </c>
      <c r="G1669" s="4">
        <v>16</v>
      </c>
      <c r="H1669" s="3">
        <v>4</v>
      </c>
      <c r="I1669" s="3">
        <v>1</v>
      </c>
    </row>
    <row r="1670" spans="1:9" x14ac:dyDescent="0.25">
      <c r="A1670" s="9">
        <v>45037</v>
      </c>
      <c r="B1670" s="4">
        <v>15</v>
      </c>
      <c r="C1670" s="4">
        <v>25</v>
      </c>
      <c r="D1670" s="4">
        <v>14</v>
      </c>
      <c r="E1670" s="4">
        <v>25</v>
      </c>
      <c r="F1670" s="4">
        <v>98</v>
      </c>
      <c r="G1670" s="4">
        <v>13.2</v>
      </c>
      <c r="H1670" s="3">
        <v>2.8</v>
      </c>
      <c r="I1670" s="3">
        <v>0.9</v>
      </c>
    </row>
    <row r="1671" spans="1:9" x14ac:dyDescent="0.25">
      <c r="A1671" s="9">
        <v>45039</v>
      </c>
      <c r="B1671" s="4">
        <v>80</v>
      </c>
      <c r="C1671" s="4">
        <v>49</v>
      </c>
      <c r="D1671" s="4">
        <v>14</v>
      </c>
      <c r="E1671" s="4">
        <v>49</v>
      </c>
      <c r="F1671" s="4">
        <v>1</v>
      </c>
      <c r="G1671" s="4">
        <v>0</v>
      </c>
      <c r="H1671" s="3">
        <v>3</v>
      </c>
      <c r="I1671" s="3">
        <v>1</v>
      </c>
    </row>
    <row r="1672" spans="1:9" x14ac:dyDescent="0.25">
      <c r="A1672" s="9">
        <v>45041</v>
      </c>
      <c r="B1672" s="4">
        <v>700</v>
      </c>
      <c r="C1672" s="4">
        <v>904</v>
      </c>
      <c r="D1672" s="4">
        <v>67</v>
      </c>
      <c r="E1672" s="4">
        <v>841</v>
      </c>
      <c r="F1672" s="4">
        <v>35509</v>
      </c>
      <c r="G1672" s="4">
        <v>532.9</v>
      </c>
      <c r="H1672" s="3">
        <v>5.2</v>
      </c>
      <c r="I1672" s="3">
        <v>1.5</v>
      </c>
    </row>
    <row r="1673" spans="1:9" x14ac:dyDescent="0.25">
      <c r="A1673" s="9">
        <v>45043</v>
      </c>
      <c r="B1673" s="4">
        <v>164</v>
      </c>
      <c r="C1673" s="4">
        <v>131</v>
      </c>
      <c r="D1673" s="4">
        <v>10</v>
      </c>
      <c r="E1673" s="4">
        <v>131</v>
      </c>
      <c r="F1673" s="4">
        <v>3838</v>
      </c>
      <c r="G1673" s="4">
        <v>44.1</v>
      </c>
      <c r="H1673" s="3">
        <v>4.3</v>
      </c>
      <c r="I1673" s="3">
        <v>1.58</v>
      </c>
    </row>
    <row r="1674" spans="1:9" x14ac:dyDescent="0.25">
      <c r="A1674" s="9">
        <v>45045</v>
      </c>
      <c r="B1674" s="4">
        <v>2457</v>
      </c>
      <c r="C1674" s="4">
        <v>1223</v>
      </c>
      <c r="D1674" s="4">
        <v>158</v>
      </c>
      <c r="E1674" s="4">
        <v>1242</v>
      </c>
      <c r="F1674" s="4">
        <v>67434</v>
      </c>
      <c r="G1674" s="4">
        <v>826.7</v>
      </c>
      <c r="H1674" s="3">
        <v>3.5833333333333335</v>
      </c>
      <c r="I1674" s="3">
        <v>1.7716666666666667</v>
      </c>
    </row>
    <row r="1675" spans="1:9" x14ac:dyDescent="0.25">
      <c r="A1675" s="9">
        <v>45047</v>
      </c>
      <c r="B1675" s="4">
        <v>416</v>
      </c>
      <c r="C1675" s="4">
        <v>290</v>
      </c>
      <c r="D1675" s="4">
        <v>20</v>
      </c>
      <c r="E1675" s="4">
        <v>290</v>
      </c>
      <c r="F1675" s="4">
        <v>10945</v>
      </c>
      <c r="G1675" s="4">
        <v>141.5</v>
      </c>
      <c r="H1675" s="3">
        <v>4.9000000000000004</v>
      </c>
      <c r="I1675" s="3">
        <v>1.64</v>
      </c>
    </row>
    <row r="1676" spans="1:9" x14ac:dyDescent="0.25">
      <c r="A1676" s="9">
        <v>45049</v>
      </c>
      <c r="B1676" s="4">
        <v>43</v>
      </c>
      <c r="C1676" s="4">
        <v>32</v>
      </c>
      <c r="D1676" s="4">
        <v>6</v>
      </c>
      <c r="E1676" s="4">
        <v>32</v>
      </c>
      <c r="F1676" s="4">
        <v>672</v>
      </c>
      <c r="G1676" s="4">
        <v>7</v>
      </c>
      <c r="H1676" s="3">
        <v>3.8</v>
      </c>
      <c r="I1676" s="3">
        <v>1.29</v>
      </c>
    </row>
    <row r="1677" spans="1:9" x14ac:dyDescent="0.25">
      <c r="A1677" s="9">
        <v>45051</v>
      </c>
      <c r="B1677" s="4">
        <v>1209</v>
      </c>
      <c r="C1677" s="4">
        <v>770</v>
      </c>
      <c r="D1677" s="4">
        <v>100</v>
      </c>
      <c r="E1677" s="4">
        <v>715</v>
      </c>
      <c r="F1677" s="4">
        <v>44341</v>
      </c>
      <c r="G1677" s="4">
        <v>507.4</v>
      </c>
      <c r="H1677" s="3">
        <v>4.2250000000000005</v>
      </c>
      <c r="I1677" s="3">
        <v>1.6325000000000001</v>
      </c>
    </row>
    <row r="1678" spans="1:9" x14ac:dyDescent="0.25">
      <c r="A1678" s="9">
        <v>45053</v>
      </c>
      <c r="B1678" s="4">
        <v>69</v>
      </c>
      <c r="C1678" s="4">
        <v>41</v>
      </c>
      <c r="D1678" s="4">
        <v>4</v>
      </c>
      <c r="E1678" s="4">
        <v>41</v>
      </c>
      <c r="F1678" s="4">
        <v>2916</v>
      </c>
      <c r="G1678" s="4">
        <v>24.8</v>
      </c>
      <c r="H1678" s="3">
        <v>3.5</v>
      </c>
      <c r="I1678" s="3">
        <v>1.28</v>
      </c>
    </row>
    <row r="1679" spans="1:9" x14ac:dyDescent="0.25">
      <c r="A1679" s="9">
        <v>45055</v>
      </c>
      <c r="B1679" s="4">
        <v>158</v>
      </c>
      <c r="C1679" s="4">
        <v>101</v>
      </c>
      <c r="D1679" s="4">
        <v>10</v>
      </c>
      <c r="E1679" s="4">
        <v>101</v>
      </c>
      <c r="F1679" s="4">
        <v>3705</v>
      </c>
      <c r="G1679" s="4">
        <v>40.200000000000003</v>
      </c>
      <c r="H1679" s="3">
        <v>4.0999999999999996</v>
      </c>
      <c r="I1679" s="3">
        <v>1.38</v>
      </c>
    </row>
    <row r="1680" spans="1:9" x14ac:dyDescent="0.25">
      <c r="A1680" s="9">
        <v>45057</v>
      </c>
      <c r="B1680" s="4">
        <v>105</v>
      </c>
      <c r="C1680" s="4">
        <v>166</v>
      </c>
      <c r="D1680" s="4">
        <v>20</v>
      </c>
      <c r="E1680" s="4">
        <v>166</v>
      </c>
      <c r="F1680" s="4">
        <v>4407</v>
      </c>
      <c r="G1680" s="4">
        <v>46.6</v>
      </c>
      <c r="H1680" s="3">
        <v>4.2</v>
      </c>
      <c r="I1680" s="3">
        <v>1.34</v>
      </c>
    </row>
    <row r="1681" spans="1:9" x14ac:dyDescent="0.25">
      <c r="A1681" s="9">
        <v>45059</v>
      </c>
      <c r="B1681" s="4">
        <v>95</v>
      </c>
      <c r="C1681" s="4">
        <v>47</v>
      </c>
      <c r="D1681" s="4">
        <v>14</v>
      </c>
      <c r="E1681" s="4">
        <v>47</v>
      </c>
      <c r="F1681" s="4">
        <v>2168</v>
      </c>
      <c r="G1681" s="4">
        <v>19.600000000000001</v>
      </c>
      <c r="H1681" s="3">
        <v>3.6</v>
      </c>
      <c r="I1681" s="3">
        <v>1.6</v>
      </c>
    </row>
    <row r="1682" spans="1:9" x14ac:dyDescent="0.25">
      <c r="A1682" s="9">
        <v>45063</v>
      </c>
      <c r="B1682" s="4">
        <v>819</v>
      </c>
      <c r="C1682" s="4">
        <v>551</v>
      </c>
      <c r="D1682" s="4">
        <v>37</v>
      </c>
      <c r="E1682" s="4">
        <v>551</v>
      </c>
      <c r="F1682" s="4">
        <v>28481</v>
      </c>
      <c r="G1682" s="4">
        <v>377.40000000000003</v>
      </c>
      <c r="H1682" s="3">
        <v>4.8000000000000007</v>
      </c>
      <c r="I1682" s="3">
        <v>1.835</v>
      </c>
    </row>
    <row r="1683" spans="1:9" x14ac:dyDescent="0.25">
      <c r="A1683" s="9">
        <v>45067</v>
      </c>
      <c r="B1683" s="4">
        <v>45</v>
      </c>
      <c r="C1683" s="4">
        <v>94</v>
      </c>
      <c r="D1683" s="4">
        <v>10</v>
      </c>
      <c r="E1683" s="4">
        <v>94</v>
      </c>
      <c r="F1683" s="4">
        <v>1805</v>
      </c>
      <c r="G1683" s="4">
        <v>19.5</v>
      </c>
      <c r="H1683" s="3">
        <v>4</v>
      </c>
      <c r="I1683" s="3">
        <v>1.38</v>
      </c>
    </row>
    <row r="1684" spans="1:9" x14ac:dyDescent="0.25">
      <c r="A1684" s="9">
        <v>45069</v>
      </c>
      <c r="B1684" s="4">
        <v>80</v>
      </c>
      <c r="C1684" s="4">
        <v>49</v>
      </c>
      <c r="D1684" s="4">
        <v>14</v>
      </c>
      <c r="E1684" s="4">
        <v>49</v>
      </c>
      <c r="F1684" s="4">
        <v>1035</v>
      </c>
      <c r="G1684" s="4">
        <v>8.6</v>
      </c>
      <c r="H1684" s="3">
        <v>3.2</v>
      </c>
      <c r="I1684" s="3">
        <v>1</v>
      </c>
    </row>
    <row r="1685" spans="1:9" x14ac:dyDescent="0.25">
      <c r="A1685" s="9">
        <v>45071</v>
      </c>
      <c r="B1685" s="4">
        <v>82</v>
      </c>
      <c r="C1685" s="4">
        <v>48</v>
      </c>
      <c r="D1685" s="4">
        <v>7</v>
      </c>
      <c r="E1685" s="4">
        <v>48</v>
      </c>
      <c r="F1685" s="4">
        <v>1934</v>
      </c>
      <c r="G1685" s="4">
        <v>17.7</v>
      </c>
      <c r="H1685" s="3">
        <v>3.6</v>
      </c>
      <c r="I1685" s="3">
        <v>1.6</v>
      </c>
    </row>
    <row r="1686" spans="1:9" x14ac:dyDescent="0.25">
      <c r="A1686" s="9">
        <v>45073</v>
      </c>
      <c r="B1686" s="4">
        <v>219</v>
      </c>
      <c r="C1686" s="4">
        <v>133</v>
      </c>
      <c r="D1686" s="4">
        <v>14</v>
      </c>
      <c r="E1686" s="4">
        <v>133</v>
      </c>
      <c r="F1686" s="4">
        <v>4855</v>
      </c>
      <c r="G1686" s="4">
        <v>53.5</v>
      </c>
      <c r="H1686" s="3">
        <v>4.2</v>
      </c>
      <c r="I1686" s="3">
        <v>1.45</v>
      </c>
    </row>
    <row r="1687" spans="1:9" x14ac:dyDescent="0.25">
      <c r="A1687" s="9">
        <v>45075</v>
      </c>
      <c r="B1687" s="4">
        <v>253</v>
      </c>
      <c r="C1687" s="4">
        <v>251</v>
      </c>
      <c r="D1687" s="4">
        <v>20</v>
      </c>
      <c r="E1687" s="4">
        <v>251</v>
      </c>
      <c r="F1687" s="4">
        <v>8111</v>
      </c>
      <c r="G1687" s="4">
        <v>113.8</v>
      </c>
      <c r="H1687" s="3">
        <v>5.3</v>
      </c>
      <c r="I1687" s="3">
        <v>1.54</v>
      </c>
    </row>
    <row r="1688" spans="1:9" x14ac:dyDescent="0.25">
      <c r="A1688" s="9">
        <v>45077</v>
      </c>
      <c r="B1688" s="4">
        <v>181</v>
      </c>
      <c r="C1688" s="4">
        <v>111</v>
      </c>
      <c r="D1688" s="4">
        <v>4</v>
      </c>
      <c r="E1688" s="4">
        <v>111</v>
      </c>
      <c r="F1688" s="4">
        <v>3965</v>
      </c>
      <c r="G1688" s="4">
        <v>37.299999999999997</v>
      </c>
      <c r="H1688" s="3">
        <v>3.55</v>
      </c>
      <c r="I1688" s="3">
        <v>1.355</v>
      </c>
    </row>
    <row r="1689" spans="1:9" x14ac:dyDescent="0.25">
      <c r="A1689" s="9">
        <v>45079</v>
      </c>
      <c r="B1689" s="4">
        <v>1483</v>
      </c>
      <c r="C1689" s="4">
        <v>1247</v>
      </c>
      <c r="D1689" s="4">
        <v>84</v>
      </c>
      <c r="E1689" s="4">
        <v>1360</v>
      </c>
      <c r="F1689" s="4">
        <v>42536</v>
      </c>
      <c r="G1689" s="4">
        <v>725.5</v>
      </c>
      <c r="H1689" s="3">
        <v>6.2333333333333334</v>
      </c>
      <c r="I1689" s="3">
        <v>1.9766666666666668</v>
      </c>
    </row>
    <row r="1690" spans="1:9" x14ac:dyDescent="0.25">
      <c r="A1690" s="9">
        <v>45083</v>
      </c>
      <c r="B1690" s="4">
        <v>1083</v>
      </c>
      <c r="C1690" s="4">
        <v>792</v>
      </c>
      <c r="D1690" s="4">
        <v>67</v>
      </c>
      <c r="E1690" s="4">
        <v>792</v>
      </c>
      <c r="F1690" s="4">
        <v>35383</v>
      </c>
      <c r="G1690" s="4">
        <v>515.5</v>
      </c>
      <c r="H1690" s="3">
        <v>5.0500000000000007</v>
      </c>
      <c r="I1690" s="3">
        <v>1.675</v>
      </c>
    </row>
    <row r="1691" spans="1:9" x14ac:dyDescent="0.25">
      <c r="A1691" s="9">
        <v>45085</v>
      </c>
      <c r="B1691" s="4">
        <v>291</v>
      </c>
      <c r="C1691" s="4">
        <v>173</v>
      </c>
      <c r="D1691" s="4">
        <v>17</v>
      </c>
      <c r="E1691" s="4">
        <v>173</v>
      </c>
      <c r="F1691" s="4">
        <v>8602</v>
      </c>
      <c r="G1691" s="4">
        <v>118.5</v>
      </c>
      <c r="H1691" s="3">
        <v>5.4</v>
      </c>
      <c r="I1691" s="3">
        <v>1.42</v>
      </c>
    </row>
    <row r="1692" spans="1:9" x14ac:dyDescent="0.25">
      <c r="A1692" s="9">
        <v>45087</v>
      </c>
      <c r="B1692" s="4">
        <v>23</v>
      </c>
      <c r="C1692" s="4">
        <v>43</v>
      </c>
      <c r="D1692" s="4">
        <v>14</v>
      </c>
      <c r="E1692" s="4">
        <v>43</v>
      </c>
      <c r="F1692" s="4">
        <v>379</v>
      </c>
      <c r="G1692" s="4">
        <v>6.6</v>
      </c>
      <c r="H1692" s="3">
        <v>6.4</v>
      </c>
      <c r="I1692" s="3">
        <v>0.99</v>
      </c>
    </row>
    <row r="1693" spans="1:9" x14ac:dyDescent="0.25">
      <c r="A1693" s="9">
        <v>45089</v>
      </c>
      <c r="B1693" s="4">
        <v>37</v>
      </c>
      <c r="C1693" s="4">
        <v>25</v>
      </c>
      <c r="D1693" s="4">
        <v>4</v>
      </c>
      <c r="E1693" s="4">
        <v>25</v>
      </c>
      <c r="F1693" s="4">
        <v>609</v>
      </c>
      <c r="G1693" s="4">
        <v>6.6</v>
      </c>
      <c r="H1693" s="3">
        <v>2.6</v>
      </c>
      <c r="I1693" s="3">
        <v>1.07</v>
      </c>
    </row>
    <row r="1694" spans="1:9" x14ac:dyDescent="0.25">
      <c r="A1694" s="9">
        <v>45091</v>
      </c>
      <c r="B1694" s="4">
        <v>437</v>
      </c>
      <c r="C1694" s="4">
        <v>268</v>
      </c>
      <c r="D1694" s="4">
        <v>24</v>
      </c>
      <c r="E1694" s="4">
        <v>268</v>
      </c>
      <c r="F1694" s="4">
        <v>14485</v>
      </c>
      <c r="G1694" s="4">
        <v>177.8</v>
      </c>
      <c r="H1694" s="3">
        <v>4.8</v>
      </c>
      <c r="I1694" s="3">
        <v>1.56</v>
      </c>
    </row>
    <row r="1695" spans="1:9" x14ac:dyDescent="0.25">
      <c r="A1695" s="9">
        <v>46005</v>
      </c>
      <c r="B1695" s="4">
        <v>46</v>
      </c>
      <c r="C1695" s="4">
        <v>25</v>
      </c>
      <c r="D1695" s="4">
        <v>6</v>
      </c>
      <c r="E1695" s="4">
        <v>25</v>
      </c>
      <c r="F1695" s="4">
        <v>1295</v>
      </c>
      <c r="G1695" s="4">
        <v>13.8</v>
      </c>
      <c r="H1695" s="3">
        <v>3.6</v>
      </c>
      <c r="I1695" s="3">
        <v>1.1000000000000001</v>
      </c>
    </row>
    <row r="1696" spans="1:9" x14ac:dyDescent="0.25">
      <c r="A1696" s="9">
        <v>46007</v>
      </c>
      <c r="B1696" s="4">
        <v>8</v>
      </c>
      <c r="C1696" s="4">
        <v>14</v>
      </c>
      <c r="D1696" s="4">
        <v>14</v>
      </c>
      <c r="E1696" s="4">
        <v>14</v>
      </c>
      <c r="F1696" s="4">
        <v>80</v>
      </c>
      <c r="G1696" s="4">
        <v>3.1</v>
      </c>
      <c r="H1696" s="3">
        <v>3</v>
      </c>
      <c r="I1696" s="3">
        <v>0.87</v>
      </c>
    </row>
    <row r="1697" spans="1:9" x14ac:dyDescent="0.25">
      <c r="A1697" s="9">
        <v>46009</v>
      </c>
      <c r="B1697" s="4">
        <v>11</v>
      </c>
      <c r="C1697" s="4">
        <v>50</v>
      </c>
      <c r="D1697" s="4">
        <v>14</v>
      </c>
      <c r="E1697" s="4">
        <v>50</v>
      </c>
      <c r="F1697" s="4">
        <v>196</v>
      </c>
      <c r="G1697" s="4">
        <v>6.6</v>
      </c>
      <c r="H1697" s="3">
        <v>2.75</v>
      </c>
      <c r="I1697" s="3">
        <v>0.91999999999999993</v>
      </c>
    </row>
    <row r="1698" spans="1:9" x14ac:dyDescent="0.25">
      <c r="A1698" s="9">
        <v>46011</v>
      </c>
      <c r="B1698" s="4">
        <v>72</v>
      </c>
      <c r="C1698" s="4">
        <v>49</v>
      </c>
      <c r="D1698" s="4">
        <v>14</v>
      </c>
      <c r="E1698" s="4">
        <v>49</v>
      </c>
      <c r="F1698" s="4">
        <v>1137</v>
      </c>
      <c r="G1698" s="4">
        <v>10.9</v>
      </c>
      <c r="H1698" s="3">
        <v>4.0999999999999996</v>
      </c>
      <c r="I1698" s="3">
        <v>1.19</v>
      </c>
    </row>
    <row r="1699" spans="1:9" x14ac:dyDescent="0.25">
      <c r="A1699" s="9">
        <v>46013</v>
      </c>
      <c r="B1699" s="4">
        <v>218</v>
      </c>
      <c r="C1699" s="4">
        <v>97</v>
      </c>
      <c r="D1699" s="4">
        <v>6</v>
      </c>
      <c r="E1699" s="4">
        <v>97</v>
      </c>
      <c r="F1699" s="4">
        <v>6027</v>
      </c>
      <c r="G1699" s="4">
        <v>45.199999999999996</v>
      </c>
      <c r="H1699" s="3">
        <v>2.8000000000000003</v>
      </c>
      <c r="I1699" s="3">
        <v>1.53</v>
      </c>
    </row>
    <row r="1700" spans="1:9" x14ac:dyDescent="0.25">
      <c r="A1700" s="9">
        <v>46015</v>
      </c>
      <c r="B1700" s="4">
        <v>34</v>
      </c>
      <c r="C1700" s="4">
        <v>25</v>
      </c>
      <c r="D1700" s="4">
        <v>14</v>
      </c>
      <c r="E1700" s="4">
        <v>25</v>
      </c>
      <c r="F1700" s="4">
        <v>303</v>
      </c>
      <c r="G1700" s="4">
        <v>4.8</v>
      </c>
      <c r="H1700" s="3">
        <v>3</v>
      </c>
      <c r="I1700" s="3">
        <v>0.95</v>
      </c>
    </row>
    <row r="1701" spans="1:9" x14ac:dyDescent="0.25">
      <c r="A1701" s="9">
        <v>46023</v>
      </c>
      <c r="B1701" s="4">
        <v>21</v>
      </c>
      <c r="C1701" s="4">
        <v>37</v>
      </c>
      <c r="D1701" s="4">
        <v>14</v>
      </c>
      <c r="E1701" s="4">
        <v>37</v>
      </c>
      <c r="F1701" s="4">
        <v>261</v>
      </c>
      <c r="G1701" s="4">
        <v>5.4</v>
      </c>
      <c r="H1701" s="3">
        <v>2.7</v>
      </c>
      <c r="I1701" s="3">
        <v>0.98499999999999999</v>
      </c>
    </row>
    <row r="1702" spans="1:9" x14ac:dyDescent="0.25">
      <c r="A1702" s="9">
        <v>46027</v>
      </c>
      <c r="B1702" s="4">
        <v>38</v>
      </c>
      <c r="C1702" s="4">
        <v>25</v>
      </c>
      <c r="D1702" s="4">
        <v>14</v>
      </c>
      <c r="E1702" s="4">
        <v>25</v>
      </c>
      <c r="F1702" s="4">
        <v>299</v>
      </c>
      <c r="G1702" s="4">
        <v>6.2</v>
      </c>
      <c r="H1702" s="3">
        <v>3.6</v>
      </c>
      <c r="I1702" s="3">
        <v>0.9</v>
      </c>
    </row>
    <row r="1703" spans="1:9" x14ac:dyDescent="0.25">
      <c r="A1703" s="9">
        <v>46029</v>
      </c>
      <c r="B1703" s="4">
        <v>123</v>
      </c>
      <c r="C1703" s="4">
        <v>81</v>
      </c>
      <c r="D1703" s="4">
        <v>8</v>
      </c>
      <c r="E1703" s="4">
        <v>81</v>
      </c>
      <c r="F1703" s="4">
        <v>2714</v>
      </c>
      <c r="G1703" s="4">
        <v>21.7</v>
      </c>
      <c r="H1703" s="3">
        <v>3.3</v>
      </c>
      <c r="I1703" s="3">
        <v>1.55</v>
      </c>
    </row>
    <row r="1704" spans="1:9" x14ac:dyDescent="0.25">
      <c r="A1704" s="9">
        <v>46033</v>
      </c>
      <c r="B1704" s="4">
        <v>16</v>
      </c>
      <c r="C1704" s="4">
        <v>11</v>
      </c>
      <c r="D1704" s="4">
        <v>14</v>
      </c>
      <c r="E1704" s="4">
        <v>11</v>
      </c>
      <c r="F1704" s="4">
        <v>271</v>
      </c>
      <c r="G1704" s="4">
        <v>3.6</v>
      </c>
      <c r="H1704" s="3">
        <v>3</v>
      </c>
      <c r="I1704" s="3">
        <v>1</v>
      </c>
    </row>
    <row r="1705" spans="1:9" x14ac:dyDescent="0.25">
      <c r="A1705" s="9">
        <v>46035</v>
      </c>
      <c r="B1705" s="4">
        <v>89</v>
      </c>
      <c r="C1705" s="4">
        <v>50</v>
      </c>
      <c r="D1705" s="4">
        <v>8</v>
      </c>
      <c r="E1705" s="4">
        <v>50</v>
      </c>
      <c r="F1705" s="4">
        <v>1741</v>
      </c>
      <c r="G1705" s="4">
        <v>16.899999999999999</v>
      </c>
      <c r="H1705" s="3">
        <v>4.0999999999999996</v>
      </c>
      <c r="I1705" s="3">
        <v>1.48</v>
      </c>
    </row>
    <row r="1706" spans="1:9" x14ac:dyDescent="0.25">
      <c r="A1706" s="9">
        <v>46037</v>
      </c>
      <c r="B1706" s="4">
        <v>8</v>
      </c>
      <c r="C1706" s="4">
        <v>20</v>
      </c>
      <c r="D1706" s="4">
        <v>14</v>
      </c>
      <c r="E1706" s="4">
        <v>20</v>
      </c>
      <c r="F1706" s="4">
        <v>143</v>
      </c>
      <c r="G1706" s="4">
        <v>2.5</v>
      </c>
      <c r="H1706" s="3">
        <v>2.5</v>
      </c>
      <c r="I1706" s="3">
        <v>0.92</v>
      </c>
    </row>
    <row r="1707" spans="1:9" x14ac:dyDescent="0.25">
      <c r="A1707" s="9">
        <v>46039</v>
      </c>
      <c r="B1707" s="4">
        <v>5</v>
      </c>
      <c r="C1707" s="4">
        <v>10</v>
      </c>
      <c r="D1707" s="4">
        <v>14</v>
      </c>
      <c r="E1707" s="4">
        <v>10</v>
      </c>
      <c r="F1707" s="4">
        <v>145</v>
      </c>
      <c r="G1707" s="4">
        <v>3</v>
      </c>
      <c r="H1707" s="3">
        <v>2.9</v>
      </c>
      <c r="I1707" s="3">
        <v>0.91</v>
      </c>
    </row>
    <row r="1708" spans="1:9" x14ac:dyDescent="0.25">
      <c r="A1708" s="9">
        <v>46041</v>
      </c>
      <c r="B1708" s="4">
        <v>33</v>
      </c>
      <c r="C1708" s="4">
        <v>8</v>
      </c>
      <c r="D1708" s="4">
        <v>14</v>
      </c>
      <c r="E1708" s="4">
        <v>8</v>
      </c>
      <c r="F1708" s="4">
        <v>189</v>
      </c>
      <c r="G1708" s="4">
        <v>2.2999999999999998</v>
      </c>
      <c r="H1708" s="3">
        <v>4.4000000000000004</v>
      </c>
      <c r="I1708" s="3">
        <v>0.81</v>
      </c>
    </row>
    <row r="1709" spans="1:9" x14ac:dyDescent="0.25">
      <c r="A1709" s="9">
        <v>46043</v>
      </c>
      <c r="B1709" s="4">
        <v>9</v>
      </c>
      <c r="C1709" s="4">
        <v>11</v>
      </c>
      <c r="D1709" s="4">
        <v>14</v>
      </c>
      <c r="E1709" s="4">
        <v>11</v>
      </c>
      <c r="F1709" s="4">
        <v>135</v>
      </c>
      <c r="G1709" s="4">
        <v>2.2000000000000002</v>
      </c>
      <c r="H1709" s="3">
        <v>3.6</v>
      </c>
      <c r="I1709" s="3">
        <v>1</v>
      </c>
    </row>
    <row r="1710" spans="1:9" x14ac:dyDescent="0.25">
      <c r="A1710" s="9">
        <v>46045</v>
      </c>
      <c r="B1710" s="4">
        <v>4</v>
      </c>
      <c r="C1710" s="4">
        <v>12</v>
      </c>
      <c r="D1710" s="4">
        <v>14</v>
      </c>
      <c r="E1710" s="4">
        <v>12</v>
      </c>
      <c r="F1710" s="4">
        <v>154</v>
      </c>
      <c r="G1710" s="4">
        <v>2.7</v>
      </c>
      <c r="H1710" s="3">
        <v>2.4</v>
      </c>
      <c r="I1710" s="3">
        <v>0.89</v>
      </c>
    </row>
    <row r="1711" spans="1:9" x14ac:dyDescent="0.25">
      <c r="A1711" s="9">
        <v>46047</v>
      </c>
      <c r="B1711" s="4">
        <v>14</v>
      </c>
      <c r="C1711" s="4">
        <v>25</v>
      </c>
      <c r="D1711" s="4">
        <v>14</v>
      </c>
      <c r="E1711" s="4">
        <v>25</v>
      </c>
      <c r="F1711" s="4">
        <v>185</v>
      </c>
      <c r="G1711" s="4">
        <v>7</v>
      </c>
      <c r="H1711" s="3">
        <v>3</v>
      </c>
      <c r="I1711" s="3">
        <v>0.88</v>
      </c>
    </row>
    <row r="1712" spans="1:9" x14ac:dyDescent="0.25">
      <c r="A1712" s="9">
        <v>46049</v>
      </c>
      <c r="B1712" s="4">
        <v>5</v>
      </c>
      <c r="C1712" s="4">
        <v>12</v>
      </c>
      <c r="D1712" s="4">
        <v>14</v>
      </c>
      <c r="E1712" s="4">
        <v>12</v>
      </c>
      <c r="F1712" s="4">
        <v>145</v>
      </c>
      <c r="G1712" s="4">
        <v>3</v>
      </c>
      <c r="H1712" s="3">
        <v>2.4</v>
      </c>
      <c r="I1712" s="3">
        <v>0.98</v>
      </c>
    </row>
    <row r="1713" spans="1:9" x14ac:dyDescent="0.25">
      <c r="A1713" s="9">
        <v>46051</v>
      </c>
      <c r="B1713" s="4">
        <v>15</v>
      </c>
      <c r="C1713" s="4">
        <v>25</v>
      </c>
      <c r="D1713" s="4">
        <v>14</v>
      </c>
      <c r="E1713" s="4">
        <v>25</v>
      </c>
      <c r="F1713" s="4">
        <v>387</v>
      </c>
      <c r="G1713" s="4">
        <v>3.8</v>
      </c>
      <c r="H1713" s="3">
        <v>2.6</v>
      </c>
      <c r="I1713" s="3">
        <v>1.0900000000000001</v>
      </c>
    </row>
    <row r="1714" spans="1:9" x14ac:dyDescent="0.25">
      <c r="A1714" s="9">
        <v>46053</v>
      </c>
      <c r="B1714" s="4">
        <v>18</v>
      </c>
      <c r="C1714" s="4">
        <v>41</v>
      </c>
      <c r="D1714" s="4">
        <v>14</v>
      </c>
      <c r="E1714" s="4">
        <v>41</v>
      </c>
      <c r="F1714" s="4">
        <v>539</v>
      </c>
      <c r="G1714" s="4">
        <v>9.6999999999999993</v>
      </c>
      <c r="H1714" s="3">
        <v>2.6</v>
      </c>
      <c r="I1714" s="3">
        <v>0.93</v>
      </c>
    </row>
    <row r="1715" spans="1:9" x14ac:dyDescent="0.25">
      <c r="A1715" s="9">
        <v>46055</v>
      </c>
      <c r="B1715" s="4">
        <v>4</v>
      </c>
      <c r="C1715" s="4">
        <v>18</v>
      </c>
      <c r="D1715" s="4">
        <v>14</v>
      </c>
      <c r="E1715" s="4">
        <v>18</v>
      </c>
      <c r="F1715" s="4">
        <v>186</v>
      </c>
      <c r="G1715" s="4">
        <v>11.3</v>
      </c>
      <c r="H1715" s="3">
        <v>2.9</v>
      </c>
      <c r="I1715" s="3">
        <v>0.82</v>
      </c>
    </row>
    <row r="1716" spans="1:9" x14ac:dyDescent="0.25">
      <c r="A1716" s="9">
        <v>46059</v>
      </c>
      <c r="B1716" s="4">
        <v>6</v>
      </c>
      <c r="C1716" s="4">
        <v>25</v>
      </c>
      <c r="D1716" s="4">
        <v>14</v>
      </c>
      <c r="E1716" s="4">
        <v>25</v>
      </c>
      <c r="F1716" s="4">
        <v>209</v>
      </c>
      <c r="G1716" s="4">
        <v>2.9</v>
      </c>
      <c r="H1716" s="3">
        <v>2.8</v>
      </c>
      <c r="I1716" s="3">
        <v>0.89</v>
      </c>
    </row>
    <row r="1717" spans="1:9" x14ac:dyDescent="0.25">
      <c r="A1717" s="9">
        <v>46065</v>
      </c>
      <c r="B1717" s="4">
        <v>92</v>
      </c>
      <c r="C1717" s="4">
        <v>50</v>
      </c>
      <c r="D1717" s="4">
        <v>6</v>
      </c>
      <c r="E1717" s="4">
        <v>50</v>
      </c>
      <c r="F1717" s="4">
        <v>1655</v>
      </c>
      <c r="G1717" s="4">
        <v>11.5</v>
      </c>
      <c r="H1717" s="3">
        <v>3</v>
      </c>
      <c r="I1717" s="3">
        <v>1.47</v>
      </c>
    </row>
    <row r="1718" spans="1:9" x14ac:dyDescent="0.25">
      <c r="A1718" s="9">
        <v>46067</v>
      </c>
      <c r="B1718" s="4">
        <v>17</v>
      </c>
      <c r="C1718" s="4">
        <v>50</v>
      </c>
      <c r="D1718" s="4">
        <v>14</v>
      </c>
      <c r="E1718" s="4">
        <v>50</v>
      </c>
      <c r="F1718" s="4">
        <v>598</v>
      </c>
      <c r="G1718" s="4">
        <v>9</v>
      </c>
      <c r="H1718" s="3">
        <v>2.8499999999999996</v>
      </c>
      <c r="I1718" s="3">
        <v>1.04</v>
      </c>
    </row>
    <row r="1719" spans="1:9" x14ac:dyDescent="0.25">
      <c r="A1719" s="9">
        <v>46073</v>
      </c>
      <c r="B1719" s="4">
        <v>8</v>
      </c>
      <c r="C1719" s="4">
        <v>16</v>
      </c>
      <c r="D1719" s="4">
        <v>14</v>
      </c>
      <c r="E1719" s="4">
        <v>16</v>
      </c>
      <c r="F1719" s="4">
        <v>57</v>
      </c>
      <c r="G1719" s="4">
        <v>1.8</v>
      </c>
      <c r="H1719" s="3">
        <v>3.3</v>
      </c>
      <c r="I1719" s="3">
        <v>0.95</v>
      </c>
    </row>
    <row r="1720" spans="1:9" x14ac:dyDescent="0.25">
      <c r="A1720" s="9">
        <v>46077</v>
      </c>
      <c r="B1720" s="4">
        <v>9</v>
      </c>
      <c r="C1720" s="4">
        <v>6</v>
      </c>
      <c r="D1720" s="4">
        <v>14</v>
      </c>
      <c r="E1720" s="4">
        <v>6</v>
      </c>
      <c r="F1720" s="4">
        <v>32</v>
      </c>
      <c r="G1720" s="4">
        <v>0.6</v>
      </c>
      <c r="H1720" s="3">
        <v>2.6</v>
      </c>
      <c r="I1720" s="3">
        <v>0.97</v>
      </c>
    </row>
    <row r="1721" spans="1:9" x14ac:dyDescent="0.25">
      <c r="A1721" s="9">
        <v>46079</v>
      </c>
      <c r="B1721" s="4">
        <v>22</v>
      </c>
      <c r="C1721" s="4">
        <v>22</v>
      </c>
      <c r="D1721" s="4">
        <v>14</v>
      </c>
      <c r="E1721" s="4">
        <v>22</v>
      </c>
      <c r="F1721" s="4">
        <v>418</v>
      </c>
      <c r="G1721" s="4">
        <v>9.6</v>
      </c>
      <c r="H1721" s="3">
        <v>2.8</v>
      </c>
      <c r="I1721" s="3">
        <v>0.95</v>
      </c>
    </row>
    <row r="1722" spans="1:9" x14ac:dyDescent="0.25">
      <c r="A1722" s="9">
        <v>46081</v>
      </c>
      <c r="B1722" s="4">
        <v>119</v>
      </c>
      <c r="C1722" s="4">
        <v>45</v>
      </c>
      <c r="D1722" s="4">
        <v>5</v>
      </c>
      <c r="E1722" s="4">
        <v>45</v>
      </c>
      <c r="F1722" s="4">
        <v>1700</v>
      </c>
      <c r="G1722" s="4">
        <v>16.2</v>
      </c>
      <c r="H1722" s="3">
        <v>2.85</v>
      </c>
      <c r="I1722" s="3">
        <v>1.2749999999999999</v>
      </c>
    </row>
    <row r="1723" spans="1:9" x14ac:dyDescent="0.25">
      <c r="A1723" s="9">
        <v>46083</v>
      </c>
      <c r="B1723" s="4">
        <v>61</v>
      </c>
      <c r="C1723" s="4">
        <v>64</v>
      </c>
      <c r="D1723" s="4">
        <v>14</v>
      </c>
      <c r="E1723" s="4">
        <v>64</v>
      </c>
      <c r="F1723" s="4">
        <v>2342</v>
      </c>
      <c r="G1723" s="4">
        <v>27.3</v>
      </c>
      <c r="H1723" s="3">
        <v>3.3</v>
      </c>
      <c r="I1723" s="3">
        <v>2</v>
      </c>
    </row>
    <row r="1724" spans="1:9" x14ac:dyDescent="0.25">
      <c r="A1724" s="9">
        <v>46089</v>
      </c>
      <c r="B1724" s="4">
        <v>4</v>
      </c>
      <c r="C1724" s="4">
        <v>4</v>
      </c>
      <c r="D1724" s="4">
        <v>14</v>
      </c>
      <c r="E1724" s="4">
        <v>4</v>
      </c>
      <c r="F1724" s="4">
        <v>67</v>
      </c>
      <c r="G1724" s="4">
        <v>0.8</v>
      </c>
      <c r="H1724" s="3">
        <v>2.7</v>
      </c>
      <c r="I1724" s="3">
        <v>0.86</v>
      </c>
    </row>
    <row r="1725" spans="1:9" x14ac:dyDescent="0.25">
      <c r="A1725" s="9">
        <v>46091</v>
      </c>
      <c r="B1725" s="4">
        <v>5</v>
      </c>
      <c r="C1725" s="4">
        <v>20</v>
      </c>
      <c r="D1725" s="4">
        <v>14</v>
      </c>
      <c r="E1725" s="4">
        <v>20</v>
      </c>
      <c r="F1725" s="4">
        <v>118</v>
      </c>
      <c r="G1725" s="4">
        <v>2.2999999999999998</v>
      </c>
      <c r="H1725" s="3">
        <v>3.1</v>
      </c>
      <c r="I1725" s="3">
        <v>0.87</v>
      </c>
    </row>
    <row r="1726" spans="1:9" x14ac:dyDescent="0.25">
      <c r="A1726" s="9">
        <v>46093</v>
      </c>
      <c r="B1726" s="4">
        <v>22</v>
      </c>
      <c r="C1726" s="4">
        <v>25</v>
      </c>
      <c r="D1726" s="4">
        <v>3</v>
      </c>
      <c r="E1726" s="4">
        <v>25</v>
      </c>
      <c r="F1726" s="4">
        <v>341</v>
      </c>
      <c r="G1726" s="4">
        <v>13.6</v>
      </c>
      <c r="H1726" s="3">
        <v>3</v>
      </c>
      <c r="I1726" s="3">
        <v>0.94</v>
      </c>
    </row>
    <row r="1727" spans="1:9" x14ac:dyDescent="0.25">
      <c r="A1727" s="9">
        <v>46099</v>
      </c>
      <c r="B1727" s="4">
        <v>1678</v>
      </c>
      <c r="C1727" s="4">
        <v>954</v>
      </c>
      <c r="D1727" s="4">
        <v>56</v>
      </c>
      <c r="E1727" s="4">
        <v>954</v>
      </c>
      <c r="F1727" s="4">
        <v>51936</v>
      </c>
      <c r="G1727" s="4">
        <v>631.5</v>
      </c>
      <c r="H1727" s="3">
        <v>3.75</v>
      </c>
      <c r="I1727" s="3">
        <v>1.7450000000000001</v>
      </c>
    </row>
    <row r="1728" spans="1:9" x14ac:dyDescent="0.25">
      <c r="A1728" s="9">
        <v>46101</v>
      </c>
      <c r="B1728" s="4">
        <v>5</v>
      </c>
      <c r="C1728" s="4">
        <v>18</v>
      </c>
      <c r="D1728" s="4">
        <v>14</v>
      </c>
      <c r="E1728" s="4">
        <v>18</v>
      </c>
      <c r="F1728" s="4">
        <v>126</v>
      </c>
      <c r="G1728" s="4">
        <v>1.4</v>
      </c>
      <c r="H1728" s="3">
        <v>2.7</v>
      </c>
      <c r="I1728" s="3">
        <v>0.9</v>
      </c>
    </row>
    <row r="1729" spans="1:9" x14ac:dyDescent="0.25">
      <c r="A1729" s="9">
        <v>46102</v>
      </c>
      <c r="B1729" s="4">
        <v>46</v>
      </c>
      <c r="C1729" s="4">
        <v>45</v>
      </c>
      <c r="D1729" s="4">
        <v>14</v>
      </c>
      <c r="E1729" s="4">
        <v>45</v>
      </c>
      <c r="F1729" s="4">
        <v>1347</v>
      </c>
      <c r="G1729" s="4">
        <v>11.5</v>
      </c>
      <c r="H1729" s="3">
        <v>3.1</v>
      </c>
      <c r="I1729" s="3">
        <v>1</v>
      </c>
    </row>
    <row r="1730" spans="1:9" x14ac:dyDescent="0.25">
      <c r="A1730" s="9">
        <v>46103</v>
      </c>
      <c r="B1730" s="4">
        <v>681</v>
      </c>
      <c r="C1730" s="4">
        <v>402</v>
      </c>
      <c r="D1730" s="4">
        <v>38</v>
      </c>
      <c r="E1730" s="4">
        <v>402</v>
      </c>
      <c r="F1730" s="4">
        <v>20230</v>
      </c>
      <c r="G1730" s="4">
        <v>233</v>
      </c>
      <c r="H1730" s="3">
        <v>2.9</v>
      </c>
      <c r="I1730" s="3">
        <v>1.89</v>
      </c>
    </row>
    <row r="1731" spans="1:9" x14ac:dyDescent="0.25">
      <c r="A1731" s="9">
        <v>46107</v>
      </c>
      <c r="B1731" s="4">
        <v>3</v>
      </c>
      <c r="C1731" s="4">
        <v>10</v>
      </c>
      <c r="D1731" s="4">
        <v>14</v>
      </c>
      <c r="E1731" s="4">
        <v>10</v>
      </c>
      <c r="F1731" s="4">
        <v>122</v>
      </c>
      <c r="G1731" s="4">
        <v>12.399999999999999</v>
      </c>
      <c r="H1731" s="3">
        <v>105.25</v>
      </c>
      <c r="I1731" s="3">
        <v>1.01</v>
      </c>
    </row>
    <row r="1732" spans="1:9" x14ac:dyDescent="0.25">
      <c r="A1732" s="9">
        <v>46109</v>
      </c>
      <c r="B1732" s="4">
        <v>24</v>
      </c>
      <c r="C1732" s="4">
        <v>25</v>
      </c>
      <c r="D1732" s="4">
        <v>14</v>
      </c>
      <c r="E1732" s="4">
        <v>25</v>
      </c>
      <c r="F1732" s="4">
        <v>414</v>
      </c>
      <c r="G1732" s="4">
        <v>4.7</v>
      </c>
      <c r="H1732" s="3">
        <v>3.3</v>
      </c>
      <c r="I1732" s="3">
        <v>0.97</v>
      </c>
    </row>
    <row r="1733" spans="1:9" x14ac:dyDescent="0.25">
      <c r="A1733" s="9">
        <v>46115</v>
      </c>
      <c r="B1733" s="4">
        <v>9</v>
      </c>
      <c r="C1733" s="4">
        <v>23</v>
      </c>
      <c r="D1733" s="4">
        <v>14</v>
      </c>
      <c r="E1733" s="4">
        <v>23</v>
      </c>
      <c r="F1733" s="4">
        <v>266</v>
      </c>
      <c r="G1733" s="4">
        <v>4</v>
      </c>
      <c r="H1733" s="3">
        <v>3</v>
      </c>
      <c r="I1733" s="3">
        <v>0.95</v>
      </c>
    </row>
    <row r="1734" spans="1:9" x14ac:dyDescent="0.25">
      <c r="A1734" s="9">
        <v>46121</v>
      </c>
      <c r="B1734" s="4">
        <v>44</v>
      </c>
      <c r="C1734" s="4">
        <v>35</v>
      </c>
      <c r="D1734" s="4">
        <v>14</v>
      </c>
      <c r="E1734" s="4">
        <v>35</v>
      </c>
      <c r="F1734" s="4">
        <v>322</v>
      </c>
      <c r="G1734" s="4">
        <v>3.6</v>
      </c>
      <c r="H1734" s="3">
        <v>4.0999999999999996</v>
      </c>
      <c r="I1734" s="3">
        <v>0.83</v>
      </c>
    </row>
    <row r="1735" spans="1:9" x14ac:dyDescent="0.25">
      <c r="A1735" s="9">
        <v>46123</v>
      </c>
      <c r="B1735" s="4">
        <v>20</v>
      </c>
      <c r="C1735" s="4">
        <v>25</v>
      </c>
      <c r="D1735" s="4">
        <v>14</v>
      </c>
      <c r="E1735" s="4">
        <v>25</v>
      </c>
      <c r="F1735" s="4">
        <v>551</v>
      </c>
      <c r="G1735" s="4">
        <v>7.6</v>
      </c>
      <c r="H1735" s="3">
        <v>2.9</v>
      </c>
      <c r="I1735" s="3">
        <v>1.04</v>
      </c>
    </row>
    <row r="1736" spans="1:9" x14ac:dyDescent="0.25">
      <c r="A1736" s="9">
        <v>46125</v>
      </c>
      <c r="B1736" s="4">
        <v>6</v>
      </c>
      <c r="C1736" s="4">
        <v>12</v>
      </c>
      <c r="D1736" s="4">
        <v>14</v>
      </c>
      <c r="E1736" s="4">
        <v>12</v>
      </c>
      <c r="F1736" s="4">
        <v>69</v>
      </c>
      <c r="G1736" s="4">
        <v>1.6</v>
      </c>
      <c r="H1736" s="3">
        <v>2.2999999999999998</v>
      </c>
      <c r="I1736" s="3">
        <v>0.88</v>
      </c>
    </row>
    <row r="1737" spans="1:9" x14ac:dyDescent="0.25">
      <c r="A1737" s="9">
        <v>46127</v>
      </c>
      <c r="B1737" s="4">
        <v>56</v>
      </c>
      <c r="C1737" s="4">
        <v>38</v>
      </c>
      <c r="D1737" s="4">
        <v>14</v>
      </c>
      <c r="E1737" s="4">
        <v>38</v>
      </c>
      <c r="F1737" s="4">
        <v>1443</v>
      </c>
      <c r="G1737" s="4">
        <v>8.6</v>
      </c>
      <c r="H1737" s="3">
        <v>2.2000000000000002</v>
      </c>
      <c r="I1737" s="3">
        <v>2.71</v>
      </c>
    </row>
    <row r="1738" spans="1:9" x14ac:dyDescent="0.25">
      <c r="A1738" s="9">
        <v>46129</v>
      </c>
      <c r="B1738" s="4">
        <v>19</v>
      </c>
      <c r="C1738" s="4">
        <v>25</v>
      </c>
      <c r="D1738" s="4">
        <v>4</v>
      </c>
      <c r="E1738" s="4">
        <v>25</v>
      </c>
      <c r="F1738" s="4">
        <v>434</v>
      </c>
      <c r="G1738" s="4">
        <v>6.3</v>
      </c>
      <c r="H1738" s="3">
        <v>2.6</v>
      </c>
      <c r="I1738" s="3">
        <v>0.93</v>
      </c>
    </row>
    <row r="1739" spans="1:9" x14ac:dyDescent="0.25">
      <c r="A1739" s="9">
        <v>46135</v>
      </c>
      <c r="B1739" s="4">
        <v>124</v>
      </c>
      <c r="C1739" s="4">
        <v>85</v>
      </c>
      <c r="D1739" s="4">
        <v>10</v>
      </c>
      <c r="E1739" s="4">
        <v>85</v>
      </c>
      <c r="F1739" s="4">
        <v>3203</v>
      </c>
      <c r="G1739" s="4">
        <v>25.8</v>
      </c>
      <c r="H1739" s="3">
        <v>2.8499999999999996</v>
      </c>
      <c r="I1739" s="3">
        <v>1.65</v>
      </c>
    </row>
    <row r="1740" spans="1:9" x14ac:dyDescent="0.25">
      <c r="A1740" s="9">
        <v>47001</v>
      </c>
      <c r="B1740" s="4">
        <v>285</v>
      </c>
      <c r="C1740" s="4">
        <v>204</v>
      </c>
      <c r="D1740" s="4">
        <v>25</v>
      </c>
      <c r="E1740" s="4">
        <v>204</v>
      </c>
      <c r="F1740" s="4">
        <v>10414</v>
      </c>
      <c r="G1740" s="4">
        <v>123.3</v>
      </c>
      <c r="H1740" s="3">
        <v>4.4000000000000004</v>
      </c>
      <c r="I1740" s="3">
        <v>1.79</v>
      </c>
    </row>
    <row r="1741" spans="1:9" x14ac:dyDescent="0.25">
      <c r="A1741" s="9">
        <v>47003</v>
      </c>
      <c r="B1741" s="4">
        <v>50</v>
      </c>
      <c r="C1741" s="4">
        <v>44</v>
      </c>
      <c r="D1741" s="4">
        <v>8</v>
      </c>
      <c r="E1741" s="4">
        <v>44</v>
      </c>
      <c r="F1741" s="4">
        <v>1278</v>
      </c>
      <c r="G1741" s="4">
        <v>9.1</v>
      </c>
      <c r="H1741" s="3">
        <v>2.6</v>
      </c>
      <c r="I1741" s="3">
        <v>1.43</v>
      </c>
    </row>
    <row r="1742" spans="1:9" x14ac:dyDescent="0.25">
      <c r="A1742" s="9">
        <v>47005</v>
      </c>
      <c r="B1742" s="4">
        <v>23</v>
      </c>
      <c r="C1742" s="4">
        <v>25</v>
      </c>
      <c r="D1742" s="4">
        <v>14</v>
      </c>
      <c r="E1742" s="4">
        <v>25</v>
      </c>
      <c r="F1742" s="4">
        <v>218</v>
      </c>
      <c r="G1742" s="4">
        <v>3.5</v>
      </c>
      <c r="H1742" s="3">
        <v>2.4</v>
      </c>
      <c r="I1742" s="3">
        <v>1.27</v>
      </c>
    </row>
    <row r="1743" spans="1:9" x14ac:dyDescent="0.25">
      <c r="A1743" s="9">
        <v>47007</v>
      </c>
      <c r="B1743" s="4">
        <v>51</v>
      </c>
      <c r="C1743" s="4">
        <v>25</v>
      </c>
      <c r="D1743" s="4">
        <v>14</v>
      </c>
      <c r="E1743" s="4">
        <v>25</v>
      </c>
      <c r="F1743" s="4">
        <v>374</v>
      </c>
      <c r="G1743" s="4">
        <v>5.6</v>
      </c>
      <c r="H1743" s="3">
        <v>2</v>
      </c>
      <c r="I1743" s="3">
        <v>1.02</v>
      </c>
    </row>
    <row r="1744" spans="1:9" x14ac:dyDescent="0.25">
      <c r="A1744" s="9">
        <v>47009</v>
      </c>
      <c r="B1744" s="4">
        <v>460</v>
      </c>
      <c r="C1744" s="4">
        <v>193</v>
      </c>
      <c r="D1744" s="4">
        <v>8</v>
      </c>
      <c r="E1744" s="4">
        <v>193</v>
      </c>
      <c r="F1744" s="4">
        <v>11177</v>
      </c>
      <c r="G1744" s="4">
        <v>133.5</v>
      </c>
      <c r="H1744" s="3">
        <v>4.5</v>
      </c>
      <c r="I1744" s="3">
        <v>1.61</v>
      </c>
    </row>
    <row r="1745" spans="1:9" x14ac:dyDescent="0.25">
      <c r="A1745" s="9">
        <v>47011</v>
      </c>
      <c r="B1745" s="4">
        <v>228</v>
      </c>
      <c r="C1745" s="4">
        <v>177</v>
      </c>
      <c r="D1745" s="4">
        <v>24</v>
      </c>
      <c r="E1745" s="4">
        <v>177</v>
      </c>
      <c r="F1745" s="4">
        <v>9201</v>
      </c>
      <c r="G1745" s="4">
        <v>106.2</v>
      </c>
      <c r="H1745" s="3">
        <v>4.5</v>
      </c>
      <c r="I1745" s="3">
        <v>1.51</v>
      </c>
    </row>
    <row r="1746" spans="1:9" x14ac:dyDescent="0.25">
      <c r="A1746" s="9">
        <v>47013</v>
      </c>
      <c r="B1746" s="4">
        <v>86</v>
      </c>
      <c r="C1746" s="4">
        <v>82</v>
      </c>
      <c r="D1746" s="4">
        <v>10</v>
      </c>
      <c r="E1746" s="4">
        <v>82</v>
      </c>
      <c r="F1746" s="4">
        <v>2016</v>
      </c>
      <c r="G1746" s="4">
        <v>24.700000000000003</v>
      </c>
      <c r="H1746" s="3">
        <v>4.4000000000000004</v>
      </c>
      <c r="I1746" s="3">
        <v>1.3149999999999999</v>
      </c>
    </row>
    <row r="1747" spans="1:9" x14ac:dyDescent="0.25">
      <c r="A1747" s="9">
        <v>47015</v>
      </c>
      <c r="B1747" s="4">
        <v>22</v>
      </c>
      <c r="C1747" s="4">
        <v>30</v>
      </c>
      <c r="D1747" s="4">
        <v>14</v>
      </c>
      <c r="E1747" s="4">
        <v>30</v>
      </c>
      <c r="F1747" s="4">
        <v>409</v>
      </c>
      <c r="G1747" s="4">
        <v>6.6</v>
      </c>
      <c r="H1747" s="3">
        <v>5.9</v>
      </c>
      <c r="I1747" s="3">
        <v>1.19</v>
      </c>
    </row>
    <row r="1748" spans="1:9" x14ac:dyDescent="0.25">
      <c r="A1748" s="9">
        <v>47017</v>
      </c>
      <c r="B1748" s="4">
        <v>47</v>
      </c>
      <c r="C1748" s="4">
        <v>42</v>
      </c>
      <c r="D1748" s="4">
        <v>14</v>
      </c>
      <c r="E1748" s="4">
        <v>42</v>
      </c>
      <c r="F1748" s="4">
        <v>1962</v>
      </c>
      <c r="G1748" s="4">
        <v>21.7</v>
      </c>
      <c r="H1748" s="3">
        <v>4.45</v>
      </c>
      <c r="I1748" s="3">
        <v>1.2650000000000001</v>
      </c>
    </row>
    <row r="1749" spans="1:9" x14ac:dyDescent="0.25">
      <c r="A1749" s="9">
        <v>47019</v>
      </c>
      <c r="B1749" s="4">
        <v>93</v>
      </c>
      <c r="C1749" s="4">
        <v>109</v>
      </c>
      <c r="D1749" s="4">
        <v>8</v>
      </c>
      <c r="E1749" s="4">
        <v>109</v>
      </c>
      <c r="F1749" s="4">
        <v>3101</v>
      </c>
      <c r="G1749" s="4">
        <v>32.200000000000003</v>
      </c>
      <c r="H1749" s="3">
        <v>3.8</v>
      </c>
      <c r="I1749" s="3">
        <v>1.34</v>
      </c>
    </row>
    <row r="1750" spans="1:9" x14ac:dyDescent="0.25">
      <c r="A1750" s="9">
        <v>47021</v>
      </c>
      <c r="B1750" s="4">
        <v>19</v>
      </c>
      <c r="C1750" s="4">
        <v>12</v>
      </c>
      <c r="D1750" s="4">
        <v>14</v>
      </c>
      <c r="E1750" s="4">
        <v>12</v>
      </c>
      <c r="F1750" s="4">
        <v>280</v>
      </c>
      <c r="G1750" s="4">
        <v>5.8</v>
      </c>
      <c r="H1750" s="3">
        <v>1.7</v>
      </c>
      <c r="I1750" s="3">
        <v>0.94</v>
      </c>
    </row>
    <row r="1751" spans="1:9" x14ac:dyDescent="0.25">
      <c r="A1751" s="9">
        <v>47025</v>
      </c>
      <c r="B1751" s="4">
        <v>54</v>
      </c>
      <c r="C1751" s="4">
        <v>33</v>
      </c>
      <c r="D1751" s="4">
        <v>5</v>
      </c>
      <c r="E1751" s="4">
        <v>33</v>
      </c>
      <c r="F1751" s="4">
        <v>1113</v>
      </c>
      <c r="G1751" s="4">
        <v>9.6999999999999993</v>
      </c>
      <c r="H1751" s="3">
        <v>3.3</v>
      </c>
      <c r="I1751" s="3">
        <v>1.36</v>
      </c>
    </row>
    <row r="1752" spans="1:9" x14ac:dyDescent="0.25">
      <c r="A1752" s="9">
        <v>47027</v>
      </c>
      <c r="B1752" s="4">
        <v>6</v>
      </c>
      <c r="C1752" s="4">
        <v>49</v>
      </c>
      <c r="D1752" s="4">
        <v>14</v>
      </c>
      <c r="E1752" s="4">
        <v>49</v>
      </c>
      <c r="F1752" s="4">
        <v>280</v>
      </c>
      <c r="G1752" s="4">
        <v>7.3</v>
      </c>
      <c r="H1752" s="3">
        <v>2.2999999999999998</v>
      </c>
      <c r="I1752" s="3">
        <v>1.1100000000000001</v>
      </c>
    </row>
    <row r="1753" spans="1:9" x14ac:dyDescent="0.25">
      <c r="A1753" s="9">
        <v>47029</v>
      </c>
      <c r="B1753" s="4">
        <v>71</v>
      </c>
      <c r="C1753" s="4">
        <v>32</v>
      </c>
      <c r="D1753" s="4">
        <v>5</v>
      </c>
      <c r="E1753" s="4">
        <v>32</v>
      </c>
      <c r="F1753" s="4">
        <v>2023</v>
      </c>
      <c r="G1753" s="4">
        <v>20.100000000000001</v>
      </c>
      <c r="H1753" s="3">
        <v>3.8</v>
      </c>
      <c r="I1753" s="3">
        <v>1.27</v>
      </c>
    </row>
    <row r="1754" spans="1:9" x14ac:dyDescent="0.25">
      <c r="A1754" s="9">
        <v>47031</v>
      </c>
      <c r="B1754" s="4">
        <v>175</v>
      </c>
      <c r="C1754" s="4">
        <v>123</v>
      </c>
      <c r="D1754" s="4">
        <v>13</v>
      </c>
      <c r="E1754" s="4">
        <v>123</v>
      </c>
      <c r="F1754" s="4">
        <v>4495</v>
      </c>
      <c r="G1754" s="4">
        <v>44.300000000000004</v>
      </c>
      <c r="H1754" s="3">
        <v>3.7</v>
      </c>
      <c r="I1754" s="3">
        <v>1.42</v>
      </c>
    </row>
    <row r="1755" spans="1:9" x14ac:dyDescent="0.25">
      <c r="A1755" s="9">
        <v>47035</v>
      </c>
      <c r="B1755" s="4">
        <v>158</v>
      </c>
      <c r="C1755" s="4">
        <v>73</v>
      </c>
      <c r="D1755" s="4">
        <v>12</v>
      </c>
      <c r="E1755" s="4">
        <v>73</v>
      </c>
      <c r="F1755" s="4">
        <v>5105</v>
      </c>
      <c r="G1755" s="4">
        <v>50.1</v>
      </c>
      <c r="H1755" s="3">
        <v>3.8</v>
      </c>
      <c r="I1755" s="3">
        <v>1.38</v>
      </c>
    </row>
    <row r="1756" spans="1:9" x14ac:dyDescent="0.25">
      <c r="A1756" s="9">
        <v>47037</v>
      </c>
      <c r="B1756" s="4">
        <v>4655</v>
      </c>
      <c r="C1756" s="4">
        <v>2869</v>
      </c>
      <c r="D1756" s="4">
        <v>359</v>
      </c>
      <c r="E1756" s="4">
        <v>2489</v>
      </c>
      <c r="F1756" s="4">
        <v>168646</v>
      </c>
      <c r="G1756" s="4">
        <v>2250.9</v>
      </c>
      <c r="H1756" s="3">
        <v>4.4999999999999991</v>
      </c>
      <c r="I1756" s="3">
        <v>2.092222222222222</v>
      </c>
    </row>
    <row r="1757" spans="1:9" x14ac:dyDescent="0.25">
      <c r="A1757" s="9">
        <v>47039</v>
      </c>
      <c r="B1757" s="4">
        <v>80</v>
      </c>
      <c r="C1757" s="4">
        <v>40</v>
      </c>
      <c r="D1757" s="4">
        <v>14</v>
      </c>
      <c r="E1757" s="4">
        <v>49</v>
      </c>
      <c r="F1757" s="4">
        <v>346</v>
      </c>
      <c r="G1757" s="4">
        <v>2.2000000000000002</v>
      </c>
      <c r="H1757" s="3">
        <v>2.2999999999999998</v>
      </c>
      <c r="I1757" s="3">
        <v>0.98</v>
      </c>
    </row>
    <row r="1758" spans="1:9" x14ac:dyDescent="0.25">
      <c r="A1758" s="9">
        <v>47041</v>
      </c>
      <c r="B1758" s="4">
        <v>30</v>
      </c>
      <c r="C1758" s="4">
        <v>52</v>
      </c>
      <c r="D1758" s="4">
        <v>4</v>
      </c>
      <c r="E1758" s="4">
        <v>52</v>
      </c>
      <c r="F1758" s="4">
        <v>444</v>
      </c>
      <c r="G1758" s="4">
        <v>3.9</v>
      </c>
      <c r="H1758" s="3">
        <v>3.2</v>
      </c>
      <c r="I1758" s="3">
        <v>1.3</v>
      </c>
    </row>
    <row r="1759" spans="1:9" x14ac:dyDescent="0.25">
      <c r="A1759" s="9">
        <v>47043</v>
      </c>
      <c r="B1759" s="4">
        <v>167</v>
      </c>
      <c r="C1759" s="4">
        <v>91</v>
      </c>
      <c r="D1759" s="4">
        <v>6</v>
      </c>
      <c r="E1759" s="4">
        <v>91</v>
      </c>
      <c r="F1759" s="4">
        <v>5408</v>
      </c>
      <c r="G1759" s="4">
        <v>54.2</v>
      </c>
      <c r="H1759" s="3">
        <v>3.7</v>
      </c>
      <c r="I1759" s="3">
        <v>1.39</v>
      </c>
    </row>
    <row r="1760" spans="1:9" x14ac:dyDescent="0.25">
      <c r="A1760" s="9">
        <v>47045</v>
      </c>
      <c r="B1760" s="4">
        <v>102</v>
      </c>
      <c r="C1760" s="4">
        <v>109</v>
      </c>
      <c r="D1760" s="4">
        <v>14</v>
      </c>
      <c r="E1760" s="4">
        <v>109</v>
      </c>
      <c r="F1760" s="4">
        <v>4461</v>
      </c>
      <c r="G1760" s="4">
        <v>43.4</v>
      </c>
      <c r="H1760" s="3">
        <v>3.8</v>
      </c>
      <c r="I1760" s="3">
        <v>1.48</v>
      </c>
    </row>
    <row r="1761" spans="1:9" x14ac:dyDescent="0.25">
      <c r="A1761" s="9">
        <v>47047</v>
      </c>
      <c r="B1761" s="4">
        <v>80</v>
      </c>
      <c r="C1761" s="4">
        <v>49</v>
      </c>
      <c r="D1761" s="4">
        <v>14</v>
      </c>
      <c r="E1761" s="4">
        <v>49</v>
      </c>
      <c r="F1761" s="4">
        <v>8</v>
      </c>
      <c r="G1761" s="4">
        <v>0.1</v>
      </c>
      <c r="H1761" s="3">
        <v>4</v>
      </c>
      <c r="I1761" s="3">
        <v>1</v>
      </c>
    </row>
    <row r="1762" spans="1:9" x14ac:dyDescent="0.25">
      <c r="A1762" s="9">
        <v>47049</v>
      </c>
      <c r="B1762" s="4">
        <v>80</v>
      </c>
      <c r="C1762" s="4">
        <v>49</v>
      </c>
      <c r="D1762" s="4">
        <v>14</v>
      </c>
      <c r="E1762" s="4">
        <v>49</v>
      </c>
      <c r="F1762" s="4">
        <v>866</v>
      </c>
      <c r="G1762" s="4">
        <v>7.7</v>
      </c>
      <c r="H1762" s="3">
        <v>3.3</v>
      </c>
      <c r="I1762" s="3">
        <v>1.04</v>
      </c>
    </row>
    <row r="1763" spans="1:9" x14ac:dyDescent="0.25">
      <c r="A1763" s="9">
        <v>47051</v>
      </c>
      <c r="B1763" s="4">
        <v>144</v>
      </c>
      <c r="C1763" s="4">
        <v>128</v>
      </c>
      <c r="D1763" s="4">
        <v>10</v>
      </c>
      <c r="E1763" s="4">
        <v>152</v>
      </c>
      <c r="F1763" s="4">
        <v>3318</v>
      </c>
      <c r="G1763" s="4">
        <v>28.9</v>
      </c>
      <c r="H1763" s="3">
        <v>3.5</v>
      </c>
      <c r="I1763" s="3">
        <v>1.34</v>
      </c>
    </row>
    <row r="1764" spans="1:9" x14ac:dyDescent="0.25">
      <c r="A1764" s="9">
        <v>47053</v>
      </c>
      <c r="B1764" s="4">
        <v>38</v>
      </c>
      <c r="C1764" s="4">
        <v>47</v>
      </c>
      <c r="D1764" s="4">
        <v>3</v>
      </c>
      <c r="E1764" s="4">
        <v>47</v>
      </c>
      <c r="F1764" s="4">
        <v>701</v>
      </c>
      <c r="G1764" s="4">
        <v>7.9999999999999991</v>
      </c>
      <c r="H1764" s="3">
        <v>4.5</v>
      </c>
      <c r="I1764" s="3">
        <v>1.5</v>
      </c>
    </row>
    <row r="1765" spans="1:9" x14ac:dyDescent="0.25">
      <c r="A1765" s="9">
        <v>47055</v>
      </c>
      <c r="B1765" s="4">
        <v>69</v>
      </c>
      <c r="C1765" s="4">
        <v>81</v>
      </c>
      <c r="D1765" s="4">
        <v>6</v>
      </c>
      <c r="E1765" s="4">
        <v>81</v>
      </c>
      <c r="F1765" s="4">
        <v>1677</v>
      </c>
      <c r="G1765" s="4">
        <v>16</v>
      </c>
      <c r="H1765" s="3">
        <v>3.7</v>
      </c>
      <c r="I1765" s="3">
        <v>1.28</v>
      </c>
    </row>
    <row r="1766" spans="1:9" x14ac:dyDescent="0.25">
      <c r="A1766" s="9">
        <v>47059</v>
      </c>
      <c r="B1766" s="4">
        <v>233</v>
      </c>
      <c r="C1766" s="4">
        <v>189</v>
      </c>
      <c r="D1766" s="4">
        <v>17</v>
      </c>
      <c r="E1766" s="4">
        <v>189</v>
      </c>
      <c r="F1766" s="4">
        <v>4448</v>
      </c>
      <c r="G1766" s="4">
        <v>43.3</v>
      </c>
      <c r="H1766" s="3">
        <v>3.8</v>
      </c>
      <c r="I1766" s="3">
        <v>1.4</v>
      </c>
    </row>
    <row r="1767" spans="1:9" x14ac:dyDescent="0.25">
      <c r="A1767" s="9">
        <v>47063</v>
      </c>
      <c r="B1767" s="4">
        <v>164</v>
      </c>
      <c r="C1767" s="4">
        <v>116</v>
      </c>
      <c r="D1767" s="4">
        <v>20</v>
      </c>
      <c r="E1767" s="4">
        <v>116</v>
      </c>
      <c r="F1767" s="4">
        <v>8719</v>
      </c>
      <c r="G1767" s="4">
        <v>84.8</v>
      </c>
      <c r="H1767" s="3">
        <v>3.95</v>
      </c>
      <c r="I1767" s="3">
        <v>1.405</v>
      </c>
    </row>
    <row r="1768" spans="1:9" x14ac:dyDescent="0.25">
      <c r="A1768" s="9">
        <v>47065</v>
      </c>
      <c r="B1768" s="4">
        <v>2023</v>
      </c>
      <c r="C1768" s="4">
        <v>1477</v>
      </c>
      <c r="D1768" s="4">
        <v>151</v>
      </c>
      <c r="E1768" s="4">
        <v>1615</v>
      </c>
      <c r="F1768" s="4">
        <v>78870</v>
      </c>
      <c r="G1768" s="4">
        <v>1084.3</v>
      </c>
      <c r="H1768" s="3">
        <v>5.2</v>
      </c>
      <c r="I1768" s="3">
        <v>1.9333333333333336</v>
      </c>
    </row>
    <row r="1769" spans="1:9" x14ac:dyDescent="0.25">
      <c r="A1769" s="9">
        <v>47067</v>
      </c>
      <c r="B1769" s="4">
        <v>12</v>
      </c>
      <c r="C1769" s="4">
        <v>10</v>
      </c>
      <c r="D1769" s="4">
        <v>14</v>
      </c>
      <c r="E1769" s="4">
        <v>10</v>
      </c>
      <c r="F1769" s="4">
        <v>210</v>
      </c>
      <c r="G1769" s="4">
        <v>1.9</v>
      </c>
      <c r="H1769" s="3">
        <v>2.8</v>
      </c>
      <c r="I1769" s="3">
        <v>1.01</v>
      </c>
    </row>
    <row r="1770" spans="1:9" x14ac:dyDescent="0.25">
      <c r="A1770" s="9">
        <v>47069</v>
      </c>
      <c r="B1770" s="4">
        <v>36</v>
      </c>
      <c r="C1770" s="4">
        <v>25</v>
      </c>
      <c r="D1770" s="4">
        <v>14</v>
      </c>
      <c r="E1770" s="4">
        <v>25</v>
      </c>
      <c r="F1770" s="4">
        <v>154</v>
      </c>
      <c r="G1770" s="4">
        <v>1.4</v>
      </c>
      <c r="H1770" s="3">
        <v>2.6</v>
      </c>
      <c r="I1770" s="3">
        <v>1.07</v>
      </c>
    </row>
    <row r="1771" spans="1:9" x14ac:dyDescent="0.25">
      <c r="A1771" s="9">
        <v>47071</v>
      </c>
      <c r="B1771" s="4">
        <v>74</v>
      </c>
      <c r="C1771" s="4">
        <v>49</v>
      </c>
      <c r="D1771" s="4">
        <v>14</v>
      </c>
      <c r="E1771" s="4">
        <v>49</v>
      </c>
      <c r="F1771" s="4">
        <v>1249</v>
      </c>
      <c r="G1771" s="4">
        <v>11.2</v>
      </c>
      <c r="H1771" s="3">
        <v>3.9</v>
      </c>
      <c r="I1771" s="3">
        <v>1.24</v>
      </c>
    </row>
    <row r="1772" spans="1:9" x14ac:dyDescent="0.25">
      <c r="A1772" s="9">
        <v>47073</v>
      </c>
      <c r="B1772" s="4">
        <v>56</v>
      </c>
      <c r="C1772" s="4">
        <v>32</v>
      </c>
      <c r="D1772" s="4">
        <v>6</v>
      </c>
      <c r="E1772" s="4">
        <v>32</v>
      </c>
      <c r="F1772" s="4">
        <v>786</v>
      </c>
      <c r="G1772" s="4">
        <v>8.1</v>
      </c>
      <c r="H1772" s="3">
        <v>3.7</v>
      </c>
      <c r="I1772" s="3">
        <v>1.25</v>
      </c>
    </row>
    <row r="1773" spans="1:9" x14ac:dyDescent="0.25">
      <c r="A1773" s="9">
        <v>47075</v>
      </c>
      <c r="B1773" s="4">
        <v>80</v>
      </c>
      <c r="C1773" s="4">
        <v>49</v>
      </c>
      <c r="D1773" s="4">
        <v>14</v>
      </c>
      <c r="E1773" s="4">
        <v>49</v>
      </c>
      <c r="F1773" s="4">
        <v>103</v>
      </c>
      <c r="G1773" s="4">
        <v>0.8</v>
      </c>
      <c r="H1773" s="3">
        <v>2.9</v>
      </c>
      <c r="I1773" s="3">
        <v>1</v>
      </c>
    </row>
    <row r="1774" spans="1:9" x14ac:dyDescent="0.25">
      <c r="A1774" s="9">
        <v>47077</v>
      </c>
      <c r="B1774" s="4">
        <v>35</v>
      </c>
      <c r="C1774" s="4">
        <v>36</v>
      </c>
      <c r="D1774" s="4">
        <v>14</v>
      </c>
      <c r="E1774" s="4">
        <v>36</v>
      </c>
      <c r="F1774" s="4">
        <v>396</v>
      </c>
      <c r="G1774" s="4">
        <v>2.8</v>
      </c>
      <c r="H1774" s="3">
        <v>2.6</v>
      </c>
      <c r="I1774" s="3">
        <v>1.05</v>
      </c>
    </row>
    <row r="1775" spans="1:9" x14ac:dyDescent="0.25">
      <c r="A1775" s="9">
        <v>47079</v>
      </c>
      <c r="B1775" s="4">
        <v>142</v>
      </c>
      <c r="C1775" s="4">
        <v>64</v>
      </c>
      <c r="D1775" s="4">
        <v>14</v>
      </c>
      <c r="E1775" s="4">
        <v>64</v>
      </c>
      <c r="F1775" s="4">
        <v>3716</v>
      </c>
      <c r="G1775" s="4">
        <v>25.9</v>
      </c>
      <c r="H1775" s="3">
        <v>2.9</v>
      </c>
      <c r="I1775" s="3">
        <v>1.46</v>
      </c>
    </row>
    <row r="1776" spans="1:9" x14ac:dyDescent="0.25">
      <c r="A1776" s="9">
        <v>47081</v>
      </c>
      <c r="B1776" s="4">
        <v>19</v>
      </c>
      <c r="C1776" s="4">
        <v>25</v>
      </c>
      <c r="D1776" s="4">
        <v>14</v>
      </c>
      <c r="E1776" s="4">
        <v>25</v>
      </c>
      <c r="F1776" s="4">
        <v>18</v>
      </c>
      <c r="G1776" s="4">
        <v>1.7</v>
      </c>
      <c r="H1776" s="3">
        <v>3.8</v>
      </c>
      <c r="I1776" s="3">
        <v>1.2</v>
      </c>
    </row>
    <row r="1777" spans="1:9" x14ac:dyDescent="0.25">
      <c r="A1777" s="9">
        <v>47083</v>
      </c>
      <c r="B1777" s="4">
        <v>59</v>
      </c>
      <c r="C1777" s="4">
        <v>25</v>
      </c>
      <c r="D1777" s="4">
        <v>14</v>
      </c>
      <c r="E1777" s="4">
        <v>25</v>
      </c>
      <c r="F1777" s="4">
        <v>205</v>
      </c>
      <c r="G1777" s="4">
        <v>3.7</v>
      </c>
      <c r="H1777" s="3">
        <v>5.0999999999999996</v>
      </c>
      <c r="I1777" s="3">
        <v>0.95</v>
      </c>
    </row>
    <row r="1778" spans="1:9" x14ac:dyDescent="0.25">
      <c r="A1778" s="9">
        <v>47085</v>
      </c>
      <c r="B1778" s="4">
        <v>38</v>
      </c>
      <c r="C1778" s="4">
        <v>25</v>
      </c>
      <c r="D1778" s="4">
        <v>14</v>
      </c>
      <c r="E1778" s="4">
        <v>25</v>
      </c>
      <c r="F1778" s="4">
        <v>274</v>
      </c>
      <c r="G1778" s="4">
        <v>6.2</v>
      </c>
      <c r="H1778" s="3">
        <v>3.7</v>
      </c>
      <c r="I1778" s="3">
        <v>0.83</v>
      </c>
    </row>
    <row r="1779" spans="1:9" x14ac:dyDescent="0.25">
      <c r="A1779" s="9">
        <v>47089</v>
      </c>
      <c r="B1779" s="4">
        <v>93</v>
      </c>
      <c r="C1779" s="4">
        <v>58</v>
      </c>
      <c r="D1779" s="4">
        <v>6</v>
      </c>
      <c r="E1779" s="4">
        <v>58</v>
      </c>
      <c r="F1779" s="4">
        <v>2351</v>
      </c>
      <c r="G1779" s="4">
        <v>25.9</v>
      </c>
      <c r="H1779" s="3">
        <v>4</v>
      </c>
      <c r="I1779" s="3">
        <v>1.6</v>
      </c>
    </row>
    <row r="1780" spans="1:9" x14ac:dyDescent="0.25">
      <c r="A1780" s="9">
        <v>47091</v>
      </c>
      <c r="B1780" s="4">
        <v>23</v>
      </c>
      <c r="C1780" s="4">
        <v>2</v>
      </c>
      <c r="D1780" s="4">
        <v>14</v>
      </c>
      <c r="E1780" s="4">
        <v>2</v>
      </c>
      <c r="F1780" s="4">
        <v>29</v>
      </c>
      <c r="G1780" s="4">
        <v>0.2</v>
      </c>
      <c r="H1780" s="3">
        <v>2.2000000000000002</v>
      </c>
      <c r="I1780" s="3">
        <v>0.95</v>
      </c>
    </row>
    <row r="1781" spans="1:9" x14ac:dyDescent="0.25">
      <c r="A1781" s="9">
        <v>47093</v>
      </c>
      <c r="B1781" s="4">
        <v>2167</v>
      </c>
      <c r="C1781" s="4">
        <v>1484</v>
      </c>
      <c r="D1781" s="4">
        <v>128</v>
      </c>
      <c r="E1781" s="4">
        <v>1475</v>
      </c>
      <c r="F1781" s="4">
        <v>84251</v>
      </c>
      <c r="G1781" s="4">
        <v>1084.7</v>
      </c>
      <c r="H1781" s="3">
        <v>4.8</v>
      </c>
      <c r="I1781" s="3">
        <v>1.8774999999999999</v>
      </c>
    </row>
    <row r="1782" spans="1:9" x14ac:dyDescent="0.25">
      <c r="A1782" s="9">
        <v>47097</v>
      </c>
      <c r="B1782" s="4">
        <v>40</v>
      </c>
      <c r="C1782" s="4">
        <v>25</v>
      </c>
      <c r="D1782" s="4">
        <v>14</v>
      </c>
      <c r="E1782" s="4">
        <v>25</v>
      </c>
      <c r="F1782" s="4">
        <v>115</v>
      </c>
      <c r="G1782" s="4">
        <v>4.2</v>
      </c>
      <c r="H1782" s="3">
        <v>3.9</v>
      </c>
      <c r="I1782" s="3">
        <v>0.91</v>
      </c>
    </row>
    <row r="1783" spans="1:9" x14ac:dyDescent="0.25">
      <c r="A1783" s="9">
        <v>47099</v>
      </c>
      <c r="B1783" s="4">
        <v>107</v>
      </c>
      <c r="C1783" s="4">
        <v>89</v>
      </c>
      <c r="D1783" s="4">
        <v>6</v>
      </c>
      <c r="E1783" s="4">
        <v>89</v>
      </c>
      <c r="F1783" s="4">
        <v>1796</v>
      </c>
      <c r="G1783" s="4">
        <v>16.899999999999999</v>
      </c>
      <c r="H1783" s="3">
        <v>3.8</v>
      </c>
      <c r="I1783" s="3">
        <v>1.29</v>
      </c>
    </row>
    <row r="1784" spans="1:9" x14ac:dyDescent="0.25">
      <c r="A1784" s="9">
        <v>47103</v>
      </c>
      <c r="B1784" s="4">
        <v>54</v>
      </c>
      <c r="C1784" s="4">
        <v>49</v>
      </c>
      <c r="D1784" s="4">
        <v>6</v>
      </c>
      <c r="E1784" s="4">
        <v>49</v>
      </c>
      <c r="F1784" s="4">
        <v>1102</v>
      </c>
      <c r="G1784" s="4">
        <v>8.6</v>
      </c>
      <c r="H1784" s="3">
        <v>3.3</v>
      </c>
      <c r="I1784" s="3">
        <v>1.29</v>
      </c>
    </row>
    <row r="1785" spans="1:9" x14ac:dyDescent="0.25">
      <c r="A1785" s="9">
        <v>47105</v>
      </c>
      <c r="B1785" s="4">
        <v>67</v>
      </c>
      <c r="C1785" s="4">
        <v>30</v>
      </c>
      <c r="D1785" s="4">
        <v>5</v>
      </c>
      <c r="E1785" s="4">
        <v>30</v>
      </c>
      <c r="F1785" s="4">
        <v>2285</v>
      </c>
      <c r="G1785" s="4">
        <v>26.3</v>
      </c>
      <c r="H1785" s="3">
        <v>4.2</v>
      </c>
      <c r="I1785" s="3">
        <v>1.55</v>
      </c>
    </row>
    <row r="1786" spans="1:9" x14ac:dyDescent="0.25">
      <c r="A1786" s="9">
        <v>47107</v>
      </c>
      <c r="B1786" s="4">
        <v>164</v>
      </c>
      <c r="C1786" s="4">
        <v>88</v>
      </c>
      <c r="D1786" s="4">
        <v>4</v>
      </c>
      <c r="E1786" s="4">
        <v>88</v>
      </c>
      <c r="F1786" s="4">
        <v>2543</v>
      </c>
      <c r="G1786" s="4">
        <v>25.2</v>
      </c>
      <c r="H1786" s="3">
        <v>4</v>
      </c>
      <c r="I1786" s="3">
        <v>1.24</v>
      </c>
    </row>
    <row r="1787" spans="1:9" x14ac:dyDescent="0.25">
      <c r="A1787" s="9">
        <v>47109</v>
      </c>
      <c r="B1787" s="4">
        <v>80</v>
      </c>
      <c r="C1787" s="4">
        <v>49</v>
      </c>
      <c r="D1787" s="4">
        <v>14</v>
      </c>
      <c r="E1787" s="4">
        <v>49</v>
      </c>
      <c r="F1787" s="4">
        <v>653</v>
      </c>
      <c r="G1787" s="4">
        <v>3.7</v>
      </c>
      <c r="H1787" s="3">
        <v>2.5</v>
      </c>
      <c r="I1787" s="3">
        <v>1</v>
      </c>
    </row>
    <row r="1788" spans="1:9" x14ac:dyDescent="0.25">
      <c r="A1788" s="9">
        <v>47111</v>
      </c>
      <c r="B1788" s="4">
        <v>45</v>
      </c>
      <c r="C1788" s="4">
        <v>25</v>
      </c>
      <c r="D1788" s="4">
        <v>14</v>
      </c>
      <c r="E1788" s="4">
        <v>25</v>
      </c>
      <c r="F1788" s="4">
        <v>783</v>
      </c>
      <c r="G1788" s="4">
        <v>10</v>
      </c>
      <c r="H1788" s="3">
        <v>3.5</v>
      </c>
      <c r="I1788" s="3">
        <v>0.96</v>
      </c>
    </row>
    <row r="1789" spans="1:9" x14ac:dyDescent="0.25">
      <c r="A1789" s="9">
        <v>47113</v>
      </c>
      <c r="B1789" s="4">
        <v>691</v>
      </c>
      <c r="C1789" s="4">
        <v>892</v>
      </c>
      <c r="D1789" s="4">
        <v>89</v>
      </c>
      <c r="E1789" s="4">
        <v>750</v>
      </c>
      <c r="F1789" s="4">
        <v>32142</v>
      </c>
      <c r="G1789" s="4">
        <v>458.20000000000005</v>
      </c>
      <c r="H1789" s="3">
        <v>5</v>
      </c>
      <c r="I1789" s="3">
        <v>1.82</v>
      </c>
    </row>
    <row r="1790" spans="1:9" x14ac:dyDescent="0.25">
      <c r="A1790" s="9">
        <v>47115</v>
      </c>
      <c r="B1790" s="4">
        <v>80</v>
      </c>
      <c r="C1790" s="4">
        <v>49</v>
      </c>
      <c r="D1790" s="4">
        <v>14</v>
      </c>
      <c r="E1790" s="4">
        <v>49</v>
      </c>
      <c r="F1790" s="4">
        <v>1029</v>
      </c>
      <c r="G1790" s="4">
        <v>10</v>
      </c>
      <c r="H1790" s="3">
        <v>3.6</v>
      </c>
      <c r="I1790" s="3">
        <v>1</v>
      </c>
    </row>
    <row r="1791" spans="1:9" x14ac:dyDescent="0.25">
      <c r="A1791" s="9">
        <v>47117</v>
      </c>
      <c r="B1791" s="4">
        <v>30</v>
      </c>
      <c r="C1791" s="4">
        <v>25</v>
      </c>
      <c r="D1791" s="4">
        <v>14</v>
      </c>
      <c r="E1791" s="4">
        <v>25</v>
      </c>
      <c r="F1791" s="4">
        <v>149</v>
      </c>
      <c r="G1791" s="4">
        <v>1.9</v>
      </c>
      <c r="H1791" s="3">
        <v>3.2</v>
      </c>
      <c r="I1791" s="3">
        <v>1.07</v>
      </c>
    </row>
    <row r="1792" spans="1:9" x14ac:dyDescent="0.25">
      <c r="A1792" s="9">
        <v>47119</v>
      </c>
      <c r="B1792" s="4">
        <v>326</v>
      </c>
      <c r="C1792" s="4">
        <v>265</v>
      </c>
      <c r="D1792" s="4">
        <v>41</v>
      </c>
      <c r="E1792" s="4">
        <v>265</v>
      </c>
      <c r="F1792" s="4">
        <v>12573</v>
      </c>
      <c r="G1792" s="4">
        <v>141.9</v>
      </c>
      <c r="H1792" s="3">
        <v>4.2</v>
      </c>
      <c r="I1792" s="3">
        <v>1.69</v>
      </c>
    </row>
    <row r="1793" spans="1:9" x14ac:dyDescent="0.25">
      <c r="A1793" s="9">
        <v>47123</v>
      </c>
      <c r="B1793" s="4">
        <v>59</v>
      </c>
      <c r="C1793" s="4">
        <v>59</v>
      </c>
      <c r="D1793" s="4">
        <v>14</v>
      </c>
      <c r="E1793" s="4">
        <v>59</v>
      </c>
      <c r="F1793" s="4">
        <v>1942</v>
      </c>
      <c r="G1793" s="4">
        <v>25.2</v>
      </c>
      <c r="H1793" s="3">
        <v>5</v>
      </c>
      <c r="I1793" s="3">
        <v>1.25</v>
      </c>
    </row>
    <row r="1794" spans="1:9" x14ac:dyDescent="0.25">
      <c r="A1794" s="9">
        <v>47125</v>
      </c>
      <c r="B1794" s="4">
        <v>272</v>
      </c>
      <c r="C1794" s="4">
        <v>234</v>
      </c>
      <c r="D1794" s="4">
        <v>21</v>
      </c>
      <c r="E1794" s="4">
        <v>234</v>
      </c>
      <c r="F1794" s="4">
        <v>9528</v>
      </c>
      <c r="G1794" s="4">
        <v>100.5</v>
      </c>
      <c r="H1794" s="3">
        <v>4.3</v>
      </c>
      <c r="I1794" s="3">
        <v>1.51</v>
      </c>
    </row>
    <row r="1795" spans="1:9" x14ac:dyDescent="0.25">
      <c r="A1795" s="9">
        <v>47131</v>
      </c>
      <c r="B1795" s="4">
        <v>78</v>
      </c>
      <c r="C1795" s="4">
        <v>63</v>
      </c>
      <c r="D1795" s="4">
        <v>14</v>
      </c>
      <c r="E1795" s="4">
        <v>63</v>
      </c>
      <c r="F1795" s="4">
        <v>2333</v>
      </c>
      <c r="G1795" s="4">
        <v>18.3</v>
      </c>
      <c r="H1795" s="3">
        <v>3.1</v>
      </c>
      <c r="I1795" s="3">
        <v>1.37</v>
      </c>
    </row>
    <row r="1796" spans="1:9" x14ac:dyDescent="0.25">
      <c r="A1796" s="9">
        <v>47133</v>
      </c>
      <c r="B1796" s="4">
        <v>54</v>
      </c>
      <c r="C1796" s="4">
        <v>90</v>
      </c>
      <c r="D1796" s="4">
        <v>6</v>
      </c>
      <c r="E1796" s="4">
        <v>90</v>
      </c>
      <c r="F1796" s="4">
        <v>1680</v>
      </c>
      <c r="G1796" s="4">
        <v>18</v>
      </c>
      <c r="H1796" s="3">
        <v>4.3</v>
      </c>
      <c r="I1796" s="3">
        <v>1.25</v>
      </c>
    </row>
    <row r="1797" spans="1:9" x14ac:dyDescent="0.25">
      <c r="A1797" s="9">
        <v>47135</v>
      </c>
      <c r="B1797" s="4">
        <v>15</v>
      </c>
      <c r="C1797" s="4">
        <v>21</v>
      </c>
      <c r="D1797" s="4">
        <v>14</v>
      </c>
      <c r="E1797" s="4">
        <v>21</v>
      </c>
      <c r="F1797" s="4">
        <v>334</v>
      </c>
      <c r="G1797" s="4">
        <v>4.5</v>
      </c>
      <c r="H1797" s="3">
        <v>5</v>
      </c>
      <c r="I1797" s="3">
        <v>0.95</v>
      </c>
    </row>
    <row r="1798" spans="1:9" x14ac:dyDescent="0.25">
      <c r="A1798" s="9">
        <v>47139</v>
      </c>
      <c r="B1798" s="4">
        <v>80</v>
      </c>
      <c r="C1798" s="4">
        <v>49</v>
      </c>
      <c r="D1798" s="4">
        <v>14</v>
      </c>
      <c r="E1798" s="4">
        <v>49</v>
      </c>
      <c r="F1798" s="4">
        <v>465</v>
      </c>
      <c r="G1798" s="4">
        <v>5.3</v>
      </c>
      <c r="H1798" s="3">
        <v>3.7</v>
      </c>
      <c r="I1798" s="3">
        <v>1</v>
      </c>
    </row>
    <row r="1799" spans="1:9" x14ac:dyDescent="0.25">
      <c r="A1799" s="9">
        <v>47141</v>
      </c>
      <c r="B1799" s="4">
        <v>367</v>
      </c>
      <c r="C1799" s="4">
        <v>211</v>
      </c>
      <c r="D1799" s="4">
        <v>38</v>
      </c>
      <c r="E1799" s="4">
        <v>211</v>
      </c>
      <c r="F1799" s="4">
        <v>13256</v>
      </c>
      <c r="G1799" s="4">
        <v>149.4</v>
      </c>
      <c r="H1799" s="3">
        <v>4.4000000000000004</v>
      </c>
      <c r="I1799" s="3">
        <v>1.78</v>
      </c>
    </row>
    <row r="1800" spans="1:9" x14ac:dyDescent="0.25">
      <c r="A1800" s="9">
        <v>47143</v>
      </c>
      <c r="B1800" s="4">
        <v>80</v>
      </c>
      <c r="C1800" s="4">
        <v>25</v>
      </c>
      <c r="D1800" s="4">
        <v>3</v>
      </c>
      <c r="E1800" s="4">
        <v>25</v>
      </c>
      <c r="F1800" s="4">
        <v>790</v>
      </c>
      <c r="G1800" s="4">
        <v>7.9</v>
      </c>
      <c r="H1800" s="3">
        <v>2.8</v>
      </c>
      <c r="I1800" s="3">
        <v>1.17</v>
      </c>
    </row>
    <row r="1801" spans="1:9" x14ac:dyDescent="0.25">
      <c r="A1801" s="9">
        <v>47145</v>
      </c>
      <c r="B1801" s="4">
        <v>74</v>
      </c>
      <c r="C1801" s="4">
        <v>52</v>
      </c>
      <c r="D1801" s="4">
        <v>6</v>
      </c>
      <c r="E1801" s="4">
        <v>52</v>
      </c>
      <c r="F1801" s="4">
        <v>2743</v>
      </c>
      <c r="G1801" s="4">
        <v>27.8</v>
      </c>
      <c r="H1801" s="3">
        <v>3.7</v>
      </c>
      <c r="I1801" s="3">
        <v>1.42</v>
      </c>
    </row>
    <row r="1802" spans="1:9" x14ac:dyDescent="0.25">
      <c r="A1802" s="9">
        <v>47147</v>
      </c>
      <c r="B1802" s="4">
        <v>158</v>
      </c>
      <c r="C1802" s="4">
        <v>109</v>
      </c>
      <c r="D1802" s="4">
        <v>8</v>
      </c>
      <c r="E1802" s="4">
        <v>109</v>
      </c>
      <c r="F1802" s="4">
        <v>2255</v>
      </c>
      <c r="G1802" s="4">
        <v>25.3</v>
      </c>
      <c r="H1802" s="3">
        <v>4.8</v>
      </c>
      <c r="I1802" s="3">
        <v>1.64</v>
      </c>
    </row>
    <row r="1803" spans="1:9" x14ac:dyDescent="0.25">
      <c r="A1803" s="9">
        <v>47149</v>
      </c>
      <c r="B1803" s="4">
        <v>543</v>
      </c>
      <c r="C1803" s="4">
        <v>414</v>
      </c>
      <c r="D1803" s="4">
        <v>78</v>
      </c>
      <c r="E1803" s="4">
        <v>412</v>
      </c>
      <c r="F1803" s="4">
        <v>25246</v>
      </c>
      <c r="G1803" s="4">
        <v>264.60000000000002</v>
      </c>
      <c r="H1803" s="3">
        <v>8.6666666666666661</v>
      </c>
      <c r="I1803" s="3">
        <v>1.5066666666666666</v>
      </c>
    </row>
    <row r="1804" spans="1:9" x14ac:dyDescent="0.25">
      <c r="A1804" s="9">
        <v>47151</v>
      </c>
      <c r="B1804" s="4">
        <v>27</v>
      </c>
      <c r="C1804" s="4">
        <v>25</v>
      </c>
      <c r="D1804" s="4">
        <v>14</v>
      </c>
      <c r="E1804" s="4">
        <v>25</v>
      </c>
      <c r="F1804" s="4">
        <v>427</v>
      </c>
      <c r="G1804" s="4">
        <v>4.5</v>
      </c>
      <c r="H1804" s="3">
        <v>3.8</v>
      </c>
      <c r="I1804" s="3">
        <v>1.17</v>
      </c>
    </row>
    <row r="1805" spans="1:9" x14ac:dyDescent="0.25">
      <c r="A1805" s="9">
        <v>47155</v>
      </c>
      <c r="B1805" s="4">
        <v>145</v>
      </c>
      <c r="C1805" s="4">
        <v>58</v>
      </c>
      <c r="D1805" s="4">
        <v>16</v>
      </c>
      <c r="E1805" s="4">
        <v>58</v>
      </c>
      <c r="F1805" s="4">
        <v>4538</v>
      </c>
      <c r="G1805" s="4">
        <v>38.700000000000003</v>
      </c>
      <c r="H1805" s="3">
        <v>3.5</v>
      </c>
      <c r="I1805" s="3">
        <v>1.44</v>
      </c>
    </row>
    <row r="1806" spans="1:9" x14ac:dyDescent="0.25">
      <c r="A1806" s="9">
        <v>47157</v>
      </c>
      <c r="B1806" s="4">
        <v>2933</v>
      </c>
      <c r="C1806" s="4">
        <v>3002</v>
      </c>
      <c r="D1806" s="4">
        <v>198</v>
      </c>
      <c r="E1806" s="4">
        <v>3062</v>
      </c>
      <c r="F1806" s="4">
        <v>131793</v>
      </c>
      <c r="G1806" s="4">
        <v>2022.5</v>
      </c>
      <c r="H1806" s="3">
        <v>6.5666666666666664</v>
      </c>
      <c r="I1806" s="3">
        <v>1.8366666666666667</v>
      </c>
    </row>
    <row r="1807" spans="1:9" x14ac:dyDescent="0.25">
      <c r="A1807" s="9">
        <v>47159</v>
      </c>
      <c r="B1807" s="4">
        <v>30</v>
      </c>
      <c r="C1807" s="4">
        <v>25</v>
      </c>
      <c r="D1807" s="4">
        <v>2</v>
      </c>
      <c r="E1807" s="4">
        <v>25</v>
      </c>
      <c r="F1807" s="4">
        <v>793</v>
      </c>
      <c r="G1807" s="4">
        <v>9.6</v>
      </c>
      <c r="H1807" s="3">
        <v>2.6</v>
      </c>
      <c r="I1807" s="3">
        <v>1.1499999999999999</v>
      </c>
    </row>
    <row r="1808" spans="1:9" x14ac:dyDescent="0.25">
      <c r="A1808" s="9">
        <v>47163</v>
      </c>
      <c r="B1808" s="4">
        <v>1032</v>
      </c>
      <c r="C1808" s="4">
        <v>696</v>
      </c>
      <c r="D1808" s="4">
        <v>92</v>
      </c>
      <c r="E1808" s="4">
        <v>696</v>
      </c>
      <c r="F1808" s="4">
        <v>37706</v>
      </c>
      <c r="G1808" s="4">
        <v>439.8</v>
      </c>
      <c r="H1808" s="3">
        <v>4.3666666666666663</v>
      </c>
      <c r="I1808" s="3">
        <v>1.7266666666666666</v>
      </c>
    </row>
    <row r="1809" spans="1:9" x14ac:dyDescent="0.25">
      <c r="A1809" s="9">
        <v>47165</v>
      </c>
      <c r="B1809" s="4">
        <v>484</v>
      </c>
      <c r="C1809" s="4">
        <v>255</v>
      </c>
      <c r="D1809" s="4">
        <v>38</v>
      </c>
      <c r="E1809" s="4">
        <v>255</v>
      </c>
      <c r="F1809" s="4">
        <v>14255</v>
      </c>
      <c r="G1809" s="4">
        <v>141.69999999999999</v>
      </c>
      <c r="H1809" s="3">
        <v>3.85</v>
      </c>
      <c r="I1809" s="3">
        <v>1.44</v>
      </c>
    </row>
    <row r="1810" spans="1:9" x14ac:dyDescent="0.25">
      <c r="A1810" s="9">
        <v>47167</v>
      </c>
      <c r="B1810" s="4">
        <v>88</v>
      </c>
      <c r="C1810" s="4">
        <v>47</v>
      </c>
      <c r="D1810" s="4">
        <v>14</v>
      </c>
      <c r="E1810" s="4">
        <v>47</v>
      </c>
      <c r="F1810" s="4">
        <v>1166</v>
      </c>
      <c r="G1810" s="4">
        <v>5.5</v>
      </c>
      <c r="H1810" s="3">
        <v>2.2000000000000002</v>
      </c>
      <c r="I1810" s="3">
        <v>1.18</v>
      </c>
    </row>
    <row r="1811" spans="1:9" x14ac:dyDescent="0.25">
      <c r="A1811" s="9">
        <v>47169</v>
      </c>
      <c r="B1811" s="4">
        <v>14</v>
      </c>
      <c r="C1811" s="4">
        <v>23</v>
      </c>
      <c r="D1811" s="4">
        <v>14</v>
      </c>
      <c r="E1811" s="4">
        <v>23</v>
      </c>
      <c r="F1811" s="4">
        <v>149</v>
      </c>
      <c r="G1811" s="4">
        <v>2.7</v>
      </c>
      <c r="H1811" s="3">
        <v>3</v>
      </c>
      <c r="I1811" s="3">
        <v>1.01</v>
      </c>
    </row>
    <row r="1812" spans="1:9" x14ac:dyDescent="0.25">
      <c r="A1812" s="9">
        <v>47171</v>
      </c>
      <c r="B1812" s="4">
        <v>32</v>
      </c>
      <c r="C1812" s="4">
        <v>10</v>
      </c>
      <c r="D1812" s="4">
        <v>14</v>
      </c>
      <c r="E1812" s="4">
        <v>10</v>
      </c>
      <c r="F1812" s="4">
        <v>442</v>
      </c>
      <c r="G1812" s="4">
        <v>3.8</v>
      </c>
      <c r="H1812" s="3">
        <v>3.2</v>
      </c>
      <c r="I1812" s="3">
        <v>1.17</v>
      </c>
    </row>
    <row r="1813" spans="1:9" x14ac:dyDescent="0.25">
      <c r="A1813" s="9">
        <v>47177</v>
      </c>
      <c r="B1813" s="4">
        <v>107</v>
      </c>
      <c r="C1813" s="4">
        <v>100</v>
      </c>
      <c r="D1813" s="4">
        <v>8</v>
      </c>
      <c r="E1813" s="4">
        <v>100</v>
      </c>
      <c r="F1813" s="4">
        <v>1824</v>
      </c>
      <c r="G1813" s="4">
        <v>12.3</v>
      </c>
      <c r="H1813" s="3">
        <v>2.9</v>
      </c>
      <c r="I1813" s="3">
        <v>1.34</v>
      </c>
    </row>
    <row r="1814" spans="1:9" x14ac:dyDescent="0.25">
      <c r="A1814" s="9">
        <v>47179</v>
      </c>
      <c r="B1814" s="4">
        <v>707</v>
      </c>
      <c r="C1814" s="4">
        <v>594</v>
      </c>
      <c r="D1814" s="4">
        <v>76</v>
      </c>
      <c r="E1814" s="4">
        <v>525</v>
      </c>
      <c r="F1814" s="4">
        <v>32197</v>
      </c>
      <c r="G1814" s="4">
        <v>417.8</v>
      </c>
      <c r="H1814" s="3">
        <v>4.333333333333333</v>
      </c>
      <c r="I1814" s="3">
        <v>1.5550000000000002</v>
      </c>
    </row>
    <row r="1815" spans="1:9" x14ac:dyDescent="0.25">
      <c r="A1815" s="9">
        <v>47181</v>
      </c>
      <c r="B1815" s="4">
        <v>24</v>
      </c>
      <c r="C1815" s="4">
        <v>30</v>
      </c>
      <c r="D1815" s="4">
        <v>14</v>
      </c>
      <c r="E1815" s="4">
        <v>30</v>
      </c>
      <c r="F1815" s="4">
        <v>435</v>
      </c>
      <c r="G1815" s="4">
        <v>7.5</v>
      </c>
      <c r="H1815" s="3">
        <v>6.3</v>
      </c>
      <c r="I1815" s="3">
        <v>1.04</v>
      </c>
    </row>
    <row r="1816" spans="1:9" x14ac:dyDescent="0.25">
      <c r="A1816" s="9">
        <v>47183</v>
      </c>
      <c r="B1816" s="4">
        <v>53</v>
      </c>
      <c r="C1816" s="4">
        <v>38</v>
      </c>
      <c r="D1816" s="4">
        <v>6</v>
      </c>
      <c r="E1816" s="4">
        <v>38</v>
      </c>
      <c r="F1816" s="4">
        <v>1171</v>
      </c>
      <c r="G1816" s="4">
        <v>7.2</v>
      </c>
      <c r="H1816" s="3">
        <v>2.8</v>
      </c>
      <c r="I1816" s="3">
        <v>1.26</v>
      </c>
    </row>
    <row r="1817" spans="1:9" x14ac:dyDescent="0.25">
      <c r="A1817" s="9">
        <v>47185</v>
      </c>
      <c r="B1817" s="4">
        <v>43</v>
      </c>
      <c r="C1817" s="4">
        <v>32</v>
      </c>
      <c r="D1817" s="4">
        <v>4</v>
      </c>
      <c r="E1817" s="4">
        <v>32</v>
      </c>
      <c r="F1817" s="4">
        <v>478</v>
      </c>
      <c r="G1817" s="4">
        <v>3.7</v>
      </c>
      <c r="H1817" s="3">
        <v>2.9</v>
      </c>
      <c r="I1817" s="3">
        <v>1.28</v>
      </c>
    </row>
    <row r="1818" spans="1:9" x14ac:dyDescent="0.25">
      <c r="A1818" s="9">
        <v>47187</v>
      </c>
      <c r="B1818" s="4">
        <v>359</v>
      </c>
      <c r="C1818" s="4">
        <v>185</v>
      </c>
      <c r="D1818" s="4">
        <v>28</v>
      </c>
      <c r="E1818" s="4">
        <v>185</v>
      </c>
      <c r="F1818" s="4">
        <v>8523</v>
      </c>
      <c r="G1818" s="4">
        <v>86</v>
      </c>
      <c r="H1818" s="3">
        <v>4</v>
      </c>
      <c r="I1818" s="3">
        <v>1.85</v>
      </c>
    </row>
    <row r="1819" spans="1:9" x14ac:dyDescent="0.25">
      <c r="A1819" s="9">
        <v>47189</v>
      </c>
      <c r="B1819" s="4">
        <v>108</v>
      </c>
      <c r="C1819" s="4">
        <v>170</v>
      </c>
      <c r="D1819" s="4">
        <v>12</v>
      </c>
      <c r="E1819" s="4">
        <v>170</v>
      </c>
      <c r="F1819" s="4">
        <v>3402</v>
      </c>
      <c r="G1819" s="4">
        <v>34.299999999999997</v>
      </c>
      <c r="H1819" s="3">
        <v>3.9</v>
      </c>
      <c r="I1819" s="3">
        <v>1.49</v>
      </c>
    </row>
    <row r="1820" spans="1:9" x14ac:dyDescent="0.25">
      <c r="A1820" s="9">
        <v>48001</v>
      </c>
      <c r="B1820" s="4">
        <v>86</v>
      </c>
      <c r="C1820" s="4">
        <v>116</v>
      </c>
      <c r="D1820" s="4">
        <v>10</v>
      </c>
      <c r="E1820" s="4">
        <v>150</v>
      </c>
      <c r="F1820" s="4">
        <v>3425</v>
      </c>
      <c r="G1820" s="4">
        <v>49.6</v>
      </c>
      <c r="H1820" s="3">
        <v>5.6</v>
      </c>
      <c r="I1820" s="3">
        <v>1.32</v>
      </c>
    </row>
    <row r="1821" spans="1:9" x14ac:dyDescent="0.25">
      <c r="A1821" s="9">
        <v>48003</v>
      </c>
      <c r="B1821" s="4">
        <v>36</v>
      </c>
      <c r="C1821" s="4">
        <v>30</v>
      </c>
      <c r="D1821" s="4">
        <v>14</v>
      </c>
      <c r="E1821" s="4">
        <v>30</v>
      </c>
      <c r="F1821" s="4">
        <v>1135</v>
      </c>
      <c r="G1821" s="4">
        <v>3.9</v>
      </c>
      <c r="H1821" s="3">
        <v>1.7</v>
      </c>
      <c r="I1821" s="3">
        <v>1.26</v>
      </c>
    </row>
    <row r="1822" spans="1:9" x14ac:dyDescent="0.25">
      <c r="A1822" s="9">
        <v>48005</v>
      </c>
      <c r="B1822" s="4">
        <v>251</v>
      </c>
      <c r="C1822" s="4">
        <v>317</v>
      </c>
      <c r="D1822" s="4">
        <v>39</v>
      </c>
      <c r="E1822" s="4">
        <v>317</v>
      </c>
      <c r="F1822" s="4">
        <v>11526</v>
      </c>
      <c r="G1822" s="4">
        <v>168.2</v>
      </c>
      <c r="H1822" s="3">
        <v>4.5999999999999996</v>
      </c>
      <c r="I1822" s="3">
        <v>1.73</v>
      </c>
    </row>
    <row r="1823" spans="1:9" x14ac:dyDescent="0.25">
      <c r="A1823" s="9">
        <v>48013</v>
      </c>
      <c r="B1823" s="4">
        <v>60</v>
      </c>
      <c r="C1823" s="4">
        <v>67</v>
      </c>
      <c r="D1823" s="4">
        <v>6</v>
      </c>
      <c r="E1823" s="4">
        <v>67</v>
      </c>
      <c r="F1823" s="4">
        <v>1711</v>
      </c>
      <c r="G1823" s="4">
        <v>13.5</v>
      </c>
      <c r="H1823" s="3">
        <v>3.1</v>
      </c>
      <c r="I1823" s="3">
        <v>1.27</v>
      </c>
    </row>
    <row r="1824" spans="1:9" x14ac:dyDescent="0.25">
      <c r="A1824" s="9">
        <v>48015</v>
      </c>
      <c r="B1824" s="4">
        <v>28</v>
      </c>
      <c r="C1824" s="4">
        <v>32</v>
      </c>
      <c r="D1824" s="4">
        <v>14</v>
      </c>
      <c r="E1824" s="4">
        <v>32</v>
      </c>
      <c r="F1824" s="4">
        <v>101</v>
      </c>
      <c r="G1824" s="4">
        <v>2.2999999999999998</v>
      </c>
      <c r="H1824" s="3">
        <v>8.4</v>
      </c>
      <c r="I1824" s="3">
        <v>0.99</v>
      </c>
    </row>
    <row r="1825" spans="1:9" x14ac:dyDescent="0.25">
      <c r="A1825" s="9">
        <v>48017</v>
      </c>
      <c r="B1825" s="4">
        <v>10</v>
      </c>
      <c r="C1825" s="4">
        <v>25</v>
      </c>
      <c r="D1825" s="4">
        <v>14</v>
      </c>
      <c r="E1825" s="4">
        <v>25</v>
      </c>
      <c r="F1825" s="4">
        <v>162</v>
      </c>
      <c r="G1825" s="4">
        <v>3.9</v>
      </c>
      <c r="H1825" s="3">
        <v>3.1</v>
      </c>
      <c r="I1825" s="3">
        <v>0.97</v>
      </c>
    </row>
    <row r="1826" spans="1:9" x14ac:dyDescent="0.25">
      <c r="A1826" s="9">
        <v>48021</v>
      </c>
      <c r="B1826" s="4">
        <v>56</v>
      </c>
      <c r="C1826" s="4">
        <v>8</v>
      </c>
      <c r="D1826" s="4">
        <v>14</v>
      </c>
      <c r="E1826" s="4">
        <v>8</v>
      </c>
      <c r="F1826" s="4">
        <v>956</v>
      </c>
      <c r="G1826" s="4">
        <v>8.4</v>
      </c>
      <c r="H1826" s="3">
        <v>3.2</v>
      </c>
      <c r="I1826" s="3">
        <v>1.07</v>
      </c>
    </row>
    <row r="1827" spans="1:9" x14ac:dyDescent="0.25">
      <c r="A1827" s="9">
        <v>48023</v>
      </c>
      <c r="B1827" s="4">
        <v>11</v>
      </c>
      <c r="C1827" s="4">
        <v>27</v>
      </c>
      <c r="D1827" s="4">
        <v>14</v>
      </c>
      <c r="E1827" s="4">
        <v>27</v>
      </c>
      <c r="F1827" s="4">
        <v>271</v>
      </c>
      <c r="G1827" s="4">
        <v>5.0999999999999996</v>
      </c>
      <c r="H1827" s="3">
        <v>7.1</v>
      </c>
      <c r="I1827" s="3">
        <v>1.1499999999999999</v>
      </c>
    </row>
    <row r="1828" spans="1:9" x14ac:dyDescent="0.25">
      <c r="A1828" s="9">
        <v>48025</v>
      </c>
      <c r="B1828" s="4">
        <v>48</v>
      </c>
      <c r="C1828" s="4">
        <v>40</v>
      </c>
      <c r="D1828" s="4">
        <v>8</v>
      </c>
      <c r="E1828" s="4">
        <v>40</v>
      </c>
      <c r="F1828" s="4">
        <v>1662</v>
      </c>
      <c r="G1828" s="4">
        <v>13.3</v>
      </c>
      <c r="H1828" s="3">
        <v>3.1</v>
      </c>
      <c r="I1828" s="3">
        <v>1.22</v>
      </c>
    </row>
    <row r="1829" spans="1:9" x14ac:dyDescent="0.25">
      <c r="A1829" s="9">
        <v>48027</v>
      </c>
      <c r="B1829" s="4">
        <v>1814</v>
      </c>
      <c r="C1829" s="4">
        <v>882</v>
      </c>
      <c r="D1829" s="4">
        <v>90</v>
      </c>
      <c r="E1829" s="4">
        <v>822</v>
      </c>
      <c r="F1829" s="4">
        <v>47524</v>
      </c>
      <c r="G1829" s="4">
        <v>544.6</v>
      </c>
      <c r="H1829" s="3">
        <v>3.6666666666666665</v>
      </c>
      <c r="I1829" s="3">
        <v>1.6666666666666667</v>
      </c>
    </row>
    <row r="1830" spans="1:9" x14ac:dyDescent="0.25">
      <c r="A1830" s="9">
        <v>48029</v>
      </c>
      <c r="B1830" s="4">
        <v>4783</v>
      </c>
      <c r="C1830" s="4">
        <v>4610</v>
      </c>
      <c r="D1830" s="4">
        <v>473</v>
      </c>
      <c r="E1830" s="4">
        <v>6661</v>
      </c>
      <c r="F1830" s="4">
        <v>226048</v>
      </c>
      <c r="G1830" s="4">
        <v>2979.2000000000003</v>
      </c>
      <c r="H1830" s="3">
        <v>14.476923076923079</v>
      </c>
      <c r="I1830" s="3">
        <v>1.8438461538461537</v>
      </c>
    </row>
    <row r="1831" spans="1:9" x14ac:dyDescent="0.25">
      <c r="A1831" s="9">
        <v>48035</v>
      </c>
      <c r="B1831" s="4">
        <v>26</v>
      </c>
      <c r="C1831" s="4">
        <v>25</v>
      </c>
      <c r="D1831" s="4">
        <v>14</v>
      </c>
      <c r="E1831" s="4">
        <v>25</v>
      </c>
      <c r="F1831" s="4">
        <v>362</v>
      </c>
      <c r="G1831" s="4">
        <v>8.4</v>
      </c>
      <c r="H1831" s="3">
        <v>3.5</v>
      </c>
      <c r="I1831" s="3">
        <v>1.02</v>
      </c>
    </row>
    <row r="1832" spans="1:9" x14ac:dyDescent="0.25">
      <c r="A1832" s="9">
        <v>48037</v>
      </c>
      <c r="B1832" s="4">
        <v>423</v>
      </c>
      <c r="C1832" s="4">
        <v>539</v>
      </c>
      <c r="D1832" s="4">
        <v>58</v>
      </c>
      <c r="E1832" s="4">
        <v>539</v>
      </c>
      <c r="F1832" s="4">
        <v>20437</v>
      </c>
      <c r="G1832" s="4">
        <v>232.29999999999998</v>
      </c>
      <c r="H1832" s="3">
        <v>4.5999999999999996</v>
      </c>
      <c r="I1832" s="3">
        <v>1.7450000000000001</v>
      </c>
    </row>
    <row r="1833" spans="1:9" x14ac:dyDescent="0.25">
      <c r="A1833" s="9">
        <v>48039</v>
      </c>
      <c r="B1833" s="4">
        <v>188</v>
      </c>
      <c r="C1833" s="4">
        <v>143</v>
      </c>
      <c r="D1833" s="4">
        <v>16</v>
      </c>
      <c r="E1833" s="4">
        <v>207</v>
      </c>
      <c r="F1833" s="4">
        <v>6624</v>
      </c>
      <c r="G1833" s="4">
        <v>72.900000000000006</v>
      </c>
      <c r="H1833" s="3">
        <v>3.3000000000000003</v>
      </c>
      <c r="I1833" s="3">
        <v>1.3833333333333335</v>
      </c>
    </row>
    <row r="1834" spans="1:9" x14ac:dyDescent="0.25">
      <c r="A1834" s="9">
        <v>48041</v>
      </c>
      <c r="B1834" s="4">
        <v>834</v>
      </c>
      <c r="C1834" s="4">
        <v>458</v>
      </c>
      <c r="D1834" s="4">
        <v>48</v>
      </c>
      <c r="E1834" s="4">
        <v>458</v>
      </c>
      <c r="F1834" s="4">
        <v>24911</v>
      </c>
      <c r="G1834" s="4">
        <v>241.5</v>
      </c>
      <c r="H1834" s="3">
        <v>3.2750000000000004</v>
      </c>
      <c r="I1834" s="3">
        <v>2.0350000000000001</v>
      </c>
    </row>
    <row r="1835" spans="1:9" x14ac:dyDescent="0.25">
      <c r="A1835" s="9">
        <v>48043</v>
      </c>
      <c r="B1835" s="4">
        <v>22</v>
      </c>
      <c r="C1835" s="4">
        <v>25</v>
      </c>
      <c r="D1835" s="4">
        <v>3</v>
      </c>
      <c r="E1835" s="4">
        <v>25</v>
      </c>
      <c r="F1835" s="4">
        <v>635</v>
      </c>
      <c r="G1835" s="4">
        <v>7.4</v>
      </c>
      <c r="H1835" s="3">
        <v>2.8</v>
      </c>
      <c r="I1835" s="3">
        <v>1.1200000000000001</v>
      </c>
    </row>
    <row r="1836" spans="1:9" x14ac:dyDescent="0.25">
      <c r="A1836" s="9">
        <v>48049</v>
      </c>
      <c r="B1836" s="4">
        <v>96</v>
      </c>
      <c r="C1836" s="4">
        <v>63</v>
      </c>
      <c r="D1836" s="4">
        <v>12</v>
      </c>
      <c r="E1836" s="4">
        <v>63</v>
      </c>
      <c r="F1836" s="4">
        <v>2777</v>
      </c>
      <c r="G1836" s="4">
        <v>24.1</v>
      </c>
      <c r="H1836" s="3">
        <v>4</v>
      </c>
      <c r="I1836" s="3">
        <v>1.64</v>
      </c>
    </row>
    <row r="1837" spans="1:9" x14ac:dyDescent="0.25">
      <c r="A1837" s="9">
        <v>48051</v>
      </c>
      <c r="B1837" s="4">
        <v>8</v>
      </c>
      <c r="C1837" s="4">
        <v>15</v>
      </c>
      <c r="D1837" s="4">
        <v>14</v>
      </c>
      <c r="E1837" s="4">
        <v>15</v>
      </c>
      <c r="F1837" s="4">
        <v>64</v>
      </c>
      <c r="G1837" s="4">
        <v>5.4</v>
      </c>
      <c r="H1837" s="3">
        <v>3.6</v>
      </c>
      <c r="I1837" s="3">
        <v>1</v>
      </c>
    </row>
    <row r="1838" spans="1:9" x14ac:dyDescent="0.25">
      <c r="A1838" s="9">
        <v>48053</v>
      </c>
      <c r="B1838" s="4">
        <v>189</v>
      </c>
      <c r="C1838" s="4">
        <v>71</v>
      </c>
      <c r="D1838" s="4">
        <v>12</v>
      </c>
      <c r="E1838" s="4">
        <v>71</v>
      </c>
      <c r="F1838" s="4">
        <v>3247</v>
      </c>
      <c r="G1838" s="4">
        <v>27.4</v>
      </c>
      <c r="H1838" s="3">
        <v>2.75</v>
      </c>
      <c r="I1838" s="3">
        <v>1.37</v>
      </c>
    </row>
    <row r="1839" spans="1:9" x14ac:dyDescent="0.25">
      <c r="A1839" s="9">
        <v>48055</v>
      </c>
      <c r="B1839" s="4">
        <v>38</v>
      </c>
      <c r="C1839" s="4">
        <v>23</v>
      </c>
      <c r="D1839" s="4">
        <v>14</v>
      </c>
      <c r="E1839" s="4">
        <v>23</v>
      </c>
      <c r="F1839" s="4">
        <v>600</v>
      </c>
      <c r="G1839" s="4">
        <v>7</v>
      </c>
      <c r="H1839" s="3">
        <v>3.1</v>
      </c>
      <c r="I1839" s="3">
        <v>0.99</v>
      </c>
    </row>
    <row r="1840" spans="1:9" x14ac:dyDescent="0.25">
      <c r="A1840" s="9">
        <v>48057</v>
      </c>
      <c r="B1840" s="4">
        <v>41</v>
      </c>
      <c r="C1840" s="4">
        <v>25</v>
      </c>
      <c r="D1840" s="4">
        <v>6</v>
      </c>
      <c r="E1840" s="4">
        <v>25</v>
      </c>
      <c r="F1840" s="4">
        <v>841</v>
      </c>
      <c r="G1840" s="4">
        <v>9.5</v>
      </c>
      <c r="H1840" s="3">
        <v>3</v>
      </c>
      <c r="I1840" s="3">
        <v>1.04</v>
      </c>
    </row>
    <row r="1841" spans="1:9" x14ac:dyDescent="0.25">
      <c r="A1841" s="9">
        <v>48061</v>
      </c>
      <c r="B1841" s="4">
        <v>631</v>
      </c>
      <c r="C1841" s="4">
        <v>947</v>
      </c>
      <c r="D1841" s="4">
        <v>96</v>
      </c>
      <c r="E1841" s="4">
        <v>947</v>
      </c>
      <c r="F1841" s="4">
        <v>43234</v>
      </c>
      <c r="G1841" s="4">
        <v>508</v>
      </c>
      <c r="H1841" s="3">
        <v>4.4400000000000004</v>
      </c>
      <c r="I1841" s="3">
        <v>1.7699999999999998</v>
      </c>
    </row>
    <row r="1842" spans="1:9" x14ac:dyDescent="0.25">
      <c r="A1842" s="9">
        <v>48063</v>
      </c>
      <c r="B1842" s="4">
        <v>25</v>
      </c>
      <c r="C1842" s="4">
        <v>25</v>
      </c>
      <c r="D1842" s="4">
        <v>14</v>
      </c>
      <c r="E1842" s="4">
        <v>25</v>
      </c>
      <c r="F1842" s="4">
        <v>630</v>
      </c>
      <c r="G1842" s="4">
        <v>8.1999999999999993</v>
      </c>
      <c r="H1842" s="3">
        <v>2.2999999999999998</v>
      </c>
      <c r="I1842" s="3">
        <v>1.07</v>
      </c>
    </row>
    <row r="1843" spans="1:9" x14ac:dyDescent="0.25">
      <c r="A1843" s="9">
        <v>48067</v>
      </c>
      <c r="B1843" s="4">
        <v>4</v>
      </c>
      <c r="C1843" s="4">
        <v>49</v>
      </c>
      <c r="D1843" s="4">
        <v>14</v>
      </c>
      <c r="E1843" s="4">
        <v>43</v>
      </c>
      <c r="F1843" s="4">
        <v>189</v>
      </c>
      <c r="G1843" s="4">
        <v>3.4</v>
      </c>
      <c r="H1843" s="3">
        <v>2</v>
      </c>
      <c r="I1843" s="3">
        <v>1</v>
      </c>
    </row>
    <row r="1844" spans="1:9" x14ac:dyDescent="0.25">
      <c r="A1844" s="9">
        <v>48069</v>
      </c>
      <c r="B1844" s="4">
        <v>10</v>
      </c>
      <c r="C1844" s="4">
        <v>17</v>
      </c>
      <c r="D1844" s="4">
        <v>14</v>
      </c>
      <c r="E1844" s="4">
        <v>17</v>
      </c>
      <c r="F1844" s="4">
        <v>58</v>
      </c>
      <c r="G1844" s="4">
        <v>4.2</v>
      </c>
      <c r="H1844" s="3">
        <v>3.7</v>
      </c>
      <c r="I1844" s="3">
        <v>0.92</v>
      </c>
    </row>
    <row r="1845" spans="1:9" x14ac:dyDescent="0.25">
      <c r="A1845" s="9">
        <v>48071</v>
      </c>
      <c r="B1845" s="4">
        <v>95</v>
      </c>
      <c r="C1845" s="4">
        <v>39</v>
      </c>
      <c r="D1845" s="4">
        <v>14</v>
      </c>
      <c r="E1845" s="4">
        <v>39</v>
      </c>
      <c r="F1845" s="4">
        <v>330</v>
      </c>
      <c r="G1845" s="4">
        <v>3.8</v>
      </c>
      <c r="H1845" s="3">
        <v>3.3</v>
      </c>
      <c r="I1845" s="3">
        <v>0.89500000000000002</v>
      </c>
    </row>
    <row r="1846" spans="1:9" x14ac:dyDescent="0.25">
      <c r="A1846" s="9">
        <v>48073</v>
      </c>
      <c r="B1846" s="4">
        <v>75</v>
      </c>
      <c r="C1846" s="4">
        <v>55</v>
      </c>
      <c r="D1846" s="4">
        <v>14</v>
      </c>
      <c r="E1846" s="4">
        <v>55</v>
      </c>
      <c r="F1846" s="4">
        <v>1993</v>
      </c>
      <c r="G1846" s="4">
        <v>18.3</v>
      </c>
      <c r="H1846" s="3">
        <v>2.9</v>
      </c>
      <c r="I1846" s="3">
        <v>1.2349999999999999</v>
      </c>
    </row>
    <row r="1847" spans="1:9" x14ac:dyDescent="0.25">
      <c r="A1847" s="9">
        <v>48075</v>
      </c>
      <c r="B1847" s="4">
        <v>17</v>
      </c>
      <c r="C1847" s="4">
        <v>37</v>
      </c>
      <c r="D1847" s="4">
        <v>14</v>
      </c>
      <c r="E1847" s="4">
        <v>37</v>
      </c>
      <c r="F1847" s="4">
        <v>519</v>
      </c>
      <c r="G1847" s="4">
        <v>6.2</v>
      </c>
      <c r="H1847" s="3">
        <v>5</v>
      </c>
      <c r="I1847" s="3">
        <v>1.22</v>
      </c>
    </row>
    <row r="1848" spans="1:9" x14ac:dyDescent="0.25">
      <c r="A1848" s="9">
        <v>48077</v>
      </c>
      <c r="B1848" s="4">
        <v>8</v>
      </c>
      <c r="C1848" s="4">
        <v>25</v>
      </c>
      <c r="D1848" s="4">
        <v>14</v>
      </c>
      <c r="E1848" s="4">
        <v>25</v>
      </c>
      <c r="F1848" s="4">
        <v>142</v>
      </c>
      <c r="G1848" s="4">
        <v>1.4</v>
      </c>
      <c r="H1848" s="3">
        <v>2.5</v>
      </c>
      <c r="I1848" s="3">
        <v>0.98</v>
      </c>
    </row>
    <row r="1849" spans="1:9" x14ac:dyDescent="0.25">
      <c r="A1849" s="9">
        <v>48079</v>
      </c>
      <c r="B1849" s="4">
        <v>1</v>
      </c>
      <c r="C1849" s="4">
        <v>18</v>
      </c>
      <c r="D1849" s="4">
        <v>14</v>
      </c>
      <c r="E1849" s="4">
        <v>18</v>
      </c>
      <c r="F1849" s="4">
        <v>5</v>
      </c>
      <c r="G1849" s="4">
        <v>0</v>
      </c>
      <c r="H1849" s="3">
        <v>3.6</v>
      </c>
      <c r="I1849" s="3">
        <v>0.83</v>
      </c>
    </row>
    <row r="1850" spans="1:9" x14ac:dyDescent="0.25">
      <c r="A1850" s="9">
        <v>48083</v>
      </c>
      <c r="B1850" s="4">
        <v>7</v>
      </c>
      <c r="C1850" s="4">
        <v>25</v>
      </c>
      <c r="D1850" s="4">
        <v>14</v>
      </c>
      <c r="E1850" s="4">
        <v>25</v>
      </c>
      <c r="F1850" s="4">
        <v>499</v>
      </c>
      <c r="G1850" s="4">
        <v>8.4</v>
      </c>
      <c r="H1850" s="3">
        <v>3.1</v>
      </c>
      <c r="I1850" s="3">
        <v>0.86</v>
      </c>
    </row>
    <row r="1851" spans="1:9" x14ac:dyDescent="0.25">
      <c r="A1851" s="9">
        <v>48085</v>
      </c>
      <c r="B1851" s="4">
        <v>2515</v>
      </c>
      <c r="C1851" s="4">
        <v>1497</v>
      </c>
      <c r="D1851" s="4">
        <v>94</v>
      </c>
      <c r="E1851" s="4">
        <v>1504</v>
      </c>
      <c r="F1851" s="4">
        <v>84971</v>
      </c>
      <c r="G1851" s="4">
        <v>1007.1999999999999</v>
      </c>
      <c r="H1851" s="3">
        <v>4.0454545454545459</v>
      </c>
      <c r="I1851" s="3">
        <v>2.0940000000000003</v>
      </c>
    </row>
    <row r="1852" spans="1:9" x14ac:dyDescent="0.25">
      <c r="A1852" s="9">
        <v>48087</v>
      </c>
      <c r="B1852" s="4">
        <v>5</v>
      </c>
      <c r="C1852" s="4">
        <v>13</v>
      </c>
      <c r="D1852" s="4">
        <v>14</v>
      </c>
      <c r="E1852" s="4">
        <v>13</v>
      </c>
      <c r="F1852" s="4">
        <v>107</v>
      </c>
      <c r="G1852" s="4">
        <v>2.2000000000000002</v>
      </c>
      <c r="H1852" s="3">
        <v>2.9</v>
      </c>
      <c r="I1852" s="3">
        <v>0.98</v>
      </c>
    </row>
    <row r="1853" spans="1:9" x14ac:dyDescent="0.25">
      <c r="A1853" s="9">
        <v>48089</v>
      </c>
      <c r="B1853" s="4">
        <v>63</v>
      </c>
      <c r="C1853" s="4">
        <v>61</v>
      </c>
      <c r="D1853" s="4">
        <v>14</v>
      </c>
      <c r="E1853" s="4">
        <v>61</v>
      </c>
      <c r="F1853" s="4">
        <v>1847</v>
      </c>
      <c r="G1853" s="4">
        <v>19.8</v>
      </c>
      <c r="H1853" s="3">
        <v>3.6750000000000003</v>
      </c>
      <c r="I1853" s="3">
        <v>1.0349999999999999</v>
      </c>
    </row>
    <row r="1854" spans="1:9" x14ac:dyDescent="0.25">
      <c r="A1854" s="9">
        <v>48091</v>
      </c>
      <c r="B1854" s="4">
        <v>117</v>
      </c>
      <c r="C1854" s="4">
        <v>112</v>
      </c>
      <c r="D1854" s="4">
        <v>16</v>
      </c>
      <c r="E1854" s="4">
        <v>244</v>
      </c>
      <c r="F1854" s="4">
        <v>4420</v>
      </c>
      <c r="G1854" s="4">
        <v>43.5</v>
      </c>
      <c r="H1854" s="3">
        <v>3.9</v>
      </c>
      <c r="I1854" s="3">
        <v>1.55</v>
      </c>
    </row>
    <row r="1855" spans="1:9" x14ac:dyDescent="0.25">
      <c r="A1855" s="9">
        <v>48093</v>
      </c>
      <c r="B1855" s="4">
        <v>22</v>
      </c>
      <c r="C1855" s="4">
        <v>25</v>
      </c>
      <c r="D1855" s="4">
        <v>14</v>
      </c>
      <c r="E1855" s="4">
        <v>25</v>
      </c>
      <c r="F1855" s="4">
        <v>580</v>
      </c>
      <c r="G1855" s="4">
        <v>7.3</v>
      </c>
      <c r="H1855" s="3">
        <v>3.8</v>
      </c>
      <c r="I1855" s="3">
        <v>0.96</v>
      </c>
    </row>
    <row r="1856" spans="1:9" x14ac:dyDescent="0.25">
      <c r="A1856" s="9">
        <v>48095</v>
      </c>
      <c r="B1856" s="4">
        <v>9</v>
      </c>
      <c r="C1856" s="4">
        <v>16</v>
      </c>
      <c r="D1856" s="4">
        <v>14</v>
      </c>
      <c r="E1856" s="4">
        <v>16</v>
      </c>
      <c r="F1856" s="4">
        <v>58</v>
      </c>
      <c r="G1856" s="4">
        <v>0.9</v>
      </c>
      <c r="H1856" s="3">
        <v>3.2</v>
      </c>
      <c r="I1856" s="3">
        <v>0.9</v>
      </c>
    </row>
    <row r="1857" spans="1:9" x14ac:dyDescent="0.25">
      <c r="A1857" s="9">
        <v>48097</v>
      </c>
      <c r="B1857" s="4">
        <v>73</v>
      </c>
      <c r="C1857" s="4">
        <v>54</v>
      </c>
      <c r="D1857" s="4">
        <v>5</v>
      </c>
      <c r="E1857" s="4">
        <v>54</v>
      </c>
      <c r="F1857" s="4">
        <v>1697</v>
      </c>
      <c r="G1857" s="4">
        <v>24.5</v>
      </c>
      <c r="H1857" s="3">
        <v>3.45</v>
      </c>
      <c r="I1857" s="3">
        <v>1.1399999999999999</v>
      </c>
    </row>
    <row r="1858" spans="1:9" x14ac:dyDescent="0.25">
      <c r="A1858" s="9">
        <v>48099</v>
      </c>
      <c r="B1858" s="4">
        <v>45</v>
      </c>
      <c r="C1858" s="4">
        <v>25</v>
      </c>
      <c r="D1858" s="4">
        <v>4</v>
      </c>
      <c r="E1858" s="4">
        <v>25</v>
      </c>
      <c r="F1858" s="4">
        <v>771</v>
      </c>
      <c r="G1858" s="4">
        <v>7</v>
      </c>
      <c r="H1858" s="3">
        <v>2.4</v>
      </c>
      <c r="I1858" s="3">
        <v>1.2</v>
      </c>
    </row>
    <row r="1859" spans="1:9" x14ac:dyDescent="0.25">
      <c r="A1859" s="9">
        <v>48103</v>
      </c>
      <c r="B1859" s="4">
        <v>3</v>
      </c>
      <c r="C1859" s="4">
        <v>25</v>
      </c>
      <c r="D1859" s="4">
        <v>14</v>
      </c>
      <c r="E1859" s="4">
        <v>25</v>
      </c>
      <c r="F1859" s="4">
        <v>70</v>
      </c>
      <c r="G1859" s="4">
        <v>1.8</v>
      </c>
      <c r="H1859" s="3">
        <v>4</v>
      </c>
      <c r="I1859" s="3">
        <v>0.93</v>
      </c>
    </row>
    <row r="1860" spans="1:9" x14ac:dyDescent="0.25">
      <c r="A1860" s="9">
        <v>48107</v>
      </c>
      <c r="B1860" s="4">
        <v>5</v>
      </c>
      <c r="C1860" s="4">
        <v>25</v>
      </c>
      <c r="D1860" s="4">
        <v>14</v>
      </c>
      <c r="E1860" s="4">
        <v>25</v>
      </c>
      <c r="F1860" s="4">
        <v>116</v>
      </c>
      <c r="G1860" s="4">
        <v>1.8</v>
      </c>
      <c r="H1860" s="3">
        <v>3.5</v>
      </c>
      <c r="I1860" s="3">
        <v>0.99</v>
      </c>
    </row>
    <row r="1861" spans="1:9" x14ac:dyDescent="0.25">
      <c r="A1861" s="9">
        <v>48109</v>
      </c>
      <c r="B1861" s="4">
        <v>8</v>
      </c>
      <c r="C1861" s="4">
        <v>14</v>
      </c>
      <c r="D1861" s="4">
        <v>14</v>
      </c>
      <c r="E1861" s="4">
        <v>14</v>
      </c>
      <c r="F1861" s="4">
        <v>113</v>
      </c>
      <c r="G1861" s="4">
        <v>2.9</v>
      </c>
      <c r="H1861" s="3">
        <v>4.0999999999999996</v>
      </c>
      <c r="I1861" s="3">
        <v>0.95</v>
      </c>
    </row>
    <row r="1862" spans="1:9" x14ac:dyDescent="0.25">
      <c r="A1862" s="9">
        <v>48111</v>
      </c>
      <c r="B1862" s="4">
        <v>15</v>
      </c>
      <c r="C1862" s="4">
        <v>21</v>
      </c>
      <c r="D1862" s="4">
        <v>14</v>
      </c>
      <c r="E1862" s="4">
        <v>21</v>
      </c>
      <c r="F1862" s="4">
        <v>343</v>
      </c>
      <c r="G1862" s="4">
        <v>5.5</v>
      </c>
      <c r="H1862" s="3">
        <v>3.6</v>
      </c>
      <c r="I1862" s="3">
        <v>0.97</v>
      </c>
    </row>
    <row r="1863" spans="1:9" x14ac:dyDescent="0.25">
      <c r="A1863" s="9">
        <v>48113</v>
      </c>
      <c r="B1863" s="4">
        <v>7936</v>
      </c>
      <c r="C1863" s="4">
        <v>5593</v>
      </c>
      <c r="D1863" s="4">
        <v>508</v>
      </c>
      <c r="E1863" s="4">
        <v>5694</v>
      </c>
      <c r="F1863" s="4">
        <v>315078</v>
      </c>
      <c r="G1863" s="4">
        <v>3681.4999999999995</v>
      </c>
      <c r="H1863" s="3">
        <v>4.6161290322580646</v>
      </c>
      <c r="I1863" s="3">
        <v>2.0125925925925925</v>
      </c>
    </row>
    <row r="1864" spans="1:9" x14ac:dyDescent="0.25">
      <c r="A1864" s="9">
        <v>48115</v>
      </c>
      <c r="B1864" s="4">
        <v>22</v>
      </c>
      <c r="C1864" s="4">
        <v>22</v>
      </c>
      <c r="D1864" s="4">
        <v>14</v>
      </c>
      <c r="E1864" s="4">
        <v>22</v>
      </c>
      <c r="F1864" s="4">
        <v>305</v>
      </c>
      <c r="G1864" s="4">
        <v>3.1</v>
      </c>
      <c r="H1864" s="3">
        <v>3.7</v>
      </c>
      <c r="I1864" s="3">
        <v>1</v>
      </c>
    </row>
    <row r="1865" spans="1:9" x14ac:dyDescent="0.25">
      <c r="A1865" s="9">
        <v>48117</v>
      </c>
      <c r="B1865" s="4">
        <v>39</v>
      </c>
      <c r="C1865" s="4">
        <v>32</v>
      </c>
      <c r="D1865" s="4">
        <v>2</v>
      </c>
      <c r="E1865" s="4">
        <v>32</v>
      </c>
      <c r="F1865" s="4">
        <v>531</v>
      </c>
      <c r="G1865" s="4">
        <v>5.3</v>
      </c>
      <c r="H1865" s="3">
        <v>4.5</v>
      </c>
      <c r="I1865" s="3">
        <v>1.1000000000000001</v>
      </c>
    </row>
    <row r="1866" spans="1:9" x14ac:dyDescent="0.25">
      <c r="A1866" s="9">
        <v>48121</v>
      </c>
      <c r="B1866" s="4">
        <v>1256</v>
      </c>
      <c r="C1866" s="4">
        <v>863</v>
      </c>
      <c r="D1866" s="4">
        <v>85</v>
      </c>
      <c r="E1866" s="4">
        <v>931</v>
      </c>
      <c r="F1866" s="4">
        <v>45308</v>
      </c>
      <c r="G1866" s="4">
        <v>455.40000000000009</v>
      </c>
      <c r="H1866" s="3">
        <v>3.6111111111111112</v>
      </c>
      <c r="I1866" s="3">
        <v>1.8169999999999997</v>
      </c>
    </row>
    <row r="1867" spans="1:9" x14ac:dyDescent="0.25">
      <c r="A1867" s="9">
        <v>48123</v>
      </c>
      <c r="B1867" s="4">
        <v>50</v>
      </c>
      <c r="C1867" s="4">
        <v>44</v>
      </c>
      <c r="D1867" s="4">
        <v>14</v>
      </c>
      <c r="E1867" s="4">
        <v>44</v>
      </c>
      <c r="F1867" s="4">
        <v>909</v>
      </c>
      <c r="G1867" s="4">
        <v>7.9</v>
      </c>
      <c r="H1867" s="3">
        <v>3.5</v>
      </c>
      <c r="I1867" s="3">
        <v>1.22</v>
      </c>
    </row>
    <row r="1868" spans="1:9" x14ac:dyDescent="0.25">
      <c r="A1868" s="9">
        <v>48127</v>
      </c>
      <c r="B1868" s="4">
        <v>26</v>
      </c>
      <c r="C1868" s="4">
        <v>49</v>
      </c>
      <c r="D1868" s="4">
        <v>14</v>
      </c>
      <c r="E1868" s="4">
        <v>25</v>
      </c>
      <c r="F1868" s="4">
        <v>503</v>
      </c>
      <c r="G1868" s="4">
        <v>6.3</v>
      </c>
      <c r="H1868" s="3">
        <v>5.0999999999999996</v>
      </c>
      <c r="I1868" s="3">
        <v>0.89</v>
      </c>
    </row>
    <row r="1869" spans="1:9" x14ac:dyDescent="0.25">
      <c r="A1869" s="9">
        <v>48133</v>
      </c>
      <c r="B1869" s="4">
        <v>38</v>
      </c>
      <c r="C1869" s="4">
        <v>36</v>
      </c>
      <c r="D1869" s="4">
        <v>14</v>
      </c>
      <c r="E1869" s="4">
        <v>36</v>
      </c>
      <c r="F1869" s="4">
        <v>559</v>
      </c>
      <c r="G1869" s="4">
        <v>8.9</v>
      </c>
      <c r="H1869" s="3">
        <v>5.8</v>
      </c>
      <c r="I1869" s="3">
        <v>1.17</v>
      </c>
    </row>
    <row r="1870" spans="1:9" x14ac:dyDescent="0.25">
      <c r="A1870" s="9">
        <v>48135</v>
      </c>
      <c r="B1870" s="4">
        <v>445</v>
      </c>
      <c r="C1870" s="4">
        <v>523</v>
      </c>
      <c r="D1870" s="4">
        <v>30</v>
      </c>
      <c r="E1870" s="4">
        <v>560</v>
      </c>
      <c r="F1870" s="4">
        <v>20630</v>
      </c>
      <c r="G1870" s="4">
        <v>268.5</v>
      </c>
      <c r="H1870" s="3">
        <v>10.25</v>
      </c>
      <c r="I1870" s="3">
        <v>2.2233333333333332</v>
      </c>
    </row>
    <row r="1871" spans="1:9" x14ac:dyDescent="0.25">
      <c r="A1871" s="9">
        <v>48139</v>
      </c>
      <c r="B1871" s="4">
        <v>274</v>
      </c>
      <c r="C1871" s="4">
        <v>166</v>
      </c>
      <c r="D1871" s="4">
        <v>18</v>
      </c>
      <c r="E1871" s="4">
        <v>166</v>
      </c>
      <c r="F1871" s="4">
        <v>7987</v>
      </c>
      <c r="G1871" s="4">
        <v>77.5</v>
      </c>
      <c r="H1871" s="3">
        <v>3.4</v>
      </c>
      <c r="I1871" s="3">
        <v>1.4</v>
      </c>
    </row>
    <row r="1872" spans="1:9" x14ac:dyDescent="0.25">
      <c r="A1872" s="9">
        <v>48141</v>
      </c>
      <c r="B1872" s="4">
        <v>1807</v>
      </c>
      <c r="C1872" s="4">
        <v>1716</v>
      </c>
      <c r="D1872" s="4">
        <v>203</v>
      </c>
      <c r="E1872" s="4">
        <v>1488</v>
      </c>
      <c r="F1872" s="4">
        <v>82807</v>
      </c>
      <c r="G1872" s="4">
        <v>1002.1</v>
      </c>
      <c r="H1872" s="3">
        <v>4.96</v>
      </c>
      <c r="I1872" s="3">
        <v>1.7369999999999997</v>
      </c>
    </row>
    <row r="1873" spans="1:9" x14ac:dyDescent="0.25">
      <c r="A1873" s="9">
        <v>48143</v>
      </c>
      <c r="B1873" s="4">
        <v>50</v>
      </c>
      <c r="C1873" s="4">
        <v>50</v>
      </c>
      <c r="D1873" s="4">
        <v>5</v>
      </c>
      <c r="E1873" s="4">
        <v>50</v>
      </c>
      <c r="F1873" s="4">
        <v>1468</v>
      </c>
      <c r="G1873" s="4">
        <v>9.6999999999999993</v>
      </c>
      <c r="H1873" s="3">
        <v>2.7</v>
      </c>
      <c r="I1873" s="3">
        <v>1.3</v>
      </c>
    </row>
    <row r="1874" spans="1:9" x14ac:dyDescent="0.25">
      <c r="A1874" s="9">
        <v>48145</v>
      </c>
      <c r="B1874" s="4">
        <v>22</v>
      </c>
      <c r="C1874" s="4">
        <v>36</v>
      </c>
      <c r="D1874" s="4">
        <v>14</v>
      </c>
      <c r="E1874" s="4">
        <v>36</v>
      </c>
      <c r="F1874" s="4">
        <v>138</v>
      </c>
      <c r="G1874" s="4">
        <v>1.2</v>
      </c>
      <c r="H1874" s="3">
        <v>3.2</v>
      </c>
      <c r="I1874" s="3">
        <v>0.94</v>
      </c>
    </row>
    <row r="1875" spans="1:9" x14ac:dyDescent="0.25">
      <c r="A1875" s="9">
        <v>48147</v>
      </c>
      <c r="B1875" s="4">
        <v>21</v>
      </c>
      <c r="C1875" s="4">
        <v>25</v>
      </c>
      <c r="D1875" s="4">
        <v>2</v>
      </c>
      <c r="E1875" s="4">
        <v>25</v>
      </c>
      <c r="F1875" s="4">
        <v>510</v>
      </c>
      <c r="G1875" s="4">
        <v>12.4</v>
      </c>
      <c r="H1875" s="3">
        <v>3.4</v>
      </c>
      <c r="I1875" s="3">
        <v>1.07</v>
      </c>
    </row>
    <row r="1876" spans="1:9" x14ac:dyDescent="0.25">
      <c r="A1876" s="9">
        <v>48149</v>
      </c>
      <c r="B1876" s="4">
        <v>94</v>
      </c>
      <c r="C1876" s="4">
        <v>38</v>
      </c>
      <c r="D1876" s="4">
        <v>14</v>
      </c>
      <c r="E1876" s="4">
        <v>38</v>
      </c>
      <c r="F1876" s="4">
        <v>967</v>
      </c>
      <c r="G1876" s="4">
        <v>10.1</v>
      </c>
      <c r="H1876" s="3">
        <v>3.8</v>
      </c>
      <c r="I1876" s="3">
        <v>1.48</v>
      </c>
    </row>
    <row r="1877" spans="1:9" x14ac:dyDescent="0.25">
      <c r="A1877" s="9">
        <v>48151</v>
      </c>
      <c r="B1877" s="4">
        <v>7</v>
      </c>
      <c r="C1877" s="4">
        <v>14</v>
      </c>
      <c r="D1877" s="4">
        <v>14</v>
      </c>
      <c r="E1877" s="4">
        <v>14</v>
      </c>
      <c r="F1877" s="4">
        <v>45</v>
      </c>
      <c r="G1877" s="4">
        <v>1.6</v>
      </c>
      <c r="H1877" s="3">
        <v>2.5</v>
      </c>
      <c r="I1877" s="3">
        <v>1</v>
      </c>
    </row>
    <row r="1878" spans="1:9" x14ac:dyDescent="0.25">
      <c r="A1878" s="9">
        <v>48153</v>
      </c>
      <c r="B1878" s="4">
        <v>11</v>
      </c>
      <c r="C1878" s="4">
        <v>25</v>
      </c>
      <c r="D1878" s="4">
        <v>14</v>
      </c>
      <c r="E1878" s="4">
        <v>25</v>
      </c>
      <c r="F1878" s="4">
        <v>228</v>
      </c>
      <c r="G1878" s="4">
        <v>3.2</v>
      </c>
      <c r="H1878" s="3">
        <v>3.6</v>
      </c>
      <c r="I1878" s="3">
        <v>0.99</v>
      </c>
    </row>
    <row r="1879" spans="1:9" x14ac:dyDescent="0.25">
      <c r="A1879" s="9">
        <v>48157</v>
      </c>
      <c r="B1879" s="4">
        <v>1347</v>
      </c>
      <c r="C1879" s="4">
        <v>934</v>
      </c>
      <c r="D1879" s="4">
        <v>128</v>
      </c>
      <c r="E1879" s="4">
        <v>991</v>
      </c>
      <c r="F1879" s="4">
        <v>50654</v>
      </c>
      <c r="G1879" s="4">
        <v>491.7</v>
      </c>
      <c r="H1879" s="3">
        <v>3.6714285714285713</v>
      </c>
      <c r="I1879" s="3">
        <v>1.6828571428571428</v>
      </c>
    </row>
    <row r="1880" spans="1:9" x14ac:dyDescent="0.25">
      <c r="A1880" s="9">
        <v>48159</v>
      </c>
      <c r="B1880" s="4">
        <v>80</v>
      </c>
      <c r="C1880" s="4">
        <v>49</v>
      </c>
      <c r="D1880" s="4">
        <v>14</v>
      </c>
      <c r="E1880" s="4">
        <v>49</v>
      </c>
      <c r="F1880" s="4">
        <v>491</v>
      </c>
      <c r="G1880" s="4">
        <v>4.7</v>
      </c>
      <c r="H1880" s="3">
        <v>3.5</v>
      </c>
      <c r="I1880" s="3">
        <v>1</v>
      </c>
    </row>
    <row r="1881" spans="1:9" x14ac:dyDescent="0.25">
      <c r="A1881" s="9">
        <v>48161</v>
      </c>
      <c r="B1881" s="4">
        <v>21</v>
      </c>
      <c r="C1881" s="4">
        <v>37</v>
      </c>
      <c r="D1881" s="4">
        <v>14</v>
      </c>
      <c r="E1881" s="4">
        <v>37</v>
      </c>
      <c r="F1881" s="4">
        <v>330</v>
      </c>
      <c r="G1881" s="4">
        <v>2.8</v>
      </c>
      <c r="H1881" s="3">
        <v>3.1</v>
      </c>
      <c r="I1881" s="3">
        <v>0.92</v>
      </c>
    </row>
    <row r="1882" spans="1:9" x14ac:dyDescent="0.25">
      <c r="A1882" s="9">
        <v>48163</v>
      </c>
      <c r="B1882" s="4">
        <v>26</v>
      </c>
      <c r="C1882" s="4">
        <v>49</v>
      </c>
      <c r="D1882" s="4">
        <v>14</v>
      </c>
      <c r="E1882" s="4">
        <v>24</v>
      </c>
      <c r="F1882" s="4">
        <v>347</v>
      </c>
      <c r="G1882" s="4">
        <v>4.9000000000000004</v>
      </c>
      <c r="H1882" s="3">
        <v>4.3</v>
      </c>
      <c r="I1882" s="3">
        <v>0.94</v>
      </c>
    </row>
    <row r="1883" spans="1:9" x14ac:dyDescent="0.25">
      <c r="A1883" s="9">
        <v>48165</v>
      </c>
      <c r="B1883" s="4">
        <v>18</v>
      </c>
      <c r="C1883" s="4">
        <v>25</v>
      </c>
      <c r="D1883" s="4">
        <v>14</v>
      </c>
      <c r="E1883" s="4">
        <v>25</v>
      </c>
      <c r="F1883" s="4">
        <v>823</v>
      </c>
      <c r="G1883" s="4">
        <v>9.6</v>
      </c>
      <c r="H1883" s="3">
        <v>3</v>
      </c>
      <c r="I1883" s="3">
        <v>0.99</v>
      </c>
    </row>
    <row r="1884" spans="1:9" x14ac:dyDescent="0.25">
      <c r="A1884" s="9">
        <v>48167</v>
      </c>
      <c r="B1884" s="4">
        <v>1157</v>
      </c>
      <c r="C1884" s="4">
        <v>653</v>
      </c>
      <c r="D1884" s="4">
        <v>14</v>
      </c>
      <c r="E1884" s="4">
        <v>983</v>
      </c>
      <c r="F1884" s="4">
        <v>33481</v>
      </c>
      <c r="G1884" s="4">
        <v>431.5</v>
      </c>
      <c r="H1884" s="3">
        <v>4.5</v>
      </c>
      <c r="I1884" s="3">
        <v>1.81</v>
      </c>
    </row>
    <row r="1885" spans="1:9" x14ac:dyDescent="0.25">
      <c r="A1885" s="9">
        <v>48171</v>
      </c>
      <c r="B1885" s="4">
        <v>140</v>
      </c>
      <c r="C1885" s="4">
        <v>57</v>
      </c>
      <c r="D1885" s="4">
        <v>10</v>
      </c>
      <c r="E1885" s="4">
        <v>57</v>
      </c>
      <c r="F1885" s="4">
        <v>2186</v>
      </c>
      <c r="G1885" s="4">
        <v>18.899999999999999</v>
      </c>
      <c r="H1885" s="3">
        <v>3.5</v>
      </c>
      <c r="I1885" s="3">
        <v>1.71</v>
      </c>
    </row>
    <row r="1886" spans="1:9" x14ac:dyDescent="0.25">
      <c r="A1886" s="9">
        <v>48177</v>
      </c>
      <c r="B1886" s="4">
        <v>36</v>
      </c>
      <c r="C1886" s="4">
        <v>34</v>
      </c>
      <c r="D1886" s="4">
        <v>14</v>
      </c>
      <c r="E1886" s="4">
        <v>34</v>
      </c>
      <c r="F1886" s="4">
        <v>756</v>
      </c>
      <c r="G1886" s="4">
        <v>5.6</v>
      </c>
      <c r="H1886" s="3">
        <v>3</v>
      </c>
      <c r="I1886" s="3">
        <v>1.41</v>
      </c>
    </row>
    <row r="1887" spans="1:9" x14ac:dyDescent="0.25">
      <c r="A1887" s="9">
        <v>48179</v>
      </c>
      <c r="B1887" s="4">
        <v>50</v>
      </c>
      <c r="C1887" s="4">
        <v>97</v>
      </c>
      <c r="D1887" s="4">
        <v>8</v>
      </c>
      <c r="E1887" s="4">
        <v>97</v>
      </c>
      <c r="F1887" s="4">
        <v>1514</v>
      </c>
      <c r="G1887" s="4">
        <v>12.6</v>
      </c>
      <c r="H1887" s="3">
        <v>3.2</v>
      </c>
      <c r="I1887" s="3">
        <v>1.56</v>
      </c>
    </row>
    <row r="1888" spans="1:9" x14ac:dyDescent="0.25">
      <c r="A1888" s="9">
        <v>48181</v>
      </c>
      <c r="B1888" s="4">
        <v>435</v>
      </c>
      <c r="C1888" s="4">
        <v>555</v>
      </c>
      <c r="D1888" s="4">
        <v>62</v>
      </c>
      <c r="E1888" s="4">
        <v>555</v>
      </c>
      <c r="F1888" s="4">
        <v>24890</v>
      </c>
      <c r="G1888" s="4">
        <v>312.8</v>
      </c>
      <c r="H1888" s="3">
        <v>4.5250000000000004</v>
      </c>
      <c r="I1888" s="3">
        <v>1.7700000000000002</v>
      </c>
    </row>
    <row r="1889" spans="1:9" x14ac:dyDescent="0.25">
      <c r="A1889" s="9">
        <v>48183</v>
      </c>
      <c r="B1889" s="4">
        <v>266</v>
      </c>
      <c r="C1889" s="4">
        <v>552</v>
      </c>
      <c r="D1889" s="4">
        <v>57</v>
      </c>
      <c r="E1889" s="4">
        <v>552</v>
      </c>
      <c r="F1889" s="4">
        <v>25727</v>
      </c>
      <c r="G1889" s="4">
        <v>278.60000000000002</v>
      </c>
      <c r="H1889" s="3">
        <v>3.6999999999999997</v>
      </c>
      <c r="I1889" s="3">
        <v>1.91</v>
      </c>
    </row>
    <row r="1890" spans="1:9" x14ac:dyDescent="0.25">
      <c r="A1890" s="9">
        <v>48185</v>
      </c>
      <c r="B1890" s="4">
        <v>6</v>
      </c>
      <c r="C1890" s="4">
        <v>18</v>
      </c>
      <c r="D1890" s="4">
        <v>14</v>
      </c>
      <c r="E1890" s="4">
        <v>18</v>
      </c>
      <c r="F1890" s="4">
        <v>40</v>
      </c>
      <c r="G1890" s="4">
        <v>5.9</v>
      </c>
      <c r="H1890" s="3">
        <v>3.8</v>
      </c>
      <c r="I1890" s="3">
        <v>1.04</v>
      </c>
    </row>
    <row r="1891" spans="1:9" x14ac:dyDescent="0.25">
      <c r="A1891" s="9">
        <v>48187</v>
      </c>
      <c r="B1891" s="4">
        <v>194</v>
      </c>
      <c r="C1891" s="4">
        <v>117</v>
      </c>
      <c r="D1891" s="4">
        <v>9</v>
      </c>
      <c r="E1891" s="4">
        <v>123</v>
      </c>
      <c r="F1891" s="4">
        <v>3420</v>
      </c>
      <c r="G1891" s="4">
        <v>30</v>
      </c>
      <c r="H1891" s="3">
        <v>3.6</v>
      </c>
      <c r="I1891" s="3">
        <v>1.58</v>
      </c>
    </row>
    <row r="1892" spans="1:9" x14ac:dyDescent="0.25">
      <c r="A1892" s="9">
        <v>48189</v>
      </c>
      <c r="B1892" s="4">
        <v>72</v>
      </c>
      <c r="C1892" s="4">
        <v>49</v>
      </c>
      <c r="D1892" s="4">
        <v>5</v>
      </c>
      <c r="E1892" s="4">
        <v>49</v>
      </c>
      <c r="F1892" s="4">
        <v>1716</v>
      </c>
      <c r="G1892" s="4">
        <v>15.1</v>
      </c>
      <c r="H1892" s="3">
        <v>3.7</v>
      </c>
      <c r="I1892" s="3">
        <v>1.57</v>
      </c>
    </row>
    <row r="1893" spans="1:9" x14ac:dyDescent="0.25">
      <c r="A1893" s="9">
        <v>48193</v>
      </c>
      <c r="B1893" s="4">
        <v>27</v>
      </c>
      <c r="C1893" s="4">
        <v>25</v>
      </c>
      <c r="D1893" s="4">
        <v>14</v>
      </c>
      <c r="E1893" s="4">
        <v>25</v>
      </c>
      <c r="F1893" s="4">
        <v>574</v>
      </c>
      <c r="G1893" s="4">
        <v>7.5</v>
      </c>
      <c r="H1893" s="3">
        <v>3.5</v>
      </c>
      <c r="I1893" s="3">
        <v>1.02</v>
      </c>
    </row>
    <row r="1894" spans="1:9" x14ac:dyDescent="0.25">
      <c r="A1894" s="9">
        <v>48195</v>
      </c>
      <c r="B1894" s="4">
        <v>6</v>
      </c>
      <c r="C1894" s="4">
        <v>14</v>
      </c>
      <c r="D1894" s="4">
        <v>14</v>
      </c>
      <c r="E1894" s="4">
        <v>14</v>
      </c>
      <c r="F1894" s="4">
        <v>74</v>
      </c>
      <c r="G1894" s="4">
        <v>2.7</v>
      </c>
      <c r="H1894" s="3">
        <v>3.2</v>
      </c>
      <c r="I1894" s="3">
        <v>0.9</v>
      </c>
    </row>
    <row r="1895" spans="1:9" x14ac:dyDescent="0.25">
      <c r="A1895" s="9">
        <v>48197</v>
      </c>
      <c r="B1895" s="4">
        <v>6</v>
      </c>
      <c r="C1895" s="4">
        <v>24</v>
      </c>
      <c r="D1895" s="4">
        <v>14</v>
      </c>
      <c r="E1895" s="4">
        <v>24</v>
      </c>
      <c r="F1895" s="4">
        <v>150</v>
      </c>
      <c r="G1895" s="4">
        <v>2.9000000000000004</v>
      </c>
      <c r="H1895" s="3">
        <v>3.45</v>
      </c>
      <c r="I1895" s="3">
        <v>0.9</v>
      </c>
    </row>
    <row r="1896" spans="1:9" x14ac:dyDescent="0.25">
      <c r="A1896" s="9">
        <v>48199</v>
      </c>
      <c r="B1896" s="4">
        <v>80</v>
      </c>
      <c r="C1896" s="4">
        <v>49</v>
      </c>
      <c r="D1896" s="4">
        <v>14</v>
      </c>
      <c r="E1896" s="4">
        <v>49</v>
      </c>
      <c r="F1896" s="4">
        <v>1532</v>
      </c>
      <c r="G1896" s="4">
        <v>16</v>
      </c>
      <c r="H1896" s="3">
        <v>4</v>
      </c>
      <c r="I1896" s="3">
        <v>1</v>
      </c>
    </row>
    <row r="1897" spans="1:9" x14ac:dyDescent="0.25">
      <c r="A1897" s="9">
        <v>48201</v>
      </c>
      <c r="B1897" s="4">
        <v>14611</v>
      </c>
      <c r="C1897" s="4">
        <v>9843</v>
      </c>
      <c r="D1897" s="4">
        <v>961</v>
      </c>
      <c r="E1897" s="4">
        <v>11070</v>
      </c>
      <c r="F1897" s="4">
        <v>501949</v>
      </c>
      <c r="G1897" s="4">
        <v>6567.8000000000011</v>
      </c>
      <c r="H1897" s="3">
        <v>5.3829787234042543</v>
      </c>
      <c r="I1897" s="3">
        <v>1.8707894736842099</v>
      </c>
    </row>
    <row r="1898" spans="1:9" x14ac:dyDescent="0.25">
      <c r="A1898" s="9">
        <v>48203</v>
      </c>
      <c r="B1898" s="4">
        <v>307</v>
      </c>
      <c r="C1898" s="4">
        <v>336</v>
      </c>
      <c r="D1898" s="4">
        <v>42</v>
      </c>
      <c r="E1898" s="4">
        <v>149</v>
      </c>
      <c r="F1898" s="4">
        <v>18634</v>
      </c>
      <c r="G1898" s="4">
        <v>181.3</v>
      </c>
      <c r="H1898" s="3">
        <v>3.6</v>
      </c>
      <c r="I1898" s="3">
        <v>1.66</v>
      </c>
    </row>
    <row r="1899" spans="1:9" x14ac:dyDescent="0.25">
      <c r="A1899" s="9">
        <v>48207</v>
      </c>
      <c r="B1899" s="4">
        <v>11</v>
      </c>
      <c r="C1899" s="4">
        <v>25</v>
      </c>
      <c r="D1899" s="4">
        <v>14</v>
      </c>
      <c r="E1899" s="4">
        <v>25</v>
      </c>
      <c r="F1899" s="4">
        <v>129</v>
      </c>
      <c r="G1899" s="4">
        <v>2.2999999999999998</v>
      </c>
      <c r="H1899" s="3">
        <v>2.8</v>
      </c>
      <c r="I1899" s="3">
        <v>0.92</v>
      </c>
    </row>
    <row r="1900" spans="1:9" x14ac:dyDescent="0.25">
      <c r="A1900" s="9">
        <v>48209</v>
      </c>
      <c r="B1900" s="4">
        <v>319</v>
      </c>
      <c r="C1900" s="4">
        <v>327</v>
      </c>
      <c r="D1900" s="4">
        <v>42</v>
      </c>
      <c r="E1900" s="4">
        <v>327</v>
      </c>
      <c r="F1900" s="4">
        <v>11824</v>
      </c>
      <c r="G1900" s="4">
        <v>122.5</v>
      </c>
      <c r="H1900" s="3">
        <v>3.5666666666666664</v>
      </c>
      <c r="I1900" s="3">
        <v>1.78</v>
      </c>
    </row>
    <row r="1901" spans="1:9" x14ac:dyDescent="0.25">
      <c r="A1901" s="9">
        <v>48211</v>
      </c>
      <c r="B1901" s="4">
        <v>10</v>
      </c>
      <c r="C1901" s="4">
        <v>15</v>
      </c>
      <c r="D1901" s="4">
        <v>14</v>
      </c>
      <c r="E1901" s="4">
        <v>15</v>
      </c>
      <c r="F1901" s="4">
        <v>200</v>
      </c>
      <c r="G1901" s="4">
        <v>2.9</v>
      </c>
      <c r="H1901" s="3">
        <v>5.3</v>
      </c>
      <c r="I1901" s="3">
        <v>0.9</v>
      </c>
    </row>
    <row r="1902" spans="1:9" x14ac:dyDescent="0.25">
      <c r="A1902" s="9">
        <v>48213</v>
      </c>
      <c r="B1902" s="4">
        <v>126</v>
      </c>
      <c r="C1902" s="4">
        <v>127</v>
      </c>
      <c r="D1902" s="4">
        <v>10</v>
      </c>
      <c r="E1902" s="4">
        <v>127</v>
      </c>
      <c r="F1902" s="4">
        <v>5862</v>
      </c>
      <c r="G1902" s="4">
        <v>45.4</v>
      </c>
      <c r="H1902" s="3">
        <v>3.1</v>
      </c>
      <c r="I1902" s="3">
        <v>1.27</v>
      </c>
    </row>
    <row r="1903" spans="1:9" x14ac:dyDescent="0.25">
      <c r="A1903" s="9">
        <v>48215</v>
      </c>
      <c r="B1903" s="4">
        <v>1610</v>
      </c>
      <c r="C1903" s="4">
        <v>1972</v>
      </c>
      <c r="D1903" s="4">
        <v>211</v>
      </c>
      <c r="E1903" s="4">
        <v>1753</v>
      </c>
      <c r="F1903" s="4">
        <v>84692</v>
      </c>
      <c r="G1903" s="4">
        <v>1026.8000000000002</v>
      </c>
      <c r="H1903" s="3">
        <v>4.1166666666666663</v>
      </c>
      <c r="I1903" s="3">
        <v>1.7966666666666669</v>
      </c>
    </row>
    <row r="1904" spans="1:9" x14ac:dyDescent="0.25">
      <c r="A1904" s="9">
        <v>48217</v>
      </c>
      <c r="B1904" s="4">
        <v>17</v>
      </c>
      <c r="C1904" s="4">
        <v>25</v>
      </c>
      <c r="D1904" s="4">
        <v>14</v>
      </c>
      <c r="E1904" s="4">
        <v>25</v>
      </c>
      <c r="F1904" s="4">
        <v>1617</v>
      </c>
      <c r="G1904" s="4">
        <v>9.3000000000000007</v>
      </c>
      <c r="H1904" s="3">
        <v>2.9000000000000004</v>
      </c>
      <c r="I1904" s="3">
        <v>1.3</v>
      </c>
    </row>
    <row r="1905" spans="1:9" x14ac:dyDescent="0.25">
      <c r="A1905" s="9">
        <v>48219</v>
      </c>
      <c r="B1905" s="4">
        <v>25</v>
      </c>
      <c r="C1905" s="4">
        <v>48</v>
      </c>
      <c r="D1905" s="4">
        <v>14</v>
      </c>
      <c r="E1905" s="4">
        <v>48</v>
      </c>
      <c r="F1905" s="4">
        <v>751</v>
      </c>
      <c r="G1905" s="4">
        <v>5.8</v>
      </c>
      <c r="H1905" s="3">
        <v>3.4</v>
      </c>
      <c r="I1905" s="3">
        <v>1.22</v>
      </c>
    </row>
    <row r="1906" spans="1:9" x14ac:dyDescent="0.25">
      <c r="A1906" s="9">
        <v>48221</v>
      </c>
      <c r="B1906" s="4">
        <v>121</v>
      </c>
      <c r="C1906" s="4">
        <v>48</v>
      </c>
      <c r="D1906" s="4">
        <v>12</v>
      </c>
      <c r="E1906" s="4">
        <v>48</v>
      </c>
      <c r="F1906" s="4">
        <v>3245</v>
      </c>
      <c r="G1906" s="4">
        <v>30</v>
      </c>
      <c r="H1906" s="3">
        <v>3.6</v>
      </c>
      <c r="I1906" s="3">
        <v>1.57</v>
      </c>
    </row>
    <row r="1907" spans="1:9" x14ac:dyDescent="0.25">
      <c r="A1907" s="9">
        <v>48223</v>
      </c>
      <c r="B1907" s="4">
        <v>87</v>
      </c>
      <c r="C1907" s="4">
        <v>56</v>
      </c>
      <c r="D1907" s="4">
        <v>14</v>
      </c>
      <c r="E1907" s="4">
        <v>56</v>
      </c>
      <c r="F1907" s="4">
        <v>2825</v>
      </c>
      <c r="G1907" s="4">
        <v>24.3</v>
      </c>
      <c r="H1907" s="3">
        <v>3.6</v>
      </c>
      <c r="I1907" s="3">
        <v>1.48</v>
      </c>
    </row>
    <row r="1908" spans="1:9" x14ac:dyDescent="0.25">
      <c r="A1908" s="9">
        <v>48225</v>
      </c>
      <c r="B1908" s="4">
        <v>20</v>
      </c>
      <c r="C1908" s="4">
        <v>25</v>
      </c>
      <c r="D1908" s="4">
        <v>14</v>
      </c>
      <c r="E1908" s="4">
        <v>25</v>
      </c>
      <c r="F1908" s="4">
        <v>1107</v>
      </c>
      <c r="G1908" s="4">
        <v>6.4</v>
      </c>
      <c r="H1908" s="3">
        <v>2.7</v>
      </c>
      <c r="I1908" s="3">
        <v>0.81</v>
      </c>
    </row>
    <row r="1909" spans="1:9" x14ac:dyDescent="0.25">
      <c r="A1909" s="9">
        <v>48227</v>
      </c>
      <c r="B1909" s="4">
        <v>50</v>
      </c>
      <c r="C1909" s="4">
        <v>75</v>
      </c>
      <c r="D1909" s="4">
        <v>8</v>
      </c>
      <c r="E1909" s="4">
        <v>75</v>
      </c>
      <c r="F1909" s="4">
        <v>2469</v>
      </c>
      <c r="G1909" s="4">
        <v>17.3</v>
      </c>
      <c r="H1909" s="3">
        <v>2.7</v>
      </c>
      <c r="I1909" s="3">
        <v>1.25</v>
      </c>
    </row>
    <row r="1910" spans="1:9" x14ac:dyDescent="0.25">
      <c r="A1910" s="9">
        <v>48231</v>
      </c>
      <c r="B1910" s="4">
        <v>305</v>
      </c>
      <c r="C1910" s="4">
        <v>122</v>
      </c>
      <c r="D1910" s="4">
        <v>16</v>
      </c>
      <c r="E1910" s="4">
        <v>122</v>
      </c>
      <c r="F1910" s="4">
        <v>5777</v>
      </c>
      <c r="G1910" s="4">
        <v>72.8</v>
      </c>
      <c r="H1910" s="3">
        <v>3.5</v>
      </c>
      <c r="I1910" s="3">
        <v>1.39</v>
      </c>
    </row>
    <row r="1911" spans="1:9" x14ac:dyDescent="0.25">
      <c r="A1911" s="9">
        <v>48233</v>
      </c>
      <c r="B1911" s="4">
        <v>24</v>
      </c>
      <c r="C1911" s="4">
        <v>25</v>
      </c>
      <c r="D1911" s="4">
        <v>4</v>
      </c>
      <c r="E1911" s="4">
        <v>25</v>
      </c>
      <c r="F1911" s="4">
        <v>627</v>
      </c>
      <c r="G1911" s="4">
        <v>6</v>
      </c>
      <c r="H1911" s="3">
        <v>3.2</v>
      </c>
      <c r="I1911" s="3">
        <v>1.23</v>
      </c>
    </row>
    <row r="1912" spans="1:9" x14ac:dyDescent="0.25">
      <c r="A1912" s="9">
        <v>48237</v>
      </c>
      <c r="B1912" s="4">
        <v>27</v>
      </c>
      <c r="C1912" s="4">
        <v>17</v>
      </c>
      <c r="D1912" s="4">
        <v>14</v>
      </c>
      <c r="E1912" s="4">
        <v>17</v>
      </c>
      <c r="F1912" s="4">
        <v>239</v>
      </c>
      <c r="G1912" s="4">
        <v>3.4</v>
      </c>
      <c r="H1912" s="3">
        <v>5.7</v>
      </c>
      <c r="I1912" s="3">
        <v>1.08</v>
      </c>
    </row>
    <row r="1913" spans="1:9" x14ac:dyDescent="0.25">
      <c r="A1913" s="9">
        <v>48239</v>
      </c>
      <c r="B1913" s="4">
        <v>12</v>
      </c>
      <c r="C1913" s="4">
        <v>25</v>
      </c>
      <c r="D1913" s="4">
        <v>14</v>
      </c>
      <c r="E1913" s="4">
        <v>25</v>
      </c>
      <c r="F1913" s="4">
        <v>194</v>
      </c>
      <c r="G1913" s="4">
        <v>3.7</v>
      </c>
      <c r="H1913" s="3">
        <v>3</v>
      </c>
      <c r="I1913" s="3">
        <v>0.88</v>
      </c>
    </row>
    <row r="1914" spans="1:9" x14ac:dyDescent="0.25">
      <c r="A1914" s="9">
        <v>48241</v>
      </c>
      <c r="B1914" s="4">
        <v>53</v>
      </c>
      <c r="C1914" s="4">
        <v>40</v>
      </c>
      <c r="D1914" s="4">
        <v>6</v>
      </c>
      <c r="E1914" s="4">
        <v>40</v>
      </c>
      <c r="F1914" s="4">
        <v>726</v>
      </c>
      <c r="G1914" s="4">
        <v>4.8</v>
      </c>
      <c r="H1914" s="3">
        <v>3.1</v>
      </c>
      <c r="I1914" s="3">
        <v>1.08</v>
      </c>
    </row>
    <row r="1915" spans="1:9" x14ac:dyDescent="0.25">
      <c r="A1915" s="9">
        <v>48245</v>
      </c>
      <c r="B1915" s="4">
        <v>739</v>
      </c>
      <c r="C1915" s="4">
        <v>925</v>
      </c>
      <c r="D1915" s="4">
        <v>88</v>
      </c>
      <c r="E1915" s="4">
        <v>925</v>
      </c>
      <c r="F1915" s="4">
        <v>39030</v>
      </c>
      <c r="G1915" s="4">
        <v>448.2</v>
      </c>
      <c r="H1915" s="3">
        <v>4.6000000000000005</v>
      </c>
      <c r="I1915" s="3">
        <v>1.6266666666666669</v>
      </c>
    </row>
    <row r="1916" spans="1:9" x14ac:dyDescent="0.25">
      <c r="A1916" s="9">
        <v>48249</v>
      </c>
      <c r="B1916" s="4">
        <v>46</v>
      </c>
      <c r="C1916" s="4">
        <v>72</v>
      </c>
      <c r="D1916" s="4">
        <v>8</v>
      </c>
      <c r="E1916" s="4">
        <v>72</v>
      </c>
      <c r="F1916" s="4">
        <v>2255</v>
      </c>
      <c r="G1916" s="4">
        <v>20.7</v>
      </c>
      <c r="H1916" s="3">
        <v>3.4</v>
      </c>
      <c r="I1916" s="3">
        <v>1.26</v>
      </c>
    </row>
    <row r="1917" spans="1:9" x14ac:dyDescent="0.25">
      <c r="A1917" s="9">
        <v>48251</v>
      </c>
      <c r="B1917" s="4">
        <v>288</v>
      </c>
      <c r="C1917" s="4">
        <v>329</v>
      </c>
      <c r="D1917" s="4">
        <v>35</v>
      </c>
      <c r="E1917" s="4">
        <v>329</v>
      </c>
      <c r="F1917" s="4">
        <v>14772</v>
      </c>
      <c r="G1917" s="4">
        <v>151.4</v>
      </c>
      <c r="H1917" s="3">
        <v>2.9666666666666668</v>
      </c>
      <c r="I1917" s="3">
        <v>1.3133333333333332</v>
      </c>
    </row>
    <row r="1918" spans="1:9" x14ac:dyDescent="0.25">
      <c r="A1918" s="9">
        <v>48253</v>
      </c>
      <c r="B1918" s="4">
        <v>7</v>
      </c>
      <c r="C1918" s="4">
        <v>7</v>
      </c>
      <c r="D1918" s="4">
        <v>14</v>
      </c>
      <c r="E1918" s="4">
        <v>7</v>
      </c>
      <c r="F1918" s="4">
        <v>459</v>
      </c>
      <c r="G1918" s="4">
        <v>6.6999999999999993</v>
      </c>
      <c r="H1918" s="3">
        <v>4.6333333333333329</v>
      </c>
      <c r="I1918" s="3">
        <v>0.92</v>
      </c>
    </row>
    <row r="1919" spans="1:9" x14ac:dyDescent="0.25">
      <c r="A1919" s="9">
        <v>48255</v>
      </c>
      <c r="B1919" s="4">
        <v>31</v>
      </c>
      <c r="C1919" s="4">
        <v>25</v>
      </c>
      <c r="D1919" s="4">
        <v>14</v>
      </c>
      <c r="E1919" s="4">
        <v>25</v>
      </c>
      <c r="F1919" s="4">
        <v>152</v>
      </c>
      <c r="G1919" s="4">
        <v>4</v>
      </c>
      <c r="H1919" s="3">
        <v>3.7</v>
      </c>
      <c r="I1919" s="3">
        <v>0.97</v>
      </c>
    </row>
    <row r="1920" spans="1:9" x14ac:dyDescent="0.25">
      <c r="A1920" s="9">
        <v>48257</v>
      </c>
      <c r="B1920" s="4">
        <v>41</v>
      </c>
      <c r="C1920" s="4">
        <v>63</v>
      </c>
      <c r="D1920" s="4">
        <v>8</v>
      </c>
      <c r="E1920" s="4">
        <v>63</v>
      </c>
      <c r="F1920" s="4">
        <v>2583</v>
      </c>
      <c r="G1920" s="4">
        <v>19.899999999999999</v>
      </c>
      <c r="H1920" s="3">
        <v>2.85</v>
      </c>
      <c r="I1920" s="3">
        <v>1.22</v>
      </c>
    </row>
    <row r="1921" spans="1:9" x14ac:dyDescent="0.25">
      <c r="A1921" s="9">
        <v>48265</v>
      </c>
      <c r="B1921" s="4">
        <v>234</v>
      </c>
      <c r="C1921" s="4">
        <v>84</v>
      </c>
      <c r="D1921" s="4">
        <v>12</v>
      </c>
      <c r="E1921" s="4">
        <v>84</v>
      </c>
      <c r="F1921" s="4">
        <v>3497</v>
      </c>
      <c r="G1921" s="4">
        <v>29.1</v>
      </c>
      <c r="H1921" s="3">
        <v>3.2</v>
      </c>
      <c r="I1921" s="3">
        <v>1.53</v>
      </c>
    </row>
    <row r="1922" spans="1:9" x14ac:dyDescent="0.25">
      <c r="A1922" s="9">
        <v>48267</v>
      </c>
      <c r="B1922" s="4">
        <v>7</v>
      </c>
      <c r="C1922" s="4">
        <v>15</v>
      </c>
      <c r="D1922" s="4">
        <v>14</v>
      </c>
      <c r="E1922" s="4">
        <v>15</v>
      </c>
      <c r="F1922" s="4">
        <v>78</v>
      </c>
      <c r="G1922" s="4">
        <v>1.5</v>
      </c>
      <c r="H1922" s="3">
        <v>2.7</v>
      </c>
      <c r="I1922" s="3">
        <v>0.94</v>
      </c>
    </row>
    <row r="1923" spans="1:9" x14ac:dyDescent="0.25">
      <c r="A1923" s="9">
        <v>48273</v>
      </c>
      <c r="B1923" s="4">
        <v>44</v>
      </c>
      <c r="C1923" s="4">
        <v>50</v>
      </c>
      <c r="D1923" s="4">
        <v>10</v>
      </c>
      <c r="E1923" s="4">
        <v>50</v>
      </c>
      <c r="F1923" s="4">
        <v>2625</v>
      </c>
      <c r="G1923" s="4">
        <v>26.8</v>
      </c>
      <c r="H1923" s="3">
        <v>3.9</v>
      </c>
      <c r="I1923" s="3">
        <v>1.18</v>
      </c>
    </row>
    <row r="1924" spans="1:9" x14ac:dyDescent="0.25">
      <c r="A1924" s="9">
        <v>48275</v>
      </c>
      <c r="B1924" s="4">
        <v>26</v>
      </c>
      <c r="C1924" s="4">
        <v>28</v>
      </c>
      <c r="D1924" s="4">
        <v>14</v>
      </c>
      <c r="E1924" s="4">
        <v>28</v>
      </c>
      <c r="F1924" s="4">
        <v>97</v>
      </c>
      <c r="G1924" s="4">
        <v>1.1000000000000001</v>
      </c>
      <c r="H1924" s="3">
        <v>4.2</v>
      </c>
      <c r="I1924" s="3">
        <v>0.99</v>
      </c>
    </row>
    <row r="1925" spans="1:9" x14ac:dyDescent="0.25">
      <c r="A1925" s="9">
        <v>48277</v>
      </c>
      <c r="B1925" s="4">
        <v>157</v>
      </c>
      <c r="C1925" s="4">
        <v>230</v>
      </c>
      <c r="D1925" s="4">
        <v>20</v>
      </c>
      <c r="E1925" s="4">
        <v>154</v>
      </c>
      <c r="F1925" s="4">
        <v>6611</v>
      </c>
      <c r="G1925" s="4">
        <v>55</v>
      </c>
      <c r="H1925" s="3">
        <v>3.2</v>
      </c>
      <c r="I1925" s="3">
        <v>1.56</v>
      </c>
    </row>
    <row r="1926" spans="1:9" x14ac:dyDescent="0.25">
      <c r="A1926" s="9">
        <v>48279</v>
      </c>
      <c r="B1926" s="4">
        <v>14</v>
      </c>
      <c r="C1926" s="4">
        <v>42</v>
      </c>
      <c r="D1926" s="4">
        <v>14</v>
      </c>
      <c r="E1926" s="4">
        <v>42</v>
      </c>
      <c r="F1926" s="4">
        <v>269</v>
      </c>
      <c r="G1926" s="4">
        <v>2.2000000000000002</v>
      </c>
      <c r="H1926" s="3">
        <v>3.6</v>
      </c>
      <c r="I1926" s="3">
        <v>0.92</v>
      </c>
    </row>
    <row r="1927" spans="1:9" x14ac:dyDescent="0.25">
      <c r="A1927" s="9">
        <v>48281</v>
      </c>
      <c r="B1927" s="4">
        <v>14</v>
      </c>
      <c r="C1927" s="4">
        <v>25</v>
      </c>
      <c r="D1927" s="4">
        <v>14</v>
      </c>
      <c r="E1927" s="4">
        <v>25</v>
      </c>
      <c r="F1927" s="4">
        <v>397</v>
      </c>
      <c r="G1927" s="4">
        <v>8.6999999999999993</v>
      </c>
      <c r="H1927" s="3">
        <v>3.6</v>
      </c>
      <c r="I1927" s="3">
        <v>0.94</v>
      </c>
    </row>
    <row r="1928" spans="1:9" x14ac:dyDescent="0.25">
      <c r="A1928" s="9">
        <v>48285</v>
      </c>
      <c r="B1928" s="4">
        <v>49</v>
      </c>
      <c r="C1928" s="4">
        <v>50</v>
      </c>
      <c r="D1928" s="4">
        <v>3</v>
      </c>
      <c r="E1928" s="4">
        <v>50</v>
      </c>
      <c r="F1928" s="4">
        <v>878</v>
      </c>
      <c r="G1928" s="4">
        <v>12.2</v>
      </c>
      <c r="H1928" s="3">
        <v>3.55</v>
      </c>
      <c r="I1928" s="3">
        <v>0.96499999999999997</v>
      </c>
    </row>
    <row r="1929" spans="1:9" x14ac:dyDescent="0.25">
      <c r="A1929" s="9">
        <v>48291</v>
      </c>
      <c r="B1929" s="4">
        <v>74</v>
      </c>
      <c r="C1929" s="4">
        <v>41</v>
      </c>
      <c r="D1929" s="4">
        <v>14</v>
      </c>
      <c r="E1929" s="4">
        <v>41</v>
      </c>
      <c r="F1929" s="4">
        <v>17565</v>
      </c>
      <c r="G1929" s="4">
        <v>53.300000000000004</v>
      </c>
      <c r="H1929" s="3">
        <v>3.125</v>
      </c>
      <c r="I1929" s="3">
        <v>1.1499999999999999</v>
      </c>
    </row>
    <row r="1930" spans="1:9" x14ac:dyDescent="0.25">
      <c r="A1930" s="9">
        <v>48293</v>
      </c>
      <c r="B1930" s="4">
        <v>69</v>
      </c>
      <c r="C1930" s="4">
        <v>69</v>
      </c>
      <c r="D1930" s="4">
        <v>6</v>
      </c>
      <c r="E1930" s="4">
        <v>69</v>
      </c>
      <c r="F1930" s="4">
        <v>680</v>
      </c>
      <c r="G1930" s="4">
        <v>9.3000000000000007</v>
      </c>
      <c r="H1930" s="3">
        <v>3.2</v>
      </c>
      <c r="I1930" s="3">
        <v>1.1749999999999998</v>
      </c>
    </row>
    <row r="1931" spans="1:9" x14ac:dyDescent="0.25">
      <c r="A1931" s="9">
        <v>48299</v>
      </c>
      <c r="B1931" s="4">
        <v>9</v>
      </c>
      <c r="C1931" s="4">
        <v>25</v>
      </c>
      <c r="D1931" s="4">
        <v>14</v>
      </c>
      <c r="E1931" s="4">
        <v>25</v>
      </c>
      <c r="F1931" s="4">
        <v>181</v>
      </c>
      <c r="G1931" s="4">
        <v>1.4</v>
      </c>
      <c r="H1931" s="3">
        <v>2.9</v>
      </c>
      <c r="I1931" s="3">
        <v>1.06</v>
      </c>
    </row>
    <row r="1932" spans="1:9" x14ac:dyDescent="0.25">
      <c r="A1932" s="9">
        <v>48303</v>
      </c>
      <c r="B1932" s="4">
        <v>1054</v>
      </c>
      <c r="C1932" s="4">
        <v>1021</v>
      </c>
      <c r="D1932" s="4">
        <v>174</v>
      </c>
      <c r="E1932" s="4">
        <v>1846</v>
      </c>
      <c r="F1932" s="4">
        <v>42596</v>
      </c>
      <c r="G1932" s="4">
        <v>628.70000000000005</v>
      </c>
      <c r="H1932" s="3">
        <v>4.3250000000000002</v>
      </c>
      <c r="I1932" s="3">
        <v>2.1974999999999998</v>
      </c>
    </row>
    <row r="1933" spans="1:9" x14ac:dyDescent="0.25">
      <c r="A1933" s="9">
        <v>48305</v>
      </c>
      <c r="B1933" s="4">
        <v>9</v>
      </c>
      <c r="C1933" s="4">
        <v>24</v>
      </c>
      <c r="D1933" s="4">
        <v>14</v>
      </c>
      <c r="E1933" s="4">
        <v>24</v>
      </c>
      <c r="F1933" s="4">
        <v>85</v>
      </c>
      <c r="G1933" s="4">
        <v>5.6</v>
      </c>
      <c r="H1933" s="3">
        <v>3.2</v>
      </c>
      <c r="I1933" s="3">
        <v>0.96</v>
      </c>
    </row>
    <row r="1934" spans="1:9" x14ac:dyDescent="0.25">
      <c r="A1934" s="9">
        <v>48307</v>
      </c>
      <c r="B1934" s="4">
        <v>16</v>
      </c>
      <c r="C1934" s="4">
        <v>14</v>
      </c>
      <c r="D1934" s="4">
        <v>14</v>
      </c>
      <c r="E1934" s="4">
        <v>14</v>
      </c>
      <c r="F1934" s="4">
        <v>178</v>
      </c>
      <c r="G1934" s="4">
        <v>3.1</v>
      </c>
      <c r="H1934" s="3">
        <v>3.2</v>
      </c>
      <c r="I1934" s="3">
        <v>1.0900000000000001</v>
      </c>
    </row>
    <row r="1935" spans="1:9" x14ac:dyDescent="0.25">
      <c r="A1935" s="9">
        <v>48309</v>
      </c>
      <c r="B1935" s="4">
        <v>689</v>
      </c>
      <c r="C1935" s="4">
        <v>437</v>
      </c>
      <c r="D1935" s="4">
        <v>42</v>
      </c>
      <c r="E1935" s="4">
        <v>674</v>
      </c>
      <c r="F1935" s="4">
        <v>28590</v>
      </c>
      <c r="G1935" s="4">
        <v>305.5</v>
      </c>
      <c r="H1935" s="3">
        <v>4.1500000000000004</v>
      </c>
      <c r="I1935" s="3">
        <v>1.7</v>
      </c>
    </row>
    <row r="1936" spans="1:9" x14ac:dyDescent="0.25">
      <c r="A1936" s="9">
        <v>48313</v>
      </c>
      <c r="B1936" s="4">
        <v>11</v>
      </c>
      <c r="C1936" s="4">
        <v>15</v>
      </c>
      <c r="D1936" s="4">
        <v>14</v>
      </c>
      <c r="E1936" s="4">
        <v>15</v>
      </c>
      <c r="F1936" s="4">
        <v>55</v>
      </c>
      <c r="G1936" s="4">
        <v>8.9</v>
      </c>
      <c r="H1936" s="3">
        <v>3.1</v>
      </c>
      <c r="I1936" s="3">
        <v>0.95</v>
      </c>
    </row>
    <row r="1937" spans="1:9" x14ac:dyDescent="0.25">
      <c r="A1937" s="9">
        <v>48317</v>
      </c>
      <c r="B1937" s="4">
        <v>21</v>
      </c>
      <c r="C1937" s="4">
        <v>18</v>
      </c>
      <c r="D1937" s="4">
        <v>14</v>
      </c>
      <c r="E1937" s="4">
        <v>18</v>
      </c>
      <c r="F1937" s="4">
        <v>120</v>
      </c>
      <c r="G1937" s="4">
        <v>4.4000000000000004</v>
      </c>
      <c r="H1937" s="3">
        <v>3</v>
      </c>
      <c r="I1937" s="3">
        <v>0.85</v>
      </c>
    </row>
    <row r="1938" spans="1:9" x14ac:dyDescent="0.25">
      <c r="A1938" s="9">
        <v>48321</v>
      </c>
      <c r="B1938" s="4">
        <v>91</v>
      </c>
      <c r="C1938" s="4">
        <v>63</v>
      </c>
      <c r="D1938" s="4">
        <v>6</v>
      </c>
      <c r="E1938" s="4">
        <v>63</v>
      </c>
      <c r="F1938" s="4">
        <v>1447</v>
      </c>
      <c r="G1938" s="4">
        <v>16.3</v>
      </c>
      <c r="H1938" s="3">
        <v>3.25</v>
      </c>
      <c r="I1938" s="3">
        <v>1.1100000000000001</v>
      </c>
    </row>
    <row r="1939" spans="1:9" x14ac:dyDescent="0.25">
      <c r="A1939" s="9">
        <v>48323</v>
      </c>
      <c r="B1939" s="4">
        <v>98</v>
      </c>
      <c r="C1939" s="4">
        <v>86</v>
      </c>
      <c r="D1939" s="4">
        <v>10</v>
      </c>
      <c r="E1939" s="4">
        <v>86</v>
      </c>
      <c r="F1939" s="4">
        <v>4130</v>
      </c>
      <c r="G1939" s="4">
        <v>38.5</v>
      </c>
      <c r="H1939" s="3">
        <v>3.8</v>
      </c>
      <c r="I1939" s="3">
        <v>1.4</v>
      </c>
    </row>
    <row r="1940" spans="1:9" x14ac:dyDescent="0.25">
      <c r="A1940" s="9">
        <v>48325</v>
      </c>
      <c r="B1940" s="4">
        <v>57</v>
      </c>
      <c r="C1940" s="4">
        <v>25</v>
      </c>
      <c r="D1940" s="4">
        <v>14</v>
      </c>
      <c r="E1940" s="4">
        <v>25</v>
      </c>
      <c r="F1940" s="4">
        <v>549</v>
      </c>
      <c r="G1940" s="4">
        <v>7.2</v>
      </c>
      <c r="H1940" s="3">
        <v>2.5</v>
      </c>
      <c r="I1940" s="3">
        <v>0.87</v>
      </c>
    </row>
    <row r="1941" spans="1:9" x14ac:dyDescent="0.25">
      <c r="A1941" s="9">
        <v>48329</v>
      </c>
      <c r="B1941" s="4">
        <v>315</v>
      </c>
      <c r="C1941" s="4">
        <v>226</v>
      </c>
      <c r="D1941" s="4">
        <v>14</v>
      </c>
      <c r="E1941" s="4">
        <v>482</v>
      </c>
      <c r="F1941" s="4">
        <v>10400</v>
      </c>
      <c r="G1941" s="4">
        <v>128.80000000000001</v>
      </c>
      <c r="H1941" s="3">
        <v>5.2</v>
      </c>
      <c r="I1941" s="3">
        <v>1.71</v>
      </c>
    </row>
    <row r="1942" spans="1:9" x14ac:dyDescent="0.25">
      <c r="A1942" s="9">
        <v>48331</v>
      </c>
      <c r="B1942" s="4">
        <v>80</v>
      </c>
      <c r="C1942" s="4">
        <v>49</v>
      </c>
      <c r="D1942" s="4">
        <v>14</v>
      </c>
      <c r="E1942" s="4">
        <v>49</v>
      </c>
      <c r="F1942" s="4">
        <v>932</v>
      </c>
      <c r="G1942" s="4">
        <v>10.1</v>
      </c>
      <c r="H1942" s="3">
        <v>4.5999999999999996</v>
      </c>
      <c r="I1942" s="3">
        <v>1.1100000000000001</v>
      </c>
    </row>
    <row r="1943" spans="1:9" x14ac:dyDescent="0.25">
      <c r="A1943" s="9">
        <v>48335</v>
      </c>
      <c r="B1943" s="4">
        <v>7</v>
      </c>
      <c r="C1943" s="4">
        <v>25</v>
      </c>
      <c r="D1943" s="4">
        <v>14</v>
      </c>
      <c r="E1943" s="4">
        <v>25</v>
      </c>
      <c r="F1943" s="4">
        <v>372</v>
      </c>
      <c r="G1943" s="4">
        <v>6.6</v>
      </c>
      <c r="H1943" s="3">
        <v>3.6</v>
      </c>
      <c r="I1943" s="3">
        <v>1.1000000000000001</v>
      </c>
    </row>
    <row r="1944" spans="1:9" x14ac:dyDescent="0.25">
      <c r="A1944" s="9">
        <v>48337</v>
      </c>
      <c r="B1944" s="4">
        <v>16</v>
      </c>
      <c r="C1944" s="4">
        <v>55</v>
      </c>
      <c r="D1944" s="4">
        <v>14</v>
      </c>
      <c r="E1944" s="4">
        <v>18</v>
      </c>
      <c r="F1944" s="4">
        <v>830</v>
      </c>
      <c r="G1944" s="4">
        <v>13</v>
      </c>
      <c r="H1944" s="3">
        <v>5.55</v>
      </c>
      <c r="I1944" s="3">
        <v>1</v>
      </c>
    </row>
    <row r="1945" spans="1:9" x14ac:dyDescent="0.25">
      <c r="A1945" s="9">
        <v>48339</v>
      </c>
      <c r="B1945" s="4">
        <v>831</v>
      </c>
      <c r="C1945" s="4">
        <v>674</v>
      </c>
      <c r="D1945" s="4">
        <v>97</v>
      </c>
      <c r="E1945" s="4">
        <v>993</v>
      </c>
      <c r="F1945" s="4">
        <v>34254</v>
      </c>
      <c r="G1945" s="4">
        <v>359.2</v>
      </c>
      <c r="H1945" s="3">
        <v>3.8666666666666671</v>
      </c>
      <c r="I1945" s="3">
        <v>1.7560000000000002</v>
      </c>
    </row>
    <row r="1946" spans="1:9" x14ac:dyDescent="0.25">
      <c r="A1946" s="9">
        <v>48341</v>
      </c>
      <c r="B1946" s="4">
        <v>46</v>
      </c>
      <c r="C1946" s="4">
        <v>19</v>
      </c>
      <c r="D1946" s="4">
        <v>3</v>
      </c>
      <c r="E1946" s="4">
        <v>19</v>
      </c>
      <c r="F1946" s="4">
        <v>1285</v>
      </c>
      <c r="G1946" s="4">
        <v>8.6</v>
      </c>
      <c r="H1946" s="3">
        <v>2.9</v>
      </c>
      <c r="I1946" s="3">
        <v>1.2</v>
      </c>
    </row>
    <row r="1947" spans="1:9" x14ac:dyDescent="0.25">
      <c r="A1947" s="9">
        <v>48347</v>
      </c>
      <c r="B1947" s="4">
        <v>229</v>
      </c>
      <c r="C1947" s="4">
        <v>276</v>
      </c>
      <c r="D1947" s="4">
        <v>27</v>
      </c>
      <c r="E1947" s="4">
        <v>276</v>
      </c>
      <c r="F1947" s="4">
        <v>8267</v>
      </c>
      <c r="G1947" s="4">
        <v>77.400000000000006</v>
      </c>
      <c r="H1947" s="3">
        <v>3.6500000000000004</v>
      </c>
      <c r="I1947" s="3">
        <v>1.5299999999999998</v>
      </c>
    </row>
    <row r="1948" spans="1:9" x14ac:dyDescent="0.25">
      <c r="A1948" s="9">
        <v>48349</v>
      </c>
      <c r="B1948" s="4">
        <v>74</v>
      </c>
      <c r="C1948" s="4">
        <v>49</v>
      </c>
      <c r="D1948" s="4">
        <v>9</v>
      </c>
      <c r="E1948" s="4">
        <v>49</v>
      </c>
      <c r="F1948" s="4">
        <v>2309</v>
      </c>
      <c r="G1948" s="4">
        <v>15.8</v>
      </c>
      <c r="H1948" s="3">
        <v>2.9</v>
      </c>
      <c r="I1948" s="3">
        <v>1.54</v>
      </c>
    </row>
    <row r="1949" spans="1:9" x14ac:dyDescent="0.25">
      <c r="A1949" s="9">
        <v>48353</v>
      </c>
      <c r="B1949" s="4">
        <v>36</v>
      </c>
      <c r="C1949" s="4">
        <v>39</v>
      </c>
      <c r="D1949" s="4">
        <v>5</v>
      </c>
      <c r="E1949" s="4">
        <v>39</v>
      </c>
      <c r="F1949" s="4">
        <v>917</v>
      </c>
      <c r="G1949" s="4">
        <v>10.6</v>
      </c>
      <c r="H1949" s="3">
        <v>4.7</v>
      </c>
      <c r="I1949" s="3">
        <v>1.17</v>
      </c>
    </row>
    <row r="1950" spans="1:9" x14ac:dyDescent="0.25">
      <c r="A1950" s="9">
        <v>48355</v>
      </c>
      <c r="B1950" s="4">
        <v>790</v>
      </c>
      <c r="C1950" s="4">
        <v>912</v>
      </c>
      <c r="D1950" s="4">
        <v>97</v>
      </c>
      <c r="E1950" s="4">
        <v>1483</v>
      </c>
      <c r="F1950" s="4">
        <v>48385</v>
      </c>
      <c r="G1950" s="4">
        <v>642.49999999999989</v>
      </c>
      <c r="H1950" s="3">
        <v>4.2333333333333334</v>
      </c>
      <c r="I1950" s="3">
        <v>1.8933333333333333</v>
      </c>
    </row>
    <row r="1951" spans="1:9" x14ac:dyDescent="0.25">
      <c r="A1951" s="9">
        <v>48357</v>
      </c>
      <c r="B1951" s="4">
        <v>13</v>
      </c>
      <c r="C1951" s="4">
        <v>25</v>
      </c>
      <c r="D1951" s="4">
        <v>14</v>
      </c>
      <c r="E1951" s="4">
        <v>25</v>
      </c>
      <c r="F1951" s="4">
        <v>554</v>
      </c>
      <c r="G1951" s="4">
        <v>5.5</v>
      </c>
      <c r="H1951" s="3">
        <v>2.5</v>
      </c>
      <c r="I1951" s="3">
        <v>0.92</v>
      </c>
    </row>
    <row r="1952" spans="1:9" x14ac:dyDescent="0.25">
      <c r="A1952" s="9">
        <v>48361</v>
      </c>
      <c r="B1952" s="4">
        <v>80</v>
      </c>
      <c r="C1952" s="4">
        <v>49</v>
      </c>
      <c r="D1952" s="4">
        <v>14</v>
      </c>
      <c r="E1952" s="4">
        <v>49</v>
      </c>
      <c r="F1952" s="4">
        <v>675</v>
      </c>
      <c r="G1952" s="4">
        <v>6.8</v>
      </c>
      <c r="H1952" s="3">
        <v>3.7</v>
      </c>
      <c r="I1952" s="3">
        <v>1</v>
      </c>
    </row>
    <row r="1953" spans="1:9" x14ac:dyDescent="0.25">
      <c r="A1953" s="9">
        <v>48363</v>
      </c>
      <c r="B1953" s="4">
        <v>63</v>
      </c>
      <c r="C1953" s="4">
        <v>48</v>
      </c>
      <c r="D1953" s="4">
        <v>8</v>
      </c>
      <c r="E1953" s="4">
        <v>48</v>
      </c>
      <c r="F1953" s="4">
        <v>1481</v>
      </c>
      <c r="G1953" s="4">
        <v>16.2</v>
      </c>
      <c r="H1953" s="3">
        <v>4.3</v>
      </c>
      <c r="I1953" s="3">
        <v>1.21</v>
      </c>
    </row>
    <row r="1954" spans="1:9" x14ac:dyDescent="0.25">
      <c r="A1954" s="9">
        <v>48365</v>
      </c>
      <c r="B1954" s="4">
        <v>23</v>
      </c>
      <c r="C1954" s="4">
        <v>42</v>
      </c>
      <c r="D1954" s="4">
        <v>14</v>
      </c>
      <c r="E1954" s="4">
        <v>42</v>
      </c>
      <c r="F1954" s="4">
        <v>695</v>
      </c>
      <c r="G1954" s="4">
        <v>5.8</v>
      </c>
      <c r="H1954" s="3">
        <v>3.1</v>
      </c>
      <c r="I1954" s="3">
        <v>1</v>
      </c>
    </row>
    <row r="1955" spans="1:9" x14ac:dyDescent="0.25">
      <c r="A1955" s="9">
        <v>48367</v>
      </c>
      <c r="B1955" s="4">
        <v>187</v>
      </c>
      <c r="C1955" s="4">
        <v>82</v>
      </c>
      <c r="D1955" s="4">
        <v>20</v>
      </c>
      <c r="E1955" s="4">
        <v>82</v>
      </c>
      <c r="F1955" s="4">
        <v>5086</v>
      </c>
      <c r="G1955" s="4">
        <v>48</v>
      </c>
      <c r="H1955" s="3">
        <v>3.7</v>
      </c>
      <c r="I1955" s="3">
        <v>1.5</v>
      </c>
    </row>
    <row r="1956" spans="1:9" x14ac:dyDescent="0.25">
      <c r="A1956" s="9">
        <v>48369</v>
      </c>
      <c r="B1956" s="4">
        <v>8</v>
      </c>
      <c r="C1956" s="4">
        <v>25</v>
      </c>
      <c r="D1956" s="4">
        <v>14</v>
      </c>
      <c r="E1956" s="4">
        <v>25</v>
      </c>
      <c r="F1956" s="4">
        <v>42</v>
      </c>
      <c r="G1956" s="4">
        <v>3</v>
      </c>
      <c r="H1956" s="3">
        <v>3.3</v>
      </c>
      <c r="I1956" s="3">
        <v>0.97</v>
      </c>
    </row>
    <row r="1957" spans="1:9" x14ac:dyDescent="0.25">
      <c r="A1957" s="9">
        <v>48371</v>
      </c>
      <c r="B1957" s="4">
        <v>25</v>
      </c>
      <c r="C1957" s="4">
        <v>39</v>
      </c>
      <c r="D1957" s="4">
        <v>14</v>
      </c>
      <c r="E1957" s="4">
        <v>39</v>
      </c>
      <c r="F1957" s="4">
        <v>490</v>
      </c>
      <c r="G1957" s="4">
        <v>6.9</v>
      </c>
      <c r="H1957" s="3">
        <v>3.2</v>
      </c>
      <c r="I1957" s="3">
        <v>0.99</v>
      </c>
    </row>
    <row r="1958" spans="1:9" x14ac:dyDescent="0.25">
      <c r="A1958" s="9">
        <v>48373</v>
      </c>
      <c r="B1958" s="4">
        <v>81</v>
      </c>
      <c r="C1958" s="4">
        <v>52</v>
      </c>
      <c r="D1958" s="4">
        <v>8</v>
      </c>
      <c r="E1958" s="4">
        <v>52</v>
      </c>
      <c r="F1958" s="4">
        <v>2008</v>
      </c>
      <c r="G1958" s="4">
        <v>16.8</v>
      </c>
      <c r="H1958" s="3">
        <v>3.4</v>
      </c>
      <c r="I1958" s="3">
        <v>1.38</v>
      </c>
    </row>
    <row r="1959" spans="1:9" x14ac:dyDescent="0.25">
      <c r="A1959" s="9">
        <v>48375</v>
      </c>
      <c r="B1959" s="4">
        <v>895</v>
      </c>
      <c r="C1959" s="4">
        <v>733</v>
      </c>
      <c r="D1959" s="4">
        <v>51</v>
      </c>
      <c r="E1959" s="4">
        <v>702</v>
      </c>
      <c r="F1959" s="4">
        <v>37029</v>
      </c>
      <c r="G1959" s="4">
        <v>420.59999999999997</v>
      </c>
      <c r="H1959" s="3">
        <v>3.6</v>
      </c>
      <c r="I1959" s="3">
        <v>1.8999999999999997</v>
      </c>
    </row>
    <row r="1960" spans="1:9" x14ac:dyDescent="0.25">
      <c r="A1960" s="9">
        <v>48381</v>
      </c>
      <c r="B1960" s="4">
        <v>80</v>
      </c>
      <c r="C1960" s="4">
        <v>49</v>
      </c>
      <c r="D1960" s="4">
        <v>14</v>
      </c>
      <c r="E1960" s="4">
        <v>49</v>
      </c>
      <c r="F1960" s="4">
        <v>176</v>
      </c>
      <c r="G1960" s="4">
        <v>0.7</v>
      </c>
      <c r="H1960" s="3">
        <v>1.4</v>
      </c>
      <c r="I1960" s="3">
        <v>1</v>
      </c>
    </row>
    <row r="1961" spans="1:9" x14ac:dyDescent="0.25">
      <c r="A1961" s="9">
        <v>48383</v>
      </c>
      <c r="B1961" s="4">
        <v>3</v>
      </c>
      <c r="C1961" s="4">
        <v>7</v>
      </c>
      <c r="D1961" s="4">
        <v>14</v>
      </c>
      <c r="E1961" s="4">
        <v>7</v>
      </c>
      <c r="F1961" s="4">
        <v>13</v>
      </c>
      <c r="G1961" s="4">
        <v>0.6</v>
      </c>
      <c r="H1961" s="3">
        <v>2.5</v>
      </c>
      <c r="I1961" s="3">
        <v>0.91</v>
      </c>
    </row>
    <row r="1962" spans="1:9" x14ac:dyDescent="0.25">
      <c r="A1962" s="9">
        <v>48387</v>
      </c>
      <c r="B1962" s="4">
        <v>80</v>
      </c>
      <c r="C1962" s="4">
        <v>49</v>
      </c>
      <c r="D1962" s="4">
        <v>14</v>
      </c>
      <c r="E1962" s="4">
        <v>49</v>
      </c>
      <c r="F1962" s="4">
        <v>618</v>
      </c>
      <c r="G1962" s="4">
        <v>6.7</v>
      </c>
      <c r="H1962" s="3">
        <v>4</v>
      </c>
      <c r="I1962" s="3">
        <v>1</v>
      </c>
    </row>
    <row r="1963" spans="1:9" x14ac:dyDescent="0.25">
      <c r="A1963" s="9">
        <v>48389</v>
      </c>
      <c r="B1963" s="4">
        <v>19</v>
      </c>
      <c r="C1963" s="4">
        <v>25</v>
      </c>
      <c r="D1963" s="4">
        <v>14</v>
      </c>
      <c r="E1963" s="4">
        <v>25</v>
      </c>
      <c r="F1963" s="4">
        <v>748</v>
      </c>
      <c r="G1963" s="4">
        <v>8.1</v>
      </c>
      <c r="H1963" s="3">
        <v>3</v>
      </c>
      <c r="I1963" s="3">
        <v>0.92</v>
      </c>
    </row>
    <row r="1964" spans="1:9" x14ac:dyDescent="0.25">
      <c r="A1964" s="9">
        <v>48391</v>
      </c>
      <c r="B1964" s="4">
        <v>22</v>
      </c>
      <c r="C1964" s="4">
        <v>20</v>
      </c>
      <c r="D1964" s="4">
        <v>14</v>
      </c>
      <c r="E1964" s="4">
        <v>20</v>
      </c>
      <c r="F1964" s="4">
        <v>72</v>
      </c>
      <c r="G1964" s="4">
        <v>1.7</v>
      </c>
      <c r="H1964" s="3">
        <v>3.2</v>
      </c>
      <c r="I1964" s="3">
        <v>0.9</v>
      </c>
    </row>
    <row r="1965" spans="1:9" x14ac:dyDescent="0.25">
      <c r="A1965" s="9">
        <v>48397</v>
      </c>
      <c r="B1965" s="4">
        <v>162</v>
      </c>
      <c r="C1965" s="4">
        <v>61</v>
      </c>
      <c r="D1965" s="4">
        <v>6</v>
      </c>
      <c r="E1965" s="4">
        <v>61</v>
      </c>
      <c r="F1965" s="4">
        <v>2940</v>
      </c>
      <c r="G1965" s="4">
        <v>31.799999999999997</v>
      </c>
      <c r="H1965" s="3">
        <v>3.55</v>
      </c>
      <c r="I1965" s="3">
        <v>1.2350000000000001</v>
      </c>
    </row>
    <row r="1966" spans="1:9" x14ac:dyDescent="0.25">
      <c r="A1966" s="9">
        <v>48399</v>
      </c>
      <c r="B1966" s="4">
        <v>17</v>
      </c>
      <c r="C1966" s="4">
        <v>31</v>
      </c>
      <c r="D1966" s="4">
        <v>14</v>
      </c>
      <c r="E1966" s="4">
        <v>31</v>
      </c>
      <c r="F1966" s="4">
        <v>225</v>
      </c>
      <c r="G1966" s="4">
        <v>5.4</v>
      </c>
      <c r="H1966" s="3">
        <v>3.25</v>
      </c>
      <c r="I1966" s="3">
        <v>0.875</v>
      </c>
    </row>
    <row r="1967" spans="1:9" x14ac:dyDescent="0.25">
      <c r="A1967" s="9">
        <v>48401</v>
      </c>
      <c r="B1967" s="4">
        <v>40</v>
      </c>
      <c r="C1967" s="4">
        <v>41</v>
      </c>
      <c r="D1967" s="4">
        <v>14</v>
      </c>
      <c r="E1967" s="4">
        <v>41</v>
      </c>
      <c r="F1967" s="4">
        <v>1154</v>
      </c>
      <c r="G1967" s="4">
        <v>8.6</v>
      </c>
      <c r="H1967" s="3">
        <v>3.1</v>
      </c>
      <c r="I1967" s="3">
        <v>1.05</v>
      </c>
    </row>
    <row r="1968" spans="1:9" x14ac:dyDescent="0.25">
      <c r="A1968" s="9">
        <v>48403</v>
      </c>
      <c r="B1968" s="4">
        <v>13</v>
      </c>
      <c r="C1968" s="4">
        <v>25</v>
      </c>
      <c r="D1968" s="4">
        <v>14</v>
      </c>
      <c r="E1968" s="4">
        <v>25</v>
      </c>
      <c r="F1968" s="4">
        <v>234</v>
      </c>
      <c r="G1968" s="4">
        <v>3.6</v>
      </c>
      <c r="H1968" s="3">
        <v>3</v>
      </c>
      <c r="I1968" s="3">
        <v>0.94</v>
      </c>
    </row>
    <row r="1969" spans="1:9" x14ac:dyDescent="0.25">
      <c r="A1969" s="9">
        <v>48405</v>
      </c>
      <c r="B1969" s="4">
        <v>11</v>
      </c>
      <c r="C1969" s="4">
        <v>9</v>
      </c>
      <c r="D1969" s="4">
        <v>14</v>
      </c>
      <c r="E1969" s="4">
        <v>9</v>
      </c>
      <c r="F1969" s="4">
        <v>234</v>
      </c>
      <c r="G1969" s="4">
        <v>1.8</v>
      </c>
      <c r="H1969" s="3">
        <v>2.6</v>
      </c>
      <c r="I1969" s="3">
        <v>1.1200000000000001</v>
      </c>
    </row>
    <row r="1970" spans="1:9" x14ac:dyDescent="0.25">
      <c r="A1970" s="9">
        <v>48409</v>
      </c>
      <c r="B1970" s="4">
        <v>80</v>
      </c>
      <c r="C1970" s="4">
        <v>49</v>
      </c>
      <c r="D1970" s="4">
        <v>14</v>
      </c>
      <c r="E1970" s="4">
        <v>49</v>
      </c>
      <c r="F1970" s="4">
        <v>553</v>
      </c>
      <c r="G1970" s="4">
        <v>7.5</v>
      </c>
      <c r="H1970" s="3">
        <v>4.9000000000000004</v>
      </c>
      <c r="I1970" s="3">
        <v>1</v>
      </c>
    </row>
    <row r="1971" spans="1:9" x14ac:dyDescent="0.25">
      <c r="A1971" s="9">
        <v>48413</v>
      </c>
      <c r="B1971" s="4">
        <v>4</v>
      </c>
      <c r="C1971" s="4">
        <v>14</v>
      </c>
      <c r="D1971" s="4">
        <v>14</v>
      </c>
      <c r="E1971" s="4">
        <v>14</v>
      </c>
      <c r="F1971" s="4">
        <v>52</v>
      </c>
      <c r="G1971" s="4">
        <v>0.9</v>
      </c>
      <c r="H1971" s="3">
        <v>2.5</v>
      </c>
      <c r="I1971" s="3">
        <v>0.88</v>
      </c>
    </row>
    <row r="1972" spans="1:9" x14ac:dyDescent="0.25">
      <c r="A1972" s="9">
        <v>48415</v>
      </c>
      <c r="B1972" s="4">
        <v>41</v>
      </c>
      <c r="C1972" s="4">
        <v>25</v>
      </c>
      <c r="D1972" s="4">
        <v>14</v>
      </c>
      <c r="E1972" s="4">
        <v>25</v>
      </c>
      <c r="F1972" s="4">
        <v>693</v>
      </c>
      <c r="G1972" s="4">
        <v>6.6</v>
      </c>
      <c r="H1972" s="3">
        <v>2.8</v>
      </c>
      <c r="I1972" s="3">
        <v>1.03</v>
      </c>
    </row>
    <row r="1973" spans="1:9" x14ac:dyDescent="0.25">
      <c r="A1973" s="9">
        <v>48419</v>
      </c>
      <c r="B1973" s="4">
        <v>80</v>
      </c>
      <c r="C1973" s="4">
        <v>49</v>
      </c>
      <c r="D1973" s="4">
        <v>14</v>
      </c>
      <c r="E1973" s="4">
        <v>49</v>
      </c>
      <c r="F1973" s="4">
        <v>916</v>
      </c>
      <c r="G1973" s="4">
        <v>7.2</v>
      </c>
      <c r="H1973" s="3">
        <v>2.9</v>
      </c>
      <c r="I1973" s="3">
        <v>1</v>
      </c>
    </row>
    <row r="1974" spans="1:9" x14ac:dyDescent="0.25">
      <c r="A1974" s="9">
        <v>48423</v>
      </c>
      <c r="B1974" s="4">
        <v>1263</v>
      </c>
      <c r="C1974" s="4">
        <v>896</v>
      </c>
      <c r="D1974" s="4">
        <v>192</v>
      </c>
      <c r="E1974" s="4">
        <v>1298</v>
      </c>
      <c r="F1974" s="4">
        <v>49359</v>
      </c>
      <c r="G1974" s="4">
        <v>607.79999999999995</v>
      </c>
      <c r="H1974" s="3">
        <v>4.0749999999999993</v>
      </c>
      <c r="I1974" s="3">
        <v>2.0075000000000003</v>
      </c>
    </row>
    <row r="1975" spans="1:9" x14ac:dyDescent="0.25">
      <c r="A1975" s="9">
        <v>48425</v>
      </c>
      <c r="B1975" s="4">
        <v>58</v>
      </c>
      <c r="C1975" s="4">
        <v>16</v>
      </c>
      <c r="D1975" s="4">
        <v>14</v>
      </c>
      <c r="E1975" s="4">
        <v>16</v>
      </c>
      <c r="F1975" s="4">
        <v>261</v>
      </c>
      <c r="G1975" s="4">
        <v>2</v>
      </c>
      <c r="H1975" s="3">
        <v>2.9</v>
      </c>
      <c r="I1975" s="3">
        <v>1.07</v>
      </c>
    </row>
    <row r="1976" spans="1:9" x14ac:dyDescent="0.25">
      <c r="A1976" s="9">
        <v>48427</v>
      </c>
      <c r="B1976" s="4">
        <v>48</v>
      </c>
      <c r="C1976" s="4">
        <v>48</v>
      </c>
      <c r="D1976" s="4">
        <v>14</v>
      </c>
      <c r="E1976" s="4">
        <v>48</v>
      </c>
      <c r="F1976" s="4">
        <v>880</v>
      </c>
      <c r="G1976" s="4">
        <v>8.1999999999999993</v>
      </c>
      <c r="H1976" s="3">
        <v>3.7</v>
      </c>
      <c r="I1976" s="3">
        <v>1.17</v>
      </c>
    </row>
    <row r="1977" spans="1:9" x14ac:dyDescent="0.25">
      <c r="A1977" s="9">
        <v>48429</v>
      </c>
      <c r="B1977" s="4">
        <v>16</v>
      </c>
      <c r="C1977" s="4">
        <v>14</v>
      </c>
      <c r="D1977" s="4">
        <v>14</v>
      </c>
      <c r="E1977" s="4">
        <v>14</v>
      </c>
      <c r="F1977" s="4">
        <v>260</v>
      </c>
      <c r="G1977" s="4">
        <v>2.9</v>
      </c>
      <c r="H1977" s="3">
        <v>4.0999999999999996</v>
      </c>
      <c r="I1977" s="3">
        <v>1.02</v>
      </c>
    </row>
    <row r="1978" spans="1:9" x14ac:dyDescent="0.25">
      <c r="A1978" s="9">
        <v>48433</v>
      </c>
      <c r="B1978" s="4">
        <v>12</v>
      </c>
      <c r="C1978" s="4">
        <v>20</v>
      </c>
      <c r="D1978" s="4">
        <v>14</v>
      </c>
      <c r="E1978" s="4">
        <v>20</v>
      </c>
      <c r="F1978" s="4">
        <v>101</v>
      </c>
      <c r="G1978" s="4">
        <v>2</v>
      </c>
      <c r="H1978" s="3">
        <v>1.8</v>
      </c>
      <c r="I1978" s="3">
        <v>0.96</v>
      </c>
    </row>
    <row r="1979" spans="1:9" x14ac:dyDescent="0.25">
      <c r="A1979" s="9">
        <v>48435</v>
      </c>
      <c r="B1979" s="4">
        <v>7</v>
      </c>
      <c r="C1979" s="4">
        <v>12</v>
      </c>
      <c r="D1979" s="4">
        <v>14</v>
      </c>
      <c r="E1979" s="4">
        <v>12</v>
      </c>
      <c r="F1979" s="4">
        <v>101</v>
      </c>
      <c r="G1979" s="4">
        <v>1.2</v>
      </c>
      <c r="H1979" s="3">
        <v>2.9</v>
      </c>
      <c r="I1979" s="3">
        <v>0.95</v>
      </c>
    </row>
    <row r="1980" spans="1:9" x14ac:dyDescent="0.25">
      <c r="A1980" s="9">
        <v>48437</v>
      </c>
      <c r="B1980" s="4">
        <v>5</v>
      </c>
      <c r="C1980" s="4">
        <v>20</v>
      </c>
      <c r="D1980" s="4">
        <v>14</v>
      </c>
      <c r="E1980" s="4">
        <v>20</v>
      </c>
      <c r="F1980" s="4">
        <v>211</v>
      </c>
      <c r="G1980" s="4">
        <v>4.4000000000000004</v>
      </c>
      <c r="H1980" s="3">
        <v>3.2</v>
      </c>
      <c r="I1980" s="3">
        <v>0.92</v>
      </c>
    </row>
    <row r="1981" spans="1:9" x14ac:dyDescent="0.25">
      <c r="A1981" s="9">
        <v>48439</v>
      </c>
      <c r="B1981" s="4">
        <v>4625</v>
      </c>
      <c r="C1981" s="4">
        <v>3709</v>
      </c>
      <c r="D1981" s="4">
        <v>336</v>
      </c>
      <c r="E1981" s="4">
        <v>4265</v>
      </c>
      <c r="F1981" s="4">
        <v>201754</v>
      </c>
      <c r="G1981" s="4">
        <v>2494.6999999999998</v>
      </c>
      <c r="H1981" s="3">
        <v>3.7521739130434777</v>
      </c>
      <c r="I1981" s="3">
        <v>2.0486363636363638</v>
      </c>
    </row>
    <row r="1982" spans="1:9" x14ac:dyDescent="0.25">
      <c r="A1982" s="9">
        <v>48441</v>
      </c>
      <c r="B1982" s="4">
        <v>614</v>
      </c>
      <c r="C1982" s="4">
        <v>531</v>
      </c>
      <c r="D1982" s="4">
        <v>66</v>
      </c>
      <c r="E1982" s="4">
        <v>531</v>
      </c>
      <c r="F1982" s="4">
        <v>22377</v>
      </c>
      <c r="G1982" s="4">
        <v>285.2</v>
      </c>
      <c r="H1982" s="3">
        <v>4.6500000000000004</v>
      </c>
      <c r="I1982" s="3">
        <v>1.83</v>
      </c>
    </row>
    <row r="1983" spans="1:9" x14ac:dyDescent="0.25">
      <c r="A1983" s="9">
        <v>48445</v>
      </c>
      <c r="B1983" s="4">
        <v>12</v>
      </c>
      <c r="C1983" s="4">
        <v>26</v>
      </c>
      <c r="D1983" s="4">
        <v>14</v>
      </c>
      <c r="E1983" s="4">
        <v>26</v>
      </c>
      <c r="F1983" s="4">
        <v>430</v>
      </c>
      <c r="G1983" s="4">
        <v>4.0999999999999996</v>
      </c>
      <c r="H1983" s="3">
        <v>3.7</v>
      </c>
      <c r="I1983" s="3">
        <v>0.98</v>
      </c>
    </row>
    <row r="1984" spans="1:9" x14ac:dyDescent="0.25">
      <c r="A1984" s="9">
        <v>48447</v>
      </c>
      <c r="B1984" s="4">
        <v>5</v>
      </c>
      <c r="C1984" s="4">
        <v>14</v>
      </c>
      <c r="D1984" s="4">
        <v>14</v>
      </c>
      <c r="E1984" s="4">
        <v>14</v>
      </c>
      <c r="F1984" s="4">
        <v>44</v>
      </c>
      <c r="G1984" s="4">
        <v>1.1000000000000001</v>
      </c>
      <c r="H1984" s="3">
        <v>2.7</v>
      </c>
      <c r="I1984" s="3">
        <v>0.95</v>
      </c>
    </row>
    <row r="1985" spans="1:9" x14ac:dyDescent="0.25">
      <c r="A1985" s="9">
        <v>48449</v>
      </c>
      <c r="B1985" s="4">
        <v>129</v>
      </c>
      <c r="C1985" s="4">
        <v>49</v>
      </c>
      <c r="D1985" s="4">
        <v>8</v>
      </c>
      <c r="E1985" s="4">
        <v>49</v>
      </c>
      <c r="F1985" s="4">
        <v>2971</v>
      </c>
      <c r="G1985" s="4">
        <v>26.5</v>
      </c>
      <c r="H1985" s="3">
        <v>3.7</v>
      </c>
      <c r="I1985" s="3">
        <v>1.43</v>
      </c>
    </row>
    <row r="1986" spans="1:9" x14ac:dyDescent="0.25">
      <c r="A1986" s="9">
        <v>48451</v>
      </c>
      <c r="B1986" s="4">
        <v>427</v>
      </c>
      <c r="C1986" s="4">
        <v>483</v>
      </c>
      <c r="D1986" s="4">
        <v>35</v>
      </c>
      <c r="E1986" s="4">
        <v>483</v>
      </c>
      <c r="F1986" s="4">
        <v>18020</v>
      </c>
      <c r="G1986" s="4">
        <v>222.10000000000002</v>
      </c>
      <c r="H1986" s="3">
        <v>4.5</v>
      </c>
      <c r="I1986" s="3">
        <v>1.6850000000000001</v>
      </c>
    </row>
    <row r="1987" spans="1:9" x14ac:dyDescent="0.25">
      <c r="A1987" s="9">
        <v>48453</v>
      </c>
      <c r="B1987" s="4">
        <v>2686</v>
      </c>
      <c r="C1987" s="4">
        <v>2020</v>
      </c>
      <c r="D1987" s="4">
        <v>289</v>
      </c>
      <c r="E1987" s="4">
        <v>1881</v>
      </c>
      <c r="F1987" s="4">
        <v>106090</v>
      </c>
      <c r="G1987" s="4">
        <v>1374.9000000000003</v>
      </c>
      <c r="H1987" s="3">
        <v>3.8199999999999994</v>
      </c>
      <c r="I1987" s="3">
        <v>2.2344444444444442</v>
      </c>
    </row>
    <row r="1988" spans="1:9" x14ac:dyDescent="0.25">
      <c r="A1988" s="9">
        <v>48455</v>
      </c>
      <c r="B1988" s="4">
        <v>80</v>
      </c>
      <c r="C1988" s="4">
        <v>49</v>
      </c>
      <c r="D1988" s="4">
        <v>14</v>
      </c>
      <c r="E1988" s="4">
        <v>49</v>
      </c>
      <c r="F1988" s="4">
        <v>47</v>
      </c>
      <c r="G1988" s="4">
        <v>0.4</v>
      </c>
      <c r="H1988" s="3">
        <v>3.3</v>
      </c>
      <c r="I1988" s="3">
        <v>1</v>
      </c>
    </row>
    <row r="1989" spans="1:9" x14ac:dyDescent="0.25">
      <c r="A1989" s="9">
        <v>48457</v>
      </c>
      <c r="B1989" s="4">
        <v>21</v>
      </c>
      <c r="C1989" s="4">
        <v>25</v>
      </c>
      <c r="D1989" s="4">
        <v>14</v>
      </c>
      <c r="E1989" s="4">
        <v>25</v>
      </c>
      <c r="F1989" s="4">
        <v>305</v>
      </c>
      <c r="G1989" s="4">
        <v>2.4</v>
      </c>
      <c r="H1989" s="3">
        <v>2.8</v>
      </c>
      <c r="I1989" s="3">
        <v>0.98</v>
      </c>
    </row>
    <row r="1990" spans="1:9" x14ac:dyDescent="0.25">
      <c r="A1990" s="9">
        <v>48459</v>
      </c>
      <c r="B1990" s="4">
        <v>80</v>
      </c>
      <c r="C1990" s="4">
        <v>49</v>
      </c>
      <c r="D1990" s="4">
        <v>14</v>
      </c>
      <c r="E1990" s="4">
        <v>49</v>
      </c>
      <c r="F1990" s="4">
        <v>480</v>
      </c>
      <c r="G1990" s="4">
        <v>4.8</v>
      </c>
      <c r="H1990" s="3">
        <v>3.6</v>
      </c>
      <c r="I1990" s="3">
        <v>1</v>
      </c>
    </row>
    <row r="1991" spans="1:9" x14ac:dyDescent="0.25">
      <c r="A1991" s="9">
        <v>48461</v>
      </c>
      <c r="B1991" s="4">
        <v>12</v>
      </c>
      <c r="C1991" s="4">
        <v>26</v>
      </c>
      <c r="D1991" s="4">
        <v>14</v>
      </c>
      <c r="E1991" s="4">
        <v>26</v>
      </c>
      <c r="F1991" s="4">
        <v>76</v>
      </c>
      <c r="G1991" s="4">
        <v>1.9</v>
      </c>
      <c r="H1991" s="3">
        <v>2.75</v>
      </c>
      <c r="I1991" s="3">
        <v>0.94</v>
      </c>
    </row>
    <row r="1992" spans="1:9" x14ac:dyDescent="0.25">
      <c r="A1992" s="9">
        <v>48463</v>
      </c>
      <c r="B1992" s="4">
        <v>131</v>
      </c>
      <c r="C1992" s="4">
        <v>21</v>
      </c>
      <c r="D1992" s="4">
        <v>6</v>
      </c>
      <c r="E1992" s="4">
        <v>21</v>
      </c>
      <c r="F1992" s="4">
        <v>1154</v>
      </c>
      <c r="G1992" s="4">
        <v>12</v>
      </c>
      <c r="H1992" s="3">
        <v>3.9</v>
      </c>
      <c r="I1992" s="3">
        <v>1.28</v>
      </c>
    </row>
    <row r="1993" spans="1:9" x14ac:dyDescent="0.25">
      <c r="A1993" s="9">
        <v>48465</v>
      </c>
      <c r="B1993" s="4">
        <v>117</v>
      </c>
      <c r="C1993" s="4">
        <v>47</v>
      </c>
      <c r="D1993" s="4">
        <v>7</v>
      </c>
      <c r="E1993" s="4">
        <v>47</v>
      </c>
      <c r="F1993" s="4">
        <v>1222</v>
      </c>
      <c r="G1993" s="4">
        <v>17.5</v>
      </c>
      <c r="H1993" s="3">
        <v>6.4</v>
      </c>
      <c r="I1993" s="3">
        <v>1.35</v>
      </c>
    </row>
    <row r="1994" spans="1:9" x14ac:dyDescent="0.25">
      <c r="A1994" s="9">
        <v>48467</v>
      </c>
      <c r="B1994" s="4">
        <v>80</v>
      </c>
      <c r="C1994" s="4">
        <v>49</v>
      </c>
      <c r="D1994" s="4">
        <v>14</v>
      </c>
      <c r="E1994" s="4">
        <v>49</v>
      </c>
      <c r="F1994" s="4">
        <v>518</v>
      </c>
      <c r="G1994" s="4">
        <v>3.1</v>
      </c>
      <c r="H1994" s="3">
        <v>2.2000000000000002</v>
      </c>
      <c r="I1994" s="3">
        <v>0.84</v>
      </c>
    </row>
    <row r="1995" spans="1:9" x14ac:dyDescent="0.25">
      <c r="A1995" s="9">
        <v>48469</v>
      </c>
      <c r="B1995" s="4">
        <v>287</v>
      </c>
      <c r="C1995" s="4">
        <v>513</v>
      </c>
      <c r="D1995" s="4">
        <v>46</v>
      </c>
      <c r="E1995" s="4">
        <v>628</v>
      </c>
      <c r="F1995" s="4">
        <v>13587</v>
      </c>
      <c r="G1995" s="4">
        <v>163.80000000000001</v>
      </c>
      <c r="H1995" s="3">
        <v>4.5999999999999996</v>
      </c>
      <c r="I1995" s="3">
        <v>1.61</v>
      </c>
    </row>
    <row r="1996" spans="1:9" x14ac:dyDescent="0.25">
      <c r="A1996" s="9">
        <v>48471</v>
      </c>
      <c r="B1996" s="4">
        <v>107</v>
      </c>
      <c r="C1996" s="4">
        <v>90</v>
      </c>
      <c r="D1996" s="4">
        <v>6</v>
      </c>
      <c r="E1996" s="4">
        <v>90</v>
      </c>
      <c r="F1996" s="4">
        <v>4374</v>
      </c>
      <c r="G1996" s="4">
        <v>55</v>
      </c>
      <c r="H1996" s="3">
        <v>4.5999999999999996</v>
      </c>
      <c r="I1996" s="3">
        <v>1.37</v>
      </c>
    </row>
    <row r="1997" spans="1:9" x14ac:dyDescent="0.25">
      <c r="A1997" s="9">
        <v>48475</v>
      </c>
      <c r="B1997" s="4">
        <v>10</v>
      </c>
      <c r="C1997" s="4">
        <v>21</v>
      </c>
      <c r="D1997" s="4">
        <v>14</v>
      </c>
      <c r="E1997" s="4">
        <v>21</v>
      </c>
      <c r="F1997" s="4">
        <v>395</v>
      </c>
      <c r="G1997" s="4">
        <v>5.7</v>
      </c>
      <c r="H1997" s="3">
        <v>2.9</v>
      </c>
      <c r="I1997" s="3">
        <v>1.03</v>
      </c>
    </row>
    <row r="1998" spans="1:9" x14ac:dyDescent="0.25">
      <c r="A1998" s="9">
        <v>48477</v>
      </c>
      <c r="B1998" s="4">
        <v>48</v>
      </c>
      <c r="C1998" s="4">
        <v>50</v>
      </c>
      <c r="D1998" s="4">
        <v>5</v>
      </c>
      <c r="E1998" s="4">
        <v>50</v>
      </c>
      <c r="F1998" s="4">
        <v>1739</v>
      </c>
      <c r="G1998" s="4">
        <v>11.1</v>
      </c>
      <c r="H1998" s="3">
        <v>2.2999999999999998</v>
      </c>
      <c r="I1998" s="3">
        <v>1.32</v>
      </c>
    </row>
    <row r="1999" spans="1:9" x14ac:dyDescent="0.25">
      <c r="A1999" s="9">
        <v>48479</v>
      </c>
      <c r="B1999" s="4">
        <v>378</v>
      </c>
      <c r="C1999" s="4">
        <v>465</v>
      </c>
      <c r="D1999" s="4">
        <v>64</v>
      </c>
      <c r="E1999" s="4">
        <v>465</v>
      </c>
      <c r="F1999" s="4">
        <v>21158</v>
      </c>
      <c r="G1999" s="4">
        <v>291.10000000000002</v>
      </c>
      <c r="H1999" s="3">
        <v>5.3</v>
      </c>
      <c r="I1999" s="3">
        <v>1.875</v>
      </c>
    </row>
    <row r="2000" spans="1:9" x14ac:dyDescent="0.25">
      <c r="A2000" s="9">
        <v>48481</v>
      </c>
      <c r="B2000" s="4">
        <v>48</v>
      </c>
      <c r="C2000" s="4">
        <v>26</v>
      </c>
      <c r="D2000" s="4">
        <v>4</v>
      </c>
      <c r="E2000" s="4">
        <v>26</v>
      </c>
      <c r="F2000" s="4">
        <v>1262</v>
      </c>
      <c r="G2000" s="4">
        <v>17.100000000000001</v>
      </c>
      <c r="H2000" s="3">
        <v>4.9499999999999993</v>
      </c>
      <c r="I2000" s="3">
        <v>1.1200000000000001</v>
      </c>
    </row>
    <row r="2001" spans="1:9" x14ac:dyDescent="0.25">
      <c r="A2001" s="9">
        <v>48483</v>
      </c>
      <c r="B2001" s="4">
        <v>9</v>
      </c>
      <c r="C2001" s="4">
        <v>41</v>
      </c>
      <c r="D2001" s="4">
        <v>14</v>
      </c>
      <c r="E2001" s="4">
        <v>41</v>
      </c>
      <c r="F2001" s="4">
        <v>192</v>
      </c>
      <c r="G2001" s="4">
        <v>3</v>
      </c>
      <c r="H2001" s="3">
        <v>2.25</v>
      </c>
      <c r="I2001" s="3">
        <v>0.81499999999999995</v>
      </c>
    </row>
    <row r="2002" spans="1:9" x14ac:dyDescent="0.25">
      <c r="A2002" s="9">
        <v>48485</v>
      </c>
      <c r="B2002" s="4">
        <v>411</v>
      </c>
      <c r="C2002" s="4">
        <v>310</v>
      </c>
      <c r="D2002" s="4">
        <v>12</v>
      </c>
      <c r="E2002" s="4">
        <v>310</v>
      </c>
      <c r="F2002" s="4">
        <v>16249</v>
      </c>
      <c r="G2002" s="4">
        <v>177.2</v>
      </c>
      <c r="H2002" s="3">
        <v>3.4666666666666663</v>
      </c>
      <c r="I2002" s="3">
        <v>1.6033333333333333</v>
      </c>
    </row>
    <row r="2003" spans="1:9" x14ac:dyDescent="0.25">
      <c r="A2003" s="9">
        <v>48487</v>
      </c>
      <c r="B2003" s="4">
        <v>47</v>
      </c>
      <c r="C2003" s="4">
        <v>28</v>
      </c>
      <c r="D2003" s="4">
        <v>14</v>
      </c>
      <c r="E2003" s="4">
        <v>28</v>
      </c>
      <c r="F2003" s="4">
        <v>715</v>
      </c>
      <c r="G2003" s="4">
        <v>7.6</v>
      </c>
      <c r="H2003" s="3">
        <v>3.9</v>
      </c>
      <c r="I2003" s="3">
        <v>1.1599999999999999</v>
      </c>
    </row>
    <row r="2004" spans="1:9" x14ac:dyDescent="0.25">
      <c r="A2004" s="9">
        <v>48491</v>
      </c>
      <c r="B2004" s="4">
        <v>1030</v>
      </c>
      <c r="C2004" s="4">
        <v>569</v>
      </c>
      <c r="D2004" s="4">
        <v>100</v>
      </c>
      <c r="E2004" s="4">
        <v>714</v>
      </c>
      <c r="F2004" s="4">
        <v>33496</v>
      </c>
      <c r="G2004" s="4">
        <v>358.1</v>
      </c>
      <c r="H2004" s="3">
        <v>3.3333333333333335</v>
      </c>
      <c r="I2004" s="3">
        <v>1.5033333333333332</v>
      </c>
    </row>
    <row r="2005" spans="1:9" x14ac:dyDescent="0.25">
      <c r="A2005" s="9">
        <v>48493</v>
      </c>
      <c r="B2005" s="4">
        <v>96</v>
      </c>
      <c r="C2005" s="4">
        <v>44</v>
      </c>
      <c r="D2005" s="4">
        <v>4</v>
      </c>
      <c r="E2005" s="4">
        <v>44</v>
      </c>
      <c r="F2005" s="4">
        <v>790</v>
      </c>
      <c r="G2005" s="4">
        <v>7.8</v>
      </c>
      <c r="H2005" s="3">
        <v>3.6</v>
      </c>
      <c r="I2005" s="3">
        <v>1.28</v>
      </c>
    </row>
    <row r="2006" spans="1:9" x14ac:dyDescent="0.25">
      <c r="A2006" s="9">
        <v>48495</v>
      </c>
      <c r="B2006" s="4">
        <v>14</v>
      </c>
      <c r="C2006" s="4">
        <v>19</v>
      </c>
      <c r="D2006" s="4">
        <v>14</v>
      </c>
      <c r="E2006" s="4">
        <v>19</v>
      </c>
      <c r="F2006" s="4">
        <v>99</v>
      </c>
      <c r="G2006" s="4">
        <v>2.2999999999999998</v>
      </c>
      <c r="H2006" s="3">
        <v>2.6</v>
      </c>
      <c r="I2006" s="3">
        <v>0.86</v>
      </c>
    </row>
    <row r="2007" spans="1:9" x14ac:dyDescent="0.25">
      <c r="A2007" s="9">
        <v>48497</v>
      </c>
      <c r="B2007" s="4">
        <v>228</v>
      </c>
      <c r="C2007" s="4">
        <v>81</v>
      </c>
      <c r="D2007" s="4">
        <v>21</v>
      </c>
      <c r="E2007" s="4">
        <v>49</v>
      </c>
      <c r="F2007" s="4">
        <v>5148</v>
      </c>
      <c r="G2007" s="4">
        <v>52.9</v>
      </c>
      <c r="H2007" s="3">
        <v>4</v>
      </c>
      <c r="I2007" s="3">
        <v>1.52</v>
      </c>
    </row>
    <row r="2008" spans="1:9" x14ac:dyDescent="0.25">
      <c r="A2008" s="9">
        <v>48499</v>
      </c>
      <c r="B2008" s="4">
        <v>45</v>
      </c>
      <c r="C2008" s="4">
        <v>48</v>
      </c>
      <c r="D2008" s="4">
        <v>14</v>
      </c>
      <c r="E2008" s="4">
        <v>48</v>
      </c>
      <c r="F2008" s="4">
        <v>1187</v>
      </c>
      <c r="G2008" s="4">
        <v>15.399999999999999</v>
      </c>
      <c r="H2008" s="3">
        <v>2.0499999999999998</v>
      </c>
      <c r="I2008" s="3">
        <v>1.19</v>
      </c>
    </row>
    <row r="2009" spans="1:9" x14ac:dyDescent="0.25">
      <c r="A2009" s="9">
        <v>48501</v>
      </c>
      <c r="B2009" s="4">
        <v>10</v>
      </c>
      <c r="C2009" s="4">
        <v>24</v>
      </c>
      <c r="D2009" s="4">
        <v>14</v>
      </c>
      <c r="E2009" s="4">
        <v>24</v>
      </c>
      <c r="F2009" s="4">
        <v>365</v>
      </c>
      <c r="G2009" s="4">
        <v>3.2</v>
      </c>
      <c r="H2009" s="3">
        <v>2.2000000000000002</v>
      </c>
      <c r="I2009" s="3">
        <v>1.08</v>
      </c>
    </row>
    <row r="2010" spans="1:9" x14ac:dyDescent="0.25">
      <c r="A2010" s="9">
        <v>48503</v>
      </c>
      <c r="B2010" s="4">
        <v>59</v>
      </c>
      <c r="C2010" s="4">
        <v>50</v>
      </c>
      <c r="D2010" s="4">
        <v>14</v>
      </c>
      <c r="E2010" s="4">
        <v>50</v>
      </c>
      <c r="F2010" s="4">
        <v>875</v>
      </c>
      <c r="G2010" s="4">
        <v>14.2</v>
      </c>
      <c r="H2010" s="3">
        <v>3.65</v>
      </c>
      <c r="I2010" s="3">
        <v>1.1299999999999999</v>
      </c>
    </row>
    <row r="2011" spans="1:9" x14ac:dyDescent="0.25">
      <c r="A2011" s="9">
        <v>49001</v>
      </c>
      <c r="B2011" s="4">
        <v>16</v>
      </c>
      <c r="C2011" s="4">
        <v>30</v>
      </c>
      <c r="D2011" s="4">
        <v>14</v>
      </c>
      <c r="E2011" s="4">
        <v>30</v>
      </c>
      <c r="F2011" s="4">
        <v>244</v>
      </c>
      <c r="G2011" s="4">
        <v>17.3</v>
      </c>
      <c r="H2011" s="3">
        <v>3.0999999999999996</v>
      </c>
      <c r="I2011" s="3">
        <v>0.99</v>
      </c>
    </row>
    <row r="2012" spans="1:9" x14ac:dyDescent="0.25">
      <c r="A2012" s="9">
        <v>49003</v>
      </c>
      <c r="B2012" s="4">
        <v>86</v>
      </c>
      <c r="C2012" s="4">
        <v>56</v>
      </c>
      <c r="D2012" s="4">
        <v>14</v>
      </c>
      <c r="E2012" s="4">
        <v>56</v>
      </c>
      <c r="F2012" s="4">
        <v>1506</v>
      </c>
      <c r="G2012" s="4">
        <v>9.3999999999999986</v>
      </c>
      <c r="H2012" s="3">
        <v>2.65</v>
      </c>
      <c r="I2012" s="3">
        <v>1.3250000000000002</v>
      </c>
    </row>
    <row r="2013" spans="1:9" x14ac:dyDescent="0.25">
      <c r="A2013" s="9">
        <v>49005</v>
      </c>
      <c r="B2013" s="4">
        <v>275</v>
      </c>
      <c r="C2013" s="4">
        <v>158</v>
      </c>
      <c r="D2013" s="4">
        <v>14</v>
      </c>
      <c r="E2013" s="4">
        <v>152</v>
      </c>
      <c r="F2013" s="4">
        <v>6527</v>
      </c>
      <c r="G2013" s="4">
        <v>41.8</v>
      </c>
      <c r="H2013" s="3">
        <v>2.5999999999999996</v>
      </c>
      <c r="I2013" s="3">
        <v>2.0249999999999999</v>
      </c>
    </row>
    <row r="2014" spans="1:9" x14ac:dyDescent="0.25">
      <c r="A2014" s="9">
        <v>49007</v>
      </c>
      <c r="B2014" s="4">
        <v>96</v>
      </c>
      <c r="C2014" s="4">
        <v>39</v>
      </c>
      <c r="D2014" s="4">
        <v>6</v>
      </c>
      <c r="E2014" s="4">
        <v>39</v>
      </c>
      <c r="F2014" s="4">
        <v>1304</v>
      </c>
      <c r="G2014" s="4">
        <v>11.3</v>
      </c>
      <c r="H2014" s="3">
        <v>3.6</v>
      </c>
      <c r="I2014" s="3">
        <v>1.45</v>
      </c>
    </row>
    <row r="2015" spans="1:9" x14ac:dyDescent="0.25">
      <c r="A2015" s="9">
        <v>49011</v>
      </c>
      <c r="B2015" s="4">
        <v>517</v>
      </c>
      <c r="C2015" s="4">
        <v>252</v>
      </c>
      <c r="D2015" s="4">
        <v>22</v>
      </c>
      <c r="E2015" s="4">
        <v>295</v>
      </c>
      <c r="F2015" s="4">
        <v>8313</v>
      </c>
      <c r="G2015" s="4">
        <v>70.8</v>
      </c>
      <c r="H2015" s="3">
        <v>3.75</v>
      </c>
      <c r="I2015" s="3">
        <v>1.8266666666666669</v>
      </c>
    </row>
    <row r="2016" spans="1:9" x14ac:dyDescent="0.25">
      <c r="A2016" s="9">
        <v>49013</v>
      </c>
      <c r="B2016" s="4">
        <v>84</v>
      </c>
      <c r="C2016" s="4">
        <v>32</v>
      </c>
      <c r="D2016" s="4">
        <v>4</v>
      </c>
      <c r="E2016" s="4">
        <v>32</v>
      </c>
      <c r="F2016" s="4">
        <v>1475</v>
      </c>
      <c r="G2016" s="4">
        <v>10.199999999999999</v>
      </c>
      <c r="H2016" s="3">
        <v>3.4</v>
      </c>
      <c r="I2016" s="3">
        <v>1.63</v>
      </c>
    </row>
    <row r="2017" spans="1:9" x14ac:dyDescent="0.25">
      <c r="A2017" s="9">
        <v>49017</v>
      </c>
      <c r="B2017" s="4">
        <v>9</v>
      </c>
      <c r="C2017" s="4">
        <v>15</v>
      </c>
      <c r="D2017" s="4">
        <v>14</v>
      </c>
      <c r="E2017" s="4">
        <v>15</v>
      </c>
      <c r="F2017" s="4">
        <v>265</v>
      </c>
      <c r="G2017" s="4">
        <v>2.9</v>
      </c>
      <c r="H2017" s="3">
        <v>2.7</v>
      </c>
      <c r="I2017" s="3">
        <v>0.92</v>
      </c>
    </row>
    <row r="2018" spans="1:9" x14ac:dyDescent="0.25">
      <c r="A2018" s="9">
        <v>49019</v>
      </c>
      <c r="B2018" s="4">
        <v>40</v>
      </c>
      <c r="C2018" s="4">
        <v>17</v>
      </c>
      <c r="D2018" s="4">
        <v>14</v>
      </c>
      <c r="E2018" s="4">
        <v>17</v>
      </c>
      <c r="F2018" s="4">
        <v>416</v>
      </c>
      <c r="G2018" s="4">
        <v>6</v>
      </c>
      <c r="H2018" s="3">
        <v>2.8</v>
      </c>
      <c r="I2018" s="3">
        <v>1.25</v>
      </c>
    </row>
    <row r="2019" spans="1:9" x14ac:dyDescent="0.25">
      <c r="A2019" s="9">
        <v>49021</v>
      </c>
      <c r="B2019" s="4">
        <v>94</v>
      </c>
      <c r="C2019" s="4">
        <v>48</v>
      </c>
      <c r="D2019" s="4">
        <v>6</v>
      </c>
      <c r="E2019" s="4">
        <v>48</v>
      </c>
      <c r="F2019" s="4">
        <v>1934</v>
      </c>
      <c r="G2019" s="4">
        <v>14.3</v>
      </c>
      <c r="H2019" s="3">
        <v>3.4</v>
      </c>
      <c r="I2019" s="3">
        <v>1.54</v>
      </c>
    </row>
    <row r="2020" spans="1:9" x14ac:dyDescent="0.25">
      <c r="A2020" s="9">
        <v>49023</v>
      </c>
      <c r="B2020" s="4">
        <v>34</v>
      </c>
      <c r="C2020" s="4">
        <v>25</v>
      </c>
      <c r="D2020" s="4">
        <v>14</v>
      </c>
      <c r="E2020" s="4">
        <v>25</v>
      </c>
      <c r="F2020" s="4">
        <v>772</v>
      </c>
      <c r="G2020" s="4">
        <v>10</v>
      </c>
      <c r="H2020" s="3">
        <v>3.5</v>
      </c>
      <c r="I2020" s="3">
        <v>1.21</v>
      </c>
    </row>
    <row r="2021" spans="1:9" x14ac:dyDescent="0.25">
      <c r="A2021" s="9">
        <v>49025</v>
      </c>
      <c r="B2021" s="4">
        <v>12</v>
      </c>
      <c r="C2021" s="4">
        <v>25</v>
      </c>
      <c r="D2021" s="4">
        <v>14</v>
      </c>
      <c r="E2021" s="4">
        <v>25</v>
      </c>
      <c r="F2021" s="4">
        <v>156</v>
      </c>
      <c r="G2021" s="4">
        <v>13.5</v>
      </c>
      <c r="H2021" s="3">
        <v>3.6</v>
      </c>
      <c r="I2021" s="3">
        <v>1.08</v>
      </c>
    </row>
    <row r="2022" spans="1:9" x14ac:dyDescent="0.25">
      <c r="A2022" s="9">
        <v>49027</v>
      </c>
      <c r="B2022" s="4">
        <v>15</v>
      </c>
      <c r="C2022" s="4">
        <v>37</v>
      </c>
      <c r="D2022" s="4">
        <v>14</v>
      </c>
      <c r="E2022" s="4">
        <v>37</v>
      </c>
      <c r="F2022" s="4">
        <v>386</v>
      </c>
      <c r="G2022" s="4">
        <v>14.100000000000001</v>
      </c>
      <c r="H2022" s="3">
        <v>3</v>
      </c>
      <c r="I2022" s="3">
        <v>1.0350000000000001</v>
      </c>
    </row>
    <row r="2023" spans="1:9" x14ac:dyDescent="0.25">
      <c r="A2023" s="9">
        <v>49035</v>
      </c>
      <c r="B2023" s="4">
        <v>4209</v>
      </c>
      <c r="C2023" s="4">
        <v>2043</v>
      </c>
      <c r="D2023" s="4">
        <v>186</v>
      </c>
      <c r="E2023" s="4">
        <v>2053</v>
      </c>
      <c r="F2023" s="4">
        <v>103816</v>
      </c>
      <c r="G2023" s="4">
        <v>1115.2</v>
      </c>
      <c r="H2023" s="3">
        <v>3.6100000000000003</v>
      </c>
      <c r="I2023" s="3">
        <v>1.919</v>
      </c>
    </row>
    <row r="2024" spans="1:9" x14ac:dyDescent="0.25">
      <c r="A2024" s="9">
        <v>49037</v>
      </c>
      <c r="B2024" s="4">
        <v>33</v>
      </c>
      <c r="C2024" s="4">
        <v>32</v>
      </c>
      <c r="D2024" s="4">
        <v>1</v>
      </c>
      <c r="E2024" s="4">
        <v>32</v>
      </c>
      <c r="F2024" s="4">
        <v>665</v>
      </c>
      <c r="G2024" s="4">
        <v>5.5</v>
      </c>
      <c r="H2024" s="3">
        <v>2.35</v>
      </c>
      <c r="I2024" s="3">
        <v>1.27</v>
      </c>
    </row>
    <row r="2025" spans="1:9" x14ac:dyDescent="0.25">
      <c r="A2025" s="9">
        <v>49039</v>
      </c>
      <c r="B2025" s="4">
        <v>58</v>
      </c>
      <c r="C2025" s="4">
        <v>43</v>
      </c>
      <c r="D2025" s="4">
        <v>14</v>
      </c>
      <c r="E2025" s="4">
        <v>43</v>
      </c>
      <c r="F2025" s="4">
        <v>1086</v>
      </c>
      <c r="G2025" s="4">
        <v>12.5</v>
      </c>
      <c r="H2025" s="3">
        <v>2.5</v>
      </c>
      <c r="I2025" s="3">
        <v>1.1499999999999999</v>
      </c>
    </row>
    <row r="2026" spans="1:9" x14ac:dyDescent="0.25">
      <c r="A2026" s="9">
        <v>49041</v>
      </c>
      <c r="B2026" s="4">
        <v>48</v>
      </c>
      <c r="C2026" s="4">
        <v>24</v>
      </c>
      <c r="D2026" s="4">
        <v>14</v>
      </c>
      <c r="E2026" s="4">
        <v>24</v>
      </c>
      <c r="F2026" s="4">
        <v>886</v>
      </c>
      <c r="G2026" s="4">
        <v>6</v>
      </c>
      <c r="H2026" s="3">
        <v>2.9</v>
      </c>
      <c r="I2026" s="3">
        <v>1.42</v>
      </c>
    </row>
    <row r="2027" spans="1:9" x14ac:dyDescent="0.25">
      <c r="A2027" s="9">
        <v>49043</v>
      </c>
      <c r="B2027" s="4">
        <v>112</v>
      </c>
      <c r="C2027" s="4">
        <v>37</v>
      </c>
      <c r="D2027" s="4">
        <v>4</v>
      </c>
      <c r="E2027" s="4">
        <v>37</v>
      </c>
      <c r="F2027" s="4">
        <v>1848</v>
      </c>
      <c r="G2027" s="4">
        <v>9.1</v>
      </c>
      <c r="H2027" s="3">
        <v>2.2999999999999998</v>
      </c>
      <c r="I2027" s="3">
        <v>1.7</v>
      </c>
    </row>
    <row r="2028" spans="1:9" x14ac:dyDescent="0.25">
      <c r="A2028" s="9">
        <v>49045</v>
      </c>
      <c r="B2028" s="4">
        <v>86</v>
      </c>
      <c r="C2028" s="4">
        <v>36</v>
      </c>
      <c r="D2028" s="4">
        <v>4</v>
      </c>
      <c r="E2028" s="4">
        <v>36</v>
      </c>
      <c r="F2028" s="4">
        <v>1620</v>
      </c>
      <c r="G2028" s="4">
        <v>9.6</v>
      </c>
      <c r="H2028" s="3">
        <v>2.7</v>
      </c>
      <c r="I2028" s="3">
        <v>1.3</v>
      </c>
    </row>
    <row r="2029" spans="1:9" x14ac:dyDescent="0.25">
      <c r="A2029" s="9">
        <v>49047</v>
      </c>
      <c r="B2029" s="4">
        <v>50</v>
      </c>
      <c r="C2029" s="4">
        <v>39</v>
      </c>
      <c r="D2029" s="4">
        <v>4</v>
      </c>
      <c r="E2029" s="4">
        <v>39</v>
      </c>
      <c r="F2029" s="4">
        <v>1355</v>
      </c>
      <c r="G2029" s="4">
        <v>8.6999999999999993</v>
      </c>
      <c r="H2029" s="3">
        <v>2.6</v>
      </c>
      <c r="I2029" s="3">
        <v>1.33</v>
      </c>
    </row>
    <row r="2030" spans="1:9" x14ac:dyDescent="0.25">
      <c r="A2030" s="9">
        <v>49049</v>
      </c>
      <c r="B2030" s="4">
        <v>1156</v>
      </c>
      <c r="C2030" s="4">
        <v>669</v>
      </c>
      <c r="D2030" s="4">
        <v>122</v>
      </c>
      <c r="E2030" s="4">
        <v>709</v>
      </c>
      <c r="F2030" s="4">
        <v>31284</v>
      </c>
      <c r="G2030" s="4">
        <v>304.5</v>
      </c>
      <c r="H2030" s="3">
        <v>3.9</v>
      </c>
      <c r="I2030" s="3">
        <v>1.9</v>
      </c>
    </row>
    <row r="2031" spans="1:9" x14ac:dyDescent="0.25">
      <c r="A2031" s="9">
        <v>49051</v>
      </c>
      <c r="B2031" s="4">
        <v>44</v>
      </c>
      <c r="C2031" s="4">
        <v>19</v>
      </c>
      <c r="D2031" s="4">
        <v>14</v>
      </c>
      <c r="E2031" s="4">
        <v>19</v>
      </c>
      <c r="F2031" s="4">
        <v>587</v>
      </c>
      <c r="G2031" s="4">
        <v>4.2</v>
      </c>
      <c r="H2031" s="3">
        <v>2</v>
      </c>
      <c r="I2031" s="3">
        <v>1.27</v>
      </c>
    </row>
    <row r="2032" spans="1:9" x14ac:dyDescent="0.25">
      <c r="A2032" s="9">
        <v>49053</v>
      </c>
      <c r="B2032" s="4">
        <v>567</v>
      </c>
      <c r="C2032" s="4">
        <v>246</v>
      </c>
      <c r="D2032" s="4">
        <v>32</v>
      </c>
      <c r="E2032" s="4">
        <v>164</v>
      </c>
      <c r="F2032" s="4">
        <v>15581</v>
      </c>
      <c r="G2032" s="4">
        <v>155.5</v>
      </c>
      <c r="H2032" s="3">
        <v>3.6</v>
      </c>
      <c r="I2032" s="3">
        <v>1.98</v>
      </c>
    </row>
    <row r="2033" spans="1:9" x14ac:dyDescent="0.25">
      <c r="A2033" s="9">
        <v>49057</v>
      </c>
      <c r="B2033" s="4">
        <v>716</v>
      </c>
      <c r="C2033" s="4">
        <v>417</v>
      </c>
      <c r="D2033" s="4">
        <v>64</v>
      </c>
      <c r="E2033" s="4">
        <v>417</v>
      </c>
      <c r="F2033" s="4">
        <v>23213</v>
      </c>
      <c r="G2033" s="4">
        <v>208.29999999999998</v>
      </c>
      <c r="H2033" s="3">
        <v>3.75</v>
      </c>
      <c r="I2033" s="3">
        <v>1.96</v>
      </c>
    </row>
    <row r="2034" spans="1:9" x14ac:dyDescent="0.25">
      <c r="A2034" s="9">
        <v>50001</v>
      </c>
      <c r="B2034" s="4">
        <v>119</v>
      </c>
      <c r="C2034" s="4">
        <v>25</v>
      </c>
      <c r="D2034" s="4">
        <v>14</v>
      </c>
      <c r="E2034" s="4">
        <v>25</v>
      </c>
      <c r="F2034" s="4">
        <v>1575</v>
      </c>
      <c r="G2034" s="4">
        <v>14.8</v>
      </c>
      <c r="H2034" s="3">
        <v>3.2</v>
      </c>
      <c r="I2034" s="3">
        <v>1.25</v>
      </c>
    </row>
    <row r="2035" spans="1:9" x14ac:dyDescent="0.25">
      <c r="A2035" s="9">
        <v>50003</v>
      </c>
      <c r="B2035" s="4">
        <v>170</v>
      </c>
      <c r="C2035" s="4">
        <v>78</v>
      </c>
      <c r="D2035" s="4">
        <v>10</v>
      </c>
      <c r="E2035" s="4">
        <v>78</v>
      </c>
      <c r="F2035" s="4">
        <v>3394</v>
      </c>
      <c r="G2035" s="4">
        <v>31.8</v>
      </c>
      <c r="H2035" s="3">
        <v>3.7</v>
      </c>
      <c r="I2035" s="3">
        <v>1.29</v>
      </c>
    </row>
    <row r="2036" spans="1:9" x14ac:dyDescent="0.25">
      <c r="A2036" s="9">
        <v>50005</v>
      </c>
      <c r="B2036" s="4">
        <v>114</v>
      </c>
      <c r="C2036" s="4">
        <v>25</v>
      </c>
      <c r="D2036" s="4">
        <v>4</v>
      </c>
      <c r="E2036" s="4">
        <v>25</v>
      </c>
      <c r="F2036" s="4">
        <v>1794</v>
      </c>
      <c r="G2036" s="4">
        <v>17.8</v>
      </c>
      <c r="H2036" s="3">
        <v>3.6</v>
      </c>
      <c r="I2036" s="3">
        <v>1.3</v>
      </c>
    </row>
    <row r="2037" spans="1:9" x14ac:dyDescent="0.25">
      <c r="A2037" s="9">
        <v>50007</v>
      </c>
      <c r="B2037" s="4">
        <v>1473</v>
      </c>
      <c r="C2037" s="4">
        <v>422</v>
      </c>
      <c r="D2037" s="4">
        <v>21</v>
      </c>
      <c r="E2037" s="4">
        <v>422</v>
      </c>
      <c r="F2037" s="4">
        <v>20605</v>
      </c>
      <c r="G2037" s="4">
        <v>315.10000000000002</v>
      </c>
      <c r="H2037" s="3">
        <v>5.9</v>
      </c>
      <c r="I2037" s="3">
        <v>1.9</v>
      </c>
    </row>
    <row r="2038" spans="1:9" x14ac:dyDescent="0.25">
      <c r="A2038" s="9">
        <v>50011</v>
      </c>
      <c r="B2038" s="4">
        <v>154</v>
      </c>
      <c r="C2038" s="4">
        <v>53</v>
      </c>
      <c r="D2038" s="4">
        <v>14</v>
      </c>
      <c r="E2038" s="4">
        <v>53</v>
      </c>
      <c r="F2038" s="4">
        <v>2334</v>
      </c>
      <c r="G2038" s="4">
        <v>19.399999999999999</v>
      </c>
      <c r="H2038" s="3">
        <v>3.4</v>
      </c>
      <c r="I2038" s="3">
        <v>1.34</v>
      </c>
    </row>
    <row r="2039" spans="1:9" x14ac:dyDescent="0.25">
      <c r="A2039" s="9">
        <v>50015</v>
      </c>
      <c r="B2039" s="4">
        <v>88</v>
      </c>
      <c r="C2039" s="4">
        <v>25</v>
      </c>
      <c r="D2039" s="4">
        <v>14</v>
      </c>
      <c r="E2039" s="4">
        <v>25</v>
      </c>
      <c r="F2039" s="4">
        <v>1696</v>
      </c>
      <c r="G2039" s="4">
        <v>13.1</v>
      </c>
      <c r="H2039" s="3">
        <v>2.8</v>
      </c>
      <c r="I2039" s="3">
        <v>1.4</v>
      </c>
    </row>
    <row r="2040" spans="1:9" x14ac:dyDescent="0.25">
      <c r="A2040" s="9">
        <v>50017</v>
      </c>
      <c r="B2040" s="4">
        <v>88</v>
      </c>
      <c r="C2040" s="4">
        <v>25</v>
      </c>
      <c r="D2040" s="4">
        <v>2</v>
      </c>
      <c r="E2040" s="4">
        <v>25</v>
      </c>
      <c r="F2040" s="4">
        <v>1148</v>
      </c>
      <c r="G2040" s="4">
        <v>12.8</v>
      </c>
      <c r="H2040" s="3">
        <v>3.1</v>
      </c>
      <c r="I2040" s="3">
        <v>1.07</v>
      </c>
    </row>
    <row r="2041" spans="1:9" x14ac:dyDescent="0.25">
      <c r="A2041" s="9">
        <v>50019</v>
      </c>
      <c r="B2041" s="4">
        <v>57</v>
      </c>
      <c r="C2041" s="4">
        <v>25</v>
      </c>
      <c r="D2041" s="4">
        <v>5</v>
      </c>
      <c r="E2041" s="4">
        <v>25</v>
      </c>
      <c r="F2041" s="4">
        <v>1372</v>
      </c>
      <c r="G2041" s="4">
        <v>15.2</v>
      </c>
      <c r="H2041" s="3">
        <v>3.4</v>
      </c>
      <c r="I2041" s="3">
        <v>1.1200000000000001</v>
      </c>
    </row>
    <row r="2042" spans="1:9" x14ac:dyDescent="0.25">
      <c r="A2042" s="9">
        <v>50021</v>
      </c>
      <c r="B2042" s="4">
        <v>261</v>
      </c>
      <c r="C2042" s="4">
        <v>124</v>
      </c>
      <c r="D2042" s="4">
        <v>13</v>
      </c>
      <c r="E2042" s="4">
        <v>124</v>
      </c>
      <c r="F2042" s="4">
        <v>6860</v>
      </c>
      <c r="G2042" s="4">
        <v>88.1</v>
      </c>
      <c r="H2042" s="3">
        <v>4.8</v>
      </c>
      <c r="I2042" s="3">
        <v>1.4</v>
      </c>
    </row>
    <row r="2043" spans="1:9" x14ac:dyDescent="0.25">
      <c r="A2043" s="9">
        <v>50023</v>
      </c>
      <c r="B2043" s="4">
        <v>243</v>
      </c>
      <c r="C2043" s="4">
        <v>76</v>
      </c>
      <c r="D2043" s="4">
        <v>14</v>
      </c>
      <c r="E2043" s="4">
        <v>76</v>
      </c>
      <c r="F2043" s="4">
        <v>3864</v>
      </c>
      <c r="G2043" s="4">
        <v>54.6</v>
      </c>
      <c r="H2043" s="3">
        <v>5.3</v>
      </c>
      <c r="I2043" s="3">
        <v>1.43</v>
      </c>
    </row>
    <row r="2044" spans="1:9" x14ac:dyDescent="0.25">
      <c r="A2044" s="9">
        <v>50025</v>
      </c>
      <c r="B2044" s="4">
        <v>161</v>
      </c>
      <c r="C2044" s="4">
        <v>66</v>
      </c>
      <c r="D2044" s="4">
        <v>14</v>
      </c>
      <c r="E2044" s="4">
        <v>66</v>
      </c>
      <c r="F2044" s="4">
        <v>1605</v>
      </c>
      <c r="G2044" s="4">
        <v>25.700000000000003</v>
      </c>
      <c r="H2044" s="3">
        <v>3.5</v>
      </c>
      <c r="I2044" s="3">
        <v>1.105</v>
      </c>
    </row>
    <row r="2045" spans="1:9" x14ac:dyDescent="0.25">
      <c r="A2045" s="9">
        <v>50027</v>
      </c>
      <c r="B2045" s="4">
        <v>166</v>
      </c>
      <c r="C2045" s="4">
        <v>50</v>
      </c>
      <c r="D2045" s="4">
        <v>14</v>
      </c>
      <c r="E2045" s="4">
        <v>50</v>
      </c>
      <c r="F2045" s="4">
        <v>2021</v>
      </c>
      <c r="G2045" s="4">
        <v>35.299999999999997</v>
      </c>
      <c r="H2045" s="3">
        <v>3.5</v>
      </c>
      <c r="I2045" s="3">
        <v>1.0649999999999999</v>
      </c>
    </row>
    <row r="2046" spans="1:9" x14ac:dyDescent="0.25">
      <c r="A2046" s="9">
        <v>51001</v>
      </c>
      <c r="B2046" s="4">
        <v>116</v>
      </c>
      <c r="C2046" s="4">
        <v>46</v>
      </c>
      <c r="D2046" s="4">
        <v>10</v>
      </c>
      <c r="E2046" s="4">
        <v>46</v>
      </c>
      <c r="F2046" s="4">
        <v>2622</v>
      </c>
      <c r="G2046" s="4">
        <v>22.3</v>
      </c>
      <c r="H2046" s="3">
        <v>3.4</v>
      </c>
      <c r="I2046" s="3">
        <v>1.37</v>
      </c>
    </row>
    <row r="2047" spans="1:9" x14ac:dyDescent="0.25">
      <c r="A2047" s="9">
        <v>51003</v>
      </c>
      <c r="B2047" s="4">
        <v>449</v>
      </c>
      <c r="C2047" s="4">
        <v>150</v>
      </c>
      <c r="D2047" s="4">
        <v>12</v>
      </c>
      <c r="E2047" s="4">
        <v>150</v>
      </c>
      <c r="F2047" s="4">
        <v>9789</v>
      </c>
      <c r="G2047" s="4">
        <v>92.3</v>
      </c>
      <c r="H2047" s="3">
        <v>3.8</v>
      </c>
      <c r="I2047" s="3">
        <v>1.55</v>
      </c>
    </row>
    <row r="2048" spans="1:9" x14ac:dyDescent="0.25">
      <c r="A2048" s="9">
        <v>51005</v>
      </c>
      <c r="B2048" s="4">
        <v>70</v>
      </c>
      <c r="C2048" s="4">
        <v>95</v>
      </c>
      <c r="D2048" s="4">
        <v>10</v>
      </c>
      <c r="E2048" s="4">
        <v>95</v>
      </c>
      <c r="F2048" s="4">
        <v>1494</v>
      </c>
      <c r="G2048" s="4">
        <v>15.2</v>
      </c>
      <c r="H2048" s="3">
        <v>3.7</v>
      </c>
      <c r="I2048" s="3">
        <v>1.33</v>
      </c>
    </row>
    <row r="2049" spans="1:9" x14ac:dyDescent="0.25">
      <c r="A2049" s="9">
        <v>51009</v>
      </c>
      <c r="B2049" s="4">
        <v>80</v>
      </c>
      <c r="C2049" s="4">
        <v>49</v>
      </c>
      <c r="D2049" s="4">
        <v>14</v>
      </c>
      <c r="E2049" s="4">
        <v>49</v>
      </c>
      <c r="F2049" s="4">
        <v>1532</v>
      </c>
      <c r="G2049" s="4">
        <v>16</v>
      </c>
      <c r="H2049" s="3">
        <v>4</v>
      </c>
      <c r="I2049" s="3">
        <v>1</v>
      </c>
    </row>
    <row r="2050" spans="1:9" x14ac:dyDescent="0.25">
      <c r="A2050" s="9">
        <v>51013</v>
      </c>
      <c r="B2050" s="4">
        <v>1261</v>
      </c>
      <c r="C2050" s="4">
        <v>305</v>
      </c>
      <c r="D2050" s="4">
        <v>32</v>
      </c>
      <c r="E2050" s="4">
        <v>305</v>
      </c>
      <c r="F2050" s="4">
        <v>22172</v>
      </c>
      <c r="G2050" s="4">
        <v>243.4</v>
      </c>
      <c r="H2050" s="3">
        <v>4.4000000000000004</v>
      </c>
      <c r="I2050" s="3">
        <v>1.81</v>
      </c>
    </row>
    <row r="2051" spans="1:9" x14ac:dyDescent="0.25">
      <c r="A2051" s="9">
        <v>51015</v>
      </c>
      <c r="B2051" s="4">
        <v>405</v>
      </c>
      <c r="C2051" s="4">
        <v>209</v>
      </c>
      <c r="D2051" s="4">
        <v>8</v>
      </c>
      <c r="E2051" s="4">
        <v>209</v>
      </c>
      <c r="F2051" s="4">
        <v>10439</v>
      </c>
      <c r="G2051" s="4">
        <v>97.2</v>
      </c>
      <c r="H2051" s="3">
        <v>3.6</v>
      </c>
      <c r="I2051" s="3">
        <v>1.54</v>
      </c>
    </row>
    <row r="2052" spans="1:9" x14ac:dyDescent="0.25">
      <c r="A2052" s="9">
        <v>51017</v>
      </c>
      <c r="B2052" s="4">
        <v>21</v>
      </c>
      <c r="C2052" s="4">
        <v>14</v>
      </c>
      <c r="D2052" s="4">
        <v>14</v>
      </c>
      <c r="E2052" s="4">
        <v>14</v>
      </c>
      <c r="F2052" s="4">
        <v>266</v>
      </c>
      <c r="G2052" s="4">
        <v>5.2</v>
      </c>
      <c r="H2052" s="3">
        <v>3.6</v>
      </c>
      <c r="I2052" s="3">
        <v>0.96</v>
      </c>
    </row>
    <row r="2053" spans="1:9" x14ac:dyDescent="0.25">
      <c r="A2053" s="9">
        <v>51019</v>
      </c>
      <c r="B2053" s="4">
        <v>44</v>
      </c>
      <c r="C2053" s="4">
        <v>34</v>
      </c>
      <c r="D2053" s="4">
        <v>6</v>
      </c>
      <c r="E2053" s="4">
        <v>34</v>
      </c>
      <c r="F2053" s="4">
        <v>1701</v>
      </c>
      <c r="G2053" s="4">
        <v>13.9</v>
      </c>
      <c r="H2053" s="3">
        <v>3</v>
      </c>
      <c r="I2053" s="3">
        <v>1.17</v>
      </c>
    </row>
    <row r="2054" spans="1:9" x14ac:dyDescent="0.25">
      <c r="A2054" s="9">
        <v>51027</v>
      </c>
      <c r="B2054" s="4">
        <v>30</v>
      </c>
      <c r="C2054" s="4">
        <v>49</v>
      </c>
      <c r="D2054" s="4">
        <v>12</v>
      </c>
      <c r="E2054" s="4">
        <v>49</v>
      </c>
      <c r="F2054" s="4">
        <v>1055</v>
      </c>
      <c r="G2054" s="4">
        <v>14.2</v>
      </c>
      <c r="H2054" s="3">
        <v>4.9000000000000004</v>
      </c>
      <c r="I2054" s="3">
        <v>1.1499999999999999</v>
      </c>
    </row>
    <row r="2055" spans="1:9" x14ac:dyDescent="0.25">
      <c r="A2055" s="9">
        <v>51041</v>
      </c>
      <c r="B2055" s="4">
        <v>986</v>
      </c>
      <c r="C2055" s="4">
        <v>742</v>
      </c>
      <c r="D2055" s="4">
        <v>95</v>
      </c>
      <c r="E2055" s="4">
        <v>422</v>
      </c>
      <c r="F2055" s="4">
        <v>39768</v>
      </c>
      <c r="G2055" s="4">
        <v>505.5</v>
      </c>
      <c r="H2055" s="3">
        <v>4.75</v>
      </c>
      <c r="I2055" s="3">
        <v>1.71</v>
      </c>
    </row>
    <row r="2056" spans="1:9" x14ac:dyDescent="0.25">
      <c r="A2056" s="9">
        <v>51047</v>
      </c>
      <c r="B2056" s="4">
        <v>192</v>
      </c>
      <c r="C2056" s="4">
        <v>70</v>
      </c>
      <c r="D2056" s="4">
        <v>6</v>
      </c>
      <c r="E2056" s="4">
        <v>70</v>
      </c>
      <c r="F2056" s="4">
        <v>3274</v>
      </c>
      <c r="G2056" s="4">
        <v>30.9</v>
      </c>
      <c r="H2056" s="3">
        <v>3.7</v>
      </c>
      <c r="I2056" s="3">
        <v>1.46</v>
      </c>
    </row>
    <row r="2057" spans="1:9" x14ac:dyDescent="0.25">
      <c r="A2057" s="9">
        <v>51051</v>
      </c>
      <c r="B2057" s="4">
        <v>18</v>
      </c>
      <c r="C2057" s="4">
        <v>2</v>
      </c>
      <c r="D2057" s="4">
        <v>14</v>
      </c>
      <c r="E2057" s="4">
        <v>2</v>
      </c>
      <c r="F2057" s="4">
        <v>18</v>
      </c>
      <c r="G2057" s="4">
        <v>0.2</v>
      </c>
      <c r="H2057" s="3">
        <v>2.1</v>
      </c>
      <c r="I2057" s="3">
        <v>1.1599999999999999</v>
      </c>
    </row>
    <row r="2058" spans="1:9" x14ac:dyDescent="0.25">
      <c r="A2058" s="9">
        <v>51057</v>
      </c>
      <c r="B2058" s="4">
        <v>79</v>
      </c>
      <c r="C2058" s="4">
        <v>67</v>
      </c>
      <c r="D2058" s="4">
        <v>7</v>
      </c>
      <c r="E2058" s="4">
        <v>67</v>
      </c>
      <c r="F2058" s="4">
        <v>1514</v>
      </c>
      <c r="G2058" s="4">
        <v>14.9</v>
      </c>
      <c r="H2058" s="3">
        <v>3.6</v>
      </c>
      <c r="I2058" s="3">
        <v>1.47</v>
      </c>
    </row>
    <row r="2059" spans="1:9" x14ac:dyDescent="0.25">
      <c r="A2059" s="9">
        <v>51059</v>
      </c>
      <c r="B2059" s="4">
        <v>2998</v>
      </c>
      <c r="C2059" s="4">
        <v>1328</v>
      </c>
      <c r="D2059" s="4">
        <v>142</v>
      </c>
      <c r="E2059" s="4">
        <v>2251</v>
      </c>
      <c r="F2059" s="4">
        <v>74125</v>
      </c>
      <c r="G2059" s="4">
        <v>904.5</v>
      </c>
      <c r="H2059" s="3">
        <v>4.4249999999999998</v>
      </c>
      <c r="I2059" s="3">
        <v>1.8250000000000002</v>
      </c>
    </row>
    <row r="2060" spans="1:9" x14ac:dyDescent="0.25">
      <c r="A2060" s="9">
        <v>51061</v>
      </c>
      <c r="B2060" s="4">
        <v>196</v>
      </c>
      <c r="C2060" s="4">
        <v>97</v>
      </c>
      <c r="D2060" s="4">
        <v>8</v>
      </c>
      <c r="E2060" s="4">
        <v>97</v>
      </c>
      <c r="F2060" s="4">
        <v>4674</v>
      </c>
      <c r="G2060" s="4">
        <v>42.5</v>
      </c>
      <c r="H2060" s="3">
        <v>3.8</v>
      </c>
      <c r="I2060" s="3">
        <v>1.42</v>
      </c>
    </row>
    <row r="2061" spans="1:9" x14ac:dyDescent="0.25">
      <c r="A2061" s="9">
        <v>51067</v>
      </c>
      <c r="B2061" s="4">
        <v>55</v>
      </c>
      <c r="C2061" s="4">
        <v>37</v>
      </c>
      <c r="D2061" s="4">
        <v>4</v>
      </c>
      <c r="E2061" s="4">
        <v>37</v>
      </c>
      <c r="F2061" s="4">
        <v>1353</v>
      </c>
      <c r="G2061" s="4">
        <v>13.5</v>
      </c>
      <c r="H2061" s="3">
        <v>3.6</v>
      </c>
      <c r="I2061" s="3">
        <v>1.22</v>
      </c>
    </row>
    <row r="2062" spans="1:9" x14ac:dyDescent="0.25">
      <c r="A2062" s="9">
        <v>51071</v>
      </c>
      <c r="B2062" s="4">
        <v>39</v>
      </c>
      <c r="C2062" s="4">
        <v>25</v>
      </c>
      <c r="D2062" s="4">
        <v>14</v>
      </c>
      <c r="E2062" s="4">
        <v>25</v>
      </c>
      <c r="F2062" s="4">
        <v>818</v>
      </c>
      <c r="G2062" s="4">
        <v>12.2</v>
      </c>
      <c r="H2062" s="3">
        <v>3.6</v>
      </c>
      <c r="I2062" s="3">
        <v>1.32</v>
      </c>
    </row>
    <row r="2063" spans="1:9" x14ac:dyDescent="0.25">
      <c r="A2063" s="9">
        <v>51073</v>
      </c>
      <c r="B2063" s="4">
        <v>112</v>
      </c>
      <c r="C2063" s="4">
        <v>67</v>
      </c>
      <c r="D2063" s="4">
        <v>7</v>
      </c>
      <c r="E2063" s="4">
        <v>67</v>
      </c>
      <c r="F2063" s="4">
        <v>2701</v>
      </c>
      <c r="G2063" s="4">
        <v>28.3</v>
      </c>
      <c r="H2063" s="3">
        <v>3.8</v>
      </c>
      <c r="I2063" s="3">
        <v>1.45</v>
      </c>
    </row>
    <row r="2064" spans="1:9" x14ac:dyDescent="0.25">
      <c r="A2064" s="9">
        <v>51083</v>
      </c>
      <c r="B2064" s="4">
        <v>122</v>
      </c>
      <c r="C2064" s="4">
        <v>107</v>
      </c>
      <c r="D2064" s="4">
        <v>12</v>
      </c>
      <c r="E2064" s="4">
        <v>107</v>
      </c>
      <c r="F2064" s="4">
        <v>3644</v>
      </c>
      <c r="G2064" s="4">
        <v>39.9</v>
      </c>
      <c r="H2064" s="3">
        <v>4.2</v>
      </c>
      <c r="I2064" s="3">
        <v>1.5</v>
      </c>
    </row>
    <row r="2065" spans="1:9" x14ac:dyDescent="0.25">
      <c r="A2065" s="9">
        <v>51085</v>
      </c>
      <c r="B2065" s="4">
        <v>366</v>
      </c>
      <c r="C2065" s="4">
        <v>225</v>
      </c>
      <c r="D2065" s="4">
        <v>24</v>
      </c>
      <c r="E2065" s="4">
        <v>225</v>
      </c>
      <c r="F2065" s="4">
        <v>12958</v>
      </c>
      <c r="G2065" s="4">
        <v>174.1</v>
      </c>
      <c r="H2065" s="3">
        <v>5.2</v>
      </c>
      <c r="I2065" s="3">
        <v>1.84</v>
      </c>
    </row>
    <row r="2066" spans="1:9" x14ac:dyDescent="0.25">
      <c r="A2066" s="9">
        <v>51087</v>
      </c>
      <c r="B2066" s="4">
        <v>1303</v>
      </c>
      <c r="C2066" s="4">
        <v>1063</v>
      </c>
      <c r="D2066" s="4">
        <v>81</v>
      </c>
      <c r="E2066" s="4">
        <v>918</v>
      </c>
      <c r="F2066" s="4">
        <v>41163</v>
      </c>
      <c r="G2066" s="4">
        <v>538.09999999999991</v>
      </c>
      <c r="H2066" s="3">
        <v>5.0500000000000007</v>
      </c>
      <c r="I2066" s="3">
        <v>1.895</v>
      </c>
    </row>
    <row r="2067" spans="1:9" x14ac:dyDescent="0.25">
      <c r="A2067" s="9">
        <v>51095</v>
      </c>
      <c r="B2067" s="4">
        <v>297</v>
      </c>
      <c r="C2067" s="4">
        <v>179</v>
      </c>
      <c r="D2067" s="4">
        <v>26</v>
      </c>
      <c r="E2067" s="4">
        <v>219</v>
      </c>
      <c r="F2067" s="4">
        <v>9516</v>
      </c>
      <c r="G2067" s="4">
        <v>134.19999999999999</v>
      </c>
      <c r="H2067" s="3">
        <v>17.166666666666668</v>
      </c>
      <c r="I2067" s="3">
        <v>1.4750000000000001</v>
      </c>
    </row>
    <row r="2068" spans="1:9" x14ac:dyDescent="0.25">
      <c r="A2068" s="9">
        <v>51103</v>
      </c>
      <c r="B2068" s="4">
        <v>58</v>
      </c>
      <c r="C2068" s="4">
        <v>25</v>
      </c>
      <c r="D2068" s="4">
        <v>14</v>
      </c>
      <c r="E2068" s="4">
        <v>25</v>
      </c>
      <c r="F2068" s="4">
        <v>756</v>
      </c>
      <c r="G2068" s="4">
        <v>9.6</v>
      </c>
      <c r="H2068" s="3">
        <v>3.2</v>
      </c>
      <c r="I2068" s="3">
        <v>1.18</v>
      </c>
    </row>
    <row r="2069" spans="1:9" x14ac:dyDescent="0.25">
      <c r="A2069" s="9">
        <v>51105</v>
      </c>
      <c r="B2069" s="4">
        <v>80</v>
      </c>
      <c r="C2069" s="4">
        <v>49</v>
      </c>
      <c r="D2069" s="4">
        <v>14</v>
      </c>
      <c r="E2069" s="4">
        <v>49</v>
      </c>
      <c r="F2069" s="4">
        <v>1367</v>
      </c>
      <c r="G2069" s="4">
        <v>13.5</v>
      </c>
      <c r="H2069" s="3">
        <v>3.6</v>
      </c>
      <c r="I2069" s="3">
        <v>1</v>
      </c>
    </row>
    <row r="2070" spans="1:9" x14ac:dyDescent="0.25">
      <c r="A2070" s="9">
        <v>51107</v>
      </c>
      <c r="B2070" s="4">
        <v>575</v>
      </c>
      <c r="C2070" s="4">
        <v>269</v>
      </c>
      <c r="D2070" s="4">
        <v>33</v>
      </c>
      <c r="E2070" s="4">
        <v>269</v>
      </c>
      <c r="F2070" s="4">
        <v>12506</v>
      </c>
      <c r="G2070" s="4">
        <v>123.1</v>
      </c>
      <c r="H2070" s="3">
        <v>3.8</v>
      </c>
      <c r="I2070" s="3">
        <v>1.5350000000000001</v>
      </c>
    </row>
    <row r="2071" spans="1:9" x14ac:dyDescent="0.25">
      <c r="A2071" s="9">
        <v>51117</v>
      </c>
      <c r="B2071" s="4">
        <v>115</v>
      </c>
      <c r="C2071" s="4">
        <v>66</v>
      </c>
      <c r="D2071" s="4">
        <v>14</v>
      </c>
      <c r="E2071" s="4">
        <v>70</v>
      </c>
      <c r="F2071" s="4">
        <v>3472</v>
      </c>
      <c r="G2071" s="4">
        <v>39.299999999999997</v>
      </c>
      <c r="H2071" s="3">
        <v>4.2</v>
      </c>
      <c r="I2071" s="3">
        <v>1.42</v>
      </c>
    </row>
    <row r="2072" spans="1:9" x14ac:dyDescent="0.25">
      <c r="A2072" s="9">
        <v>51121</v>
      </c>
      <c r="B2072" s="4">
        <v>402</v>
      </c>
      <c r="C2072" s="4">
        <v>202</v>
      </c>
      <c r="D2072" s="4">
        <v>22</v>
      </c>
      <c r="E2072" s="4">
        <v>202</v>
      </c>
      <c r="F2072" s="4">
        <v>10135</v>
      </c>
      <c r="G2072" s="4">
        <v>96.2</v>
      </c>
      <c r="H2072" s="3">
        <v>3.75</v>
      </c>
      <c r="I2072" s="3">
        <v>1.52</v>
      </c>
    </row>
    <row r="2073" spans="1:9" x14ac:dyDescent="0.25">
      <c r="A2073" s="9">
        <v>51135</v>
      </c>
      <c r="B2073" s="4">
        <v>1</v>
      </c>
      <c r="C2073" s="4">
        <v>180</v>
      </c>
      <c r="D2073" s="4">
        <v>14</v>
      </c>
      <c r="E2073" s="4">
        <v>180</v>
      </c>
      <c r="F2073" s="4">
        <v>66</v>
      </c>
      <c r="G2073" s="4">
        <v>104.4</v>
      </c>
      <c r="H2073" s="3">
        <v>577.20000000000005</v>
      </c>
      <c r="I2073" s="3">
        <v>1</v>
      </c>
    </row>
    <row r="2074" spans="1:9" x14ac:dyDescent="0.25">
      <c r="A2074" s="9">
        <v>51139</v>
      </c>
      <c r="B2074" s="4">
        <v>33</v>
      </c>
      <c r="C2074" s="4">
        <v>25</v>
      </c>
      <c r="D2074" s="4">
        <v>14</v>
      </c>
      <c r="E2074" s="4">
        <v>25</v>
      </c>
      <c r="F2074" s="4">
        <v>466</v>
      </c>
      <c r="G2074" s="4">
        <v>10.1</v>
      </c>
      <c r="H2074" s="3">
        <v>2.2000000000000002</v>
      </c>
      <c r="I2074" s="3">
        <v>1.0900000000000001</v>
      </c>
    </row>
    <row r="2075" spans="1:9" x14ac:dyDescent="0.25">
      <c r="A2075" s="9">
        <v>51141</v>
      </c>
      <c r="B2075" s="4">
        <v>80</v>
      </c>
      <c r="C2075" s="4">
        <v>49</v>
      </c>
      <c r="D2075" s="4">
        <v>14</v>
      </c>
      <c r="E2075" s="4">
        <v>49</v>
      </c>
      <c r="F2075" s="4">
        <v>327</v>
      </c>
      <c r="G2075" s="4">
        <v>8.1999999999999993</v>
      </c>
      <c r="H2075" s="3">
        <v>2.8</v>
      </c>
      <c r="I2075" s="3">
        <v>1</v>
      </c>
    </row>
    <row r="2076" spans="1:9" x14ac:dyDescent="0.25">
      <c r="A2076" s="9">
        <v>51147</v>
      </c>
      <c r="B2076" s="4">
        <v>90</v>
      </c>
      <c r="C2076" s="4">
        <v>86</v>
      </c>
      <c r="D2076" s="4">
        <v>8</v>
      </c>
      <c r="E2076" s="4">
        <v>86</v>
      </c>
      <c r="F2076" s="4">
        <v>4023</v>
      </c>
      <c r="G2076" s="4">
        <v>39</v>
      </c>
      <c r="H2076" s="3">
        <v>3.7</v>
      </c>
      <c r="I2076" s="3">
        <v>1.4</v>
      </c>
    </row>
    <row r="2077" spans="1:9" x14ac:dyDescent="0.25">
      <c r="A2077" s="9">
        <v>51153</v>
      </c>
      <c r="B2077" s="4">
        <v>475</v>
      </c>
      <c r="C2077" s="4">
        <v>207</v>
      </c>
      <c r="D2077" s="4">
        <v>24</v>
      </c>
      <c r="E2077" s="4">
        <v>207</v>
      </c>
      <c r="F2077" s="4">
        <v>12608</v>
      </c>
      <c r="G2077" s="4">
        <v>129.6</v>
      </c>
      <c r="H2077" s="3">
        <v>3.95</v>
      </c>
      <c r="I2077" s="3">
        <v>1.53</v>
      </c>
    </row>
    <row r="2078" spans="1:9" x14ac:dyDescent="0.25">
      <c r="A2078" s="9">
        <v>51155</v>
      </c>
      <c r="B2078" s="4">
        <v>54</v>
      </c>
      <c r="C2078" s="4">
        <v>92</v>
      </c>
      <c r="D2078" s="4">
        <v>8</v>
      </c>
      <c r="E2078" s="4">
        <v>92</v>
      </c>
      <c r="F2078" s="4">
        <v>1466</v>
      </c>
      <c r="G2078" s="4">
        <v>15</v>
      </c>
      <c r="H2078" s="3">
        <v>3.7</v>
      </c>
      <c r="I2078" s="3">
        <v>1.36</v>
      </c>
    </row>
    <row r="2079" spans="1:9" x14ac:dyDescent="0.25">
      <c r="A2079" s="9">
        <v>51167</v>
      </c>
      <c r="B2079" s="4">
        <v>36</v>
      </c>
      <c r="C2079" s="4">
        <v>48</v>
      </c>
      <c r="D2079" s="4">
        <v>5</v>
      </c>
      <c r="E2079" s="4">
        <v>48</v>
      </c>
      <c r="F2079" s="4">
        <v>1288</v>
      </c>
      <c r="G2079" s="4">
        <v>15</v>
      </c>
      <c r="H2079" s="3">
        <v>4.2</v>
      </c>
      <c r="I2079" s="3">
        <v>1.1499999999999999</v>
      </c>
    </row>
    <row r="2080" spans="1:9" x14ac:dyDescent="0.25">
      <c r="A2080" s="9">
        <v>51171</v>
      </c>
      <c r="B2080" s="4">
        <v>70</v>
      </c>
      <c r="C2080" s="4">
        <v>25</v>
      </c>
      <c r="D2080" s="4">
        <v>14</v>
      </c>
      <c r="E2080" s="4">
        <v>25</v>
      </c>
      <c r="F2080" s="4">
        <v>1449</v>
      </c>
      <c r="G2080" s="4">
        <v>13.8</v>
      </c>
      <c r="H2080" s="3">
        <v>2.2999999999999998</v>
      </c>
      <c r="I2080" s="3">
        <v>1.24</v>
      </c>
    </row>
    <row r="2081" spans="1:9" x14ac:dyDescent="0.25">
      <c r="A2081" s="9">
        <v>51173</v>
      </c>
      <c r="B2081" s="4">
        <v>79</v>
      </c>
      <c r="C2081" s="4">
        <v>30</v>
      </c>
      <c r="D2081" s="4">
        <v>4</v>
      </c>
      <c r="E2081" s="4">
        <v>30</v>
      </c>
      <c r="F2081" s="4">
        <v>1205</v>
      </c>
      <c r="G2081" s="4">
        <v>11.1</v>
      </c>
      <c r="H2081" s="3">
        <v>3.4</v>
      </c>
      <c r="I2081" s="3">
        <v>1.42</v>
      </c>
    </row>
    <row r="2082" spans="1:9" x14ac:dyDescent="0.25">
      <c r="A2082" s="9">
        <v>51177</v>
      </c>
      <c r="B2082" s="4">
        <v>143</v>
      </c>
      <c r="C2082" s="4">
        <v>105</v>
      </c>
      <c r="D2082" s="4">
        <v>12</v>
      </c>
      <c r="E2082" s="4">
        <v>105</v>
      </c>
      <c r="F2082" s="4">
        <v>6000</v>
      </c>
      <c r="G2082" s="4">
        <v>57.7</v>
      </c>
      <c r="H2082" s="3">
        <v>3.6</v>
      </c>
      <c r="I2082" s="3">
        <v>1.59</v>
      </c>
    </row>
    <row r="2083" spans="1:9" x14ac:dyDescent="0.25">
      <c r="A2083" s="9">
        <v>51179</v>
      </c>
      <c r="B2083" s="4">
        <v>67</v>
      </c>
      <c r="C2083" s="4">
        <v>90</v>
      </c>
      <c r="D2083" s="4">
        <v>4</v>
      </c>
      <c r="E2083" s="4">
        <v>90</v>
      </c>
      <c r="F2083" s="4">
        <v>4817</v>
      </c>
      <c r="G2083" s="4">
        <v>40</v>
      </c>
      <c r="H2083" s="3">
        <v>3.5</v>
      </c>
      <c r="I2083" s="3">
        <v>1.34</v>
      </c>
    </row>
    <row r="2084" spans="1:9" x14ac:dyDescent="0.25">
      <c r="A2084" s="9">
        <v>51185</v>
      </c>
      <c r="B2084" s="4">
        <v>124</v>
      </c>
      <c r="C2084" s="4">
        <v>207</v>
      </c>
      <c r="D2084" s="4">
        <v>12</v>
      </c>
      <c r="E2084" s="4">
        <v>207</v>
      </c>
      <c r="F2084" s="4">
        <v>3919</v>
      </c>
      <c r="G2084" s="4">
        <v>36.5</v>
      </c>
      <c r="H2084" s="3">
        <v>3.7</v>
      </c>
      <c r="I2084" s="3">
        <v>1.25</v>
      </c>
    </row>
    <row r="2085" spans="1:9" x14ac:dyDescent="0.25">
      <c r="A2085" s="9">
        <v>51187</v>
      </c>
      <c r="B2085" s="4">
        <v>94</v>
      </c>
      <c r="C2085" s="4">
        <v>46</v>
      </c>
      <c r="D2085" s="4">
        <v>8</v>
      </c>
      <c r="E2085" s="4">
        <v>46</v>
      </c>
      <c r="F2085" s="4">
        <v>1886</v>
      </c>
      <c r="G2085" s="4">
        <v>16.899999999999999</v>
      </c>
      <c r="H2085" s="3">
        <v>3.3</v>
      </c>
      <c r="I2085" s="3">
        <v>1.18</v>
      </c>
    </row>
    <row r="2086" spans="1:9" x14ac:dyDescent="0.25">
      <c r="A2086" s="9">
        <v>51191</v>
      </c>
      <c r="B2086" s="4">
        <v>201</v>
      </c>
      <c r="C2086" s="4">
        <v>115</v>
      </c>
      <c r="D2086" s="4">
        <v>14</v>
      </c>
      <c r="E2086" s="4">
        <v>115</v>
      </c>
      <c r="F2086" s="4">
        <v>6946</v>
      </c>
      <c r="G2086" s="4">
        <v>72.900000000000006</v>
      </c>
      <c r="H2086" s="3">
        <v>4</v>
      </c>
      <c r="I2086" s="3">
        <v>1.57</v>
      </c>
    </row>
    <row r="2087" spans="1:9" x14ac:dyDescent="0.25">
      <c r="A2087" s="9">
        <v>51195</v>
      </c>
      <c r="B2087" s="4">
        <v>106</v>
      </c>
      <c r="C2087" s="4">
        <v>68</v>
      </c>
      <c r="D2087" s="4">
        <v>8</v>
      </c>
      <c r="E2087" s="4">
        <v>68</v>
      </c>
      <c r="F2087" s="4">
        <v>1879</v>
      </c>
      <c r="G2087" s="4">
        <v>13</v>
      </c>
      <c r="H2087" s="3">
        <v>2.7</v>
      </c>
      <c r="I2087" s="3">
        <v>1.34</v>
      </c>
    </row>
    <row r="2088" spans="1:9" x14ac:dyDescent="0.25">
      <c r="A2088" s="9">
        <v>51197</v>
      </c>
      <c r="B2088" s="4">
        <v>100</v>
      </c>
      <c r="C2088" s="4">
        <v>92</v>
      </c>
      <c r="D2088" s="4">
        <v>6</v>
      </c>
      <c r="E2088" s="4">
        <v>92</v>
      </c>
      <c r="F2088" s="4">
        <v>1958</v>
      </c>
      <c r="G2088" s="4">
        <v>15.9</v>
      </c>
      <c r="H2088" s="3">
        <v>3.3</v>
      </c>
      <c r="I2088" s="3">
        <v>1.38</v>
      </c>
    </row>
    <row r="2089" spans="1:9" x14ac:dyDescent="0.25">
      <c r="A2089" s="9">
        <v>51510</v>
      </c>
      <c r="B2089" s="4">
        <v>589</v>
      </c>
      <c r="C2089" s="4">
        <v>334</v>
      </c>
      <c r="D2089" s="4">
        <v>40</v>
      </c>
      <c r="E2089" s="4">
        <v>334</v>
      </c>
      <c r="F2089" s="4">
        <v>14412</v>
      </c>
      <c r="G2089" s="4">
        <v>164.9</v>
      </c>
      <c r="H2089" s="3">
        <v>4.7</v>
      </c>
      <c r="I2089" s="3">
        <v>1.66</v>
      </c>
    </row>
    <row r="2090" spans="1:9" x14ac:dyDescent="0.25">
      <c r="A2090" s="9">
        <v>51540</v>
      </c>
      <c r="B2090" s="4">
        <v>1304</v>
      </c>
      <c r="C2090" s="4">
        <v>585</v>
      </c>
      <c r="D2090" s="4">
        <v>14</v>
      </c>
      <c r="E2090" s="4">
        <v>585</v>
      </c>
      <c r="F2090" s="4">
        <v>28190</v>
      </c>
      <c r="G2090" s="4">
        <v>437.8</v>
      </c>
      <c r="H2090" s="3">
        <v>5.8</v>
      </c>
      <c r="I2090" s="3">
        <v>2.21</v>
      </c>
    </row>
    <row r="2091" spans="1:9" x14ac:dyDescent="0.25">
      <c r="A2091" s="9">
        <v>51550</v>
      </c>
      <c r="B2091" s="4">
        <v>477</v>
      </c>
      <c r="C2091" s="4">
        <v>310</v>
      </c>
      <c r="D2091" s="4">
        <v>28</v>
      </c>
      <c r="E2091" s="4">
        <v>310</v>
      </c>
      <c r="F2091" s="4">
        <v>19049</v>
      </c>
      <c r="G2091" s="4">
        <v>190.5</v>
      </c>
      <c r="H2091" s="3">
        <v>4</v>
      </c>
      <c r="I2091" s="3">
        <v>1.63</v>
      </c>
    </row>
    <row r="2092" spans="1:9" x14ac:dyDescent="0.25">
      <c r="A2092" s="9">
        <v>51590</v>
      </c>
      <c r="B2092" s="4">
        <v>405</v>
      </c>
      <c r="C2092" s="4">
        <v>295</v>
      </c>
      <c r="D2092" s="4">
        <v>34</v>
      </c>
      <c r="E2092" s="4">
        <v>295</v>
      </c>
      <c r="F2092" s="4">
        <v>13441</v>
      </c>
      <c r="G2092" s="4">
        <v>146.30000000000001</v>
      </c>
      <c r="H2092" s="3">
        <v>4.0999999999999996</v>
      </c>
      <c r="I2092" s="3">
        <v>1.56</v>
      </c>
    </row>
    <row r="2093" spans="1:9" x14ac:dyDescent="0.25">
      <c r="A2093" s="9">
        <v>51595</v>
      </c>
      <c r="B2093" s="4">
        <v>34</v>
      </c>
      <c r="C2093" s="4">
        <v>70</v>
      </c>
      <c r="D2093" s="4">
        <v>7</v>
      </c>
      <c r="E2093" s="4">
        <v>70</v>
      </c>
      <c r="F2093" s="4">
        <v>745</v>
      </c>
      <c r="G2093" s="4">
        <v>8</v>
      </c>
      <c r="H2093" s="3">
        <v>3.9</v>
      </c>
      <c r="I2093" s="3">
        <v>1.24</v>
      </c>
    </row>
    <row r="2094" spans="1:9" x14ac:dyDescent="0.25">
      <c r="A2094" s="9">
        <v>51620</v>
      </c>
      <c r="B2094" s="4">
        <v>53</v>
      </c>
      <c r="C2094" s="4">
        <v>75</v>
      </c>
      <c r="D2094" s="4">
        <v>8</v>
      </c>
      <c r="E2094" s="4">
        <v>75</v>
      </c>
      <c r="F2094" s="4">
        <v>1167</v>
      </c>
      <c r="G2094" s="4">
        <v>11.1</v>
      </c>
      <c r="H2094" s="3">
        <v>3.5</v>
      </c>
      <c r="I2094" s="3">
        <v>1.28</v>
      </c>
    </row>
    <row r="2095" spans="1:9" x14ac:dyDescent="0.25">
      <c r="A2095" s="9">
        <v>51630</v>
      </c>
      <c r="B2095" s="4">
        <v>660</v>
      </c>
      <c r="C2095" s="4">
        <v>421</v>
      </c>
      <c r="D2095" s="4">
        <v>14</v>
      </c>
      <c r="E2095" s="4">
        <v>421</v>
      </c>
      <c r="F2095" s="4">
        <v>21772</v>
      </c>
      <c r="G2095" s="4">
        <v>281.89999999999998</v>
      </c>
      <c r="H2095" s="3">
        <v>4.9000000000000004</v>
      </c>
      <c r="I2095" s="3">
        <v>1.69</v>
      </c>
    </row>
    <row r="2096" spans="1:9" x14ac:dyDescent="0.25">
      <c r="A2096" s="9">
        <v>51640</v>
      </c>
      <c r="B2096" s="4">
        <v>125</v>
      </c>
      <c r="C2096" s="4">
        <v>141</v>
      </c>
      <c r="D2096" s="4">
        <v>10</v>
      </c>
      <c r="E2096" s="4">
        <v>141</v>
      </c>
      <c r="F2096" s="4">
        <v>3263</v>
      </c>
      <c r="G2096" s="4">
        <v>29.7</v>
      </c>
      <c r="H2096" s="3">
        <v>3.5</v>
      </c>
      <c r="I2096" s="3">
        <v>1.25</v>
      </c>
    </row>
    <row r="2097" spans="1:9" x14ac:dyDescent="0.25">
      <c r="A2097" s="9">
        <v>51650</v>
      </c>
      <c r="B2097" s="4">
        <v>328</v>
      </c>
      <c r="C2097" s="4">
        <v>172</v>
      </c>
      <c r="D2097" s="4">
        <v>24</v>
      </c>
      <c r="E2097" s="4">
        <v>172</v>
      </c>
      <c r="F2097" s="4">
        <v>8431</v>
      </c>
      <c r="G2097" s="4">
        <v>111.2</v>
      </c>
      <c r="H2097" s="3">
        <v>4.9000000000000004</v>
      </c>
      <c r="I2097" s="3">
        <v>1.7</v>
      </c>
    </row>
    <row r="2098" spans="1:9" x14ac:dyDescent="0.25">
      <c r="A2098" s="9">
        <v>51660</v>
      </c>
      <c r="B2098" s="4">
        <v>428</v>
      </c>
      <c r="C2098" s="4">
        <v>238</v>
      </c>
      <c r="D2098" s="4">
        <v>34</v>
      </c>
      <c r="E2098" s="4">
        <v>238</v>
      </c>
      <c r="F2098" s="4">
        <v>13763</v>
      </c>
      <c r="G2098" s="4">
        <v>139.4</v>
      </c>
      <c r="H2098" s="3">
        <v>4</v>
      </c>
      <c r="I2098" s="3">
        <v>1.65</v>
      </c>
    </row>
    <row r="2099" spans="1:9" x14ac:dyDescent="0.25">
      <c r="A2099" s="9">
        <v>51670</v>
      </c>
      <c r="B2099" s="4">
        <v>123</v>
      </c>
      <c r="C2099" s="4">
        <v>107</v>
      </c>
      <c r="D2099" s="4">
        <v>17</v>
      </c>
      <c r="E2099" s="4">
        <v>107</v>
      </c>
      <c r="F2099" s="4">
        <v>3385</v>
      </c>
      <c r="G2099" s="4">
        <v>39</v>
      </c>
      <c r="H2099" s="3">
        <v>4.2</v>
      </c>
      <c r="I2099" s="3">
        <v>1.35</v>
      </c>
    </row>
    <row r="2100" spans="1:9" x14ac:dyDescent="0.25">
      <c r="A2100" s="9">
        <v>51678</v>
      </c>
      <c r="B2100" s="4">
        <v>62</v>
      </c>
      <c r="C2100" s="4">
        <v>25</v>
      </c>
      <c r="D2100" s="4">
        <v>14</v>
      </c>
      <c r="E2100" s="4">
        <v>25</v>
      </c>
      <c r="F2100" s="4">
        <v>1167</v>
      </c>
      <c r="G2100" s="4">
        <v>11.6</v>
      </c>
      <c r="H2100" s="3">
        <v>3.6</v>
      </c>
      <c r="I2100" s="3">
        <v>1.24</v>
      </c>
    </row>
    <row r="2101" spans="1:9" x14ac:dyDescent="0.25">
      <c r="A2101" s="9">
        <v>51680</v>
      </c>
      <c r="B2101" s="4">
        <v>928</v>
      </c>
      <c r="C2101" s="4">
        <v>435</v>
      </c>
      <c r="D2101" s="4">
        <v>37</v>
      </c>
      <c r="E2101" s="4">
        <v>519</v>
      </c>
      <c r="F2101" s="4">
        <v>26012</v>
      </c>
      <c r="G2101" s="4">
        <v>328.8</v>
      </c>
      <c r="H2101" s="3">
        <v>4.8</v>
      </c>
      <c r="I2101" s="3">
        <v>1.8</v>
      </c>
    </row>
    <row r="2102" spans="1:9" x14ac:dyDescent="0.25">
      <c r="A2102" s="9">
        <v>51683</v>
      </c>
      <c r="B2102" s="4">
        <v>255</v>
      </c>
      <c r="C2102" s="4">
        <v>94</v>
      </c>
      <c r="D2102" s="4">
        <v>11</v>
      </c>
      <c r="E2102" s="4">
        <v>94</v>
      </c>
      <c r="F2102" s="4">
        <v>5220</v>
      </c>
      <c r="G2102" s="4">
        <v>55.8</v>
      </c>
      <c r="H2102" s="3">
        <v>4.3</v>
      </c>
      <c r="I2102" s="3">
        <v>1.72</v>
      </c>
    </row>
    <row r="2103" spans="1:9" x14ac:dyDescent="0.25">
      <c r="A2103" s="9">
        <v>51690</v>
      </c>
      <c r="B2103" s="4">
        <v>24</v>
      </c>
      <c r="C2103" s="4">
        <v>49</v>
      </c>
      <c r="D2103" s="4">
        <v>14</v>
      </c>
      <c r="E2103" s="4">
        <v>49</v>
      </c>
      <c r="F2103" s="4">
        <v>1532</v>
      </c>
      <c r="G2103" s="4">
        <v>16</v>
      </c>
      <c r="H2103" s="3">
        <v>4</v>
      </c>
      <c r="I2103" s="3">
        <v>1</v>
      </c>
    </row>
    <row r="2104" spans="1:9" x14ac:dyDescent="0.25">
      <c r="A2104" s="9">
        <v>51700</v>
      </c>
      <c r="B2104" s="4">
        <v>841</v>
      </c>
      <c r="C2104" s="4">
        <v>472</v>
      </c>
      <c r="D2104" s="4">
        <v>34</v>
      </c>
      <c r="E2104" s="4">
        <v>472</v>
      </c>
      <c r="F2104" s="4">
        <v>26651</v>
      </c>
      <c r="G2104" s="4">
        <v>310.59999999999997</v>
      </c>
      <c r="H2104" s="3">
        <v>4.3</v>
      </c>
      <c r="I2104" s="3">
        <v>1.8399999999999999</v>
      </c>
    </row>
    <row r="2105" spans="1:9" x14ac:dyDescent="0.25">
      <c r="A2105" s="9">
        <v>51710</v>
      </c>
      <c r="B2105" s="4">
        <v>1565</v>
      </c>
      <c r="C2105" s="4">
        <v>828</v>
      </c>
      <c r="D2105" s="4">
        <v>87</v>
      </c>
      <c r="E2105" s="4">
        <v>940</v>
      </c>
      <c r="F2105" s="4">
        <v>47466</v>
      </c>
      <c r="G2105" s="4">
        <v>630.09999999999991</v>
      </c>
      <c r="H2105" s="3">
        <v>5</v>
      </c>
      <c r="I2105" s="3">
        <v>1.9533333333333331</v>
      </c>
    </row>
    <row r="2106" spans="1:9" x14ac:dyDescent="0.25">
      <c r="A2106" s="9">
        <v>51720</v>
      </c>
      <c r="B2106" s="4">
        <v>70</v>
      </c>
      <c r="C2106" s="4">
        <v>63</v>
      </c>
      <c r="D2106" s="4">
        <v>12</v>
      </c>
      <c r="E2106" s="4">
        <v>231</v>
      </c>
      <c r="F2106" s="4">
        <v>2346</v>
      </c>
      <c r="G2106" s="4">
        <v>21.1</v>
      </c>
      <c r="H2106" s="3">
        <v>3.5</v>
      </c>
      <c r="I2106" s="3">
        <v>1.47</v>
      </c>
    </row>
    <row r="2107" spans="1:9" x14ac:dyDescent="0.25">
      <c r="A2107" s="9">
        <v>51730</v>
      </c>
      <c r="B2107" s="4">
        <v>220</v>
      </c>
      <c r="C2107" s="4">
        <v>304</v>
      </c>
      <c r="D2107" s="4">
        <v>28</v>
      </c>
      <c r="E2107" s="4">
        <v>304</v>
      </c>
      <c r="F2107" s="4">
        <v>11436</v>
      </c>
      <c r="G2107" s="4">
        <v>144.39999999999998</v>
      </c>
      <c r="H2107" s="3">
        <v>10.050000000000001</v>
      </c>
      <c r="I2107" s="3">
        <v>1.2150000000000001</v>
      </c>
    </row>
    <row r="2108" spans="1:9" x14ac:dyDescent="0.25">
      <c r="A2108" s="9">
        <v>51740</v>
      </c>
      <c r="B2108" s="4">
        <v>359</v>
      </c>
      <c r="C2108" s="4">
        <v>215</v>
      </c>
      <c r="D2108" s="4">
        <v>22</v>
      </c>
      <c r="E2108" s="4">
        <v>215</v>
      </c>
      <c r="F2108" s="4">
        <v>9454</v>
      </c>
      <c r="G2108" s="4">
        <v>122.6</v>
      </c>
      <c r="H2108" s="3">
        <v>4.8</v>
      </c>
      <c r="I2108" s="3">
        <v>1.71</v>
      </c>
    </row>
    <row r="2109" spans="1:9" x14ac:dyDescent="0.25">
      <c r="A2109" s="9">
        <v>51760</v>
      </c>
      <c r="B2109" s="4">
        <v>1367</v>
      </c>
      <c r="C2109" s="4">
        <v>816</v>
      </c>
      <c r="D2109" s="4">
        <v>33</v>
      </c>
      <c r="E2109" s="4">
        <v>2307</v>
      </c>
      <c r="F2109" s="4">
        <v>38333</v>
      </c>
      <c r="G2109" s="4">
        <v>629.9</v>
      </c>
      <c r="H2109" s="3">
        <v>6.15</v>
      </c>
      <c r="I2109" s="3">
        <v>1.6800000000000002</v>
      </c>
    </row>
    <row r="2110" spans="1:9" x14ac:dyDescent="0.25">
      <c r="A2110" s="9">
        <v>51770</v>
      </c>
      <c r="B2110" s="4">
        <v>986</v>
      </c>
      <c r="C2110" s="4">
        <v>636</v>
      </c>
      <c r="D2110" s="4">
        <v>36</v>
      </c>
      <c r="E2110" s="4">
        <v>655</v>
      </c>
      <c r="F2110" s="4">
        <v>34981</v>
      </c>
      <c r="G2110" s="4">
        <v>458.2</v>
      </c>
      <c r="H2110" s="3">
        <v>5.0999999999999996</v>
      </c>
      <c r="I2110" s="3">
        <v>1.97</v>
      </c>
    </row>
    <row r="2111" spans="1:9" x14ac:dyDescent="0.25">
      <c r="A2111" s="9">
        <v>51775</v>
      </c>
      <c r="B2111" s="4">
        <v>406</v>
      </c>
      <c r="C2111" s="4">
        <v>330</v>
      </c>
      <c r="D2111" s="4">
        <v>24</v>
      </c>
      <c r="E2111" s="4">
        <v>330</v>
      </c>
      <c r="F2111" s="4">
        <v>15921</v>
      </c>
      <c r="G2111" s="4">
        <v>214.7</v>
      </c>
      <c r="H2111" s="3">
        <v>5.0999999999999996</v>
      </c>
      <c r="I2111" s="3">
        <v>1.6</v>
      </c>
    </row>
    <row r="2112" spans="1:9" x14ac:dyDescent="0.25">
      <c r="A2112" s="9">
        <v>51800</v>
      </c>
      <c r="B2112" s="4">
        <v>325</v>
      </c>
      <c r="C2112" s="4">
        <v>155</v>
      </c>
      <c r="D2112" s="4">
        <v>12</v>
      </c>
      <c r="E2112" s="4">
        <v>155</v>
      </c>
      <c r="F2112" s="4">
        <v>9784</v>
      </c>
      <c r="G2112" s="4">
        <v>103.6</v>
      </c>
      <c r="H2112" s="3">
        <v>4.2</v>
      </c>
      <c r="I2112" s="3">
        <v>1.52</v>
      </c>
    </row>
    <row r="2113" spans="1:9" x14ac:dyDescent="0.25">
      <c r="A2113" s="9">
        <v>51810</v>
      </c>
      <c r="B2113" s="4">
        <v>732</v>
      </c>
      <c r="C2113" s="4">
        <v>401</v>
      </c>
      <c r="D2113" s="4">
        <v>38</v>
      </c>
      <c r="E2113" s="4">
        <v>387</v>
      </c>
      <c r="F2113" s="4">
        <v>24412</v>
      </c>
      <c r="G2113" s="4">
        <v>313.60000000000002</v>
      </c>
      <c r="H2113" s="3">
        <v>5</v>
      </c>
      <c r="I2113" s="3">
        <v>1.645</v>
      </c>
    </row>
    <row r="2114" spans="1:9" x14ac:dyDescent="0.25">
      <c r="A2114" s="9">
        <v>51840</v>
      </c>
      <c r="B2114" s="4">
        <v>667</v>
      </c>
      <c r="C2114" s="4">
        <v>389</v>
      </c>
      <c r="D2114" s="4">
        <v>48</v>
      </c>
      <c r="E2114" s="4">
        <v>389</v>
      </c>
      <c r="F2114" s="4">
        <v>21150</v>
      </c>
      <c r="G2114" s="4">
        <v>276.8</v>
      </c>
      <c r="H2114" s="3">
        <v>5.3</v>
      </c>
      <c r="I2114" s="3">
        <v>1.79</v>
      </c>
    </row>
    <row r="2115" spans="1:9" x14ac:dyDescent="0.25">
      <c r="A2115" s="9">
        <v>53001</v>
      </c>
      <c r="B2115" s="4">
        <v>33</v>
      </c>
      <c r="C2115" s="4">
        <v>28</v>
      </c>
      <c r="D2115" s="4">
        <v>14</v>
      </c>
      <c r="E2115" s="4">
        <v>28</v>
      </c>
      <c r="F2115" s="4">
        <v>631</v>
      </c>
      <c r="G2115" s="4">
        <v>7.6999999999999993</v>
      </c>
      <c r="H2115" s="3">
        <v>3.2</v>
      </c>
      <c r="I2115" s="3">
        <v>0.96</v>
      </c>
    </row>
    <row r="2116" spans="1:9" x14ac:dyDescent="0.25">
      <c r="A2116" s="9">
        <v>53003</v>
      </c>
      <c r="B2116" s="4">
        <v>102</v>
      </c>
      <c r="C2116" s="4">
        <v>25</v>
      </c>
      <c r="D2116" s="4">
        <v>14</v>
      </c>
      <c r="E2116" s="4">
        <v>25</v>
      </c>
      <c r="F2116" s="4">
        <v>1267</v>
      </c>
      <c r="G2116" s="4">
        <v>12.2</v>
      </c>
      <c r="H2116" s="3">
        <v>3.4</v>
      </c>
      <c r="I2116" s="3">
        <v>1.79</v>
      </c>
    </row>
    <row r="2117" spans="1:9" x14ac:dyDescent="0.25">
      <c r="A2117" s="9">
        <v>53005</v>
      </c>
      <c r="B2117" s="4">
        <v>825</v>
      </c>
      <c r="C2117" s="4">
        <v>394</v>
      </c>
      <c r="D2117" s="4">
        <v>44</v>
      </c>
      <c r="E2117" s="4">
        <v>394</v>
      </c>
      <c r="F2117" s="4">
        <v>22600</v>
      </c>
      <c r="G2117" s="4">
        <v>251.9</v>
      </c>
      <c r="H2117" s="3">
        <v>3.6333333333333333</v>
      </c>
      <c r="I2117" s="3">
        <v>1.4966666666666668</v>
      </c>
    </row>
    <row r="2118" spans="1:9" x14ac:dyDescent="0.25">
      <c r="A2118" s="9">
        <v>53007</v>
      </c>
      <c r="B2118" s="4">
        <v>676</v>
      </c>
      <c r="C2118" s="4">
        <v>221</v>
      </c>
      <c r="D2118" s="4">
        <v>20</v>
      </c>
      <c r="E2118" s="4">
        <v>221</v>
      </c>
      <c r="F2118" s="4">
        <v>12421</v>
      </c>
      <c r="G2118" s="4">
        <v>146.6</v>
      </c>
      <c r="H2118" s="3">
        <v>2.875</v>
      </c>
      <c r="I2118" s="3">
        <v>1.355</v>
      </c>
    </row>
    <row r="2119" spans="1:9" x14ac:dyDescent="0.25">
      <c r="A2119" s="9">
        <v>53009</v>
      </c>
      <c r="B2119" s="4">
        <v>355</v>
      </c>
      <c r="C2119" s="4">
        <v>103</v>
      </c>
      <c r="D2119" s="4">
        <v>19</v>
      </c>
      <c r="E2119" s="4">
        <v>103</v>
      </c>
      <c r="F2119" s="4">
        <v>4658</v>
      </c>
      <c r="G2119" s="4">
        <v>51.3</v>
      </c>
      <c r="H2119" s="3">
        <v>3.25</v>
      </c>
      <c r="I2119" s="3">
        <v>1.3450000000000002</v>
      </c>
    </row>
    <row r="2120" spans="1:9" x14ac:dyDescent="0.25">
      <c r="A2120" s="9">
        <v>53011</v>
      </c>
      <c r="B2120" s="4">
        <v>1298</v>
      </c>
      <c r="C2120" s="4">
        <v>602</v>
      </c>
      <c r="D2120" s="4">
        <v>96</v>
      </c>
      <c r="E2120" s="4">
        <v>602</v>
      </c>
      <c r="F2120" s="4">
        <v>35286</v>
      </c>
      <c r="G2120" s="4">
        <v>360.9</v>
      </c>
      <c r="H2120" s="3">
        <v>4.0999999999999996</v>
      </c>
      <c r="I2120" s="3">
        <v>1.76</v>
      </c>
    </row>
    <row r="2121" spans="1:9" x14ac:dyDescent="0.25">
      <c r="A2121" s="9">
        <v>53013</v>
      </c>
      <c r="B2121" s="4">
        <v>22</v>
      </c>
      <c r="C2121" s="4">
        <v>25</v>
      </c>
      <c r="D2121" s="4">
        <v>14</v>
      </c>
      <c r="E2121" s="4">
        <v>25</v>
      </c>
      <c r="F2121" s="4">
        <v>138</v>
      </c>
      <c r="G2121" s="4">
        <v>18.3</v>
      </c>
      <c r="H2121" s="3">
        <v>2.5</v>
      </c>
      <c r="I2121" s="3">
        <v>0.95</v>
      </c>
    </row>
    <row r="2122" spans="1:9" x14ac:dyDescent="0.25">
      <c r="A2122" s="9">
        <v>53015</v>
      </c>
      <c r="B2122" s="4">
        <v>290</v>
      </c>
      <c r="C2122" s="4">
        <v>166</v>
      </c>
      <c r="D2122" s="4">
        <v>18</v>
      </c>
      <c r="E2122" s="4">
        <v>166</v>
      </c>
      <c r="F2122" s="4">
        <v>8542</v>
      </c>
      <c r="G2122" s="4">
        <v>84.6</v>
      </c>
      <c r="H2122" s="3">
        <v>3.8</v>
      </c>
      <c r="I2122" s="3">
        <v>1.51</v>
      </c>
    </row>
    <row r="2123" spans="1:9" x14ac:dyDescent="0.25">
      <c r="A2123" s="9">
        <v>53019</v>
      </c>
      <c r="B2123" s="4">
        <v>20</v>
      </c>
      <c r="C2123" s="4">
        <v>25</v>
      </c>
      <c r="D2123" s="4">
        <v>14</v>
      </c>
      <c r="E2123" s="4">
        <v>25</v>
      </c>
      <c r="F2123" s="4">
        <v>68</v>
      </c>
      <c r="G2123" s="4">
        <v>15.7</v>
      </c>
      <c r="H2123" s="3">
        <v>2.8</v>
      </c>
      <c r="I2123" s="3">
        <v>1.04</v>
      </c>
    </row>
    <row r="2124" spans="1:9" x14ac:dyDescent="0.25">
      <c r="A2124" s="9">
        <v>53021</v>
      </c>
      <c r="B2124" s="4">
        <v>105</v>
      </c>
      <c r="C2124" s="4">
        <v>25</v>
      </c>
      <c r="D2124" s="4">
        <v>14</v>
      </c>
      <c r="E2124" s="4">
        <v>25</v>
      </c>
      <c r="F2124" s="4">
        <v>2279</v>
      </c>
      <c r="G2124" s="4">
        <v>16.2</v>
      </c>
      <c r="H2124" s="3">
        <v>2.2000000000000002</v>
      </c>
      <c r="I2124" s="3">
        <v>1.67</v>
      </c>
    </row>
    <row r="2125" spans="1:9" x14ac:dyDescent="0.25">
      <c r="A2125" s="9">
        <v>53023</v>
      </c>
      <c r="B2125" s="4">
        <v>1</v>
      </c>
      <c r="C2125" s="4">
        <v>25</v>
      </c>
      <c r="D2125" s="4">
        <v>14</v>
      </c>
      <c r="E2125" s="4">
        <v>25</v>
      </c>
      <c r="F2125" s="4">
        <v>25</v>
      </c>
      <c r="G2125" s="4">
        <v>16.2</v>
      </c>
      <c r="H2125" s="3">
        <v>1.6</v>
      </c>
      <c r="I2125" s="3">
        <v>0.87</v>
      </c>
    </row>
    <row r="2126" spans="1:9" x14ac:dyDescent="0.25">
      <c r="A2126" s="9">
        <v>53025</v>
      </c>
      <c r="B2126" s="4">
        <v>178</v>
      </c>
      <c r="C2126" s="4">
        <v>123</v>
      </c>
      <c r="D2126" s="4">
        <v>12</v>
      </c>
      <c r="E2126" s="4">
        <v>123</v>
      </c>
      <c r="F2126" s="4">
        <v>3779</v>
      </c>
      <c r="G2126" s="4">
        <v>55.6</v>
      </c>
      <c r="H2126" s="3">
        <v>2.5499999999999998</v>
      </c>
      <c r="I2126" s="3">
        <v>1.095</v>
      </c>
    </row>
    <row r="2127" spans="1:9" x14ac:dyDescent="0.25">
      <c r="A2127" s="9">
        <v>53027</v>
      </c>
      <c r="B2127" s="4">
        <v>232</v>
      </c>
      <c r="C2127" s="4">
        <v>59</v>
      </c>
      <c r="D2127" s="4">
        <v>8</v>
      </c>
      <c r="E2127" s="4">
        <v>108</v>
      </c>
      <c r="F2127" s="4">
        <v>3671</v>
      </c>
      <c r="G2127" s="4">
        <v>42.099999999999994</v>
      </c>
      <c r="H2127" s="3">
        <v>3.6</v>
      </c>
      <c r="I2127" s="3">
        <v>1.21</v>
      </c>
    </row>
    <row r="2128" spans="1:9" x14ac:dyDescent="0.25">
      <c r="A2128" s="9">
        <v>53029</v>
      </c>
      <c r="B2128" s="4">
        <v>143</v>
      </c>
      <c r="C2128" s="4">
        <v>25</v>
      </c>
      <c r="D2128" s="4">
        <v>6</v>
      </c>
      <c r="E2128" s="4">
        <v>25</v>
      </c>
      <c r="F2128" s="4">
        <v>1920</v>
      </c>
      <c r="G2128" s="4">
        <v>14.8</v>
      </c>
      <c r="H2128" s="3">
        <v>2.8</v>
      </c>
      <c r="I2128" s="3">
        <v>1.29</v>
      </c>
    </row>
    <row r="2129" spans="1:9" x14ac:dyDescent="0.25">
      <c r="A2129" s="9">
        <v>53031</v>
      </c>
      <c r="B2129" s="4">
        <v>117</v>
      </c>
      <c r="C2129" s="4">
        <v>25</v>
      </c>
      <c r="D2129" s="4">
        <v>6</v>
      </c>
      <c r="E2129" s="4">
        <v>25</v>
      </c>
      <c r="F2129" s="4">
        <v>1405</v>
      </c>
      <c r="G2129" s="4">
        <v>12.1</v>
      </c>
      <c r="H2129" s="3">
        <v>3.1</v>
      </c>
      <c r="I2129" s="3">
        <v>1.29</v>
      </c>
    </row>
    <row r="2130" spans="1:9" x14ac:dyDescent="0.25">
      <c r="A2130" s="9">
        <v>53033</v>
      </c>
      <c r="B2130" s="4">
        <v>10135</v>
      </c>
      <c r="C2130" s="4">
        <v>3479</v>
      </c>
      <c r="D2130" s="4">
        <v>450</v>
      </c>
      <c r="E2130" s="4">
        <v>3530</v>
      </c>
      <c r="F2130" s="4">
        <v>191420</v>
      </c>
      <c r="G2130" s="4">
        <v>2398.2999999999997</v>
      </c>
      <c r="H2130" s="3">
        <v>4.7277777777777779</v>
      </c>
      <c r="I2130" s="3">
        <v>1.8149999999999993</v>
      </c>
    </row>
    <row r="2131" spans="1:9" x14ac:dyDescent="0.25">
      <c r="A2131" s="9">
        <v>53035</v>
      </c>
      <c r="B2131" s="4">
        <v>657</v>
      </c>
      <c r="C2131" s="4">
        <v>298</v>
      </c>
      <c r="D2131" s="4">
        <v>20</v>
      </c>
      <c r="E2131" s="4">
        <v>298</v>
      </c>
      <c r="F2131" s="4">
        <v>21249</v>
      </c>
      <c r="G2131" s="4">
        <v>164.2</v>
      </c>
      <c r="H2131" s="3">
        <v>3</v>
      </c>
      <c r="I2131" s="3">
        <v>1.9</v>
      </c>
    </row>
    <row r="2132" spans="1:9" x14ac:dyDescent="0.25">
      <c r="A2132" s="9">
        <v>53037</v>
      </c>
      <c r="B2132" s="4">
        <v>135</v>
      </c>
      <c r="C2132" s="4">
        <v>25</v>
      </c>
      <c r="D2132" s="4">
        <v>6</v>
      </c>
      <c r="E2132" s="4">
        <v>25</v>
      </c>
      <c r="F2132" s="4">
        <v>956</v>
      </c>
      <c r="G2132" s="4">
        <v>6.3</v>
      </c>
      <c r="H2132" s="3">
        <v>2.4</v>
      </c>
      <c r="I2132" s="3">
        <v>1.42</v>
      </c>
    </row>
    <row r="2133" spans="1:9" x14ac:dyDescent="0.25">
      <c r="A2133" s="9">
        <v>53039</v>
      </c>
      <c r="B2133" s="4">
        <v>72</v>
      </c>
      <c r="C2133" s="4">
        <v>28</v>
      </c>
      <c r="D2133" s="4">
        <v>14</v>
      </c>
      <c r="E2133" s="4">
        <v>28</v>
      </c>
      <c r="F2133" s="4">
        <v>355</v>
      </c>
      <c r="G2133" s="4">
        <v>8.4</v>
      </c>
      <c r="H2133" s="3">
        <v>2.65</v>
      </c>
      <c r="I2133" s="3">
        <v>1.105</v>
      </c>
    </row>
    <row r="2134" spans="1:9" x14ac:dyDescent="0.25">
      <c r="A2134" s="9">
        <v>53041</v>
      </c>
      <c r="B2134" s="4">
        <v>242</v>
      </c>
      <c r="C2134" s="4">
        <v>141</v>
      </c>
      <c r="D2134" s="4">
        <v>6</v>
      </c>
      <c r="E2134" s="4">
        <v>152</v>
      </c>
      <c r="F2134" s="4">
        <v>4740</v>
      </c>
      <c r="G2134" s="4">
        <v>63.4</v>
      </c>
      <c r="H2134" s="3">
        <v>3.6500000000000004</v>
      </c>
      <c r="I2134" s="3">
        <v>1.25</v>
      </c>
    </row>
    <row r="2135" spans="1:9" x14ac:dyDescent="0.25">
      <c r="A2135" s="9">
        <v>53043</v>
      </c>
      <c r="B2135" s="4">
        <v>38</v>
      </c>
      <c r="C2135" s="4">
        <v>50</v>
      </c>
      <c r="D2135" s="4">
        <v>14</v>
      </c>
      <c r="E2135" s="4">
        <v>50</v>
      </c>
      <c r="F2135" s="4">
        <v>331</v>
      </c>
      <c r="G2135" s="4">
        <v>36.1</v>
      </c>
      <c r="H2135" s="3">
        <v>3.5</v>
      </c>
      <c r="I2135" s="3">
        <v>0.90500000000000003</v>
      </c>
    </row>
    <row r="2136" spans="1:9" x14ac:dyDescent="0.25">
      <c r="A2136" s="9">
        <v>53045</v>
      </c>
      <c r="B2136" s="4">
        <v>126</v>
      </c>
      <c r="C2136" s="4">
        <v>25</v>
      </c>
      <c r="D2136" s="4">
        <v>6</v>
      </c>
      <c r="E2136" s="4">
        <v>25</v>
      </c>
      <c r="F2136" s="4">
        <v>1444</v>
      </c>
      <c r="G2136" s="4">
        <v>11.6</v>
      </c>
      <c r="H2136" s="3">
        <v>3.3</v>
      </c>
      <c r="I2136" s="3">
        <v>1.24</v>
      </c>
    </row>
    <row r="2137" spans="1:9" x14ac:dyDescent="0.25">
      <c r="A2137" s="9">
        <v>53047</v>
      </c>
      <c r="B2137" s="4">
        <v>101</v>
      </c>
      <c r="C2137" s="4">
        <v>71</v>
      </c>
      <c r="D2137" s="4">
        <v>14</v>
      </c>
      <c r="E2137" s="4">
        <v>71</v>
      </c>
      <c r="F2137" s="4">
        <v>1276</v>
      </c>
      <c r="G2137" s="4">
        <v>13.6</v>
      </c>
      <c r="H2137" s="3">
        <v>2.7666666666666671</v>
      </c>
      <c r="I2137" s="3">
        <v>1.1533333333333333</v>
      </c>
    </row>
    <row r="2138" spans="1:9" x14ac:dyDescent="0.25">
      <c r="A2138" s="9">
        <v>53049</v>
      </c>
      <c r="B2138" s="4">
        <v>50</v>
      </c>
      <c r="C2138" s="4">
        <v>35</v>
      </c>
      <c r="D2138" s="4">
        <v>14</v>
      </c>
      <c r="E2138" s="4">
        <v>35</v>
      </c>
      <c r="F2138" s="4">
        <v>647</v>
      </c>
      <c r="G2138" s="4">
        <v>6.5</v>
      </c>
      <c r="H2138" s="3">
        <v>2.6</v>
      </c>
      <c r="I2138" s="3">
        <v>1.125</v>
      </c>
    </row>
    <row r="2139" spans="1:9" x14ac:dyDescent="0.25">
      <c r="A2139" s="9">
        <v>53051</v>
      </c>
      <c r="B2139" s="4">
        <v>45</v>
      </c>
      <c r="C2139" s="4">
        <v>20</v>
      </c>
      <c r="D2139" s="4">
        <v>14</v>
      </c>
      <c r="E2139" s="4">
        <v>20</v>
      </c>
      <c r="F2139" s="4">
        <v>471</v>
      </c>
      <c r="G2139" s="4">
        <v>5.3</v>
      </c>
      <c r="H2139" s="3">
        <v>3</v>
      </c>
      <c r="I2139" s="3">
        <v>1.1000000000000001</v>
      </c>
    </row>
    <row r="2140" spans="1:9" x14ac:dyDescent="0.25">
      <c r="A2140" s="9">
        <v>53053</v>
      </c>
      <c r="B2140" s="4">
        <v>2711</v>
      </c>
      <c r="C2140" s="4">
        <v>1228</v>
      </c>
      <c r="D2140" s="4">
        <v>197</v>
      </c>
      <c r="E2140" s="4">
        <v>1358</v>
      </c>
      <c r="F2140" s="4">
        <v>69176</v>
      </c>
      <c r="G2140" s="4">
        <v>976</v>
      </c>
      <c r="H2140" s="3">
        <v>5.3800000000000008</v>
      </c>
      <c r="I2140" s="3">
        <v>1.748</v>
      </c>
    </row>
    <row r="2141" spans="1:9" x14ac:dyDescent="0.25">
      <c r="A2141" s="9">
        <v>53055</v>
      </c>
      <c r="B2141" s="4">
        <v>51</v>
      </c>
      <c r="C2141" s="4">
        <v>10</v>
      </c>
      <c r="D2141" s="4">
        <v>14</v>
      </c>
      <c r="E2141" s="4">
        <v>10</v>
      </c>
      <c r="F2141" s="4">
        <v>82</v>
      </c>
      <c r="G2141" s="4">
        <v>0.6</v>
      </c>
      <c r="H2141" s="3">
        <v>2.8</v>
      </c>
      <c r="I2141" s="3">
        <v>0.99</v>
      </c>
    </row>
    <row r="2142" spans="1:9" x14ac:dyDescent="0.25">
      <c r="A2142" s="9">
        <v>53057</v>
      </c>
      <c r="B2142" s="4">
        <v>696</v>
      </c>
      <c r="C2142" s="4">
        <v>205</v>
      </c>
      <c r="D2142" s="4">
        <v>6</v>
      </c>
      <c r="E2142" s="4">
        <v>205</v>
      </c>
      <c r="F2142" s="4">
        <v>11344</v>
      </c>
      <c r="G2142" s="4">
        <v>124.5</v>
      </c>
      <c r="H2142" s="3">
        <v>3.4666666666666668</v>
      </c>
      <c r="I2142" s="3">
        <v>1.55</v>
      </c>
    </row>
    <row r="2143" spans="1:9" x14ac:dyDescent="0.25">
      <c r="A2143" s="9">
        <v>53061</v>
      </c>
      <c r="B2143" s="4">
        <v>1437</v>
      </c>
      <c r="C2143" s="4">
        <v>748</v>
      </c>
      <c r="D2143" s="4">
        <v>72</v>
      </c>
      <c r="E2143" s="4">
        <v>748</v>
      </c>
      <c r="F2143" s="4">
        <v>42379</v>
      </c>
      <c r="G2143" s="4">
        <v>547.69999999999993</v>
      </c>
      <c r="H2143" s="3">
        <v>4.3250000000000002</v>
      </c>
      <c r="I2143" s="3">
        <v>1.5375000000000001</v>
      </c>
    </row>
    <row r="2144" spans="1:9" x14ac:dyDescent="0.25">
      <c r="A2144" s="9">
        <v>53063</v>
      </c>
      <c r="B2144" s="4">
        <v>1663</v>
      </c>
      <c r="C2144" s="4">
        <v>1186</v>
      </c>
      <c r="D2144" s="4">
        <v>79</v>
      </c>
      <c r="E2144" s="4">
        <v>1186</v>
      </c>
      <c r="F2144" s="4">
        <v>51427</v>
      </c>
      <c r="G2144" s="4">
        <v>711.4</v>
      </c>
      <c r="H2144" s="3">
        <v>4.18</v>
      </c>
      <c r="I2144" s="3">
        <v>1.925</v>
      </c>
    </row>
    <row r="2145" spans="1:9" x14ac:dyDescent="0.25">
      <c r="A2145" s="9">
        <v>53065</v>
      </c>
      <c r="B2145" s="4">
        <v>119</v>
      </c>
      <c r="C2145" s="4">
        <v>48</v>
      </c>
      <c r="D2145" s="4">
        <v>14</v>
      </c>
      <c r="E2145" s="4">
        <v>48</v>
      </c>
      <c r="F2145" s="4">
        <v>1258</v>
      </c>
      <c r="G2145" s="4">
        <v>21.9</v>
      </c>
      <c r="H2145" s="3">
        <v>3.45</v>
      </c>
      <c r="I2145" s="3">
        <v>1.2200000000000002</v>
      </c>
    </row>
    <row r="2146" spans="1:9" x14ac:dyDescent="0.25">
      <c r="A2146" s="9">
        <v>53067</v>
      </c>
      <c r="B2146" s="4">
        <v>817</v>
      </c>
      <c r="C2146" s="4">
        <v>411</v>
      </c>
      <c r="D2146" s="4">
        <v>72</v>
      </c>
      <c r="E2146" s="4">
        <v>411</v>
      </c>
      <c r="F2146" s="4">
        <v>23954</v>
      </c>
      <c r="G2146" s="4">
        <v>300.2</v>
      </c>
      <c r="H2146" s="3">
        <v>4.3499999999999996</v>
      </c>
      <c r="I2146" s="3">
        <v>1.9849999999999999</v>
      </c>
    </row>
    <row r="2147" spans="1:9" x14ac:dyDescent="0.25">
      <c r="A2147" s="9">
        <v>53071</v>
      </c>
      <c r="B2147" s="4">
        <v>227</v>
      </c>
      <c r="C2147" s="4">
        <v>120</v>
      </c>
      <c r="D2147" s="4">
        <v>28</v>
      </c>
      <c r="E2147" s="4">
        <v>120</v>
      </c>
      <c r="F2147" s="4">
        <v>6665</v>
      </c>
      <c r="G2147" s="4">
        <v>66.900000000000006</v>
      </c>
      <c r="H2147" s="3">
        <v>3.4</v>
      </c>
      <c r="I2147" s="3">
        <v>1.79</v>
      </c>
    </row>
    <row r="2148" spans="1:9" x14ac:dyDescent="0.25">
      <c r="A2148" s="9">
        <v>53073</v>
      </c>
      <c r="B2148" s="4">
        <v>594</v>
      </c>
      <c r="C2148" s="4">
        <v>207</v>
      </c>
      <c r="D2148" s="4">
        <v>24</v>
      </c>
      <c r="E2148" s="4">
        <v>207</v>
      </c>
      <c r="F2148" s="4">
        <v>15948</v>
      </c>
      <c r="G2148" s="4">
        <v>165.6</v>
      </c>
      <c r="H2148" s="3">
        <v>4.0999999999999996</v>
      </c>
      <c r="I2148" s="3">
        <v>1.73</v>
      </c>
    </row>
    <row r="2149" spans="1:9" x14ac:dyDescent="0.25">
      <c r="A2149" s="9">
        <v>53075</v>
      </c>
      <c r="B2149" s="4">
        <v>154</v>
      </c>
      <c r="C2149" s="4">
        <v>50</v>
      </c>
      <c r="D2149" s="4">
        <v>6</v>
      </c>
      <c r="E2149" s="4">
        <v>50</v>
      </c>
      <c r="F2149" s="4">
        <v>1775</v>
      </c>
      <c r="G2149" s="4">
        <v>17.5</v>
      </c>
      <c r="H2149" s="3">
        <v>3.2</v>
      </c>
      <c r="I2149" s="3">
        <v>1.38</v>
      </c>
    </row>
    <row r="2150" spans="1:9" x14ac:dyDescent="0.25">
      <c r="A2150" s="9">
        <v>53077</v>
      </c>
      <c r="B2150" s="4">
        <v>794</v>
      </c>
      <c r="C2150" s="4">
        <v>371</v>
      </c>
      <c r="D2150" s="4">
        <v>52</v>
      </c>
      <c r="E2150" s="4">
        <v>371</v>
      </c>
      <c r="F2150" s="4">
        <v>20892</v>
      </c>
      <c r="G2150" s="4">
        <v>182.1</v>
      </c>
      <c r="H2150" s="3">
        <v>3.4750000000000001</v>
      </c>
      <c r="I2150" s="3">
        <v>1.5525</v>
      </c>
    </row>
    <row r="2151" spans="1:9" x14ac:dyDescent="0.25">
      <c r="A2151" s="9">
        <v>54001</v>
      </c>
      <c r="B2151" s="4">
        <v>24</v>
      </c>
      <c r="C2151" s="4">
        <v>12</v>
      </c>
      <c r="D2151" s="4">
        <v>14</v>
      </c>
      <c r="E2151" s="4">
        <v>12</v>
      </c>
      <c r="F2151" s="4">
        <v>33</v>
      </c>
      <c r="G2151" s="4">
        <v>5.5</v>
      </c>
      <c r="H2151" s="3">
        <v>3</v>
      </c>
      <c r="I2151" s="3">
        <v>0.93</v>
      </c>
    </row>
    <row r="2152" spans="1:9" x14ac:dyDescent="0.25">
      <c r="A2152" s="9">
        <v>54003</v>
      </c>
      <c r="B2152" s="4">
        <v>329</v>
      </c>
      <c r="C2152" s="4">
        <v>146</v>
      </c>
      <c r="D2152" s="4">
        <v>20</v>
      </c>
      <c r="E2152" s="4">
        <v>146</v>
      </c>
      <c r="F2152" s="4">
        <v>7809</v>
      </c>
      <c r="G2152" s="4">
        <v>91.8</v>
      </c>
      <c r="H2152" s="3">
        <v>4.5</v>
      </c>
      <c r="I2152" s="3">
        <v>1.47</v>
      </c>
    </row>
    <row r="2153" spans="1:9" x14ac:dyDescent="0.25">
      <c r="A2153" s="9">
        <v>54005</v>
      </c>
      <c r="B2153" s="4">
        <v>55</v>
      </c>
      <c r="C2153" s="4">
        <v>25</v>
      </c>
      <c r="D2153" s="4">
        <v>14</v>
      </c>
      <c r="E2153" s="4">
        <v>25</v>
      </c>
      <c r="F2153" s="4">
        <v>565</v>
      </c>
      <c r="G2153" s="4">
        <v>11</v>
      </c>
      <c r="H2153" s="3">
        <v>3.9</v>
      </c>
      <c r="I2153" s="3">
        <v>1.04</v>
      </c>
    </row>
    <row r="2154" spans="1:9" x14ac:dyDescent="0.25">
      <c r="A2154" s="9">
        <v>54007</v>
      </c>
      <c r="B2154" s="4">
        <v>13</v>
      </c>
      <c r="C2154" s="4">
        <v>25</v>
      </c>
      <c r="D2154" s="4">
        <v>14</v>
      </c>
      <c r="E2154" s="4">
        <v>25</v>
      </c>
      <c r="F2154" s="4">
        <v>183</v>
      </c>
      <c r="G2154" s="4">
        <v>2</v>
      </c>
      <c r="H2154" s="3">
        <v>4.0999999999999996</v>
      </c>
      <c r="I2154" s="3">
        <v>1.34</v>
      </c>
    </row>
    <row r="2155" spans="1:9" x14ac:dyDescent="0.25">
      <c r="A2155" s="9">
        <v>54011</v>
      </c>
      <c r="B2155" s="4">
        <v>915</v>
      </c>
      <c r="C2155" s="4">
        <v>679</v>
      </c>
      <c r="D2155" s="4">
        <v>32</v>
      </c>
      <c r="E2155" s="4">
        <v>679</v>
      </c>
      <c r="F2155" s="4">
        <v>31111</v>
      </c>
      <c r="G2155" s="4">
        <v>477.3</v>
      </c>
      <c r="H2155" s="3">
        <v>5.8000000000000007</v>
      </c>
      <c r="I2155" s="3">
        <v>1.84</v>
      </c>
    </row>
    <row r="2156" spans="1:9" x14ac:dyDescent="0.25">
      <c r="A2156" s="9">
        <v>54013</v>
      </c>
      <c r="B2156" s="4">
        <v>22</v>
      </c>
      <c r="C2156" s="4">
        <v>25</v>
      </c>
      <c r="D2156" s="4">
        <v>14</v>
      </c>
      <c r="E2156" s="4">
        <v>25</v>
      </c>
      <c r="F2156" s="4">
        <v>191</v>
      </c>
      <c r="G2156" s="4">
        <v>4</v>
      </c>
      <c r="H2156" s="3">
        <v>3.8</v>
      </c>
      <c r="I2156" s="3">
        <v>0.92</v>
      </c>
    </row>
    <row r="2157" spans="1:9" x14ac:dyDescent="0.25">
      <c r="A2157" s="9">
        <v>54019</v>
      </c>
      <c r="B2157" s="4">
        <v>69</v>
      </c>
      <c r="C2157" s="4">
        <v>50</v>
      </c>
      <c r="D2157" s="4">
        <v>3</v>
      </c>
      <c r="E2157" s="4">
        <v>50</v>
      </c>
      <c r="F2157" s="4">
        <v>1095</v>
      </c>
      <c r="G2157" s="4">
        <v>19.7</v>
      </c>
      <c r="H2157" s="3">
        <v>3.9</v>
      </c>
      <c r="I2157" s="3">
        <v>1.135</v>
      </c>
    </row>
    <row r="2158" spans="1:9" x14ac:dyDescent="0.25">
      <c r="A2158" s="9">
        <v>54023</v>
      </c>
      <c r="B2158" s="4">
        <v>48</v>
      </c>
      <c r="C2158" s="4">
        <v>25</v>
      </c>
      <c r="D2158" s="4">
        <v>3</v>
      </c>
      <c r="E2158" s="4">
        <v>25</v>
      </c>
      <c r="F2158" s="4">
        <v>1183</v>
      </c>
      <c r="G2158" s="4">
        <v>14.2</v>
      </c>
      <c r="H2158" s="3">
        <v>3.3</v>
      </c>
      <c r="I2158" s="3">
        <v>1.1000000000000001</v>
      </c>
    </row>
    <row r="2159" spans="1:9" x14ac:dyDescent="0.25">
      <c r="A2159" s="9">
        <v>54025</v>
      </c>
      <c r="B2159" s="4">
        <v>167</v>
      </c>
      <c r="C2159" s="4">
        <v>92</v>
      </c>
      <c r="D2159" s="4">
        <v>12</v>
      </c>
      <c r="E2159" s="4">
        <v>92</v>
      </c>
      <c r="F2159" s="4">
        <v>2878</v>
      </c>
      <c r="G2159" s="4">
        <v>31.2</v>
      </c>
      <c r="H2159" s="3">
        <v>4.3</v>
      </c>
      <c r="I2159" s="3">
        <v>1.42</v>
      </c>
    </row>
    <row r="2160" spans="1:9" x14ac:dyDescent="0.25">
      <c r="A2160" s="9">
        <v>54027</v>
      </c>
      <c r="B2160" s="4">
        <v>31</v>
      </c>
      <c r="C2160" s="4">
        <v>14</v>
      </c>
      <c r="D2160" s="4">
        <v>14</v>
      </c>
      <c r="E2160" s="4">
        <v>14</v>
      </c>
      <c r="F2160" s="4">
        <v>281</v>
      </c>
      <c r="G2160" s="4">
        <v>6.2</v>
      </c>
      <c r="H2160" s="3">
        <v>1.9</v>
      </c>
      <c r="I2160" s="3">
        <v>1.02</v>
      </c>
    </row>
    <row r="2161" spans="1:9" x14ac:dyDescent="0.25">
      <c r="A2161" s="9">
        <v>54029</v>
      </c>
      <c r="B2161" s="4">
        <v>186</v>
      </c>
      <c r="C2161" s="4">
        <v>127</v>
      </c>
      <c r="D2161" s="4">
        <v>10</v>
      </c>
      <c r="E2161" s="4">
        <v>127</v>
      </c>
      <c r="F2161" s="4">
        <v>5132</v>
      </c>
      <c r="G2161" s="4">
        <v>54.1</v>
      </c>
      <c r="H2161" s="3">
        <v>4</v>
      </c>
      <c r="I2161" s="3">
        <v>1.51</v>
      </c>
    </row>
    <row r="2162" spans="1:9" x14ac:dyDescent="0.25">
      <c r="A2162" s="9">
        <v>54033</v>
      </c>
      <c r="B2162" s="4">
        <v>345</v>
      </c>
      <c r="C2162" s="4">
        <v>232</v>
      </c>
      <c r="D2162" s="4">
        <v>20</v>
      </c>
      <c r="E2162" s="4">
        <v>232</v>
      </c>
      <c r="F2162" s="4">
        <v>12092</v>
      </c>
      <c r="G2162" s="4">
        <v>147.19999999999999</v>
      </c>
      <c r="H2162" s="3">
        <v>4.7</v>
      </c>
      <c r="I2162" s="3">
        <v>1.59</v>
      </c>
    </row>
    <row r="2163" spans="1:9" x14ac:dyDescent="0.25">
      <c r="A2163" s="9">
        <v>54035</v>
      </c>
      <c r="B2163" s="4">
        <v>51</v>
      </c>
      <c r="C2163" s="4">
        <v>25</v>
      </c>
      <c r="D2163" s="4">
        <v>14</v>
      </c>
      <c r="E2163" s="4">
        <v>25</v>
      </c>
      <c r="F2163" s="4">
        <v>416</v>
      </c>
      <c r="G2163" s="4">
        <v>8.1999999999999993</v>
      </c>
      <c r="H2163" s="3">
        <v>3.8</v>
      </c>
      <c r="I2163" s="3">
        <v>1.08</v>
      </c>
    </row>
    <row r="2164" spans="1:9" x14ac:dyDescent="0.25">
      <c r="A2164" s="9">
        <v>54037</v>
      </c>
      <c r="B2164" s="4">
        <v>114</v>
      </c>
      <c r="C2164" s="4">
        <v>25</v>
      </c>
      <c r="D2164" s="4">
        <v>5</v>
      </c>
      <c r="E2164" s="4">
        <v>25</v>
      </c>
      <c r="F2164" s="4">
        <v>1358</v>
      </c>
      <c r="G2164" s="4">
        <v>10.4</v>
      </c>
      <c r="H2164" s="3">
        <v>2.8</v>
      </c>
      <c r="I2164" s="3">
        <v>1.24</v>
      </c>
    </row>
    <row r="2165" spans="1:9" x14ac:dyDescent="0.25">
      <c r="A2165" s="9">
        <v>54039</v>
      </c>
      <c r="B2165" s="4">
        <v>1396</v>
      </c>
      <c r="C2165" s="4">
        <v>1034</v>
      </c>
      <c r="D2165" s="4">
        <v>95</v>
      </c>
      <c r="E2165" s="4">
        <v>1458</v>
      </c>
      <c r="F2165" s="4">
        <v>48147</v>
      </c>
      <c r="G2165" s="4">
        <v>649.30000000000007</v>
      </c>
      <c r="H2165" s="3">
        <v>6.6250000000000009</v>
      </c>
      <c r="I2165" s="3">
        <v>1.835</v>
      </c>
    </row>
    <row r="2166" spans="1:9" x14ac:dyDescent="0.25">
      <c r="A2166" s="9">
        <v>54041</v>
      </c>
      <c r="B2166" s="4">
        <v>49</v>
      </c>
      <c r="C2166" s="4">
        <v>70</v>
      </c>
      <c r="D2166" s="4">
        <v>6</v>
      </c>
      <c r="E2166" s="4">
        <v>70</v>
      </c>
      <c r="F2166" s="4">
        <v>1510</v>
      </c>
      <c r="G2166" s="4">
        <v>14.3</v>
      </c>
      <c r="H2166" s="3">
        <v>3.7</v>
      </c>
      <c r="I2166" s="3">
        <v>1.41</v>
      </c>
    </row>
    <row r="2167" spans="1:9" x14ac:dyDescent="0.25">
      <c r="A2167" s="9">
        <v>54045</v>
      </c>
      <c r="B2167" s="4">
        <v>100</v>
      </c>
      <c r="C2167" s="4">
        <v>132</v>
      </c>
      <c r="D2167" s="4">
        <v>12</v>
      </c>
      <c r="E2167" s="4">
        <v>132</v>
      </c>
      <c r="F2167" s="4">
        <v>4606</v>
      </c>
      <c r="G2167" s="4">
        <v>54.8</v>
      </c>
      <c r="H2167" s="3">
        <v>4.5</v>
      </c>
      <c r="I2167" s="3">
        <v>1.34</v>
      </c>
    </row>
    <row r="2168" spans="1:9" x14ac:dyDescent="0.25">
      <c r="A2168" s="9">
        <v>54047</v>
      </c>
      <c r="B2168" s="4">
        <v>31</v>
      </c>
      <c r="C2168" s="4">
        <v>49</v>
      </c>
      <c r="D2168" s="4">
        <v>7</v>
      </c>
      <c r="E2168" s="4">
        <v>49</v>
      </c>
      <c r="F2168" s="4">
        <v>593</v>
      </c>
      <c r="G2168" s="4">
        <v>6.3</v>
      </c>
      <c r="H2168" s="3">
        <v>3.9</v>
      </c>
      <c r="I2168" s="3">
        <v>0.95</v>
      </c>
    </row>
    <row r="2169" spans="1:9" x14ac:dyDescent="0.25">
      <c r="A2169" s="9">
        <v>54049</v>
      </c>
      <c r="B2169" s="4">
        <v>67</v>
      </c>
      <c r="C2169" s="4">
        <v>49</v>
      </c>
      <c r="D2169" s="4">
        <v>14</v>
      </c>
      <c r="E2169" s="4">
        <v>49</v>
      </c>
      <c r="F2169" s="4">
        <v>2868</v>
      </c>
      <c r="G2169" s="4">
        <v>25.6</v>
      </c>
      <c r="H2169" s="3">
        <v>3.3</v>
      </c>
      <c r="I2169" s="3">
        <v>1.34</v>
      </c>
    </row>
    <row r="2170" spans="1:9" x14ac:dyDescent="0.25">
      <c r="A2170" s="9">
        <v>54051</v>
      </c>
      <c r="B2170" s="4">
        <v>92</v>
      </c>
      <c r="C2170" s="4">
        <v>59</v>
      </c>
      <c r="D2170" s="4">
        <v>9</v>
      </c>
      <c r="E2170" s="4">
        <v>59</v>
      </c>
      <c r="F2170" s="4">
        <v>1745</v>
      </c>
      <c r="G2170" s="4">
        <v>17.3</v>
      </c>
      <c r="H2170" s="3">
        <v>3.6</v>
      </c>
      <c r="I2170" s="3">
        <v>1.36</v>
      </c>
    </row>
    <row r="2171" spans="1:9" x14ac:dyDescent="0.25">
      <c r="A2171" s="9">
        <v>54053</v>
      </c>
      <c r="B2171" s="4">
        <v>78</v>
      </c>
      <c r="C2171" s="4">
        <v>49</v>
      </c>
      <c r="D2171" s="4">
        <v>5</v>
      </c>
      <c r="E2171" s="4">
        <v>49</v>
      </c>
      <c r="F2171" s="4">
        <v>1350</v>
      </c>
      <c r="G2171" s="4">
        <v>18.2</v>
      </c>
      <c r="H2171" s="3">
        <v>5.0999999999999996</v>
      </c>
      <c r="I2171" s="3">
        <v>1.1200000000000001</v>
      </c>
    </row>
    <row r="2172" spans="1:9" x14ac:dyDescent="0.25">
      <c r="A2172" s="9">
        <v>54055</v>
      </c>
      <c r="B2172" s="4">
        <v>291</v>
      </c>
      <c r="C2172" s="4">
        <v>146</v>
      </c>
      <c r="D2172" s="4">
        <v>17</v>
      </c>
      <c r="E2172" s="4">
        <v>146</v>
      </c>
      <c r="F2172" s="4">
        <v>8909</v>
      </c>
      <c r="G2172" s="4">
        <v>87.3</v>
      </c>
      <c r="H2172" s="3">
        <v>3.8</v>
      </c>
      <c r="I2172" s="3">
        <v>1.4950000000000001</v>
      </c>
    </row>
    <row r="2173" spans="1:9" x14ac:dyDescent="0.25">
      <c r="A2173" s="9">
        <v>54057</v>
      </c>
      <c r="B2173" s="4">
        <v>41</v>
      </c>
      <c r="C2173" s="4">
        <v>25</v>
      </c>
      <c r="D2173" s="4">
        <v>4</v>
      </c>
      <c r="E2173" s="4">
        <v>25</v>
      </c>
      <c r="F2173" s="4">
        <v>550</v>
      </c>
      <c r="G2173" s="4">
        <v>6</v>
      </c>
      <c r="H2173" s="3">
        <v>3.3</v>
      </c>
      <c r="I2173" s="3">
        <v>1.0900000000000001</v>
      </c>
    </row>
    <row r="2174" spans="1:9" x14ac:dyDescent="0.25">
      <c r="A2174" s="9">
        <v>54059</v>
      </c>
      <c r="B2174" s="4">
        <v>80</v>
      </c>
      <c r="C2174" s="4">
        <v>27</v>
      </c>
      <c r="D2174" s="4">
        <v>6</v>
      </c>
      <c r="E2174" s="4">
        <v>49</v>
      </c>
      <c r="F2174" s="4">
        <v>578</v>
      </c>
      <c r="G2174" s="4">
        <v>5.3</v>
      </c>
      <c r="H2174" s="3">
        <v>3.3</v>
      </c>
      <c r="I2174" s="3">
        <v>1.08</v>
      </c>
    </row>
    <row r="2175" spans="1:9" x14ac:dyDescent="0.25">
      <c r="A2175" s="9">
        <v>54061</v>
      </c>
      <c r="B2175" s="4">
        <v>1493</v>
      </c>
      <c r="C2175" s="4">
        <v>794</v>
      </c>
      <c r="D2175" s="4">
        <v>91</v>
      </c>
      <c r="E2175" s="4">
        <v>794</v>
      </c>
      <c r="F2175" s="4">
        <v>37889</v>
      </c>
      <c r="G2175" s="4">
        <v>616.70000000000005</v>
      </c>
      <c r="H2175" s="3">
        <v>5.0999999999999996</v>
      </c>
      <c r="I2175" s="3">
        <v>1.9550000000000001</v>
      </c>
    </row>
    <row r="2176" spans="1:9" x14ac:dyDescent="0.25">
      <c r="A2176" s="9">
        <v>54065</v>
      </c>
      <c r="B2176" s="4">
        <v>38</v>
      </c>
      <c r="C2176" s="4">
        <v>25</v>
      </c>
      <c r="D2176" s="4">
        <v>14</v>
      </c>
      <c r="E2176" s="4">
        <v>25</v>
      </c>
      <c r="F2176" s="4">
        <v>336</v>
      </c>
      <c r="G2176" s="4">
        <v>8.6</v>
      </c>
      <c r="H2176" s="3">
        <v>2.1</v>
      </c>
      <c r="I2176" s="3">
        <v>0.98</v>
      </c>
    </row>
    <row r="2177" spans="1:9" x14ac:dyDescent="0.25">
      <c r="A2177" s="9">
        <v>54067</v>
      </c>
      <c r="B2177" s="4">
        <v>74</v>
      </c>
      <c r="C2177" s="4">
        <v>49</v>
      </c>
      <c r="D2177" s="4">
        <v>6</v>
      </c>
      <c r="E2177" s="4">
        <v>49</v>
      </c>
      <c r="F2177" s="4">
        <v>1341</v>
      </c>
      <c r="G2177" s="4">
        <v>27.099999999999998</v>
      </c>
      <c r="H2177" s="3">
        <v>3.45</v>
      </c>
      <c r="I2177" s="3">
        <v>1.21</v>
      </c>
    </row>
    <row r="2178" spans="1:9" x14ac:dyDescent="0.25">
      <c r="A2178" s="9">
        <v>54069</v>
      </c>
      <c r="B2178" s="4">
        <v>432</v>
      </c>
      <c r="C2178" s="4">
        <v>223</v>
      </c>
      <c r="D2178" s="4">
        <v>22</v>
      </c>
      <c r="E2178" s="4">
        <v>223</v>
      </c>
      <c r="F2178" s="4">
        <v>13679</v>
      </c>
      <c r="G2178" s="4">
        <v>169.9</v>
      </c>
      <c r="H2178" s="3">
        <v>4.5</v>
      </c>
      <c r="I2178" s="3">
        <v>1.58</v>
      </c>
    </row>
    <row r="2179" spans="1:9" x14ac:dyDescent="0.25">
      <c r="A2179" s="9">
        <v>54075</v>
      </c>
      <c r="B2179" s="4">
        <v>19</v>
      </c>
      <c r="C2179" s="4">
        <v>25</v>
      </c>
      <c r="D2179" s="4">
        <v>14</v>
      </c>
      <c r="E2179" s="4">
        <v>25</v>
      </c>
      <c r="F2179" s="4">
        <v>190</v>
      </c>
      <c r="G2179" s="4">
        <v>4.0999999999999996</v>
      </c>
      <c r="H2179" s="3">
        <v>2.8</v>
      </c>
      <c r="I2179" s="3">
        <v>1</v>
      </c>
    </row>
    <row r="2180" spans="1:9" x14ac:dyDescent="0.25">
      <c r="A2180" s="9">
        <v>54077</v>
      </c>
      <c r="B2180" s="4">
        <v>52</v>
      </c>
      <c r="C2180" s="4">
        <v>25</v>
      </c>
      <c r="D2180" s="4">
        <v>14</v>
      </c>
      <c r="E2180" s="4">
        <v>25</v>
      </c>
      <c r="F2180" s="4">
        <v>646</v>
      </c>
      <c r="G2180" s="4">
        <v>9.1</v>
      </c>
      <c r="H2180" s="3">
        <v>3.1</v>
      </c>
      <c r="I2180" s="3">
        <v>1.05</v>
      </c>
    </row>
    <row r="2181" spans="1:9" x14ac:dyDescent="0.25">
      <c r="A2181" s="9">
        <v>54079</v>
      </c>
      <c r="B2181" s="4">
        <v>80</v>
      </c>
      <c r="C2181" s="4">
        <v>49</v>
      </c>
      <c r="D2181" s="4">
        <v>14</v>
      </c>
      <c r="E2181" s="4">
        <v>70</v>
      </c>
      <c r="F2181" s="4">
        <v>1532</v>
      </c>
      <c r="G2181" s="4">
        <v>16</v>
      </c>
      <c r="H2181" s="3">
        <v>4</v>
      </c>
      <c r="I2181" s="3">
        <v>1</v>
      </c>
    </row>
    <row r="2182" spans="1:9" x14ac:dyDescent="0.25">
      <c r="A2182" s="9">
        <v>54081</v>
      </c>
      <c r="B2182" s="4">
        <v>369</v>
      </c>
      <c r="C2182" s="4">
        <v>413</v>
      </c>
      <c r="D2182" s="4">
        <v>27</v>
      </c>
      <c r="E2182" s="4">
        <v>413</v>
      </c>
      <c r="F2182" s="4">
        <v>15232</v>
      </c>
      <c r="G2182" s="4">
        <v>192.79999999999998</v>
      </c>
      <c r="H2182" s="3">
        <v>5</v>
      </c>
      <c r="I2182" s="3">
        <v>1.5899999999999999</v>
      </c>
    </row>
    <row r="2183" spans="1:9" x14ac:dyDescent="0.25">
      <c r="A2183" s="9">
        <v>54083</v>
      </c>
      <c r="B2183" s="4">
        <v>125</v>
      </c>
      <c r="C2183" s="4">
        <v>90</v>
      </c>
      <c r="D2183" s="4">
        <v>14</v>
      </c>
      <c r="E2183" s="4">
        <v>90</v>
      </c>
      <c r="F2183" s="4">
        <v>2705</v>
      </c>
      <c r="G2183" s="4">
        <v>24.5</v>
      </c>
      <c r="H2183" s="3">
        <v>3.5</v>
      </c>
      <c r="I2183" s="3">
        <v>1.39</v>
      </c>
    </row>
    <row r="2184" spans="1:9" x14ac:dyDescent="0.25">
      <c r="A2184" s="9">
        <v>54087</v>
      </c>
      <c r="B2184" s="4">
        <v>32</v>
      </c>
      <c r="C2184" s="4">
        <v>25</v>
      </c>
      <c r="D2184" s="4">
        <v>14</v>
      </c>
      <c r="E2184" s="4">
        <v>25</v>
      </c>
      <c r="F2184" s="4">
        <v>181</v>
      </c>
      <c r="G2184" s="4">
        <v>7.5</v>
      </c>
      <c r="H2184" s="3">
        <v>3</v>
      </c>
      <c r="I2184" s="3">
        <v>1.3</v>
      </c>
    </row>
    <row r="2185" spans="1:9" x14ac:dyDescent="0.25">
      <c r="A2185" s="9">
        <v>54089</v>
      </c>
      <c r="B2185" s="4">
        <v>36</v>
      </c>
      <c r="C2185" s="4">
        <v>25</v>
      </c>
      <c r="D2185" s="4">
        <v>14</v>
      </c>
      <c r="E2185" s="4">
        <v>25</v>
      </c>
      <c r="F2185" s="4">
        <v>255</v>
      </c>
      <c r="G2185" s="4">
        <v>7.5</v>
      </c>
      <c r="H2185" s="3">
        <v>4</v>
      </c>
      <c r="I2185" s="3">
        <v>0.94</v>
      </c>
    </row>
    <row r="2186" spans="1:9" x14ac:dyDescent="0.25">
      <c r="A2186" s="9">
        <v>54091</v>
      </c>
      <c r="B2186" s="4">
        <v>17</v>
      </c>
      <c r="C2186" s="4">
        <v>25</v>
      </c>
      <c r="D2186" s="4">
        <v>14</v>
      </c>
      <c r="E2186" s="4">
        <v>25</v>
      </c>
      <c r="F2186" s="4">
        <v>299</v>
      </c>
      <c r="G2186" s="4">
        <v>7.7</v>
      </c>
      <c r="H2186" s="3">
        <v>3.4</v>
      </c>
      <c r="I2186" s="3">
        <v>0.89</v>
      </c>
    </row>
    <row r="2187" spans="1:9" x14ac:dyDescent="0.25">
      <c r="A2187" s="9">
        <v>54095</v>
      </c>
      <c r="B2187" s="4">
        <v>23</v>
      </c>
      <c r="C2187" s="4">
        <v>25</v>
      </c>
      <c r="D2187" s="4">
        <v>14</v>
      </c>
      <c r="E2187" s="4">
        <v>25</v>
      </c>
      <c r="F2187" s="4">
        <v>66</v>
      </c>
      <c r="G2187" s="4">
        <v>0.8</v>
      </c>
      <c r="H2187" s="3">
        <v>2.6</v>
      </c>
      <c r="I2187" s="3">
        <v>0.92</v>
      </c>
    </row>
    <row r="2188" spans="1:9" x14ac:dyDescent="0.25">
      <c r="A2188" s="9">
        <v>54097</v>
      </c>
      <c r="B2188" s="4">
        <v>116</v>
      </c>
      <c r="C2188" s="4">
        <v>25</v>
      </c>
      <c r="D2188" s="4">
        <v>4</v>
      </c>
      <c r="E2188" s="4">
        <v>25</v>
      </c>
      <c r="F2188" s="4">
        <v>797</v>
      </c>
      <c r="G2188" s="4">
        <v>8.6999999999999993</v>
      </c>
      <c r="H2188" s="3">
        <v>2.6</v>
      </c>
      <c r="I2188" s="3">
        <v>1.08</v>
      </c>
    </row>
    <row r="2189" spans="1:9" x14ac:dyDescent="0.25">
      <c r="A2189" s="9">
        <v>54101</v>
      </c>
      <c r="B2189" s="4">
        <v>12</v>
      </c>
      <c r="C2189" s="4">
        <v>25</v>
      </c>
      <c r="D2189" s="4">
        <v>14</v>
      </c>
      <c r="E2189" s="4">
        <v>25</v>
      </c>
      <c r="F2189" s="4">
        <v>109</v>
      </c>
      <c r="G2189" s="4">
        <v>1.5</v>
      </c>
      <c r="H2189" s="3">
        <v>3.1</v>
      </c>
      <c r="I2189" s="3">
        <v>0.94</v>
      </c>
    </row>
    <row r="2190" spans="1:9" x14ac:dyDescent="0.25">
      <c r="A2190" s="9">
        <v>54103</v>
      </c>
      <c r="B2190" s="4">
        <v>50</v>
      </c>
      <c r="C2190" s="4">
        <v>48</v>
      </c>
      <c r="D2190" s="4">
        <v>5</v>
      </c>
      <c r="E2190" s="4">
        <v>48</v>
      </c>
      <c r="F2190" s="4">
        <v>325</v>
      </c>
      <c r="G2190" s="4">
        <v>5.5</v>
      </c>
      <c r="H2190" s="3">
        <v>6.1</v>
      </c>
      <c r="I2190" s="3">
        <v>1.23</v>
      </c>
    </row>
    <row r="2191" spans="1:9" x14ac:dyDescent="0.25">
      <c r="A2191" s="9">
        <v>54107</v>
      </c>
      <c r="B2191" s="4">
        <v>297</v>
      </c>
      <c r="C2191" s="4">
        <v>230</v>
      </c>
      <c r="D2191" s="4">
        <v>18</v>
      </c>
      <c r="E2191" s="4">
        <v>230</v>
      </c>
      <c r="F2191" s="4">
        <v>11491</v>
      </c>
      <c r="G2191" s="4">
        <v>129.1</v>
      </c>
      <c r="H2191" s="3">
        <v>4.4000000000000004</v>
      </c>
      <c r="I2191" s="3">
        <v>1.53</v>
      </c>
    </row>
    <row r="2192" spans="1:9" x14ac:dyDescent="0.25">
      <c r="A2192" s="9">
        <v>55001</v>
      </c>
      <c r="B2192" s="4">
        <v>27</v>
      </c>
      <c r="C2192" s="4">
        <v>25</v>
      </c>
      <c r="D2192" s="4">
        <v>14</v>
      </c>
      <c r="E2192" s="4">
        <v>25</v>
      </c>
      <c r="F2192" s="4">
        <v>177</v>
      </c>
      <c r="G2192" s="4">
        <v>2</v>
      </c>
      <c r="H2192" s="3">
        <v>2.5</v>
      </c>
      <c r="I2192" s="3">
        <v>0.93</v>
      </c>
    </row>
    <row r="2193" spans="1:9" x14ac:dyDescent="0.25">
      <c r="A2193" s="9">
        <v>55003</v>
      </c>
      <c r="B2193" s="4">
        <v>83</v>
      </c>
      <c r="C2193" s="4">
        <v>25</v>
      </c>
      <c r="D2193" s="4">
        <v>14</v>
      </c>
      <c r="E2193" s="4">
        <v>25</v>
      </c>
      <c r="F2193" s="4">
        <v>1635</v>
      </c>
      <c r="G2193" s="4">
        <v>10.9</v>
      </c>
      <c r="H2193" s="3">
        <v>2.4</v>
      </c>
      <c r="I2193" s="3">
        <v>1.17</v>
      </c>
    </row>
    <row r="2194" spans="1:9" x14ac:dyDescent="0.25">
      <c r="A2194" s="9">
        <v>55005</v>
      </c>
      <c r="B2194" s="4">
        <v>225</v>
      </c>
      <c r="C2194" s="4">
        <v>90</v>
      </c>
      <c r="D2194" s="4">
        <v>5</v>
      </c>
      <c r="E2194" s="4">
        <v>90</v>
      </c>
      <c r="F2194" s="4">
        <v>3094</v>
      </c>
      <c r="G2194" s="4">
        <v>34.1</v>
      </c>
      <c r="H2194" s="3">
        <v>2.9333333333333336</v>
      </c>
      <c r="I2194" s="3">
        <v>1.1733333333333336</v>
      </c>
    </row>
    <row r="2195" spans="1:9" x14ac:dyDescent="0.25">
      <c r="A2195" s="9">
        <v>55009</v>
      </c>
      <c r="B2195" s="4">
        <v>1498</v>
      </c>
      <c r="C2195" s="4">
        <v>628</v>
      </c>
      <c r="D2195" s="4">
        <v>56</v>
      </c>
      <c r="E2195" s="4">
        <v>628</v>
      </c>
      <c r="F2195" s="4">
        <v>31262</v>
      </c>
      <c r="G2195" s="4">
        <v>346.29999999999995</v>
      </c>
      <c r="H2195" s="3">
        <v>4.1749999999999998</v>
      </c>
      <c r="I2195" s="3">
        <v>1.9149999999999998</v>
      </c>
    </row>
    <row r="2196" spans="1:9" x14ac:dyDescent="0.25">
      <c r="A2196" s="9">
        <v>55013</v>
      </c>
      <c r="B2196" s="4">
        <v>18</v>
      </c>
      <c r="C2196" s="4">
        <v>25</v>
      </c>
      <c r="D2196" s="4">
        <v>14</v>
      </c>
      <c r="E2196" s="4">
        <v>25</v>
      </c>
      <c r="F2196" s="4">
        <v>162</v>
      </c>
      <c r="G2196" s="4">
        <v>1.7</v>
      </c>
      <c r="H2196" s="3">
        <v>2.5</v>
      </c>
      <c r="I2196" s="3">
        <v>0.94</v>
      </c>
    </row>
    <row r="2197" spans="1:9" x14ac:dyDescent="0.25">
      <c r="A2197" s="9">
        <v>55015</v>
      </c>
      <c r="B2197" s="4">
        <v>33</v>
      </c>
      <c r="C2197" s="4">
        <v>25</v>
      </c>
      <c r="D2197" s="4">
        <v>14</v>
      </c>
      <c r="E2197" s="4">
        <v>25</v>
      </c>
      <c r="F2197" s="4">
        <v>282</v>
      </c>
      <c r="G2197" s="4">
        <v>3.2</v>
      </c>
      <c r="H2197" s="3">
        <v>1.9</v>
      </c>
      <c r="I2197" s="3">
        <v>1.32</v>
      </c>
    </row>
    <row r="2198" spans="1:9" x14ac:dyDescent="0.25">
      <c r="A2198" s="9">
        <v>55017</v>
      </c>
      <c r="B2198" s="4">
        <v>158</v>
      </c>
      <c r="C2198" s="4">
        <v>151</v>
      </c>
      <c r="D2198" s="4">
        <v>6</v>
      </c>
      <c r="E2198" s="4">
        <v>151</v>
      </c>
      <c r="F2198" s="4">
        <v>3236</v>
      </c>
      <c r="G2198" s="4">
        <v>49.599999999999994</v>
      </c>
      <c r="H2198" s="3">
        <v>3.4</v>
      </c>
      <c r="I2198" s="3">
        <v>1.1733333333333336</v>
      </c>
    </row>
    <row r="2199" spans="1:9" x14ac:dyDescent="0.25">
      <c r="A2199" s="9">
        <v>55019</v>
      </c>
      <c r="B2199" s="4">
        <v>29</v>
      </c>
      <c r="C2199" s="4">
        <v>25</v>
      </c>
      <c r="D2199" s="4">
        <v>14</v>
      </c>
      <c r="E2199" s="4">
        <v>25</v>
      </c>
      <c r="F2199" s="4">
        <v>327</v>
      </c>
      <c r="G2199" s="4">
        <v>2.6</v>
      </c>
      <c r="H2199" s="3">
        <v>2.8</v>
      </c>
      <c r="I2199" s="3">
        <v>1.3</v>
      </c>
    </row>
    <row r="2200" spans="1:9" x14ac:dyDescent="0.25">
      <c r="A2200" s="9">
        <v>55021</v>
      </c>
      <c r="B2200" s="4">
        <v>194</v>
      </c>
      <c r="C2200" s="4">
        <v>68</v>
      </c>
      <c r="D2200" s="4">
        <v>10</v>
      </c>
      <c r="E2200" s="4">
        <v>68</v>
      </c>
      <c r="F2200" s="4">
        <v>2529</v>
      </c>
      <c r="G2200" s="4">
        <v>21.3</v>
      </c>
      <c r="H2200" s="3">
        <v>3.0999999999999996</v>
      </c>
      <c r="I2200" s="3">
        <v>1.325</v>
      </c>
    </row>
    <row r="2201" spans="1:9" x14ac:dyDescent="0.25">
      <c r="A2201" s="9">
        <v>55023</v>
      </c>
      <c r="B2201" s="4">
        <v>40</v>
      </c>
      <c r="C2201" s="4">
        <v>24</v>
      </c>
      <c r="D2201" s="4">
        <v>14</v>
      </c>
      <c r="E2201" s="4">
        <v>24</v>
      </c>
      <c r="F2201" s="4">
        <v>750</v>
      </c>
      <c r="G2201" s="4">
        <v>8.8000000000000007</v>
      </c>
      <c r="H2201" s="3">
        <v>3.2</v>
      </c>
      <c r="I2201" s="3">
        <v>1.1299999999999999</v>
      </c>
    </row>
    <row r="2202" spans="1:9" x14ac:dyDescent="0.25">
      <c r="A2202" s="9">
        <v>55025</v>
      </c>
      <c r="B2202" s="4">
        <v>3057</v>
      </c>
      <c r="C2202" s="4">
        <v>1247</v>
      </c>
      <c r="D2202" s="4">
        <v>32</v>
      </c>
      <c r="E2202" s="4">
        <v>1303</v>
      </c>
      <c r="F2202" s="4">
        <v>66494</v>
      </c>
      <c r="G2202" s="4">
        <v>868.8</v>
      </c>
      <c r="H2202" s="3">
        <v>4.3000000000000007</v>
      </c>
      <c r="I2202" s="3">
        <v>1.7450000000000001</v>
      </c>
    </row>
    <row r="2203" spans="1:9" x14ac:dyDescent="0.25">
      <c r="A2203" s="9">
        <v>55027</v>
      </c>
      <c r="B2203" s="4">
        <v>284</v>
      </c>
      <c r="C2203" s="4">
        <v>230</v>
      </c>
      <c r="D2203" s="4">
        <v>10</v>
      </c>
      <c r="E2203" s="4">
        <v>230</v>
      </c>
      <c r="F2203" s="4">
        <v>4166</v>
      </c>
      <c r="G2203" s="4">
        <v>34</v>
      </c>
      <c r="H2203" s="3">
        <v>3.3000000000000003</v>
      </c>
      <c r="I2203" s="3">
        <v>1.3533333333333333</v>
      </c>
    </row>
    <row r="2204" spans="1:9" x14ac:dyDescent="0.25">
      <c r="A2204" s="9">
        <v>55029</v>
      </c>
      <c r="B2204" s="4">
        <v>86</v>
      </c>
      <c r="C2204" s="4">
        <v>25</v>
      </c>
      <c r="D2204" s="4">
        <v>4</v>
      </c>
      <c r="E2204" s="4">
        <v>25</v>
      </c>
      <c r="F2204" s="4">
        <v>966</v>
      </c>
      <c r="G2204" s="4">
        <v>10.6</v>
      </c>
      <c r="H2204" s="3">
        <v>3.6</v>
      </c>
      <c r="I2204" s="3">
        <v>1.36</v>
      </c>
    </row>
    <row r="2205" spans="1:9" x14ac:dyDescent="0.25">
      <c r="A2205" s="9">
        <v>55031</v>
      </c>
      <c r="B2205" s="4">
        <v>82</v>
      </c>
      <c r="C2205" s="4">
        <v>25</v>
      </c>
      <c r="D2205" s="4">
        <v>14</v>
      </c>
      <c r="E2205" s="4">
        <v>25</v>
      </c>
      <c r="F2205" s="4">
        <v>638</v>
      </c>
      <c r="G2205" s="4">
        <v>7.5</v>
      </c>
      <c r="H2205" s="3">
        <v>2.6</v>
      </c>
      <c r="I2205" s="3">
        <v>0.99</v>
      </c>
    </row>
    <row r="2206" spans="1:9" x14ac:dyDescent="0.25">
      <c r="A2206" s="9">
        <v>55033</v>
      </c>
      <c r="B2206" s="4">
        <v>97</v>
      </c>
      <c r="C2206" s="4">
        <v>25</v>
      </c>
      <c r="D2206" s="4">
        <v>14</v>
      </c>
      <c r="E2206" s="4">
        <v>25</v>
      </c>
      <c r="F2206" s="4">
        <v>976</v>
      </c>
      <c r="G2206" s="4">
        <v>9.8000000000000007</v>
      </c>
      <c r="H2206" s="3">
        <v>2.9</v>
      </c>
      <c r="I2206" s="3">
        <v>1.23</v>
      </c>
    </row>
    <row r="2207" spans="1:9" x14ac:dyDescent="0.25">
      <c r="A2207" s="9">
        <v>55035</v>
      </c>
      <c r="B2207" s="4">
        <v>862</v>
      </c>
      <c r="C2207" s="4">
        <v>418</v>
      </c>
      <c r="D2207" s="4">
        <v>40</v>
      </c>
      <c r="E2207" s="4">
        <v>418</v>
      </c>
      <c r="F2207" s="4">
        <v>21218</v>
      </c>
      <c r="G2207" s="4">
        <v>244.8</v>
      </c>
      <c r="H2207" s="3">
        <v>3.7749999999999999</v>
      </c>
      <c r="I2207" s="3">
        <v>2.0333333333333332</v>
      </c>
    </row>
    <row r="2208" spans="1:9" x14ac:dyDescent="0.25">
      <c r="A2208" s="9">
        <v>55039</v>
      </c>
      <c r="B2208" s="4">
        <v>299</v>
      </c>
      <c r="C2208" s="4">
        <v>133</v>
      </c>
      <c r="D2208" s="4">
        <v>15</v>
      </c>
      <c r="E2208" s="4">
        <v>133</v>
      </c>
      <c r="F2208" s="4">
        <v>6200</v>
      </c>
      <c r="G2208" s="4">
        <v>62</v>
      </c>
      <c r="H2208" s="3">
        <v>3.8</v>
      </c>
      <c r="I2208" s="3">
        <v>1.635</v>
      </c>
    </row>
    <row r="2209" spans="1:9" x14ac:dyDescent="0.25">
      <c r="A2209" s="9">
        <v>55043</v>
      </c>
      <c r="B2209" s="4">
        <v>126</v>
      </c>
      <c r="C2209" s="4">
        <v>75</v>
      </c>
      <c r="D2209" s="4">
        <v>14</v>
      </c>
      <c r="E2209" s="4">
        <v>75</v>
      </c>
      <c r="F2209" s="4">
        <v>1380</v>
      </c>
      <c r="G2209" s="4">
        <v>13.7</v>
      </c>
      <c r="H2209" s="3">
        <v>2.7333333333333329</v>
      </c>
      <c r="I2209" s="3">
        <v>1.2233333333333334</v>
      </c>
    </row>
    <row r="2210" spans="1:9" x14ac:dyDescent="0.25">
      <c r="A2210" s="9">
        <v>55045</v>
      </c>
      <c r="B2210" s="4">
        <v>159</v>
      </c>
      <c r="C2210" s="4">
        <v>58</v>
      </c>
      <c r="D2210" s="4">
        <v>6</v>
      </c>
      <c r="E2210" s="4">
        <v>58</v>
      </c>
      <c r="F2210" s="4">
        <v>2540</v>
      </c>
      <c r="G2210" s="4">
        <v>23.7</v>
      </c>
      <c r="H2210" s="3">
        <v>3.8</v>
      </c>
      <c r="I2210" s="3">
        <v>1.54</v>
      </c>
    </row>
    <row r="2211" spans="1:9" x14ac:dyDescent="0.25">
      <c r="A2211" s="9">
        <v>55047</v>
      </c>
      <c r="B2211" s="4">
        <v>81</v>
      </c>
      <c r="C2211" s="4">
        <v>25</v>
      </c>
      <c r="D2211" s="4">
        <v>5</v>
      </c>
      <c r="E2211" s="4">
        <v>25</v>
      </c>
      <c r="F2211" s="4">
        <v>1180</v>
      </c>
      <c r="G2211" s="4">
        <v>9.8000000000000007</v>
      </c>
      <c r="H2211" s="3">
        <v>3</v>
      </c>
      <c r="I2211" s="3">
        <v>1.39</v>
      </c>
    </row>
    <row r="2212" spans="1:9" x14ac:dyDescent="0.25">
      <c r="A2212" s="9">
        <v>55049</v>
      </c>
      <c r="B2212" s="4">
        <v>71</v>
      </c>
      <c r="C2212" s="4">
        <v>25</v>
      </c>
      <c r="D2212" s="4">
        <v>14</v>
      </c>
      <c r="E2212" s="4">
        <v>25</v>
      </c>
      <c r="F2212" s="4">
        <v>568</v>
      </c>
      <c r="G2212" s="4">
        <v>8.1</v>
      </c>
      <c r="H2212" s="3">
        <v>4.5</v>
      </c>
      <c r="I2212" s="3">
        <v>1.1499999999999999</v>
      </c>
    </row>
    <row r="2213" spans="1:9" x14ac:dyDescent="0.25">
      <c r="A2213" s="9">
        <v>55053</v>
      </c>
      <c r="B2213" s="4">
        <v>61</v>
      </c>
      <c r="C2213" s="4">
        <v>25</v>
      </c>
      <c r="D2213" s="4">
        <v>14</v>
      </c>
      <c r="E2213" s="4">
        <v>25</v>
      </c>
      <c r="F2213" s="4">
        <v>822</v>
      </c>
      <c r="G2213" s="4">
        <v>5.5</v>
      </c>
      <c r="H2213" s="3">
        <v>2</v>
      </c>
      <c r="I2213" s="3">
        <v>1.19</v>
      </c>
    </row>
    <row r="2214" spans="1:9" x14ac:dyDescent="0.25">
      <c r="A2214" s="9">
        <v>55055</v>
      </c>
      <c r="B2214" s="4">
        <v>169</v>
      </c>
      <c r="C2214" s="4">
        <v>49</v>
      </c>
      <c r="D2214" s="4">
        <v>4</v>
      </c>
      <c r="E2214" s="4">
        <v>49</v>
      </c>
      <c r="F2214" s="4">
        <v>1523</v>
      </c>
      <c r="G2214" s="4">
        <v>12.3</v>
      </c>
      <c r="H2214" s="3">
        <v>3.4</v>
      </c>
      <c r="I2214" s="3">
        <v>1.59</v>
      </c>
    </row>
    <row r="2215" spans="1:9" x14ac:dyDescent="0.25">
      <c r="A2215" s="9">
        <v>55057</v>
      </c>
      <c r="B2215" s="4">
        <v>77</v>
      </c>
      <c r="C2215" s="4">
        <v>40</v>
      </c>
      <c r="D2215" s="4">
        <v>14</v>
      </c>
      <c r="E2215" s="4">
        <v>40</v>
      </c>
      <c r="F2215" s="4">
        <v>879</v>
      </c>
      <c r="G2215" s="4">
        <v>7</v>
      </c>
      <c r="H2215" s="3">
        <v>3.2</v>
      </c>
      <c r="I2215" s="3">
        <v>1.3</v>
      </c>
    </row>
    <row r="2216" spans="1:9" x14ac:dyDescent="0.25">
      <c r="A2216" s="9">
        <v>55059</v>
      </c>
      <c r="B2216" s="4">
        <v>524</v>
      </c>
      <c r="C2216" s="4">
        <v>274</v>
      </c>
      <c r="D2216" s="4">
        <v>27</v>
      </c>
      <c r="E2216" s="4">
        <v>274</v>
      </c>
      <c r="F2216" s="4">
        <v>13318</v>
      </c>
      <c r="G2216" s="4">
        <v>147.30000000000001</v>
      </c>
      <c r="H2216" s="3">
        <v>4.25</v>
      </c>
      <c r="I2216" s="3">
        <v>1.4849999999999999</v>
      </c>
    </row>
    <row r="2217" spans="1:9" x14ac:dyDescent="0.25">
      <c r="A2217" s="9">
        <v>55063</v>
      </c>
      <c r="B2217" s="4">
        <v>1257</v>
      </c>
      <c r="C2217" s="4">
        <v>395</v>
      </c>
      <c r="D2217" s="4">
        <v>52</v>
      </c>
      <c r="E2217" s="4">
        <v>395</v>
      </c>
      <c r="F2217" s="4">
        <v>19915</v>
      </c>
      <c r="G2217" s="4">
        <v>232.2</v>
      </c>
      <c r="H2217" s="3">
        <v>4.4000000000000004</v>
      </c>
      <c r="I2217" s="3">
        <v>1.7849999999999999</v>
      </c>
    </row>
    <row r="2218" spans="1:9" x14ac:dyDescent="0.25">
      <c r="A2218" s="9">
        <v>55065</v>
      </c>
      <c r="B2218" s="4">
        <v>20</v>
      </c>
      <c r="C2218" s="4">
        <v>25</v>
      </c>
      <c r="D2218" s="4">
        <v>14</v>
      </c>
      <c r="E2218" s="4">
        <v>25</v>
      </c>
      <c r="F2218" s="4">
        <v>255</v>
      </c>
      <c r="G2218" s="4">
        <v>3</v>
      </c>
      <c r="H2218" s="3">
        <v>2.2000000000000002</v>
      </c>
      <c r="I2218" s="3">
        <v>1.17</v>
      </c>
    </row>
    <row r="2219" spans="1:9" x14ac:dyDescent="0.25">
      <c r="A2219" s="9">
        <v>55067</v>
      </c>
      <c r="B2219" s="4">
        <v>89</v>
      </c>
      <c r="C2219" s="4">
        <v>25</v>
      </c>
      <c r="D2219" s="4">
        <v>4</v>
      </c>
      <c r="E2219" s="4">
        <v>25</v>
      </c>
      <c r="F2219" s="4">
        <v>1238</v>
      </c>
      <c r="G2219" s="4">
        <v>11.1</v>
      </c>
      <c r="H2219" s="3">
        <v>3.3</v>
      </c>
      <c r="I2219" s="3">
        <v>1.29</v>
      </c>
    </row>
    <row r="2220" spans="1:9" x14ac:dyDescent="0.25">
      <c r="A2220" s="9">
        <v>55069</v>
      </c>
      <c r="B2220" s="4">
        <v>60</v>
      </c>
      <c r="C2220" s="4">
        <v>40</v>
      </c>
      <c r="D2220" s="4">
        <v>14</v>
      </c>
      <c r="E2220" s="4">
        <v>40</v>
      </c>
      <c r="F2220" s="4">
        <v>605</v>
      </c>
      <c r="G2220" s="4">
        <v>4.5</v>
      </c>
      <c r="H2220" s="3">
        <v>2.65</v>
      </c>
      <c r="I2220" s="3">
        <v>1.1299999999999999</v>
      </c>
    </row>
    <row r="2221" spans="1:9" x14ac:dyDescent="0.25">
      <c r="A2221" s="9">
        <v>55071</v>
      </c>
      <c r="B2221" s="4">
        <v>215</v>
      </c>
      <c r="C2221" s="4">
        <v>127</v>
      </c>
      <c r="D2221" s="4">
        <v>16</v>
      </c>
      <c r="E2221" s="4">
        <v>127</v>
      </c>
      <c r="F2221" s="4">
        <v>4567</v>
      </c>
      <c r="G2221" s="4">
        <v>37.9</v>
      </c>
      <c r="H2221" s="3">
        <v>3.25</v>
      </c>
      <c r="I2221" s="3">
        <v>1.5699999999999998</v>
      </c>
    </row>
    <row r="2222" spans="1:9" x14ac:dyDescent="0.25">
      <c r="A2222" s="9">
        <v>55073</v>
      </c>
      <c r="B2222" s="4">
        <v>649</v>
      </c>
      <c r="C2222" s="4">
        <v>322</v>
      </c>
      <c r="D2222" s="4">
        <v>52</v>
      </c>
      <c r="E2222" s="4">
        <v>322</v>
      </c>
      <c r="F2222" s="4">
        <v>19330</v>
      </c>
      <c r="G2222" s="4">
        <v>212.9</v>
      </c>
      <c r="H2222" s="3">
        <v>4</v>
      </c>
      <c r="I2222" s="3">
        <v>1.845</v>
      </c>
    </row>
    <row r="2223" spans="1:9" x14ac:dyDescent="0.25">
      <c r="A2223" s="9">
        <v>55075</v>
      </c>
      <c r="B2223" s="4">
        <v>113</v>
      </c>
      <c r="C2223" s="4">
        <v>55</v>
      </c>
      <c r="D2223" s="4">
        <v>10</v>
      </c>
      <c r="E2223" s="4">
        <v>55</v>
      </c>
      <c r="F2223" s="4">
        <v>3132</v>
      </c>
      <c r="G2223" s="4">
        <v>17.7</v>
      </c>
      <c r="H2223" s="3">
        <v>3.3</v>
      </c>
      <c r="I2223" s="3">
        <v>1.5</v>
      </c>
    </row>
    <row r="2224" spans="1:9" x14ac:dyDescent="0.25">
      <c r="A2224" s="9">
        <v>55079</v>
      </c>
      <c r="B2224" s="4">
        <v>4603</v>
      </c>
      <c r="C2224" s="4">
        <v>2557</v>
      </c>
      <c r="D2224" s="4">
        <v>313</v>
      </c>
      <c r="E2224" s="4">
        <v>3264</v>
      </c>
      <c r="F2224" s="4">
        <v>122957</v>
      </c>
      <c r="G2224" s="4">
        <v>1672.4999999999998</v>
      </c>
      <c r="H2224" s="3">
        <v>4.2333333333333334</v>
      </c>
      <c r="I2224" s="3">
        <v>1.8766666666666667</v>
      </c>
    </row>
    <row r="2225" spans="1:9" x14ac:dyDescent="0.25">
      <c r="A2225" s="9">
        <v>55081</v>
      </c>
      <c r="B2225" s="4">
        <v>62</v>
      </c>
      <c r="C2225" s="4">
        <v>50</v>
      </c>
      <c r="D2225" s="4">
        <v>14</v>
      </c>
      <c r="E2225" s="4">
        <v>50</v>
      </c>
      <c r="F2225" s="4">
        <v>1046</v>
      </c>
      <c r="G2225" s="4">
        <v>17.399999999999999</v>
      </c>
      <c r="H2225" s="3">
        <v>3.2</v>
      </c>
      <c r="I2225" s="3">
        <v>1.135</v>
      </c>
    </row>
    <row r="2226" spans="1:9" x14ac:dyDescent="0.25">
      <c r="A2226" s="9">
        <v>55083</v>
      </c>
      <c r="B2226" s="4">
        <v>69</v>
      </c>
      <c r="C2226" s="4">
        <v>32</v>
      </c>
      <c r="D2226" s="4">
        <v>14</v>
      </c>
      <c r="E2226" s="4">
        <v>32</v>
      </c>
      <c r="F2226" s="4">
        <v>419</v>
      </c>
      <c r="G2226" s="4">
        <v>6.4</v>
      </c>
      <c r="H2226" s="3">
        <v>2.85</v>
      </c>
      <c r="I2226" s="3">
        <v>1.1600000000000001</v>
      </c>
    </row>
    <row r="2227" spans="1:9" x14ac:dyDescent="0.25">
      <c r="A2227" s="9">
        <v>55085</v>
      </c>
      <c r="B2227" s="4">
        <v>273</v>
      </c>
      <c r="C2227" s="4">
        <v>102</v>
      </c>
      <c r="D2227" s="4">
        <v>30</v>
      </c>
      <c r="E2227" s="4">
        <v>102</v>
      </c>
      <c r="F2227" s="4">
        <v>4954</v>
      </c>
      <c r="G2227" s="4">
        <v>43.400000000000006</v>
      </c>
      <c r="H2227" s="3">
        <v>3.45</v>
      </c>
      <c r="I2227" s="3">
        <v>1.4049999999999998</v>
      </c>
    </row>
    <row r="2228" spans="1:9" x14ac:dyDescent="0.25">
      <c r="A2228" s="9">
        <v>55087</v>
      </c>
      <c r="B2228" s="4">
        <v>773</v>
      </c>
      <c r="C2228" s="4">
        <v>441</v>
      </c>
      <c r="D2228" s="4">
        <v>64</v>
      </c>
      <c r="E2228" s="4">
        <v>441</v>
      </c>
      <c r="F2228" s="4">
        <v>22592</v>
      </c>
      <c r="G2228" s="4">
        <v>209.2</v>
      </c>
      <c r="H2228" s="3">
        <v>3.5999999999999996</v>
      </c>
      <c r="I2228" s="3">
        <v>1.9350000000000001</v>
      </c>
    </row>
    <row r="2229" spans="1:9" x14ac:dyDescent="0.25">
      <c r="A2229" s="9">
        <v>55089</v>
      </c>
      <c r="B2229" s="4">
        <v>469</v>
      </c>
      <c r="C2229" s="4">
        <v>246</v>
      </c>
      <c r="D2229" s="4">
        <v>46</v>
      </c>
      <c r="E2229" s="4">
        <v>246</v>
      </c>
      <c r="F2229" s="4">
        <v>13081</v>
      </c>
      <c r="G2229" s="4">
        <v>135.30000000000001</v>
      </c>
      <c r="H2229" s="3">
        <v>4</v>
      </c>
      <c r="I2229" s="3">
        <v>1.665</v>
      </c>
    </row>
    <row r="2230" spans="1:9" x14ac:dyDescent="0.25">
      <c r="A2230" s="9">
        <v>55091</v>
      </c>
      <c r="B2230" s="4">
        <v>11</v>
      </c>
      <c r="C2230" s="4">
        <v>25</v>
      </c>
      <c r="D2230" s="4">
        <v>14</v>
      </c>
      <c r="E2230" s="4">
        <v>25</v>
      </c>
      <c r="F2230" s="4">
        <v>251</v>
      </c>
      <c r="G2230" s="4">
        <v>3.6</v>
      </c>
      <c r="H2230" s="3">
        <v>3.6</v>
      </c>
      <c r="I2230" s="3">
        <v>0.93</v>
      </c>
    </row>
    <row r="2231" spans="1:9" x14ac:dyDescent="0.25">
      <c r="A2231" s="9">
        <v>55093</v>
      </c>
      <c r="B2231" s="4">
        <v>43</v>
      </c>
      <c r="C2231" s="4">
        <v>25</v>
      </c>
      <c r="D2231" s="4">
        <v>14</v>
      </c>
      <c r="E2231" s="4">
        <v>25</v>
      </c>
      <c r="F2231" s="4">
        <v>726</v>
      </c>
      <c r="G2231" s="4">
        <v>5.0999999999999996</v>
      </c>
      <c r="H2231" s="3">
        <v>2.9</v>
      </c>
      <c r="I2231" s="3">
        <v>1.29</v>
      </c>
    </row>
    <row r="2232" spans="1:9" x14ac:dyDescent="0.25">
      <c r="A2232" s="9">
        <v>55095</v>
      </c>
      <c r="B2232" s="4">
        <v>234</v>
      </c>
      <c r="C2232" s="4">
        <v>75</v>
      </c>
      <c r="D2232" s="4">
        <v>3</v>
      </c>
      <c r="E2232" s="4">
        <v>70</v>
      </c>
      <c r="F2232" s="4">
        <v>2789</v>
      </c>
      <c r="G2232" s="4">
        <v>24.1</v>
      </c>
      <c r="H2232" s="3">
        <v>2.9</v>
      </c>
      <c r="I2232" s="3">
        <v>1.3</v>
      </c>
    </row>
    <row r="2233" spans="1:9" x14ac:dyDescent="0.25">
      <c r="A2233" s="9">
        <v>55097</v>
      </c>
      <c r="B2233" s="4">
        <v>240</v>
      </c>
      <c r="C2233" s="4">
        <v>84</v>
      </c>
      <c r="D2233" s="4">
        <v>12</v>
      </c>
      <c r="E2233" s="4">
        <v>84</v>
      </c>
      <c r="F2233" s="4">
        <v>4004</v>
      </c>
      <c r="G2233" s="4">
        <v>30.1</v>
      </c>
      <c r="H2233" s="3">
        <v>3</v>
      </c>
      <c r="I2233" s="3">
        <v>1.52</v>
      </c>
    </row>
    <row r="2234" spans="1:9" x14ac:dyDescent="0.25">
      <c r="A2234" s="9">
        <v>55099</v>
      </c>
      <c r="B2234" s="4">
        <v>31</v>
      </c>
      <c r="C2234" s="4">
        <v>24</v>
      </c>
      <c r="D2234" s="4">
        <v>4</v>
      </c>
      <c r="E2234" s="4">
        <v>24</v>
      </c>
      <c r="F2234" s="4">
        <v>500</v>
      </c>
      <c r="G2234" s="4">
        <v>3.6</v>
      </c>
      <c r="H2234" s="3">
        <v>2.6</v>
      </c>
      <c r="I2234" s="3">
        <v>1.04</v>
      </c>
    </row>
    <row r="2235" spans="1:9" x14ac:dyDescent="0.25">
      <c r="A2235" s="9">
        <v>55101</v>
      </c>
      <c r="B2235" s="4">
        <v>582</v>
      </c>
      <c r="C2235" s="4">
        <v>304</v>
      </c>
      <c r="D2235" s="4">
        <v>33</v>
      </c>
      <c r="E2235" s="4">
        <v>304</v>
      </c>
      <c r="F2235" s="4">
        <v>15044</v>
      </c>
      <c r="G2235" s="4">
        <v>164.9</v>
      </c>
      <c r="H2235" s="3">
        <v>4</v>
      </c>
      <c r="I2235" s="3">
        <v>1.51</v>
      </c>
    </row>
    <row r="2236" spans="1:9" x14ac:dyDescent="0.25">
      <c r="A2236" s="9">
        <v>55103</v>
      </c>
      <c r="B2236" s="4">
        <v>53</v>
      </c>
      <c r="C2236" s="4">
        <v>25</v>
      </c>
      <c r="D2236" s="4">
        <v>4</v>
      </c>
      <c r="E2236" s="4">
        <v>25</v>
      </c>
      <c r="F2236" s="4">
        <v>1015</v>
      </c>
      <c r="G2236" s="4">
        <v>10.5</v>
      </c>
      <c r="H2236" s="3">
        <v>3.2</v>
      </c>
      <c r="I2236" s="3">
        <v>1.1499999999999999</v>
      </c>
    </row>
    <row r="2237" spans="1:9" x14ac:dyDescent="0.25">
      <c r="A2237" s="9">
        <v>55105</v>
      </c>
      <c r="B2237" s="4">
        <v>742</v>
      </c>
      <c r="C2237" s="4">
        <v>367</v>
      </c>
      <c r="D2237" s="4">
        <v>33</v>
      </c>
      <c r="E2237" s="4">
        <v>381</v>
      </c>
      <c r="F2237" s="4">
        <v>14788</v>
      </c>
      <c r="G2237" s="4">
        <v>154.79999999999998</v>
      </c>
      <c r="H2237" s="3">
        <v>3.6</v>
      </c>
      <c r="I2237" s="3">
        <v>1.4100000000000001</v>
      </c>
    </row>
    <row r="2238" spans="1:9" x14ac:dyDescent="0.25">
      <c r="A2238" s="9">
        <v>55107</v>
      </c>
      <c r="B2238" s="4">
        <v>30</v>
      </c>
      <c r="C2238" s="4">
        <v>25</v>
      </c>
      <c r="D2238" s="4">
        <v>14</v>
      </c>
      <c r="E2238" s="4">
        <v>25</v>
      </c>
      <c r="F2238" s="4">
        <v>322</v>
      </c>
      <c r="G2238" s="4">
        <v>3.4</v>
      </c>
      <c r="H2238" s="3">
        <v>1.2</v>
      </c>
      <c r="I2238" s="3">
        <v>1.1299999999999999</v>
      </c>
    </row>
    <row r="2239" spans="1:9" x14ac:dyDescent="0.25">
      <c r="A2239" s="9">
        <v>55109</v>
      </c>
      <c r="B2239" s="4">
        <v>220</v>
      </c>
      <c r="C2239" s="4">
        <v>75</v>
      </c>
      <c r="D2239" s="4">
        <v>14</v>
      </c>
      <c r="E2239" s="4">
        <v>75</v>
      </c>
      <c r="F2239" s="4">
        <v>2765</v>
      </c>
      <c r="G2239" s="4">
        <v>19.899999999999999</v>
      </c>
      <c r="H2239" s="3">
        <v>2.7333333333333329</v>
      </c>
      <c r="I2239" s="3">
        <v>1.3233333333333333</v>
      </c>
    </row>
    <row r="2240" spans="1:9" x14ac:dyDescent="0.25">
      <c r="A2240" s="9">
        <v>55111</v>
      </c>
      <c r="B2240" s="4">
        <v>297</v>
      </c>
      <c r="C2240" s="4">
        <v>104</v>
      </c>
      <c r="D2240" s="4">
        <v>10</v>
      </c>
      <c r="E2240" s="4">
        <v>104</v>
      </c>
      <c r="F2240" s="4">
        <v>4862</v>
      </c>
      <c r="G2240" s="4">
        <v>30.3</v>
      </c>
      <c r="H2240" s="3">
        <v>2.4666666666666668</v>
      </c>
      <c r="I2240" s="3">
        <v>1.3966666666666665</v>
      </c>
    </row>
    <row r="2241" spans="1:9" x14ac:dyDescent="0.25">
      <c r="A2241" s="9">
        <v>55113</v>
      </c>
      <c r="B2241" s="4">
        <v>37</v>
      </c>
      <c r="C2241" s="4">
        <v>25</v>
      </c>
      <c r="D2241" s="4">
        <v>14</v>
      </c>
      <c r="E2241" s="4">
        <v>25</v>
      </c>
      <c r="F2241" s="4">
        <v>750</v>
      </c>
      <c r="G2241" s="4">
        <v>7.7</v>
      </c>
      <c r="H2241" s="3">
        <v>3</v>
      </c>
      <c r="I2241" s="3">
        <v>1.1299999999999999</v>
      </c>
    </row>
    <row r="2242" spans="1:9" x14ac:dyDescent="0.25">
      <c r="A2242" s="9">
        <v>55115</v>
      </c>
      <c r="B2242" s="4">
        <v>101</v>
      </c>
      <c r="C2242" s="4">
        <v>25</v>
      </c>
      <c r="D2242" s="4">
        <v>14</v>
      </c>
      <c r="E2242" s="4">
        <v>25</v>
      </c>
      <c r="F2242" s="4">
        <v>1501</v>
      </c>
      <c r="G2242" s="4">
        <v>12</v>
      </c>
      <c r="H2242" s="3">
        <v>2.8</v>
      </c>
      <c r="I2242" s="3">
        <v>1.27</v>
      </c>
    </row>
    <row r="2243" spans="1:9" x14ac:dyDescent="0.25">
      <c r="A2243" s="9">
        <v>55117</v>
      </c>
      <c r="B2243" s="4">
        <v>323</v>
      </c>
      <c r="C2243" s="4">
        <v>189</v>
      </c>
      <c r="D2243" s="4">
        <v>13</v>
      </c>
      <c r="E2243" s="4">
        <v>189</v>
      </c>
      <c r="F2243" s="4">
        <v>7408</v>
      </c>
      <c r="G2243" s="4">
        <v>66</v>
      </c>
      <c r="H2243" s="3">
        <v>3.5</v>
      </c>
      <c r="I2243" s="3">
        <v>1.5449999999999999</v>
      </c>
    </row>
    <row r="2244" spans="1:9" x14ac:dyDescent="0.25">
      <c r="A2244" s="9">
        <v>55119</v>
      </c>
      <c r="B2244" s="4">
        <v>95</v>
      </c>
      <c r="C2244" s="4">
        <v>25</v>
      </c>
      <c r="D2244" s="4">
        <v>14</v>
      </c>
      <c r="E2244" s="4">
        <v>25</v>
      </c>
      <c r="F2244" s="4">
        <v>652</v>
      </c>
      <c r="G2244" s="4">
        <v>5.9</v>
      </c>
      <c r="H2244" s="3">
        <v>2.6</v>
      </c>
      <c r="I2244" s="3">
        <v>1.2</v>
      </c>
    </row>
    <row r="2245" spans="1:9" x14ac:dyDescent="0.25">
      <c r="A2245" s="9">
        <v>55121</v>
      </c>
      <c r="B2245" s="4">
        <v>36</v>
      </c>
      <c r="C2245" s="4">
        <v>43</v>
      </c>
      <c r="D2245" s="4">
        <v>14</v>
      </c>
      <c r="E2245" s="4">
        <v>43</v>
      </c>
      <c r="F2245" s="4">
        <v>545</v>
      </c>
      <c r="G2245" s="4">
        <v>24</v>
      </c>
      <c r="H2245" s="3">
        <v>2.1</v>
      </c>
      <c r="I2245" s="3">
        <v>1.05</v>
      </c>
    </row>
    <row r="2246" spans="1:9" x14ac:dyDescent="0.25">
      <c r="A2246" s="9">
        <v>55123</v>
      </c>
      <c r="B2246" s="4">
        <v>77</v>
      </c>
      <c r="C2246" s="4">
        <v>50</v>
      </c>
      <c r="D2246" s="4">
        <v>14</v>
      </c>
      <c r="E2246" s="4">
        <v>50</v>
      </c>
      <c r="F2246" s="4">
        <v>1692</v>
      </c>
      <c r="G2246" s="4">
        <v>12.9</v>
      </c>
      <c r="H2246" s="3">
        <v>2.7</v>
      </c>
      <c r="I2246" s="3">
        <v>1.3599999999999999</v>
      </c>
    </row>
    <row r="2247" spans="1:9" x14ac:dyDescent="0.25">
      <c r="A2247" s="9">
        <v>55125</v>
      </c>
      <c r="B2247" s="4">
        <v>20</v>
      </c>
      <c r="C2247" s="4">
        <v>14</v>
      </c>
      <c r="D2247" s="4">
        <v>14</v>
      </c>
      <c r="E2247" s="4">
        <v>14</v>
      </c>
      <c r="F2247" s="4">
        <v>377</v>
      </c>
      <c r="G2247" s="4">
        <v>4.2</v>
      </c>
      <c r="H2247" s="3">
        <v>2.5</v>
      </c>
      <c r="I2247" s="3">
        <v>1.1299999999999999</v>
      </c>
    </row>
    <row r="2248" spans="1:9" x14ac:dyDescent="0.25">
      <c r="A2248" s="9">
        <v>55127</v>
      </c>
      <c r="B2248" s="4">
        <v>143</v>
      </c>
      <c r="C2248" s="4">
        <v>79</v>
      </c>
      <c r="D2248" s="4">
        <v>16</v>
      </c>
      <c r="E2248" s="4">
        <v>79</v>
      </c>
      <c r="F2248" s="4">
        <v>3919</v>
      </c>
      <c r="G2248" s="4">
        <v>33.599999999999994</v>
      </c>
      <c r="H2248" s="3">
        <v>3.3</v>
      </c>
      <c r="I2248" s="3">
        <v>1.3849999999999998</v>
      </c>
    </row>
    <row r="2249" spans="1:9" x14ac:dyDescent="0.25">
      <c r="A2249" s="9">
        <v>55129</v>
      </c>
      <c r="B2249" s="4">
        <v>22</v>
      </c>
      <c r="C2249" s="4">
        <v>45</v>
      </c>
      <c r="D2249" s="4">
        <v>14</v>
      </c>
      <c r="E2249" s="4">
        <v>45</v>
      </c>
      <c r="F2249" s="4">
        <v>557</v>
      </c>
      <c r="G2249" s="4">
        <v>10.1</v>
      </c>
      <c r="H2249" s="3">
        <v>2.5</v>
      </c>
      <c r="I2249" s="3">
        <v>1.0149999999999999</v>
      </c>
    </row>
    <row r="2250" spans="1:9" x14ac:dyDescent="0.25">
      <c r="A2250" s="9">
        <v>55131</v>
      </c>
      <c r="B2250" s="4">
        <v>264</v>
      </c>
      <c r="C2250" s="4">
        <v>105</v>
      </c>
      <c r="D2250" s="4">
        <v>12</v>
      </c>
      <c r="E2250" s="4">
        <v>105</v>
      </c>
      <c r="F2250" s="4">
        <v>5726</v>
      </c>
      <c r="G2250" s="4">
        <v>49.9</v>
      </c>
      <c r="H2250" s="3">
        <v>3.3</v>
      </c>
      <c r="I2250" s="3">
        <v>1.42</v>
      </c>
    </row>
    <row r="2251" spans="1:9" x14ac:dyDescent="0.25">
      <c r="A2251" s="9">
        <v>55133</v>
      </c>
      <c r="B2251" s="4">
        <v>1138</v>
      </c>
      <c r="C2251" s="4">
        <v>550</v>
      </c>
      <c r="D2251" s="4">
        <v>64</v>
      </c>
      <c r="E2251" s="4">
        <v>550</v>
      </c>
      <c r="F2251" s="4">
        <v>28178</v>
      </c>
      <c r="G2251" s="4">
        <v>280.2</v>
      </c>
      <c r="H2251" s="3">
        <v>3.7749999999999999</v>
      </c>
      <c r="I2251" s="3">
        <v>1.6375000000000002</v>
      </c>
    </row>
    <row r="2252" spans="1:9" x14ac:dyDescent="0.25">
      <c r="A2252" s="9">
        <v>55135</v>
      </c>
      <c r="B2252" s="4">
        <v>131</v>
      </c>
      <c r="C2252" s="4">
        <v>50</v>
      </c>
      <c r="D2252" s="4">
        <v>4</v>
      </c>
      <c r="E2252" s="4">
        <v>50</v>
      </c>
      <c r="F2252" s="4">
        <v>1857</v>
      </c>
      <c r="G2252" s="4">
        <v>16.5</v>
      </c>
      <c r="H2252" s="3">
        <v>2.35</v>
      </c>
      <c r="I2252" s="3">
        <v>1.23</v>
      </c>
    </row>
    <row r="2253" spans="1:9" x14ac:dyDescent="0.25">
      <c r="A2253" s="9">
        <v>55137</v>
      </c>
      <c r="B2253" s="4">
        <v>15</v>
      </c>
      <c r="C2253" s="4">
        <v>25</v>
      </c>
      <c r="D2253" s="4">
        <v>14</v>
      </c>
      <c r="E2253" s="4">
        <v>25</v>
      </c>
      <c r="F2253" s="4">
        <v>191</v>
      </c>
      <c r="G2253" s="4">
        <v>5.0999999999999996</v>
      </c>
      <c r="H2253" s="3">
        <v>3.2</v>
      </c>
      <c r="I2253" s="3">
        <v>1.01</v>
      </c>
    </row>
    <row r="2254" spans="1:9" x14ac:dyDescent="0.25">
      <c r="A2254" s="9">
        <v>55139</v>
      </c>
      <c r="B2254" s="4">
        <v>763</v>
      </c>
      <c r="C2254" s="4">
        <v>315</v>
      </c>
      <c r="D2254" s="4">
        <v>38</v>
      </c>
      <c r="E2254" s="4">
        <v>315</v>
      </c>
      <c r="F2254" s="4">
        <v>17956</v>
      </c>
      <c r="G2254" s="4">
        <v>153.4</v>
      </c>
      <c r="H2254" s="3">
        <v>4.5</v>
      </c>
      <c r="I2254" s="3">
        <v>1.7633333333333334</v>
      </c>
    </row>
    <row r="2255" spans="1:9" x14ac:dyDescent="0.25">
      <c r="A2255" s="9">
        <v>55141</v>
      </c>
      <c r="B2255" s="4">
        <v>671</v>
      </c>
      <c r="C2255" s="4">
        <v>246</v>
      </c>
      <c r="D2255" s="4">
        <v>4</v>
      </c>
      <c r="E2255" s="4">
        <v>246</v>
      </c>
      <c r="F2255" s="4">
        <v>14708</v>
      </c>
      <c r="G2255" s="4">
        <v>201.7</v>
      </c>
      <c r="H2255" s="3">
        <v>4.5</v>
      </c>
      <c r="I2255" s="3">
        <v>1.75</v>
      </c>
    </row>
    <row r="2256" spans="1:9" x14ac:dyDescent="0.25">
      <c r="A2256" s="9">
        <v>56001</v>
      </c>
      <c r="B2256" s="4">
        <v>93</v>
      </c>
      <c r="C2256" s="4">
        <v>66</v>
      </c>
      <c r="D2256" s="4">
        <v>4</v>
      </c>
      <c r="E2256" s="4">
        <v>66</v>
      </c>
      <c r="F2256" s="4">
        <v>1577</v>
      </c>
      <c r="G2256" s="4">
        <v>12.6</v>
      </c>
      <c r="H2256" s="3">
        <v>3.4</v>
      </c>
      <c r="I2256" s="3">
        <v>1.47</v>
      </c>
    </row>
    <row r="2257" spans="1:9" x14ac:dyDescent="0.25">
      <c r="A2257" s="9">
        <v>56003</v>
      </c>
      <c r="B2257" s="4">
        <v>18</v>
      </c>
      <c r="C2257" s="4">
        <v>22</v>
      </c>
      <c r="D2257" s="4">
        <v>14</v>
      </c>
      <c r="E2257" s="4">
        <v>22</v>
      </c>
      <c r="F2257" s="4">
        <v>328</v>
      </c>
      <c r="G2257" s="4">
        <v>9.1999999999999993</v>
      </c>
      <c r="H2257" s="3">
        <v>3.2</v>
      </c>
      <c r="I2257" s="3">
        <v>0.96500000000000008</v>
      </c>
    </row>
    <row r="2258" spans="1:9" x14ac:dyDescent="0.25">
      <c r="A2258" s="9">
        <v>56005</v>
      </c>
      <c r="B2258" s="4">
        <v>148</v>
      </c>
      <c r="C2258" s="4">
        <v>66</v>
      </c>
      <c r="D2258" s="4">
        <v>14</v>
      </c>
      <c r="E2258" s="4">
        <v>66</v>
      </c>
      <c r="F2258" s="4">
        <v>2195</v>
      </c>
      <c r="G2258" s="4">
        <v>17</v>
      </c>
      <c r="H2258" s="3">
        <v>3.4</v>
      </c>
      <c r="I2258" s="3">
        <v>1.67</v>
      </c>
    </row>
    <row r="2259" spans="1:9" x14ac:dyDescent="0.25">
      <c r="A2259" s="9">
        <v>56007</v>
      </c>
      <c r="B2259" s="4">
        <v>33</v>
      </c>
      <c r="C2259" s="4">
        <v>25</v>
      </c>
      <c r="D2259" s="4">
        <v>6</v>
      </c>
      <c r="E2259" s="4">
        <v>25</v>
      </c>
      <c r="F2259" s="4">
        <v>622</v>
      </c>
      <c r="G2259" s="4">
        <v>4.7</v>
      </c>
      <c r="H2259" s="3">
        <v>2.6</v>
      </c>
      <c r="I2259" s="3">
        <v>1.08</v>
      </c>
    </row>
    <row r="2260" spans="1:9" x14ac:dyDescent="0.25">
      <c r="A2260" s="9">
        <v>56009</v>
      </c>
      <c r="B2260" s="4">
        <v>54</v>
      </c>
      <c r="C2260" s="4">
        <v>25</v>
      </c>
      <c r="D2260" s="4">
        <v>14</v>
      </c>
      <c r="E2260" s="4">
        <v>25</v>
      </c>
      <c r="F2260" s="4">
        <v>758</v>
      </c>
      <c r="G2260" s="4">
        <v>7.2</v>
      </c>
      <c r="H2260" s="3">
        <v>2.7</v>
      </c>
      <c r="I2260" s="3">
        <v>1.32</v>
      </c>
    </row>
    <row r="2261" spans="1:9" x14ac:dyDescent="0.25">
      <c r="A2261" s="9">
        <v>56011</v>
      </c>
      <c r="B2261" s="4">
        <v>9</v>
      </c>
      <c r="C2261" s="4">
        <v>16</v>
      </c>
      <c r="D2261" s="4">
        <v>14</v>
      </c>
      <c r="E2261" s="4">
        <v>16</v>
      </c>
      <c r="F2261" s="4">
        <v>65</v>
      </c>
      <c r="G2261" s="4">
        <v>3</v>
      </c>
      <c r="H2261" s="3">
        <v>2.2000000000000002</v>
      </c>
      <c r="I2261" s="3">
        <v>0.94</v>
      </c>
    </row>
    <row r="2262" spans="1:9" x14ac:dyDescent="0.25">
      <c r="A2262" s="9">
        <v>56013</v>
      </c>
      <c r="B2262" s="4">
        <v>105</v>
      </c>
      <c r="C2262" s="4">
        <v>133</v>
      </c>
      <c r="D2262" s="4">
        <v>12</v>
      </c>
      <c r="E2262" s="4">
        <v>133</v>
      </c>
      <c r="F2262" s="4">
        <v>2389</v>
      </c>
      <c r="G2262" s="4">
        <v>17.100000000000001</v>
      </c>
      <c r="H2262" s="3">
        <v>2.9</v>
      </c>
      <c r="I2262" s="3">
        <v>1.28</v>
      </c>
    </row>
    <row r="2263" spans="1:9" x14ac:dyDescent="0.25">
      <c r="A2263" s="9">
        <v>56015</v>
      </c>
      <c r="B2263" s="4">
        <v>28</v>
      </c>
      <c r="C2263" s="4">
        <v>25</v>
      </c>
      <c r="D2263" s="4">
        <v>14</v>
      </c>
      <c r="E2263" s="4">
        <v>25</v>
      </c>
      <c r="F2263" s="4">
        <v>437</v>
      </c>
      <c r="G2263" s="4">
        <v>4.8</v>
      </c>
      <c r="H2263" s="3">
        <v>2.7</v>
      </c>
      <c r="I2263" s="3">
        <v>1.1399999999999999</v>
      </c>
    </row>
    <row r="2264" spans="1:9" x14ac:dyDescent="0.25">
      <c r="A2264" s="9">
        <v>56017</v>
      </c>
      <c r="B2264" s="4">
        <v>20</v>
      </c>
      <c r="C2264" s="4">
        <v>25</v>
      </c>
      <c r="D2264" s="4">
        <v>14</v>
      </c>
      <c r="E2264" s="4">
        <v>25</v>
      </c>
      <c r="F2264" s="4">
        <v>489</v>
      </c>
      <c r="G2264" s="4">
        <v>4.3</v>
      </c>
      <c r="H2264" s="3">
        <v>2.5</v>
      </c>
      <c r="I2264" s="3">
        <v>1.03</v>
      </c>
    </row>
    <row r="2265" spans="1:9" x14ac:dyDescent="0.25">
      <c r="A2265" s="9">
        <v>56019</v>
      </c>
      <c r="B2265" s="4">
        <v>15</v>
      </c>
      <c r="C2265" s="4">
        <v>22</v>
      </c>
      <c r="D2265" s="4">
        <v>14</v>
      </c>
      <c r="E2265" s="4">
        <v>22</v>
      </c>
      <c r="F2265" s="4">
        <v>332</v>
      </c>
      <c r="G2265" s="4">
        <v>6.1</v>
      </c>
      <c r="H2265" s="3">
        <v>3.1</v>
      </c>
      <c r="I2265" s="3">
        <v>0.9</v>
      </c>
    </row>
    <row r="2266" spans="1:9" x14ac:dyDescent="0.25">
      <c r="A2266" s="9">
        <v>56021</v>
      </c>
      <c r="B2266" s="4">
        <v>343</v>
      </c>
      <c r="C2266" s="4">
        <v>170</v>
      </c>
      <c r="D2266" s="4">
        <v>15</v>
      </c>
      <c r="E2266" s="4">
        <v>222</v>
      </c>
      <c r="F2266" s="4">
        <v>8673</v>
      </c>
      <c r="G2266" s="4">
        <v>87.3</v>
      </c>
      <c r="H2266" s="3">
        <v>3.9</v>
      </c>
      <c r="I2266" s="3">
        <v>1.59</v>
      </c>
    </row>
    <row r="2267" spans="1:9" x14ac:dyDescent="0.25">
      <c r="A2267" s="9">
        <v>56023</v>
      </c>
      <c r="B2267" s="4">
        <v>75</v>
      </c>
      <c r="C2267" s="4">
        <v>35</v>
      </c>
      <c r="D2267" s="4">
        <v>14</v>
      </c>
      <c r="E2267" s="4">
        <v>35</v>
      </c>
      <c r="F2267" s="4">
        <v>862</v>
      </c>
      <c r="G2267" s="4">
        <v>8.3000000000000007</v>
      </c>
      <c r="H2267" s="3">
        <v>2.3499999999999996</v>
      </c>
      <c r="I2267" s="3">
        <v>1.27</v>
      </c>
    </row>
    <row r="2268" spans="1:9" x14ac:dyDescent="0.25">
      <c r="A2268" s="9">
        <v>56025</v>
      </c>
      <c r="B2268" s="4">
        <v>271</v>
      </c>
      <c r="C2268" s="4">
        <v>235</v>
      </c>
      <c r="D2268" s="4">
        <v>14</v>
      </c>
      <c r="E2268" s="4">
        <v>228</v>
      </c>
      <c r="F2268" s="4">
        <v>9502</v>
      </c>
      <c r="G2268" s="4">
        <v>100.60000000000001</v>
      </c>
      <c r="H2268" s="3">
        <v>3.3499999999999996</v>
      </c>
      <c r="I2268" s="3">
        <v>2.1800000000000002</v>
      </c>
    </row>
    <row r="2269" spans="1:9" x14ac:dyDescent="0.25">
      <c r="A2269" s="9">
        <v>56027</v>
      </c>
      <c r="B2269" s="4">
        <v>7</v>
      </c>
      <c r="C2269" s="4">
        <v>24</v>
      </c>
      <c r="D2269" s="4">
        <v>14</v>
      </c>
      <c r="E2269" s="4">
        <v>24</v>
      </c>
      <c r="F2269" s="4">
        <v>51</v>
      </c>
      <c r="G2269" s="4">
        <v>20</v>
      </c>
      <c r="H2269" s="3">
        <v>2.6</v>
      </c>
      <c r="I2269" s="3">
        <v>0.98</v>
      </c>
    </row>
    <row r="2270" spans="1:9" x14ac:dyDescent="0.25">
      <c r="A2270" s="9">
        <v>56029</v>
      </c>
      <c r="B2270" s="4">
        <v>119</v>
      </c>
      <c r="C2270" s="4">
        <v>50</v>
      </c>
      <c r="D2270" s="4">
        <v>4</v>
      </c>
      <c r="E2270" s="4">
        <v>50</v>
      </c>
      <c r="F2270" s="4">
        <v>1766</v>
      </c>
      <c r="G2270" s="4">
        <v>17.600000000000001</v>
      </c>
      <c r="H2270" s="3">
        <v>2.5499999999999998</v>
      </c>
      <c r="I2270" s="3">
        <v>1.4650000000000001</v>
      </c>
    </row>
    <row r="2271" spans="1:9" x14ac:dyDescent="0.25">
      <c r="A2271" s="9">
        <v>56031</v>
      </c>
      <c r="B2271" s="4">
        <v>19</v>
      </c>
      <c r="C2271" s="4">
        <v>25</v>
      </c>
      <c r="D2271" s="4">
        <v>14</v>
      </c>
      <c r="E2271" s="4">
        <v>25</v>
      </c>
      <c r="F2271" s="4">
        <v>370</v>
      </c>
      <c r="G2271" s="4">
        <v>4.2</v>
      </c>
      <c r="H2271" s="3">
        <v>3</v>
      </c>
      <c r="I2271" s="3">
        <v>1.07</v>
      </c>
    </row>
    <row r="2272" spans="1:9" x14ac:dyDescent="0.25">
      <c r="A2272" s="9">
        <v>56033</v>
      </c>
      <c r="B2272" s="4">
        <v>96</v>
      </c>
      <c r="C2272" s="4">
        <v>71</v>
      </c>
      <c r="D2272" s="4">
        <v>11</v>
      </c>
      <c r="E2272" s="4">
        <v>71</v>
      </c>
      <c r="F2272" s="4">
        <v>2332</v>
      </c>
      <c r="G2272" s="4">
        <v>26.1</v>
      </c>
      <c r="H2272" s="3">
        <v>4.2</v>
      </c>
      <c r="I2272" s="3">
        <v>1.62</v>
      </c>
    </row>
    <row r="2273" spans="1:9" x14ac:dyDescent="0.25">
      <c r="A2273" s="9">
        <v>56037</v>
      </c>
      <c r="B2273" s="4">
        <v>104</v>
      </c>
      <c r="C2273" s="4">
        <v>58</v>
      </c>
      <c r="D2273" s="4">
        <v>10</v>
      </c>
      <c r="E2273" s="4">
        <v>74</v>
      </c>
      <c r="F2273" s="4">
        <v>2024</v>
      </c>
      <c r="G2273" s="4">
        <v>12.6</v>
      </c>
      <c r="H2273" s="3">
        <v>2.6</v>
      </c>
      <c r="I2273" s="3">
        <v>1.37</v>
      </c>
    </row>
    <row r="2274" spans="1:9" x14ac:dyDescent="0.25">
      <c r="A2274" s="9">
        <v>56039</v>
      </c>
      <c r="B2274" s="4">
        <v>154</v>
      </c>
      <c r="C2274" s="4">
        <v>48</v>
      </c>
      <c r="D2274" s="4">
        <v>6</v>
      </c>
      <c r="E2274" s="4">
        <v>48</v>
      </c>
      <c r="F2274" s="4">
        <v>1671</v>
      </c>
      <c r="G2274" s="4">
        <v>17.2</v>
      </c>
      <c r="H2274" s="3">
        <v>4.2</v>
      </c>
      <c r="I2274" s="3">
        <v>1.61</v>
      </c>
    </row>
    <row r="2275" spans="1:9" x14ac:dyDescent="0.25">
      <c r="A2275" s="9">
        <v>56041</v>
      </c>
      <c r="B2275" s="4">
        <v>46</v>
      </c>
      <c r="C2275" s="4">
        <v>32</v>
      </c>
      <c r="D2275" s="4">
        <v>6</v>
      </c>
      <c r="E2275" s="4">
        <v>32</v>
      </c>
      <c r="F2275" s="4">
        <v>699</v>
      </c>
      <c r="G2275" s="4">
        <v>4.0999999999999996</v>
      </c>
      <c r="H2275" s="3">
        <v>2.5</v>
      </c>
      <c r="I2275" s="3">
        <v>1.39</v>
      </c>
    </row>
    <row r="2276" spans="1:9" x14ac:dyDescent="0.25">
      <c r="A2276" s="9">
        <v>56043</v>
      </c>
      <c r="B2276" s="4">
        <v>26</v>
      </c>
      <c r="C2276" s="4">
        <v>18</v>
      </c>
      <c r="D2276" s="4">
        <v>14</v>
      </c>
      <c r="E2276" s="4">
        <v>18</v>
      </c>
      <c r="F2276" s="4">
        <v>418</v>
      </c>
      <c r="G2276" s="4">
        <v>5.2</v>
      </c>
      <c r="H2276" s="3">
        <v>2.9</v>
      </c>
      <c r="I2276" s="3">
        <v>1.32</v>
      </c>
    </row>
    <row r="2277" spans="1:9" x14ac:dyDescent="0.25">
      <c r="A2277" s="9">
        <v>56045</v>
      </c>
      <c r="B2277" s="4">
        <v>11</v>
      </c>
      <c r="C2277" s="4">
        <v>12</v>
      </c>
      <c r="D2277" s="4">
        <v>14</v>
      </c>
      <c r="E2277" s="4">
        <v>12</v>
      </c>
      <c r="F2277" s="4">
        <v>110</v>
      </c>
      <c r="G2277" s="4">
        <v>5.3</v>
      </c>
      <c r="H2277" s="3">
        <v>3.2</v>
      </c>
      <c r="I2277" s="3">
        <v>0.93</v>
      </c>
    </row>
    <row r="2278" spans="1:9" x14ac:dyDescent="0.25">
      <c r="A2278" s="9" t="s">
        <v>2</v>
      </c>
      <c r="B2278" s="4">
        <v>84</v>
      </c>
      <c r="C2278" s="4">
        <v>55</v>
      </c>
      <c r="D2278" s="4">
        <v>6</v>
      </c>
      <c r="E2278" s="4">
        <v>55</v>
      </c>
      <c r="F2278" s="4">
        <v>2887</v>
      </c>
      <c r="G2278" s="4">
        <v>34.299999999999997</v>
      </c>
      <c r="H2278" s="3">
        <v>4.3</v>
      </c>
      <c r="I2278" s="3">
        <v>1.19</v>
      </c>
    </row>
    <row r="2279" spans="1:9" x14ac:dyDescent="0.25">
      <c r="A2279" s="9" t="s">
        <v>3</v>
      </c>
      <c r="B2279" s="4">
        <v>517</v>
      </c>
      <c r="C2279" s="4">
        <v>296</v>
      </c>
      <c r="D2279" s="4">
        <v>44</v>
      </c>
      <c r="E2279" s="4">
        <v>296</v>
      </c>
      <c r="F2279" s="4">
        <v>17505</v>
      </c>
      <c r="G2279" s="4">
        <v>182.3</v>
      </c>
      <c r="H2279" s="3">
        <v>3.9666666666666668</v>
      </c>
      <c r="I2279" s="3">
        <v>1.5566666666666666</v>
      </c>
    </row>
    <row r="2280" spans="1:9" x14ac:dyDescent="0.25">
      <c r="A2280" s="9" t="s">
        <v>4</v>
      </c>
      <c r="B2280" s="4">
        <v>37</v>
      </c>
      <c r="C2280" s="4">
        <v>30</v>
      </c>
      <c r="D2280" s="4">
        <v>5</v>
      </c>
      <c r="E2280" s="4">
        <v>30</v>
      </c>
      <c r="F2280" s="4">
        <v>1005</v>
      </c>
      <c r="G2280" s="4">
        <v>12.9</v>
      </c>
      <c r="H2280" s="3">
        <v>4.7</v>
      </c>
      <c r="I2280" s="3">
        <v>1.1100000000000001</v>
      </c>
    </row>
    <row r="2281" spans="1:9" x14ac:dyDescent="0.25">
      <c r="A2281" s="9" t="s">
        <v>5</v>
      </c>
      <c r="B2281" s="4">
        <v>27</v>
      </c>
      <c r="C2281" s="4">
        <v>25</v>
      </c>
      <c r="D2281" s="4">
        <v>14</v>
      </c>
      <c r="E2281" s="4">
        <v>25</v>
      </c>
      <c r="F2281" s="4">
        <v>385</v>
      </c>
      <c r="G2281" s="4">
        <v>10.8</v>
      </c>
      <c r="H2281" s="3">
        <v>10.199999999999999</v>
      </c>
      <c r="I2281" s="3">
        <v>1.02</v>
      </c>
    </row>
    <row r="2282" spans="1:9" x14ac:dyDescent="0.25">
      <c r="A2282" s="9" t="s">
        <v>6</v>
      </c>
      <c r="B2282" s="4">
        <v>59</v>
      </c>
      <c r="C2282" s="4">
        <v>25</v>
      </c>
      <c r="D2282" s="4">
        <v>6</v>
      </c>
      <c r="E2282" s="4">
        <v>25</v>
      </c>
      <c r="F2282" s="4">
        <v>835</v>
      </c>
      <c r="G2282" s="4">
        <v>12.5</v>
      </c>
      <c r="H2282" s="3">
        <v>4</v>
      </c>
      <c r="I2282" s="3">
        <v>1.1000000000000001</v>
      </c>
    </row>
    <row r="2283" spans="1:9" x14ac:dyDescent="0.25">
      <c r="A2283" s="9" t="s">
        <v>7</v>
      </c>
      <c r="B2283" s="4">
        <v>5</v>
      </c>
      <c r="C2283" s="4">
        <v>30</v>
      </c>
      <c r="D2283" s="4">
        <v>14</v>
      </c>
      <c r="E2283" s="4">
        <v>30</v>
      </c>
      <c r="F2283" s="4">
        <v>473</v>
      </c>
      <c r="G2283" s="4">
        <v>6.4</v>
      </c>
      <c r="H2283" s="3">
        <v>4.9000000000000004</v>
      </c>
      <c r="I2283" s="3">
        <v>1.0900000000000001</v>
      </c>
    </row>
    <row r="2284" spans="1:9" x14ac:dyDescent="0.25">
      <c r="A2284" s="9" t="s">
        <v>8</v>
      </c>
      <c r="B2284" s="4">
        <v>22</v>
      </c>
      <c r="C2284" s="4">
        <v>44</v>
      </c>
      <c r="D2284" s="4">
        <v>7</v>
      </c>
      <c r="E2284" s="4">
        <v>44</v>
      </c>
      <c r="F2284" s="4">
        <v>1248</v>
      </c>
      <c r="G2284" s="4">
        <v>12</v>
      </c>
      <c r="H2284" s="3">
        <v>3.4</v>
      </c>
      <c r="I2284" s="3">
        <v>1.01</v>
      </c>
    </row>
    <row r="2285" spans="1:9" x14ac:dyDescent="0.25">
      <c r="A2285" s="9" t="s">
        <v>9</v>
      </c>
      <c r="B2285" s="4">
        <v>269</v>
      </c>
      <c r="C2285" s="4">
        <v>397</v>
      </c>
      <c r="D2285" s="4">
        <v>24</v>
      </c>
      <c r="E2285" s="4">
        <v>397</v>
      </c>
      <c r="F2285" s="4">
        <v>16660</v>
      </c>
      <c r="G2285" s="4">
        <v>183.60000000000002</v>
      </c>
      <c r="H2285" s="3">
        <v>4.5</v>
      </c>
      <c r="I2285" s="3">
        <v>1.3133333333333335</v>
      </c>
    </row>
    <row r="2286" spans="1:9" x14ac:dyDescent="0.25">
      <c r="A2286" s="9" t="s">
        <v>10</v>
      </c>
      <c r="B2286" s="4">
        <v>7</v>
      </c>
      <c r="C2286" s="4">
        <v>84</v>
      </c>
      <c r="D2286" s="4">
        <v>10</v>
      </c>
      <c r="E2286" s="4">
        <v>84</v>
      </c>
      <c r="F2286" s="4">
        <v>2538</v>
      </c>
      <c r="G2286" s="4">
        <v>33.5</v>
      </c>
      <c r="H2286" s="3">
        <v>5.2</v>
      </c>
      <c r="I2286" s="3">
        <v>1</v>
      </c>
    </row>
    <row r="2287" spans="1:9" x14ac:dyDescent="0.25">
      <c r="A2287" s="9" t="s">
        <v>11</v>
      </c>
      <c r="B2287" s="4">
        <v>22</v>
      </c>
      <c r="C2287" s="4">
        <v>45</v>
      </c>
      <c r="D2287" s="4">
        <v>14</v>
      </c>
      <c r="E2287" s="4">
        <v>45</v>
      </c>
      <c r="F2287" s="4">
        <v>604</v>
      </c>
      <c r="G2287" s="4">
        <v>10.9</v>
      </c>
      <c r="H2287" s="3">
        <v>6.6</v>
      </c>
      <c r="I2287" s="3">
        <v>0.89</v>
      </c>
    </row>
    <row r="2288" spans="1:9" x14ac:dyDescent="0.25">
      <c r="A2288" s="9" t="s">
        <v>12</v>
      </c>
      <c r="B2288" s="4">
        <v>34</v>
      </c>
      <c r="C2288" s="4">
        <v>26</v>
      </c>
      <c r="D2288" s="4">
        <v>6</v>
      </c>
      <c r="E2288" s="4">
        <v>26</v>
      </c>
      <c r="F2288" s="4">
        <v>1261</v>
      </c>
      <c r="G2288" s="4">
        <v>14.3</v>
      </c>
      <c r="H2288" s="3">
        <v>4.2</v>
      </c>
      <c r="I2288" s="3">
        <v>1.17</v>
      </c>
    </row>
    <row r="2289" spans="1:9" x14ac:dyDescent="0.25">
      <c r="A2289" s="9" t="s">
        <v>13</v>
      </c>
      <c r="B2289" s="4">
        <v>10</v>
      </c>
      <c r="C2289" s="4">
        <v>25</v>
      </c>
      <c r="D2289" s="4">
        <v>14</v>
      </c>
      <c r="E2289" s="4">
        <v>25</v>
      </c>
      <c r="F2289" s="4">
        <v>68</v>
      </c>
      <c r="G2289" s="4">
        <v>5.9</v>
      </c>
      <c r="H2289" s="3">
        <v>3</v>
      </c>
      <c r="I2289" s="3">
        <v>0.91</v>
      </c>
    </row>
    <row r="2290" spans="1:9" x14ac:dyDescent="0.25">
      <c r="A2290" s="9" t="s">
        <v>14</v>
      </c>
      <c r="B2290" s="4">
        <v>40</v>
      </c>
      <c r="C2290" s="4">
        <v>56</v>
      </c>
      <c r="D2290" s="4">
        <v>14</v>
      </c>
      <c r="E2290" s="4">
        <v>56</v>
      </c>
      <c r="F2290" s="4">
        <v>2350</v>
      </c>
      <c r="G2290" s="4">
        <v>21.5</v>
      </c>
      <c r="H2290" s="3">
        <v>3.5666666666666664</v>
      </c>
      <c r="I2290" s="3">
        <v>1.02</v>
      </c>
    </row>
    <row r="2291" spans="1:9" x14ac:dyDescent="0.25">
      <c r="A2291" s="9" t="s">
        <v>15</v>
      </c>
      <c r="B2291" s="4">
        <v>23</v>
      </c>
      <c r="C2291" s="4">
        <v>46</v>
      </c>
      <c r="D2291" s="4">
        <v>4</v>
      </c>
      <c r="E2291" s="4">
        <v>46</v>
      </c>
      <c r="F2291" s="4">
        <v>927</v>
      </c>
      <c r="G2291" s="4">
        <v>12.9</v>
      </c>
      <c r="H2291" s="3">
        <v>5.0999999999999996</v>
      </c>
      <c r="I2291" s="3">
        <v>1.1399999999999999</v>
      </c>
    </row>
    <row r="2292" spans="1:9" x14ac:dyDescent="0.25">
      <c r="A2292" s="9" t="s">
        <v>16</v>
      </c>
      <c r="B2292" s="4">
        <v>91</v>
      </c>
      <c r="C2292" s="4">
        <v>99</v>
      </c>
      <c r="D2292" s="4">
        <v>7</v>
      </c>
      <c r="E2292" s="4">
        <v>99</v>
      </c>
      <c r="F2292" s="4">
        <v>3469</v>
      </c>
      <c r="G2292" s="4">
        <v>24.3</v>
      </c>
      <c r="H2292" s="3">
        <v>3.3</v>
      </c>
      <c r="I2292" s="3">
        <v>1.39</v>
      </c>
    </row>
    <row r="2293" spans="1:9" x14ac:dyDescent="0.25">
      <c r="A2293" s="9" t="s">
        <v>17</v>
      </c>
      <c r="B2293" s="4">
        <v>227</v>
      </c>
      <c r="C2293" s="4">
        <v>300</v>
      </c>
      <c r="D2293" s="4">
        <v>22</v>
      </c>
      <c r="E2293" s="4">
        <v>300</v>
      </c>
      <c r="F2293" s="4">
        <v>8190</v>
      </c>
      <c r="G2293" s="4">
        <v>84.2</v>
      </c>
      <c r="H2293" s="3">
        <v>4.25</v>
      </c>
      <c r="I2293" s="3">
        <v>1.27</v>
      </c>
    </row>
    <row r="2294" spans="1:9" x14ac:dyDescent="0.25">
      <c r="A2294" s="9" t="s">
        <v>18</v>
      </c>
      <c r="B2294" s="4">
        <v>12</v>
      </c>
      <c r="C2294" s="4">
        <v>44</v>
      </c>
      <c r="D2294" s="4">
        <v>14</v>
      </c>
      <c r="E2294" s="4">
        <v>44</v>
      </c>
      <c r="F2294" s="4">
        <v>1543</v>
      </c>
      <c r="G2294" s="4">
        <v>12.9</v>
      </c>
      <c r="H2294" s="3">
        <v>3.1</v>
      </c>
      <c r="I2294" s="3">
        <v>0.98</v>
      </c>
    </row>
    <row r="2295" spans="1:9" x14ac:dyDescent="0.25">
      <c r="A2295" s="9" t="s">
        <v>19</v>
      </c>
      <c r="B2295" s="4">
        <v>95</v>
      </c>
      <c r="C2295" s="4">
        <v>128</v>
      </c>
      <c r="D2295" s="4">
        <v>13</v>
      </c>
      <c r="E2295" s="4">
        <v>128</v>
      </c>
      <c r="F2295" s="4">
        <v>4058</v>
      </c>
      <c r="G2295" s="4">
        <v>42.4</v>
      </c>
      <c r="H2295" s="3">
        <v>3.9</v>
      </c>
      <c r="I2295" s="3">
        <v>1.2149999999999999</v>
      </c>
    </row>
    <row r="2296" spans="1:9" x14ac:dyDescent="0.25">
      <c r="A2296" s="9" t="s">
        <v>20</v>
      </c>
      <c r="B2296" s="4">
        <v>8</v>
      </c>
      <c r="C2296" s="4">
        <v>29</v>
      </c>
      <c r="D2296" s="4">
        <v>14</v>
      </c>
      <c r="E2296" s="4">
        <v>29</v>
      </c>
      <c r="F2296" s="4">
        <v>314</v>
      </c>
      <c r="G2296" s="4">
        <v>3.7</v>
      </c>
      <c r="H2296" s="3">
        <v>4.2</v>
      </c>
      <c r="I2296" s="3">
        <v>1.0900000000000001</v>
      </c>
    </row>
    <row r="2297" spans="1:9" x14ac:dyDescent="0.25">
      <c r="A2297" s="9" t="s">
        <v>21</v>
      </c>
      <c r="B2297" s="4">
        <v>217</v>
      </c>
      <c r="C2297" s="4">
        <v>145</v>
      </c>
      <c r="D2297" s="4">
        <v>12</v>
      </c>
      <c r="E2297" s="4">
        <v>145</v>
      </c>
      <c r="F2297" s="4">
        <v>9213</v>
      </c>
      <c r="G2297" s="4">
        <v>88.4</v>
      </c>
      <c r="H2297" s="3">
        <v>3.6</v>
      </c>
      <c r="I2297" s="3">
        <v>1.37</v>
      </c>
    </row>
    <row r="2298" spans="1:9" x14ac:dyDescent="0.25">
      <c r="A2298" s="9" t="s">
        <v>22</v>
      </c>
      <c r="B2298" s="4">
        <v>43</v>
      </c>
      <c r="C2298" s="4">
        <v>77</v>
      </c>
      <c r="D2298" s="4">
        <v>6</v>
      </c>
      <c r="E2298" s="4">
        <v>77</v>
      </c>
      <c r="F2298" s="4">
        <v>1132</v>
      </c>
      <c r="G2298" s="4">
        <v>20.399999999999999</v>
      </c>
      <c r="H2298" s="3">
        <v>6.6</v>
      </c>
      <c r="I2298" s="3">
        <v>1.28</v>
      </c>
    </row>
    <row r="2299" spans="1:9" x14ac:dyDescent="0.25">
      <c r="A2299" s="9" t="s">
        <v>23</v>
      </c>
      <c r="B2299" s="4">
        <v>81</v>
      </c>
      <c r="C2299" s="4">
        <v>109</v>
      </c>
      <c r="D2299" s="4">
        <v>23</v>
      </c>
      <c r="E2299" s="4">
        <v>109</v>
      </c>
      <c r="F2299" s="4">
        <v>5216</v>
      </c>
      <c r="G2299" s="4">
        <v>44.1</v>
      </c>
      <c r="H2299" s="3">
        <v>3.3</v>
      </c>
      <c r="I2299" s="3">
        <v>1.32</v>
      </c>
    </row>
    <row r="2300" spans="1:9" x14ac:dyDescent="0.25">
      <c r="A2300" s="9" t="s">
        <v>24</v>
      </c>
      <c r="B2300" s="4">
        <v>78</v>
      </c>
      <c r="C2300" s="4">
        <v>97</v>
      </c>
      <c r="D2300" s="4">
        <v>12</v>
      </c>
      <c r="E2300" s="4">
        <v>97</v>
      </c>
      <c r="F2300" s="4">
        <v>3207</v>
      </c>
      <c r="G2300" s="4">
        <v>28.3</v>
      </c>
      <c r="H2300" s="3">
        <v>3.6</v>
      </c>
      <c r="I2300" s="3">
        <v>1.42</v>
      </c>
    </row>
    <row r="2301" spans="1:9" x14ac:dyDescent="0.25">
      <c r="A2301" s="9" t="s">
        <v>25</v>
      </c>
      <c r="B2301" s="4">
        <v>70</v>
      </c>
      <c r="C2301" s="4">
        <v>70</v>
      </c>
      <c r="D2301" s="4">
        <v>5</v>
      </c>
      <c r="E2301" s="4">
        <v>70</v>
      </c>
      <c r="F2301" s="4">
        <v>1483</v>
      </c>
      <c r="G2301" s="4">
        <v>20.700000000000003</v>
      </c>
      <c r="H2301" s="3">
        <v>5.15</v>
      </c>
      <c r="I2301" s="3">
        <v>1.155</v>
      </c>
    </row>
    <row r="2302" spans="1:9" x14ac:dyDescent="0.25">
      <c r="A2302" s="9" t="s">
        <v>26</v>
      </c>
      <c r="B2302" s="4">
        <v>60</v>
      </c>
      <c r="C2302" s="4">
        <v>95</v>
      </c>
      <c r="D2302" s="4">
        <v>14</v>
      </c>
      <c r="E2302" s="4">
        <v>95</v>
      </c>
      <c r="F2302" s="4">
        <v>2919</v>
      </c>
      <c r="G2302" s="4">
        <v>32.9</v>
      </c>
      <c r="H2302" s="3">
        <v>4.4000000000000004</v>
      </c>
      <c r="I2302" s="3">
        <v>1.125</v>
      </c>
    </row>
    <row r="2303" spans="1:9" x14ac:dyDescent="0.25">
      <c r="A2303" s="9" t="s">
        <v>27</v>
      </c>
      <c r="B2303" s="4">
        <v>267</v>
      </c>
      <c r="C2303" s="4">
        <v>478</v>
      </c>
      <c r="D2303" s="4">
        <v>40</v>
      </c>
      <c r="E2303" s="4">
        <v>478</v>
      </c>
      <c r="F2303" s="4">
        <v>19395</v>
      </c>
      <c r="G2303" s="4">
        <v>230.4</v>
      </c>
      <c r="H2303" s="3">
        <v>4.3</v>
      </c>
      <c r="I2303" s="3">
        <v>1.6949999999999998</v>
      </c>
    </row>
    <row r="2304" spans="1:9" x14ac:dyDescent="0.25">
      <c r="A2304" s="9" t="s">
        <v>28</v>
      </c>
      <c r="B2304" s="4">
        <v>41</v>
      </c>
      <c r="C2304" s="4">
        <v>45</v>
      </c>
      <c r="D2304" s="4">
        <v>8</v>
      </c>
      <c r="E2304" s="4">
        <v>45</v>
      </c>
      <c r="F2304" s="4">
        <v>693</v>
      </c>
      <c r="G2304" s="4">
        <v>10.5</v>
      </c>
      <c r="H2304" s="3">
        <v>5.5</v>
      </c>
      <c r="I2304" s="3">
        <v>1.1200000000000001</v>
      </c>
    </row>
    <row r="2305" spans="1:9" x14ac:dyDescent="0.25">
      <c r="A2305" s="9" t="s">
        <v>29</v>
      </c>
      <c r="B2305" s="4">
        <v>54</v>
      </c>
      <c r="C2305" s="4">
        <v>74</v>
      </c>
      <c r="D2305" s="4">
        <v>7</v>
      </c>
      <c r="E2305" s="4">
        <v>74</v>
      </c>
      <c r="F2305" s="4">
        <v>2092</v>
      </c>
      <c r="G2305" s="4">
        <v>26.2</v>
      </c>
      <c r="H2305" s="3">
        <v>2.95</v>
      </c>
      <c r="I2305" s="3">
        <v>1.04</v>
      </c>
    </row>
    <row r="2306" spans="1:9" x14ac:dyDescent="0.25">
      <c r="A2306" s="9" t="s">
        <v>30</v>
      </c>
      <c r="B2306" s="4">
        <v>17</v>
      </c>
      <c r="C2306" s="4">
        <v>73</v>
      </c>
      <c r="D2306" s="4">
        <v>6</v>
      </c>
      <c r="E2306" s="4">
        <v>73</v>
      </c>
      <c r="F2306" s="4">
        <v>805</v>
      </c>
      <c r="G2306" s="4">
        <v>9.6</v>
      </c>
      <c r="H2306" s="3">
        <v>4.4000000000000004</v>
      </c>
      <c r="I2306" s="3">
        <v>1.2</v>
      </c>
    </row>
    <row r="2307" spans="1:9" x14ac:dyDescent="0.25">
      <c r="A2307" s="9" t="s">
        <v>31</v>
      </c>
      <c r="B2307" s="4">
        <v>5</v>
      </c>
      <c r="C2307" s="4">
        <v>20</v>
      </c>
      <c r="D2307" s="4">
        <v>14</v>
      </c>
      <c r="E2307" s="4">
        <v>20</v>
      </c>
      <c r="F2307" s="4">
        <v>355</v>
      </c>
      <c r="G2307" s="4">
        <v>4.8</v>
      </c>
      <c r="H2307" s="3">
        <v>5</v>
      </c>
      <c r="I2307" s="3">
        <v>0.93</v>
      </c>
    </row>
    <row r="2308" spans="1:9" x14ac:dyDescent="0.25">
      <c r="A2308" s="9" t="s">
        <v>32</v>
      </c>
      <c r="B2308" s="4">
        <v>12</v>
      </c>
      <c r="C2308" s="4">
        <v>28</v>
      </c>
      <c r="D2308" s="4">
        <v>14</v>
      </c>
      <c r="E2308" s="4">
        <v>28</v>
      </c>
      <c r="F2308" s="4">
        <v>380</v>
      </c>
      <c r="G2308" s="4">
        <v>7.3</v>
      </c>
      <c r="H2308" s="3">
        <v>7</v>
      </c>
      <c r="I2308" s="3">
        <v>0.95</v>
      </c>
    </row>
    <row r="2309" spans="1:9" x14ac:dyDescent="0.25">
      <c r="A2309" s="9" t="s">
        <v>33</v>
      </c>
      <c r="B2309" s="4">
        <v>587</v>
      </c>
      <c r="C2309" s="4">
        <v>577</v>
      </c>
      <c r="D2309" s="4">
        <v>74</v>
      </c>
      <c r="E2309" s="4">
        <v>577</v>
      </c>
      <c r="F2309" s="4">
        <v>33232</v>
      </c>
      <c r="G2309" s="4">
        <v>412.8</v>
      </c>
      <c r="H2309" s="3">
        <v>4.6999999999999993</v>
      </c>
      <c r="I2309" s="3">
        <v>1.895</v>
      </c>
    </row>
    <row r="2310" spans="1:9" x14ac:dyDescent="0.25">
      <c r="A2310" s="9" t="s">
        <v>34</v>
      </c>
      <c r="B2310" s="4">
        <v>80</v>
      </c>
      <c r="C2310" s="4">
        <v>45</v>
      </c>
      <c r="D2310" s="4">
        <v>10</v>
      </c>
      <c r="E2310" s="4">
        <v>92</v>
      </c>
      <c r="F2310" s="4">
        <v>2622</v>
      </c>
      <c r="G2310" s="4">
        <v>28.3</v>
      </c>
      <c r="H2310" s="3">
        <v>4.0999999999999996</v>
      </c>
      <c r="I2310" s="3">
        <v>1.21</v>
      </c>
    </row>
    <row r="2311" spans="1:9" x14ac:dyDescent="0.25">
      <c r="A2311" s="9" t="s">
        <v>35</v>
      </c>
      <c r="B2311" s="4">
        <v>3653</v>
      </c>
      <c r="C2311" s="4">
        <v>3085</v>
      </c>
      <c r="D2311" s="4">
        <v>281</v>
      </c>
      <c r="E2311" s="4">
        <v>3251</v>
      </c>
      <c r="F2311" s="4">
        <v>154499</v>
      </c>
      <c r="G2311" s="4">
        <v>2265.3999999999996</v>
      </c>
      <c r="H2311" s="3">
        <v>5.0200000000000005</v>
      </c>
      <c r="I2311" s="3">
        <v>1.82</v>
      </c>
    </row>
    <row r="2312" spans="1:9" x14ac:dyDescent="0.25">
      <c r="A2312" s="9" t="s">
        <v>36</v>
      </c>
      <c r="B2312" s="4">
        <v>215</v>
      </c>
      <c r="C2312" s="4">
        <v>233</v>
      </c>
      <c r="D2312" s="4">
        <v>36</v>
      </c>
      <c r="E2312" s="4">
        <v>233</v>
      </c>
      <c r="F2312" s="4">
        <v>12472</v>
      </c>
      <c r="G2312" s="4">
        <v>129.9</v>
      </c>
      <c r="H2312" s="3">
        <v>5</v>
      </c>
      <c r="I2312" s="3">
        <v>1.74</v>
      </c>
    </row>
    <row r="2313" spans="1:9" x14ac:dyDescent="0.25">
      <c r="A2313" s="9" t="s">
        <v>37</v>
      </c>
      <c r="B2313" s="4">
        <v>27</v>
      </c>
      <c r="C2313" s="4">
        <v>43</v>
      </c>
      <c r="D2313" s="4">
        <v>6</v>
      </c>
      <c r="E2313" s="4">
        <v>43</v>
      </c>
      <c r="F2313" s="4">
        <v>573</v>
      </c>
      <c r="G2313" s="4">
        <v>6.5</v>
      </c>
      <c r="H2313" s="3">
        <v>4.0999999999999996</v>
      </c>
      <c r="I2313" s="3">
        <v>1.18</v>
      </c>
    </row>
    <row r="2314" spans="1:9" x14ac:dyDescent="0.25">
      <c r="A2314" s="9" t="s">
        <v>38</v>
      </c>
      <c r="B2314" s="4">
        <v>338</v>
      </c>
      <c r="C2314" s="4">
        <v>299</v>
      </c>
      <c r="D2314" s="4">
        <v>20</v>
      </c>
      <c r="E2314" s="4">
        <v>299</v>
      </c>
      <c r="F2314" s="4">
        <v>17291</v>
      </c>
      <c r="G2314" s="4">
        <v>205.7</v>
      </c>
      <c r="H2314" s="3">
        <v>4.5999999999999996</v>
      </c>
      <c r="I2314" s="3">
        <v>1.74</v>
      </c>
    </row>
    <row r="2315" spans="1:9" x14ac:dyDescent="0.25">
      <c r="A2315" s="9" t="s">
        <v>39</v>
      </c>
      <c r="B2315" s="4">
        <v>129</v>
      </c>
      <c r="C2315" s="4">
        <v>66</v>
      </c>
      <c r="D2315" s="4">
        <v>10</v>
      </c>
      <c r="E2315" s="4">
        <v>66</v>
      </c>
      <c r="F2315" s="4">
        <v>4144</v>
      </c>
      <c r="G2315" s="4">
        <v>34.200000000000003</v>
      </c>
      <c r="H2315" s="3">
        <v>3.2</v>
      </c>
      <c r="I2315" s="3">
        <v>1.6</v>
      </c>
    </row>
    <row r="2316" spans="1:9" x14ac:dyDescent="0.25">
      <c r="A2316" s="9" t="s">
        <v>40</v>
      </c>
      <c r="B2316" s="4">
        <v>1444</v>
      </c>
      <c r="C2316" s="4">
        <v>1060</v>
      </c>
      <c r="D2316" s="4">
        <v>58</v>
      </c>
      <c r="E2316" s="4">
        <v>1150</v>
      </c>
      <c r="F2316" s="4">
        <v>60869</v>
      </c>
      <c r="G2316" s="4">
        <v>732.6</v>
      </c>
      <c r="H2316" s="3">
        <v>4.25</v>
      </c>
      <c r="I2316" s="3">
        <v>1.8450000000000002</v>
      </c>
    </row>
    <row r="2317" spans="1:9" x14ac:dyDescent="0.25">
      <c r="A2317" s="9" t="s">
        <v>41</v>
      </c>
      <c r="B2317" s="4">
        <v>47</v>
      </c>
      <c r="C2317" s="4">
        <v>37</v>
      </c>
      <c r="D2317" s="4">
        <v>5</v>
      </c>
      <c r="E2317" s="4">
        <v>37</v>
      </c>
      <c r="F2317" s="4">
        <v>1028</v>
      </c>
      <c r="G2317" s="4">
        <v>13.6</v>
      </c>
      <c r="H2317" s="3">
        <v>4.8</v>
      </c>
      <c r="I2317" s="3">
        <v>1.1200000000000001</v>
      </c>
    </row>
    <row r="2318" spans="1:9" x14ac:dyDescent="0.25">
      <c r="A2318" s="9" t="s">
        <v>42</v>
      </c>
      <c r="B2318" s="4">
        <v>62</v>
      </c>
      <c r="C2318" s="4">
        <v>97</v>
      </c>
      <c r="D2318" s="4">
        <v>8</v>
      </c>
      <c r="E2318" s="4">
        <v>97</v>
      </c>
      <c r="F2318" s="4">
        <v>1393</v>
      </c>
      <c r="G2318" s="4">
        <v>18.100000000000001</v>
      </c>
      <c r="H2318" s="3">
        <v>5.15</v>
      </c>
      <c r="I2318" s="3">
        <v>1.06</v>
      </c>
    </row>
    <row r="2319" spans="1:9" x14ac:dyDescent="0.25">
      <c r="A2319" s="9" t="s">
        <v>43</v>
      </c>
      <c r="B2319" s="4">
        <v>257</v>
      </c>
      <c r="C2319" s="4">
        <v>204</v>
      </c>
      <c r="D2319" s="4">
        <v>20</v>
      </c>
      <c r="E2319" s="4">
        <v>240</v>
      </c>
      <c r="F2319" s="4">
        <v>7640</v>
      </c>
      <c r="G2319" s="4">
        <v>88.8</v>
      </c>
      <c r="H2319" s="3">
        <v>4.5</v>
      </c>
      <c r="I2319" s="3">
        <v>1.38</v>
      </c>
    </row>
    <row r="2320" spans="1:9" x14ac:dyDescent="0.25">
      <c r="A2320" s="9" t="s">
        <v>44</v>
      </c>
      <c r="B2320" s="4">
        <v>1605</v>
      </c>
      <c r="C2320" s="4">
        <v>1341</v>
      </c>
      <c r="D2320" s="4">
        <v>75</v>
      </c>
      <c r="E2320" s="4">
        <v>1341</v>
      </c>
      <c r="F2320" s="4">
        <v>62095</v>
      </c>
      <c r="G2320" s="4">
        <v>923.3</v>
      </c>
      <c r="H2320" s="3">
        <v>5.3199999999999994</v>
      </c>
      <c r="I2320" s="3">
        <v>1.91</v>
      </c>
    </row>
    <row r="2321" spans="1:9" x14ac:dyDescent="0.25">
      <c r="A2321" s="9" t="s">
        <v>45</v>
      </c>
      <c r="B2321" s="4">
        <v>42</v>
      </c>
      <c r="C2321" s="4">
        <v>49</v>
      </c>
      <c r="D2321" s="4">
        <v>8</v>
      </c>
      <c r="E2321" s="4">
        <v>49</v>
      </c>
      <c r="F2321" s="4">
        <v>712</v>
      </c>
      <c r="G2321" s="4">
        <v>5.7</v>
      </c>
      <c r="H2321" s="3">
        <v>3.6</v>
      </c>
      <c r="I2321" s="3">
        <v>1.0900000000000001</v>
      </c>
    </row>
    <row r="2322" spans="1:9" x14ac:dyDescent="0.25">
      <c r="A2322" s="9" t="s">
        <v>46</v>
      </c>
      <c r="B2322" s="4">
        <v>787</v>
      </c>
      <c r="C2322" s="4">
        <v>797</v>
      </c>
      <c r="D2322" s="4">
        <v>58</v>
      </c>
      <c r="E2322" s="4">
        <v>740</v>
      </c>
      <c r="F2322" s="4">
        <v>47258</v>
      </c>
      <c r="G2322" s="4">
        <v>548.9</v>
      </c>
      <c r="H2322" s="3">
        <v>4.4666666666666677</v>
      </c>
      <c r="I2322" s="3">
        <v>1.67</v>
      </c>
    </row>
    <row r="2323" spans="1:9" x14ac:dyDescent="0.25">
      <c r="A2323" s="9" t="s">
        <v>47</v>
      </c>
      <c r="B2323" s="4">
        <v>248</v>
      </c>
      <c r="C2323" s="4">
        <v>222</v>
      </c>
      <c r="D2323" s="4">
        <v>23</v>
      </c>
      <c r="E2323" s="4">
        <v>342</v>
      </c>
      <c r="F2323" s="4">
        <v>9754</v>
      </c>
      <c r="G2323" s="4">
        <v>119.39999999999999</v>
      </c>
      <c r="H2323" s="3">
        <v>4</v>
      </c>
      <c r="I2323" s="3">
        <v>1.47</v>
      </c>
    </row>
    <row r="2324" spans="1:9" x14ac:dyDescent="0.25">
      <c r="A2324" s="9" t="s">
        <v>48</v>
      </c>
      <c r="B2324" s="4">
        <v>80</v>
      </c>
      <c r="C2324" s="4">
        <v>49</v>
      </c>
      <c r="D2324" s="4">
        <v>14</v>
      </c>
      <c r="E2324" s="4">
        <v>49</v>
      </c>
      <c r="F2324" s="4">
        <v>484</v>
      </c>
      <c r="G2324" s="4">
        <v>5.8</v>
      </c>
      <c r="H2324" s="3">
        <v>4.3</v>
      </c>
      <c r="I2324" s="3">
        <v>1.03</v>
      </c>
    </row>
    <row r="2325" spans="1:9" x14ac:dyDescent="0.25">
      <c r="A2325" s="9" t="s">
        <v>49</v>
      </c>
      <c r="B2325" s="4">
        <v>54</v>
      </c>
      <c r="C2325" s="4">
        <v>97</v>
      </c>
      <c r="D2325" s="4">
        <v>9</v>
      </c>
      <c r="E2325" s="4">
        <v>97</v>
      </c>
      <c r="F2325" s="4">
        <v>1736</v>
      </c>
      <c r="G2325" s="4">
        <v>17.8</v>
      </c>
      <c r="H2325" s="3">
        <v>3.8</v>
      </c>
      <c r="I2325" s="3">
        <v>1.33</v>
      </c>
    </row>
    <row r="2326" spans="1:9" x14ac:dyDescent="0.25">
      <c r="A2326" s="9" t="s">
        <v>50</v>
      </c>
      <c r="B2326" s="4">
        <v>23</v>
      </c>
      <c r="C2326" s="4">
        <v>15</v>
      </c>
      <c r="D2326" s="4">
        <v>14</v>
      </c>
      <c r="E2326" s="4">
        <v>15</v>
      </c>
      <c r="F2326" s="4">
        <v>1129</v>
      </c>
      <c r="G2326" s="4">
        <v>15.1</v>
      </c>
      <c r="H2326" s="3">
        <v>1.05</v>
      </c>
      <c r="I2326" s="3">
        <v>0.84</v>
      </c>
    </row>
    <row r="2327" spans="1:9" x14ac:dyDescent="0.25">
      <c r="A2327" s="9" t="s">
        <v>51</v>
      </c>
      <c r="B2327" s="4">
        <v>57</v>
      </c>
      <c r="C2327" s="4">
        <v>47</v>
      </c>
      <c r="D2327" s="4">
        <v>8</v>
      </c>
      <c r="E2327" s="4">
        <v>47</v>
      </c>
      <c r="F2327" s="4">
        <v>2926</v>
      </c>
      <c r="G2327" s="4">
        <v>18.3</v>
      </c>
      <c r="H2327" s="3">
        <v>2.2999999999999998</v>
      </c>
      <c r="I2327" s="3">
        <v>2.29</v>
      </c>
    </row>
    <row r="2328" spans="1:9" x14ac:dyDescent="0.25">
      <c r="A2328" s="9" t="s">
        <v>52</v>
      </c>
      <c r="B2328" s="4">
        <v>71</v>
      </c>
      <c r="C2328" s="4">
        <v>40</v>
      </c>
      <c r="D2328" s="4">
        <v>6</v>
      </c>
      <c r="E2328" s="4">
        <v>40</v>
      </c>
      <c r="F2328" s="4">
        <v>1850</v>
      </c>
      <c r="G2328" s="4">
        <v>23.5</v>
      </c>
      <c r="H2328" s="3">
        <v>4.5999999999999996</v>
      </c>
      <c r="I2328" s="3">
        <v>1.08</v>
      </c>
    </row>
    <row r="2329" spans="1:9" x14ac:dyDescent="0.25">
      <c r="A2329" s="9" t="s">
        <v>53</v>
      </c>
      <c r="B2329" s="4">
        <v>197</v>
      </c>
      <c r="C2329" s="4">
        <v>212</v>
      </c>
      <c r="D2329" s="4">
        <v>32</v>
      </c>
      <c r="E2329" s="4">
        <v>212</v>
      </c>
      <c r="F2329" s="4">
        <v>10376</v>
      </c>
      <c r="G2329" s="4">
        <v>115</v>
      </c>
      <c r="H2329" s="3">
        <v>4.4000000000000004</v>
      </c>
      <c r="I2329" s="3">
        <v>1.75</v>
      </c>
    </row>
    <row r="2330" spans="1:9" x14ac:dyDescent="0.25">
      <c r="A2330" s="9" t="s">
        <v>54</v>
      </c>
      <c r="B2330" s="4">
        <v>9</v>
      </c>
      <c r="C2330" s="4">
        <v>33</v>
      </c>
      <c r="D2330" s="4">
        <v>14</v>
      </c>
      <c r="E2330" s="4">
        <v>33</v>
      </c>
      <c r="F2330" s="4">
        <v>435</v>
      </c>
      <c r="G2330" s="4">
        <v>15</v>
      </c>
      <c r="H2330" s="3">
        <v>12.6</v>
      </c>
      <c r="I2330" s="3">
        <v>0.81</v>
      </c>
    </row>
    <row r="2331" spans="1:9" x14ac:dyDescent="0.25">
      <c r="A2331" s="9" t="s">
        <v>55</v>
      </c>
      <c r="B2331" s="4">
        <v>118</v>
      </c>
      <c r="C2331" s="4">
        <v>207</v>
      </c>
      <c r="D2331" s="4">
        <v>14</v>
      </c>
      <c r="E2331" s="4">
        <v>207</v>
      </c>
      <c r="F2331" s="4">
        <v>4927</v>
      </c>
      <c r="G2331" s="4">
        <v>49.3</v>
      </c>
      <c r="H2331" s="3">
        <v>3.8</v>
      </c>
      <c r="I2331" s="3">
        <v>1.27</v>
      </c>
    </row>
    <row r="2332" spans="1:9" x14ac:dyDescent="0.25">
      <c r="A2332" s="9" t="s">
        <v>56</v>
      </c>
      <c r="B2332" s="4">
        <v>91</v>
      </c>
      <c r="C2332" s="4">
        <v>80</v>
      </c>
      <c r="D2332" s="4">
        <v>6</v>
      </c>
      <c r="E2332" s="4">
        <v>80</v>
      </c>
      <c r="F2332" s="4">
        <v>2954</v>
      </c>
      <c r="G2332" s="4">
        <v>20.100000000000001</v>
      </c>
      <c r="H2332" s="3">
        <v>3.0999999999999996</v>
      </c>
      <c r="I2332" s="3">
        <v>1.175</v>
      </c>
    </row>
    <row r="2333" spans="1:9" x14ac:dyDescent="0.25">
      <c r="A2333" s="9" t="s">
        <v>57</v>
      </c>
      <c r="B2333" s="4">
        <v>623</v>
      </c>
      <c r="C2333" s="4">
        <v>524</v>
      </c>
      <c r="D2333" s="4">
        <v>40</v>
      </c>
      <c r="E2333" s="4">
        <v>728</v>
      </c>
      <c r="F2333" s="4">
        <v>31491</v>
      </c>
      <c r="G2333" s="4">
        <v>383.1</v>
      </c>
      <c r="H2333" s="3">
        <v>4.7</v>
      </c>
      <c r="I2333" s="3">
        <v>1.63</v>
      </c>
    </row>
    <row r="2334" spans="1:9" x14ac:dyDescent="0.25">
      <c r="A2334" s="9" t="s">
        <v>58</v>
      </c>
      <c r="B2334" s="4">
        <v>114</v>
      </c>
      <c r="C2334" s="4">
        <v>207</v>
      </c>
      <c r="D2334" s="4">
        <v>12</v>
      </c>
      <c r="E2334" s="4">
        <v>207</v>
      </c>
      <c r="F2334" s="4">
        <v>5842</v>
      </c>
      <c r="G2334" s="4">
        <v>59.5</v>
      </c>
      <c r="H2334" s="3">
        <v>4.0999999999999996</v>
      </c>
      <c r="I2334" s="3">
        <v>1.36</v>
      </c>
    </row>
    <row r="2335" spans="1:9" x14ac:dyDescent="0.25">
      <c r="A2335" s="9" t="s">
        <v>59</v>
      </c>
      <c r="B2335" s="4">
        <v>17</v>
      </c>
      <c r="C2335" s="4">
        <v>15</v>
      </c>
      <c r="D2335" s="4">
        <v>14</v>
      </c>
      <c r="E2335" s="4">
        <v>15</v>
      </c>
      <c r="F2335" s="4">
        <v>286</v>
      </c>
      <c r="G2335" s="4">
        <v>6.5</v>
      </c>
      <c r="H2335" s="3">
        <v>3.2</v>
      </c>
      <c r="I2335" s="3">
        <v>1.1200000000000001</v>
      </c>
    </row>
    <row r="2336" spans="1:9" x14ac:dyDescent="0.25">
      <c r="A2336" s="9" t="s">
        <v>60</v>
      </c>
      <c r="B2336" s="4">
        <v>7</v>
      </c>
      <c r="C2336" s="4">
        <v>21</v>
      </c>
      <c r="D2336" s="4">
        <v>14</v>
      </c>
      <c r="E2336" s="4">
        <v>21</v>
      </c>
      <c r="F2336" s="4">
        <v>180</v>
      </c>
      <c r="G2336" s="4">
        <v>1.4</v>
      </c>
      <c r="H2336" s="3">
        <v>2.8</v>
      </c>
      <c r="I2336" s="3">
        <v>0.89</v>
      </c>
    </row>
    <row r="2337" spans="1:9" x14ac:dyDescent="0.25">
      <c r="A2337" s="9" t="s">
        <v>61</v>
      </c>
      <c r="B2337" s="4">
        <v>19</v>
      </c>
      <c r="C2337" s="4">
        <v>49</v>
      </c>
      <c r="D2337" s="4">
        <v>4</v>
      </c>
      <c r="E2337" s="4">
        <v>49</v>
      </c>
      <c r="F2337" s="4">
        <v>1258</v>
      </c>
      <c r="G2337" s="4">
        <v>13.9</v>
      </c>
      <c r="H2337" s="3">
        <v>4</v>
      </c>
      <c r="I2337" s="3">
        <v>1.01</v>
      </c>
    </row>
    <row r="2338" spans="1:9" x14ac:dyDescent="0.25">
      <c r="A2338" s="9" t="s">
        <v>62</v>
      </c>
      <c r="B2338" s="4">
        <v>1633</v>
      </c>
      <c r="C2338" s="4">
        <v>729</v>
      </c>
      <c r="D2338" s="4">
        <v>60</v>
      </c>
      <c r="E2338" s="4">
        <v>729</v>
      </c>
      <c r="F2338" s="4">
        <v>30424</v>
      </c>
      <c r="G2338" s="4">
        <v>487.9</v>
      </c>
      <c r="H2338" s="3">
        <v>5.666666666666667</v>
      </c>
      <c r="I2338" s="3">
        <v>2.0066666666666668</v>
      </c>
    </row>
    <row r="2339" spans="1:9" x14ac:dyDescent="0.25">
      <c r="A2339" s="9" t="s">
        <v>63</v>
      </c>
      <c r="B2339" s="4">
        <v>118</v>
      </c>
      <c r="C2339" s="4">
        <v>34</v>
      </c>
      <c r="D2339" s="4">
        <v>14</v>
      </c>
      <c r="E2339" s="4">
        <v>34</v>
      </c>
      <c r="F2339" s="4">
        <v>1822</v>
      </c>
      <c r="G2339" s="4">
        <v>13.6</v>
      </c>
      <c r="H2339" s="3">
        <v>2.7</v>
      </c>
      <c r="I2339" s="3">
        <v>1.04</v>
      </c>
    </row>
    <row r="2340" spans="1:9" x14ac:dyDescent="0.25">
      <c r="A2340" s="9" t="s">
        <v>64</v>
      </c>
      <c r="B2340" s="4">
        <v>24</v>
      </c>
      <c r="C2340" s="4">
        <v>16</v>
      </c>
      <c r="D2340" s="4">
        <v>14</v>
      </c>
      <c r="E2340" s="4">
        <v>16</v>
      </c>
      <c r="F2340" s="4">
        <v>221</v>
      </c>
      <c r="G2340" s="4">
        <v>2.4</v>
      </c>
      <c r="H2340" s="3">
        <v>3.1</v>
      </c>
      <c r="I2340" s="3">
        <v>1</v>
      </c>
    </row>
    <row r="2341" spans="1:9" x14ac:dyDescent="0.25">
      <c r="A2341" s="9" t="s">
        <v>65</v>
      </c>
      <c r="B2341" s="4">
        <v>304</v>
      </c>
      <c r="C2341" s="4">
        <v>122</v>
      </c>
      <c r="D2341" s="4">
        <v>13</v>
      </c>
      <c r="E2341" s="4">
        <v>122</v>
      </c>
      <c r="F2341" s="4">
        <v>4467</v>
      </c>
      <c r="G2341" s="4">
        <v>48.2</v>
      </c>
      <c r="H2341" s="3">
        <v>4.7</v>
      </c>
      <c r="I2341" s="3">
        <v>1.63</v>
      </c>
    </row>
    <row r="2342" spans="1:9" x14ac:dyDescent="0.25">
      <c r="A2342" s="9" t="s">
        <v>66</v>
      </c>
      <c r="B2342" s="4">
        <v>129</v>
      </c>
      <c r="C2342" s="4">
        <v>45</v>
      </c>
      <c r="D2342" s="4">
        <v>9</v>
      </c>
      <c r="E2342" s="4">
        <v>45</v>
      </c>
      <c r="F2342" s="4">
        <v>1647</v>
      </c>
      <c r="G2342" s="4">
        <v>16.5</v>
      </c>
      <c r="H2342" s="3">
        <v>4.0999999999999996</v>
      </c>
      <c r="I2342" s="3">
        <v>1.34</v>
      </c>
    </row>
    <row r="2343" spans="1:9" x14ac:dyDescent="0.25">
      <c r="A2343" s="9" t="s">
        <v>67</v>
      </c>
      <c r="B2343" s="4">
        <v>227</v>
      </c>
      <c r="C2343" s="4">
        <v>76</v>
      </c>
      <c r="D2343" s="4">
        <v>6</v>
      </c>
      <c r="E2343" s="4">
        <v>76</v>
      </c>
      <c r="F2343" s="4">
        <v>3404</v>
      </c>
      <c r="G2343" s="4">
        <v>40.200000000000003</v>
      </c>
      <c r="H2343" s="3">
        <v>3.4666666666666668</v>
      </c>
      <c r="I2343" s="3">
        <v>1.3</v>
      </c>
    </row>
    <row r="2344" spans="1:9" x14ac:dyDescent="0.25">
      <c r="A2344" s="9" t="s">
        <v>68</v>
      </c>
      <c r="B2344" s="4">
        <v>110</v>
      </c>
      <c r="C2344" s="4">
        <v>25</v>
      </c>
      <c r="D2344" s="4">
        <v>4</v>
      </c>
      <c r="E2344" s="4">
        <v>25</v>
      </c>
      <c r="F2344" s="4">
        <v>1257</v>
      </c>
      <c r="G2344" s="4">
        <v>9.6</v>
      </c>
      <c r="H2344" s="3">
        <v>2.8</v>
      </c>
      <c r="I2344" s="3">
        <v>1.24</v>
      </c>
    </row>
    <row r="2345" spans="1:9" x14ac:dyDescent="0.25">
      <c r="A2345" s="9" t="s">
        <v>69</v>
      </c>
      <c r="B2345" s="4">
        <v>40</v>
      </c>
      <c r="C2345" s="4">
        <v>24</v>
      </c>
      <c r="D2345" s="4">
        <v>14</v>
      </c>
      <c r="E2345" s="4">
        <v>24</v>
      </c>
      <c r="F2345" s="4">
        <v>521</v>
      </c>
      <c r="G2345" s="4">
        <v>4.8</v>
      </c>
      <c r="H2345" s="3">
        <v>2.6</v>
      </c>
      <c r="I2345" s="3">
        <v>1.1399999999999999</v>
      </c>
    </row>
    <row r="2346" spans="1:9" x14ac:dyDescent="0.25">
      <c r="A2346" s="9" t="s">
        <v>70</v>
      </c>
      <c r="B2346" s="4">
        <v>226</v>
      </c>
      <c r="C2346" s="4">
        <v>74</v>
      </c>
      <c r="D2346" s="4">
        <v>14</v>
      </c>
      <c r="E2346" s="4">
        <v>74</v>
      </c>
      <c r="F2346" s="4">
        <v>4324</v>
      </c>
      <c r="G2346" s="4">
        <v>49.5</v>
      </c>
      <c r="H2346" s="3">
        <v>4.5</v>
      </c>
      <c r="I2346" s="3">
        <v>1.84</v>
      </c>
    </row>
    <row r="2347" spans="1:9" x14ac:dyDescent="0.25">
      <c r="A2347" s="9" t="s">
        <v>71</v>
      </c>
      <c r="B2347" s="4">
        <v>56</v>
      </c>
      <c r="C2347" s="4">
        <v>18</v>
      </c>
      <c r="D2347" s="4">
        <v>14</v>
      </c>
      <c r="E2347" s="4">
        <v>18</v>
      </c>
      <c r="F2347" s="4">
        <v>734</v>
      </c>
      <c r="G2347" s="4">
        <v>7.2</v>
      </c>
      <c r="H2347" s="3">
        <v>2.8</v>
      </c>
      <c r="I2347" s="3">
        <v>0.93</v>
      </c>
    </row>
    <row r="2348" spans="1:9" x14ac:dyDescent="0.25">
      <c r="A2348" s="9" t="s">
        <v>72</v>
      </c>
      <c r="B2348" s="4">
        <v>33</v>
      </c>
      <c r="C2348" s="4">
        <v>14</v>
      </c>
      <c r="D2348" s="4">
        <v>14</v>
      </c>
      <c r="E2348" s="4">
        <v>14</v>
      </c>
      <c r="F2348" s="4">
        <v>246</v>
      </c>
      <c r="G2348" s="4">
        <v>2.5</v>
      </c>
      <c r="H2348" s="3">
        <v>2.8</v>
      </c>
      <c r="I2348" s="3">
        <v>1.1399999999999999</v>
      </c>
    </row>
    <row r="2349" spans="1:9" x14ac:dyDescent="0.25">
      <c r="A2349" s="9" t="s">
        <v>73</v>
      </c>
      <c r="B2349" s="4">
        <v>46</v>
      </c>
      <c r="C2349" s="4">
        <v>17</v>
      </c>
      <c r="D2349" s="4">
        <v>14</v>
      </c>
      <c r="E2349" s="4">
        <v>17</v>
      </c>
      <c r="F2349" s="4">
        <v>492</v>
      </c>
      <c r="G2349" s="4">
        <v>4.0999999999999996</v>
      </c>
      <c r="H2349" s="3">
        <v>3</v>
      </c>
      <c r="I2349" s="3">
        <v>0.97</v>
      </c>
    </row>
    <row r="2350" spans="1:9" x14ac:dyDescent="0.25">
      <c r="A2350" s="9" t="s">
        <v>74</v>
      </c>
      <c r="B2350" s="4">
        <v>7</v>
      </c>
      <c r="C2350" s="4">
        <v>12</v>
      </c>
      <c r="D2350" s="4">
        <v>14</v>
      </c>
      <c r="E2350" s="4">
        <v>12</v>
      </c>
      <c r="F2350" s="4">
        <v>101</v>
      </c>
      <c r="G2350" s="4">
        <v>3.2</v>
      </c>
      <c r="H2350" s="3">
        <v>2.9</v>
      </c>
      <c r="I2350" s="3">
        <v>0.91</v>
      </c>
    </row>
    <row r="2351" spans="1:9" x14ac:dyDescent="0.25">
      <c r="A2351" s="9" t="s">
        <v>75</v>
      </c>
      <c r="B2351" s="4">
        <v>120</v>
      </c>
      <c r="C2351" s="4">
        <v>27</v>
      </c>
      <c r="D2351" s="4">
        <v>14</v>
      </c>
      <c r="E2351" s="4">
        <v>27</v>
      </c>
      <c r="F2351" s="4">
        <v>707</v>
      </c>
      <c r="G2351" s="4">
        <v>13.8</v>
      </c>
      <c r="H2351" s="3">
        <v>2.6500000000000004</v>
      </c>
      <c r="I2351" s="3">
        <v>1.115</v>
      </c>
    </row>
    <row r="2352" spans="1:9" x14ac:dyDescent="0.25">
      <c r="A2352" s="9" t="s">
        <v>76</v>
      </c>
      <c r="B2352" s="4">
        <v>20</v>
      </c>
      <c r="C2352" s="4">
        <v>24</v>
      </c>
      <c r="D2352" s="4">
        <v>14</v>
      </c>
      <c r="E2352" s="4">
        <v>24</v>
      </c>
      <c r="F2352" s="4">
        <v>193</v>
      </c>
      <c r="G2352" s="4">
        <v>5.3</v>
      </c>
      <c r="H2352" s="3">
        <v>2.5499999999999998</v>
      </c>
      <c r="I2352" s="3">
        <v>1.1100000000000001</v>
      </c>
    </row>
    <row r="2353" spans="1:9" x14ac:dyDescent="0.25">
      <c r="A2353" s="9" t="s">
        <v>77</v>
      </c>
      <c r="B2353" s="4">
        <v>9</v>
      </c>
      <c r="C2353" s="4">
        <v>8</v>
      </c>
      <c r="D2353" s="4">
        <v>14</v>
      </c>
      <c r="E2353" s="4">
        <v>8</v>
      </c>
      <c r="F2353" s="4">
        <v>126</v>
      </c>
      <c r="G2353" s="4">
        <v>2.2999999999999998</v>
      </c>
      <c r="H2353" s="3">
        <v>2.9</v>
      </c>
      <c r="I2353" s="3">
        <v>0.95</v>
      </c>
    </row>
    <row r="2354" spans="1:9" x14ac:dyDescent="0.25">
      <c r="A2354" s="9" t="s">
        <v>78</v>
      </c>
      <c r="B2354" s="4">
        <v>357</v>
      </c>
      <c r="C2354" s="4">
        <v>162</v>
      </c>
      <c r="D2354" s="4">
        <v>14</v>
      </c>
      <c r="E2354" s="4">
        <v>162</v>
      </c>
      <c r="F2354" s="4">
        <v>4517</v>
      </c>
      <c r="G2354" s="4">
        <v>46.9</v>
      </c>
      <c r="H2354" s="3">
        <v>2.4</v>
      </c>
      <c r="I2354" s="3">
        <v>0.99</v>
      </c>
    </row>
    <row r="2355" spans="1:9" x14ac:dyDescent="0.25">
      <c r="A2355" s="9" t="s">
        <v>79</v>
      </c>
      <c r="B2355" s="4">
        <v>358</v>
      </c>
      <c r="C2355" s="4">
        <v>135</v>
      </c>
      <c r="D2355" s="4">
        <v>12</v>
      </c>
      <c r="E2355" s="4">
        <v>135</v>
      </c>
      <c r="F2355" s="4">
        <v>5799</v>
      </c>
      <c r="G2355" s="4">
        <v>48.099999999999994</v>
      </c>
      <c r="H2355" s="3">
        <v>2.7</v>
      </c>
      <c r="I2355" s="3">
        <v>1.0975000000000001</v>
      </c>
    </row>
    <row r="2356" spans="1:9" x14ac:dyDescent="0.25">
      <c r="A2356" s="9" t="s">
        <v>80</v>
      </c>
      <c r="B2356" s="4">
        <v>627</v>
      </c>
      <c r="C2356" s="4">
        <v>340</v>
      </c>
      <c r="D2356" s="4">
        <v>41</v>
      </c>
      <c r="E2356" s="4">
        <v>340</v>
      </c>
      <c r="F2356" s="4">
        <v>15045</v>
      </c>
      <c r="G2356" s="4">
        <v>170.6</v>
      </c>
      <c r="H2356" s="3">
        <v>3.8333333333333335</v>
      </c>
      <c r="I2356" s="3">
        <v>1.5766666666666664</v>
      </c>
    </row>
    <row r="2357" spans="1:9" x14ac:dyDescent="0.25">
      <c r="A2357" s="9" t="s">
        <v>81</v>
      </c>
      <c r="B2357" s="4">
        <v>307</v>
      </c>
      <c r="C2357" s="4">
        <v>58</v>
      </c>
      <c r="D2357" s="4">
        <v>8</v>
      </c>
      <c r="E2357" s="4">
        <v>58</v>
      </c>
      <c r="F2357" s="4">
        <v>3253</v>
      </c>
      <c r="G2357" s="4">
        <v>27</v>
      </c>
      <c r="H2357" s="3">
        <v>2.5</v>
      </c>
      <c r="I2357" s="3">
        <v>1.1900000000000002</v>
      </c>
    </row>
    <row r="2358" spans="1:9" x14ac:dyDescent="0.25">
      <c r="A2358" s="9" t="s">
        <v>82</v>
      </c>
      <c r="B2358" s="4">
        <v>94</v>
      </c>
      <c r="C2358" s="4">
        <v>49</v>
      </c>
      <c r="D2358" s="4">
        <v>14</v>
      </c>
      <c r="E2358" s="4">
        <v>49</v>
      </c>
      <c r="F2358" s="4">
        <v>1806</v>
      </c>
      <c r="G2358" s="4">
        <v>10.199999999999999</v>
      </c>
      <c r="H2358" s="3">
        <v>2.5</v>
      </c>
      <c r="I2358" s="3">
        <v>1.51</v>
      </c>
    </row>
    <row r="2359" spans="1:9" x14ac:dyDescent="0.25">
      <c r="A2359" s="9" t="s">
        <v>83</v>
      </c>
      <c r="B2359" s="4">
        <v>68</v>
      </c>
      <c r="C2359" s="4">
        <v>45</v>
      </c>
      <c r="D2359" s="4">
        <v>3</v>
      </c>
      <c r="E2359" s="4">
        <v>42</v>
      </c>
      <c r="F2359" s="4">
        <v>752</v>
      </c>
      <c r="G2359" s="4">
        <v>11.4</v>
      </c>
      <c r="H2359" s="3">
        <v>4.0500000000000007</v>
      </c>
      <c r="I2359" s="3">
        <v>1.1200000000000001</v>
      </c>
    </row>
    <row r="2360" spans="1:9" x14ac:dyDescent="0.25">
      <c r="A2360" s="9" t="s">
        <v>84</v>
      </c>
      <c r="B2360" s="4">
        <v>11825</v>
      </c>
      <c r="C2360" s="4">
        <v>7932</v>
      </c>
      <c r="D2360" s="4">
        <v>745</v>
      </c>
      <c r="E2360" s="4">
        <v>7708</v>
      </c>
      <c r="F2360" s="4">
        <v>411909</v>
      </c>
      <c r="G2360" s="4">
        <v>4784.8</v>
      </c>
      <c r="H2360" s="3">
        <v>3.881081081081081</v>
      </c>
      <c r="I2360" s="3">
        <v>1.9258823529411762</v>
      </c>
    </row>
    <row r="2361" spans="1:9" x14ac:dyDescent="0.25">
      <c r="A2361" s="9" t="s">
        <v>85</v>
      </c>
      <c r="B2361" s="4">
        <v>722</v>
      </c>
      <c r="C2361" s="4">
        <v>551</v>
      </c>
      <c r="D2361" s="4">
        <v>80</v>
      </c>
      <c r="E2361" s="4">
        <v>551</v>
      </c>
      <c r="F2361" s="4">
        <v>22491</v>
      </c>
      <c r="G2361" s="4">
        <v>249.79999999999998</v>
      </c>
      <c r="H2361" s="3">
        <v>4.0600000000000005</v>
      </c>
      <c r="I2361" s="3">
        <v>1.6725000000000001</v>
      </c>
    </row>
    <row r="2362" spans="1:9" x14ac:dyDescent="0.25">
      <c r="A2362" s="9" t="s">
        <v>86</v>
      </c>
      <c r="B2362" s="4">
        <v>328</v>
      </c>
      <c r="C2362" s="4">
        <v>160</v>
      </c>
      <c r="D2362" s="4">
        <v>12</v>
      </c>
      <c r="E2362" s="4">
        <v>160</v>
      </c>
      <c r="F2362" s="4">
        <v>6811</v>
      </c>
      <c r="G2362" s="4">
        <v>58</v>
      </c>
      <c r="H2362" s="3">
        <v>3.2750000000000004</v>
      </c>
      <c r="I2362" s="3">
        <v>1.1924999999999999</v>
      </c>
    </row>
    <row r="2363" spans="1:9" x14ac:dyDescent="0.25">
      <c r="A2363" s="9" t="s">
        <v>87</v>
      </c>
      <c r="B2363" s="4">
        <v>3420</v>
      </c>
      <c r="C2363" s="4">
        <v>2307</v>
      </c>
      <c r="D2363" s="4">
        <v>287</v>
      </c>
      <c r="E2363" s="4">
        <v>2362</v>
      </c>
      <c r="F2363" s="4">
        <v>110052</v>
      </c>
      <c r="G2363" s="4">
        <v>1306.7</v>
      </c>
      <c r="H2363" s="3">
        <v>4.2555555555555555</v>
      </c>
      <c r="I2363" s="3">
        <v>1.6633333333333331</v>
      </c>
    </row>
    <row r="2364" spans="1:9" x14ac:dyDescent="0.25">
      <c r="A2364" s="9" t="s">
        <v>88</v>
      </c>
      <c r="B2364" s="4">
        <v>440</v>
      </c>
      <c r="C2364" s="4">
        <v>262</v>
      </c>
      <c r="D2364" s="4">
        <v>24</v>
      </c>
      <c r="E2364" s="4">
        <v>262</v>
      </c>
      <c r="F2364" s="4">
        <v>11452</v>
      </c>
      <c r="G2364" s="4">
        <v>99.899999999999991</v>
      </c>
      <c r="H2364" s="3">
        <v>2.75</v>
      </c>
      <c r="I2364" s="3">
        <v>1.3239999999999998</v>
      </c>
    </row>
    <row r="2365" spans="1:9" x14ac:dyDescent="0.25">
      <c r="A2365" s="9" t="s">
        <v>89</v>
      </c>
      <c r="B2365" s="4">
        <v>56</v>
      </c>
      <c r="C2365" s="4">
        <v>25</v>
      </c>
      <c r="D2365" s="4">
        <v>14</v>
      </c>
      <c r="E2365" s="4">
        <v>25</v>
      </c>
      <c r="F2365" s="4">
        <v>1148</v>
      </c>
      <c r="G2365" s="4">
        <v>6.9</v>
      </c>
      <c r="H2365" s="3">
        <v>2.2000000000000002</v>
      </c>
      <c r="I2365" s="3">
        <v>0.89</v>
      </c>
    </row>
    <row r="2366" spans="1:9" x14ac:dyDescent="0.25">
      <c r="A2366" s="9" t="s">
        <v>90</v>
      </c>
      <c r="B2366" s="4">
        <v>725</v>
      </c>
      <c r="C2366" s="4">
        <v>293</v>
      </c>
      <c r="D2366" s="4">
        <v>39</v>
      </c>
      <c r="E2366" s="4">
        <v>293</v>
      </c>
      <c r="F2366" s="4">
        <v>16109</v>
      </c>
      <c r="G2366" s="4">
        <v>153.39999999999998</v>
      </c>
      <c r="H2366" s="3">
        <v>3.6500000000000004</v>
      </c>
      <c r="I2366" s="3">
        <v>1.6600000000000001</v>
      </c>
    </row>
    <row r="2367" spans="1:9" x14ac:dyDescent="0.25">
      <c r="A2367" s="9" t="s">
        <v>91</v>
      </c>
      <c r="B2367" s="4">
        <v>579</v>
      </c>
      <c r="C2367" s="4">
        <v>406</v>
      </c>
      <c r="D2367" s="4">
        <v>42</v>
      </c>
      <c r="E2367" s="4">
        <v>406</v>
      </c>
      <c r="F2367" s="4">
        <v>15512</v>
      </c>
      <c r="G2367" s="4">
        <v>166.4</v>
      </c>
      <c r="H2367" s="3">
        <v>4.2</v>
      </c>
      <c r="I2367" s="3">
        <v>1.96</v>
      </c>
    </row>
    <row r="2368" spans="1:9" x14ac:dyDescent="0.25">
      <c r="A2368" s="9" t="s">
        <v>92</v>
      </c>
      <c r="B2368" s="4">
        <v>34</v>
      </c>
      <c r="C2368" s="4">
        <v>74</v>
      </c>
      <c r="D2368" s="4">
        <v>14</v>
      </c>
      <c r="E2368" s="4">
        <v>74</v>
      </c>
      <c r="F2368" s="4">
        <v>1173</v>
      </c>
      <c r="G2368" s="4">
        <v>11.5</v>
      </c>
      <c r="H2368" s="3">
        <v>4.3</v>
      </c>
      <c r="I2368" s="3">
        <v>1.0249999999999999</v>
      </c>
    </row>
    <row r="2369" spans="1:9" x14ac:dyDescent="0.25">
      <c r="A2369" s="9" t="s">
        <v>93</v>
      </c>
      <c r="B2369" s="4">
        <v>47</v>
      </c>
      <c r="C2369" s="4">
        <v>25</v>
      </c>
      <c r="D2369" s="4">
        <v>6</v>
      </c>
      <c r="E2369" s="4">
        <v>25</v>
      </c>
      <c r="F2369" s="4">
        <v>816</v>
      </c>
      <c r="G2369" s="4">
        <v>10.1</v>
      </c>
      <c r="H2369" s="3">
        <v>3.7</v>
      </c>
      <c r="I2369" s="3">
        <v>1.18</v>
      </c>
    </row>
    <row r="2370" spans="1:9" x14ac:dyDescent="0.25">
      <c r="A2370" s="9" t="s">
        <v>94</v>
      </c>
      <c r="B2370" s="4">
        <v>210</v>
      </c>
      <c r="C2370" s="4">
        <v>170</v>
      </c>
      <c r="D2370" s="4">
        <v>17</v>
      </c>
      <c r="E2370" s="4">
        <v>170</v>
      </c>
      <c r="F2370" s="4">
        <v>9167</v>
      </c>
      <c r="G2370" s="4">
        <v>87.5</v>
      </c>
      <c r="H2370" s="3">
        <v>3.5</v>
      </c>
      <c r="I2370" s="3">
        <v>1.74</v>
      </c>
    </row>
    <row r="2371" spans="1:9" x14ac:dyDescent="0.25">
      <c r="A2371" s="9" t="s">
        <v>95</v>
      </c>
      <c r="B2371" s="4">
        <v>579</v>
      </c>
      <c r="C2371" s="4">
        <v>275</v>
      </c>
      <c r="D2371" s="4">
        <v>30</v>
      </c>
      <c r="E2371" s="4">
        <v>403</v>
      </c>
      <c r="F2371" s="4">
        <v>14784</v>
      </c>
      <c r="G2371" s="4">
        <v>142.5</v>
      </c>
      <c r="H2371" s="3">
        <v>3.3333333333333335</v>
      </c>
      <c r="I2371" s="3">
        <v>1.4100000000000001</v>
      </c>
    </row>
    <row r="2372" spans="1:9" x14ac:dyDescent="0.25">
      <c r="A2372" s="9" t="s">
        <v>96</v>
      </c>
      <c r="B2372" s="4">
        <v>103</v>
      </c>
      <c r="C2372" s="4">
        <v>120</v>
      </c>
      <c r="D2372" s="4">
        <v>24</v>
      </c>
      <c r="E2372" s="4">
        <v>120</v>
      </c>
      <c r="F2372" s="4">
        <v>3091</v>
      </c>
      <c r="G2372" s="4">
        <v>23.5</v>
      </c>
      <c r="H2372" s="3">
        <v>3</v>
      </c>
      <c r="I2372" s="3">
        <v>1.39</v>
      </c>
    </row>
    <row r="2373" spans="1:9" x14ac:dyDescent="0.25">
      <c r="A2373" s="9" t="s">
        <v>97</v>
      </c>
      <c r="B2373" s="4">
        <v>28</v>
      </c>
      <c r="C2373" s="4">
        <v>25</v>
      </c>
      <c r="D2373" s="4">
        <v>14</v>
      </c>
      <c r="E2373" s="4">
        <v>25</v>
      </c>
      <c r="F2373" s="4">
        <v>542</v>
      </c>
      <c r="G2373" s="4">
        <v>5.7</v>
      </c>
      <c r="H2373" s="3">
        <v>3</v>
      </c>
      <c r="I2373" s="3">
        <v>1.05</v>
      </c>
    </row>
    <row r="2374" spans="1:9" x14ac:dyDescent="0.25">
      <c r="A2374" s="9" t="s">
        <v>98</v>
      </c>
      <c r="B2374" s="4">
        <v>40</v>
      </c>
      <c r="C2374" s="4">
        <v>40</v>
      </c>
      <c r="D2374" s="4">
        <v>14</v>
      </c>
      <c r="E2374" s="4">
        <v>40</v>
      </c>
      <c r="F2374" s="4">
        <v>556</v>
      </c>
      <c r="G2374" s="4">
        <v>8.6999999999999993</v>
      </c>
      <c r="H2374" s="3">
        <v>3.5500000000000003</v>
      </c>
      <c r="I2374" s="3">
        <v>0.94</v>
      </c>
    </row>
    <row r="2375" spans="1:9" x14ac:dyDescent="0.25">
      <c r="A2375" s="9" t="s">
        <v>99</v>
      </c>
      <c r="B2375" s="4">
        <v>22</v>
      </c>
      <c r="C2375" s="4">
        <v>25</v>
      </c>
      <c r="D2375" s="4">
        <v>14</v>
      </c>
      <c r="E2375" s="4">
        <v>25</v>
      </c>
      <c r="F2375" s="4">
        <v>510</v>
      </c>
      <c r="G2375" s="4">
        <v>9.1999999999999993</v>
      </c>
      <c r="H2375" s="3">
        <v>3.5</v>
      </c>
      <c r="I2375" s="3">
        <v>0.97</v>
      </c>
    </row>
    <row r="2376" spans="1:9" x14ac:dyDescent="0.25">
      <c r="A2376" s="9" t="s">
        <v>100</v>
      </c>
      <c r="B2376" s="4">
        <v>34</v>
      </c>
      <c r="C2376" s="4">
        <v>25</v>
      </c>
      <c r="D2376" s="4">
        <v>14</v>
      </c>
      <c r="E2376" s="4">
        <v>25</v>
      </c>
      <c r="F2376" s="4">
        <v>1028</v>
      </c>
      <c r="G2376" s="4">
        <v>10.9</v>
      </c>
      <c r="H2376" s="3">
        <v>2.5</v>
      </c>
      <c r="I2376" s="3">
        <v>1.1499999999999999</v>
      </c>
    </row>
    <row r="2377" spans="1:9" x14ac:dyDescent="0.25">
      <c r="A2377" s="9" t="s">
        <v>101</v>
      </c>
      <c r="B2377" s="4">
        <v>24</v>
      </c>
      <c r="C2377" s="4">
        <v>25</v>
      </c>
      <c r="D2377" s="4">
        <v>14</v>
      </c>
      <c r="E2377" s="4">
        <v>25</v>
      </c>
      <c r="F2377" s="4">
        <v>729</v>
      </c>
      <c r="G2377" s="4">
        <v>12.4</v>
      </c>
      <c r="H2377" s="3">
        <v>2.1</v>
      </c>
      <c r="I2377" s="3">
        <v>0.95</v>
      </c>
    </row>
    <row r="2378" spans="1:9" x14ac:dyDescent="0.25">
      <c r="A2378" s="9" t="s">
        <v>102</v>
      </c>
      <c r="B2378" s="4">
        <v>32</v>
      </c>
      <c r="C2378" s="4">
        <v>25</v>
      </c>
      <c r="D2378" s="4">
        <v>14</v>
      </c>
      <c r="E2378" s="4">
        <v>25</v>
      </c>
      <c r="F2378" s="4">
        <v>733</v>
      </c>
      <c r="G2378" s="4">
        <v>9</v>
      </c>
      <c r="H2378" s="3">
        <v>3</v>
      </c>
      <c r="I2378" s="3">
        <v>1.32</v>
      </c>
    </row>
    <row r="2379" spans="1:9" x14ac:dyDescent="0.25">
      <c r="A2379" s="9" t="s">
        <v>103</v>
      </c>
      <c r="B2379" s="4">
        <v>33</v>
      </c>
      <c r="C2379" s="4">
        <v>30</v>
      </c>
      <c r="D2379" s="4">
        <v>6</v>
      </c>
      <c r="E2379" s="4">
        <v>30</v>
      </c>
      <c r="F2379" s="4">
        <v>979</v>
      </c>
      <c r="G2379" s="4">
        <v>7.9</v>
      </c>
      <c r="H2379" s="3">
        <v>3.2</v>
      </c>
      <c r="I2379" s="3">
        <v>1.1000000000000001</v>
      </c>
    </row>
    <row r="2380" spans="1:9" x14ac:dyDescent="0.25">
      <c r="A2380" s="9" t="s">
        <v>104</v>
      </c>
      <c r="B2380" s="4">
        <v>32</v>
      </c>
      <c r="C2380" s="4">
        <v>25</v>
      </c>
      <c r="D2380" s="4">
        <v>14</v>
      </c>
      <c r="E2380" s="4">
        <v>25</v>
      </c>
      <c r="F2380" s="4">
        <v>636</v>
      </c>
      <c r="G2380" s="4">
        <v>7.9</v>
      </c>
      <c r="H2380" s="3">
        <v>4.2</v>
      </c>
      <c r="I2380" s="3">
        <v>1.29</v>
      </c>
    </row>
    <row r="2381" spans="1:9" x14ac:dyDescent="0.25">
      <c r="A2381" s="9" t="s">
        <v>105</v>
      </c>
      <c r="B2381" s="4">
        <v>630</v>
      </c>
      <c r="C2381" s="4">
        <v>561</v>
      </c>
      <c r="D2381" s="4">
        <v>66</v>
      </c>
      <c r="E2381" s="4">
        <v>481</v>
      </c>
      <c r="F2381" s="4">
        <v>29825</v>
      </c>
      <c r="G2381" s="4">
        <v>359.3</v>
      </c>
      <c r="H2381" s="3">
        <v>12.200000000000001</v>
      </c>
      <c r="I2381" s="3">
        <v>1.9033333333333335</v>
      </c>
    </row>
    <row r="2382" spans="1:9" x14ac:dyDescent="0.25">
      <c r="A2382" s="9" t="s">
        <v>106</v>
      </c>
      <c r="B2382" s="4">
        <v>15</v>
      </c>
      <c r="C2382" s="4">
        <v>35</v>
      </c>
      <c r="D2382" s="4">
        <v>8</v>
      </c>
      <c r="E2382" s="4">
        <v>35</v>
      </c>
      <c r="F2382" s="4">
        <v>1132</v>
      </c>
      <c r="G2382" s="4">
        <v>9.9</v>
      </c>
      <c r="H2382" s="3">
        <v>3.2</v>
      </c>
      <c r="I2382" s="3">
        <v>1.2</v>
      </c>
    </row>
    <row r="2383" spans="1:9" x14ac:dyDescent="0.25">
      <c r="A2383" s="9" t="s">
        <v>107</v>
      </c>
      <c r="B2383" s="4">
        <v>32</v>
      </c>
      <c r="C2383" s="4">
        <v>11</v>
      </c>
      <c r="D2383" s="4">
        <v>14</v>
      </c>
      <c r="E2383" s="4">
        <v>11</v>
      </c>
      <c r="F2383" s="4">
        <v>3245</v>
      </c>
      <c r="G2383" s="4">
        <v>28.6</v>
      </c>
      <c r="H2383" s="3">
        <v>2.95</v>
      </c>
      <c r="I2383" s="3">
        <v>1</v>
      </c>
    </row>
    <row r="2384" spans="1:9" x14ac:dyDescent="0.25">
      <c r="A2384" s="9" t="s">
        <v>108</v>
      </c>
      <c r="B2384" s="4">
        <v>16</v>
      </c>
      <c r="C2384" s="4">
        <v>15</v>
      </c>
      <c r="D2384" s="4">
        <v>14</v>
      </c>
      <c r="E2384" s="4">
        <v>15</v>
      </c>
      <c r="F2384" s="4">
        <v>567</v>
      </c>
      <c r="G2384" s="4">
        <v>8.5</v>
      </c>
      <c r="H2384" s="3">
        <v>3.9</v>
      </c>
      <c r="I2384" s="3">
        <v>0.91</v>
      </c>
    </row>
    <row r="2385" spans="1:9" x14ac:dyDescent="0.25">
      <c r="A2385" s="9" t="s">
        <v>109</v>
      </c>
      <c r="B2385" s="4">
        <v>9</v>
      </c>
      <c r="C2385" s="4">
        <v>22</v>
      </c>
      <c r="D2385" s="4">
        <v>14</v>
      </c>
      <c r="E2385" s="4">
        <v>22</v>
      </c>
      <c r="F2385" s="4">
        <v>144</v>
      </c>
      <c r="G2385" s="4">
        <v>2</v>
      </c>
      <c r="H2385" s="3">
        <v>2.9</v>
      </c>
      <c r="I2385" s="3">
        <v>0.85</v>
      </c>
    </row>
    <row r="2386" spans="1:9" x14ac:dyDescent="0.25">
      <c r="A2386" s="9" t="s">
        <v>110</v>
      </c>
      <c r="B2386" s="4">
        <v>20</v>
      </c>
      <c r="C2386" s="4">
        <v>50</v>
      </c>
      <c r="D2386" s="4">
        <v>14</v>
      </c>
      <c r="E2386" s="4">
        <v>50</v>
      </c>
      <c r="F2386" s="4">
        <v>1117</v>
      </c>
      <c r="G2386" s="4">
        <v>12.8</v>
      </c>
      <c r="H2386" s="3">
        <v>3.5999999999999996</v>
      </c>
      <c r="I2386" s="3">
        <v>0.88500000000000001</v>
      </c>
    </row>
    <row r="2387" spans="1:9" x14ac:dyDescent="0.25">
      <c r="A2387" s="9" t="s">
        <v>111</v>
      </c>
      <c r="B2387" s="4">
        <v>45</v>
      </c>
      <c r="C2387" s="4">
        <v>49</v>
      </c>
      <c r="D2387" s="4">
        <v>5</v>
      </c>
      <c r="E2387" s="4">
        <v>49</v>
      </c>
      <c r="F2387" s="4">
        <v>2249</v>
      </c>
      <c r="G2387" s="4">
        <v>19.8</v>
      </c>
      <c r="H2387" s="3">
        <v>3.5</v>
      </c>
      <c r="I2387" s="3">
        <v>1.1599999999999999</v>
      </c>
    </row>
    <row r="2388" spans="1:9" x14ac:dyDescent="0.25">
      <c r="A2388" s="9" t="s">
        <v>112</v>
      </c>
      <c r="B2388" s="4">
        <v>329</v>
      </c>
      <c r="C2388" s="4">
        <v>249</v>
      </c>
      <c r="D2388" s="4">
        <v>25</v>
      </c>
      <c r="E2388" s="4">
        <v>249</v>
      </c>
      <c r="F2388" s="4">
        <v>10636</v>
      </c>
      <c r="G2388" s="4">
        <v>103</v>
      </c>
      <c r="H2388" s="3">
        <v>3.6999999999999997</v>
      </c>
      <c r="I2388" s="3">
        <v>1.62</v>
      </c>
    </row>
    <row r="2389" spans="1:9" x14ac:dyDescent="0.25">
      <c r="A2389" s="9" t="s">
        <v>113</v>
      </c>
      <c r="B2389" s="4">
        <v>17</v>
      </c>
      <c r="C2389" s="4">
        <v>25</v>
      </c>
      <c r="D2389" s="4">
        <v>14</v>
      </c>
      <c r="E2389" s="4">
        <v>25</v>
      </c>
      <c r="F2389" s="4">
        <v>225</v>
      </c>
      <c r="G2389" s="4">
        <v>2.7</v>
      </c>
      <c r="H2389" s="3">
        <v>2.5</v>
      </c>
      <c r="I2389" s="3">
        <v>1.01</v>
      </c>
    </row>
    <row r="2390" spans="1:9" x14ac:dyDescent="0.25">
      <c r="A2390" s="9" t="s">
        <v>114</v>
      </c>
      <c r="B2390" s="4">
        <v>15</v>
      </c>
      <c r="C2390" s="4">
        <v>25</v>
      </c>
      <c r="D2390" s="4">
        <v>14</v>
      </c>
      <c r="E2390" s="4">
        <v>25</v>
      </c>
      <c r="F2390" s="4">
        <v>549</v>
      </c>
      <c r="G2390" s="4">
        <v>10.3</v>
      </c>
      <c r="H2390" s="3">
        <v>3.4</v>
      </c>
      <c r="I2390" s="3">
        <v>0.9</v>
      </c>
    </row>
    <row r="2391" spans="1:9" x14ac:dyDescent="0.25">
      <c r="A2391" s="9" t="s">
        <v>115</v>
      </c>
      <c r="B2391" s="4">
        <v>421</v>
      </c>
      <c r="C2391" s="4">
        <v>356</v>
      </c>
      <c r="D2391" s="4">
        <v>41</v>
      </c>
      <c r="E2391" s="4">
        <v>356</v>
      </c>
      <c r="F2391" s="4">
        <v>19106</v>
      </c>
      <c r="G2391" s="4">
        <v>229.7</v>
      </c>
      <c r="H2391" s="3">
        <v>3.375</v>
      </c>
      <c r="I2391" s="3">
        <v>1.57</v>
      </c>
    </row>
    <row r="2392" spans="1:9" x14ac:dyDescent="0.25">
      <c r="A2392" s="9" t="s">
        <v>116</v>
      </c>
      <c r="B2392" s="4">
        <v>107</v>
      </c>
      <c r="C2392" s="4">
        <v>114</v>
      </c>
      <c r="D2392" s="4">
        <v>8</v>
      </c>
      <c r="E2392" s="4">
        <v>114</v>
      </c>
      <c r="F2392" s="4">
        <v>3693</v>
      </c>
      <c r="G2392" s="4">
        <v>32.5</v>
      </c>
      <c r="H2392" s="3">
        <v>3.5</v>
      </c>
      <c r="I2392" s="3">
        <v>1.35</v>
      </c>
    </row>
    <row r="2393" spans="1:9" x14ac:dyDescent="0.25">
      <c r="A2393" s="9" t="s">
        <v>117</v>
      </c>
      <c r="B2393" s="4">
        <v>31</v>
      </c>
      <c r="C2393" s="4">
        <v>67</v>
      </c>
      <c r="D2393" s="4">
        <v>8</v>
      </c>
      <c r="E2393" s="4">
        <v>67</v>
      </c>
      <c r="F2393" s="4">
        <v>691</v>
      </c>
      <c r="G2393" s="4">
        <v>6.2</v>
      </c>
      <c r="H2393" s="3">
        <v>3.3</v>
      </c>
      <c r="I2393" s="3">
        <v>1.36</v>
      </c>
    </row>
    <row r="2394" spans="1:9" x14ac:dyDescent="0.25">
      <c r="A2394" s="9" t="s">
        <v>118</v>
      </c>
      <c r="B2394" s="4">
        <v>28</v>
      </c>
      <c r="C2394" s="4">
        <v>64</v>
      </c>
      <c r="D2394" s="4">
        <v>6</v>
      </c>
      <c r="E2394" s="4">
        <v>64</v>
      </c>
      <c r="F2394" s="4">
        <v>2248</v>
      </c>
      <c r="G2394" s="4">
        <v>25.3</v>
      </c>
      <c r="H2394" s="3">
        <v>4.0999999999999996</v>
      </c>
      <c r="I2394" s="3">
        <v>1.21</v>
      </c>
    </row>
    <row r="2395" spans="1:9" x14ac:dyDescent="0.25">
      <c r="A2395" s="9" t="s">
        <v>119</v>
      </c>
      <c r="B2395" s="4">
        <v>57</v>
      </c>
      <c r="C2395" s="4">
        <v>25</v>
      </c>
      <c r="D2395" s="4">
        <v>14</v>
      </c>
      <c r="E2395" s="4">
        <v>20</v>
      </c>
      <c r="F2395" s="4">
        <v>559</v>
      </c>
      <c r="G2395" s="4">
        <v>7.3</v>
      </c>
      <c r="H2395" s="3">
        <v>3.3</v>
      </c>
      <c r="I2395" s="3">
        <v>1.01</v>
      </c>
    </row>
    <row r="2396" spans="1:9" x14ac:dyDescent="0.25">
      <c r="A2396" s="9" t="s">
        <v>120</v>
      </c>
      <c r="B2396" s="4">
        <v>215</v>
      </c>
      <c r="C2396" s="4">
        <v>184</v>
      </c>
      <c r="D2396" s="4">
        <v>12</v>
      </c>
      <c r="E2396" s="4">
        <v>184</v>
      </c>
      <c r="F2396" s="4">
        <v>7611</v>
      </c>
      <c r="G2396" s="4">
        <v>80.400000000000006</v>
      </c>
      <c r="H2396" s="3">
        <v>4</v>
      </c>
      <c r="I2396" s="3">
        <v>1.58</v>
      </c>
    </row>
    <row r="2397" spans="1:9" x14ac:dyDescent="0.25">
      <c r="A2397" s="9" t="s">
        <v>121</v>
      </c>
      <c r="B2397" s="4">
        <v>18</v>
      </c>
      <c r="C2397" s="4">
        <v>25</v>
      </c>
      <c r="D2397" s="4">
        <v>14</v>
      </c>
      <c r="E2397" s="4">
        <v>25</v>
      </c>
      <c r="F2397" s="4">
        <v>298</v>
      </c>
      <c r="G2397" s="4">
        <v>4.5999999999999996</v>
      </c>
      <c r="H2397" s="3">
        <v>5.7</v>
      </c>
      <c r="I2397" s="3">
        <v>0.83</v>
      </c>
    </row>
    <row r="2398" spans="1:9" x14ac:dyDescent="0.25">
      <c r="A2398" s="9" t="s">
        <v>122</v>
      </c>
      <c r="B2398" s="4">
        <v>1</v>
      </c>
      <c r="C2398" s="4">
        <v>49</v>
      </c>
      <c r="D2398" s="4">
        <v>14</v>
      </c>
      <c r="E2398" s="4">
        <v>133</v>
      </c>
      <c r="F2398" s="4">
        <v>1532</v>
      </c>
      <c r="G2398" s="4">
        <v>16</v>
      </c>
      <c r="H2398" s="3">
        <v>4</v>
      </c>
      <c r="I2398" s="3">
        <v>1</v>
      </c>
    </row>
    <row r="2399" spans="1:9" x14ac:dyDescent="0.25">
      <c r="A2399" s="9" t="s">
        <v>123</v>
      </c>
      <c r="B2399" s="4">
        <v>192</v>
      </c>
      <c r="C2399" s="4">
        <v>271</v>
      </c>
      <c r="D2399" s="4">
        <v>34</v>
      </c>
      <c r="E2399" s="4">
        <v>271</v>
      </c>
      <c r="F2399" s="4">
        <v>8873</v>
      </c>
      <c r="G2399" s="4">
        <v>117.1</v>
      </c>
      <c r="H2399" s="3">
        <v>5</v>
      </c>
      <c r="I2399" s="3">
        <v>1.52</v>
      </c>
    </row>
    <row r="2400" spans="1:9" x14ac:dyDescent="0.25">
      <c r="A2400" s="9" t="s">
        <v>124</v>
      </c>
      <c r="B2400" s="4">
        <v>53</v>
      </c>
      <c r="C2400" s="4">
        <v>57</v>
      </c>
      <c r="D2400" s="4">
        <v>8</v>
      </c>
      <c r="E2400" s="4">
        <v>57</v>
      </c>
      <c r="F2400" s="4">
        <v>1873</v>
      </c>
      <c r="G2400" s="4">
        <v>12.3</v>
      </c>
      <c r="H2400" s="3">
        <v>2.6</v>
      </c>
      <c r="I2400" s="3">
        <v>1.26</v>
      </c>
    </row>
    <row r="2401" spans="1:9" x14ac:dyDescent="0.25">
      <c r="A2401" s="9" t="s">
        <v>125</v>
      </c>
      <c r="B2401" s="4">
        <v>25</v>
      </c>
      <c r="C2401" s="4">
        <v>25</v>
      </c>
      <c r="D2401" s="4">
        <v>14</v>
      </c>
      <c r="E2401" s="4">
        <v>25</v>
      </c>
      <c r="F2401" s="4">
        <v>334</v>
      </c>
      <c r="G2401" s="4">
        <v>7.6</v>
      </c>
      <c r="H2401" s="3">
        <v>22.6</v>
      </c>
      <c r="I2401" s="3">
        <v>0.94</v>
      </c>
    </row>
    <row r="2402" spans="1:9" x14ac:dyDescent="0.25">
      <c r="A2402" s="9" t="s">
        <v>126</v>
      </c>
      <c r="B2402" s="4">
        <v>19</v>
      </c>
      <c r="C2402" s="4">
        <v>25</v>
      </c>
      <c r="D2402" s="4">
        <v>14</v>
      </c>
      <c r="E2402" s="4">
        <v>25</v>
      </c>
      <c r="F2402" s="4">
        <v>137</v>
      </c>
      <c r="G2402" s="4">
        <v>2.7</v>
      </c>
      <c r="H2402" s="3">
        <v>2.4</v>
      </c>
      <c r="I2402" s="3">
        <v>0.96</v>
      </c>
    </row>
    <row r="2403" spans="1:9" x14ac:dyDescent="0.25">
      <c r="A2403" s="9" t="s">
        <v>127</v>
      </c>
      <c r="B2403" s="4">
        <v>23</v>
      </c>
      <c r="C2403" s="4">
        <v>40</v>
      </c>
      <c r="D2403" s="4">
        <v>14</v>
      </c>
      <c r="E2403" s="4">
        <v>40</v>
      </c>
      <c r="F2403" s="4">
        <v>418</v>
      </c>
      <c r="G2403" s="4">
        <v>6.9</v>
      </c>
      <c r="H2403" s="3">
        <v>2.95</v>
      </c>
      <c r="I2403" s="3">
        <v>1.1000000000000001</v>
      </c>
    </row>
    <row r="2404" spans="1:9" x14ac:dyDescent="0.25">
      <c r="A2404" s="9" t="s">
        <v>128</v>
      </c>
      <c r="B2404" s="4">
        <v>53</v>
      </c>
      <c r="C2404" s="4">
        <v>58</v>
      </c>
      <c r="D2404" s="4">
        <v>5</v>
      </c>
      <c r="E2404" s="4">
        <v>124</v>
      </c>
      <c r="F2404" s="4">
        <v>1787</v>
      </c>
      <c r="G2404" s="4">
        <v>14.1</v>
      </c>
      <c r="H2404" s="3">
        <v>3</v>
      </c>
      <c r="I2404" s="3">
        <v>1.0449999999999999</v>
      </c>
    </row>
    <row r="2405" spans="1:9" x14ac:dyDescent="0.25">
      <c r="A2405" s="9" t="s">
        <v>129</v>
      </c>
      <c r="B2405" s="4">
        <v>44</v>
      </c>
      <c r="C2405" s="4">
        <v>87</v>
      </c>
      <c r="D2405" s="4">
        <v>8</v>
      </c>
      <c r="E2405" s="4">
        <v>87</v>
      </c>
      <c r="F2405" s="4">
        <v>1459</v>
      </c>
      <c r="G2405" s="4">
        <v>12.9</v>
      </c>
      <c r="H2405" s="3">
        <v>3.5</v>
      </c>
      <c r="I2405" s="3">
        <v>1.33</v>
      </c>
    </row>
    <row r="2406" spans="1:9" x14ac:dyDescent="0.25">
      <c r="A2406" s="9" t="s">
        <v>130</v>
      </c>
      <c r="B2406" s="4">
        <v>37</v>
      </c>
      <c r="C2406" s="4">
        <v>127</v>
      </c>
      <c r="D2406" s="4">
        <v>6</v>
      </c>
      <c r="E2406" s="4">
        <v>127</v>
      </c>
      <c r="F2406" s="4">
        <v>1540</v>
      </c>
      <c r="G2406" s="4">
        <v>12.1</v>
      </c>
      <c r="H2406" s="3">
        <v>3.1</v>
      </c>
      <c r="I2406" s="3">
        <v>1.04</v>
      </c>
    </row>
    <row r="2407" spans="1:9" x14ac:dyDescent="0.25">
      <c r="A2407" s="9" t="s">
        <v>131</v>
      </c>
      <c r="B2407" s="4">
        <v>80</v>
      </c>
      <c r="C2407" s="4">
        <v>49</v>
      </c>
      <c r="D2407" s="4">
        <v>14</v>
      </c>
      <c r="E2407" s="4">
        <v>49</v>
      </c>
      <c r="F2407" s="4">
        <v>458</v>
      </c>
      <c r="G2407" s="4">
        <v>5</v>
      </c>
      <c r="H2407" s="3">
        <v>4</v>
      </c>
      <c r="I2407" s="3">
        <v>1</v>
      </c>
    </row>
    <row r="2408" spans="1:9" x14ac:dyDescent="0.25">
      <c r="A2408" s="9" t="s">
        <v>132</v>
      </c>
      <c r="B2408" s="4">
        <v>48</v>
      </c>
      <c r="C2408" s="4">
        <v>41</v>
      </c>
      <c r="D2408" s="4">
        <v>6</v>
      </c>
      <c r="E2408" s="4">
        <v>41</v>
      </c>
      <c r="F2408" s="4">
        <v>1174</v>
      </c>
      <c r="G2408" s="4">
        <v>11.6</v>
      </c>
      <c r="H2408" s="3">
        <v>4</v>
      </c>
      <c r="I2408" s="3">
        <v>1.18</v>
      </c>
    </row>
    <row r="2409" spans="1:9" x14ac:dyDescent="0.25">
      <c r="A2409" s="9" t="s">
        <v>133</v>
      </c>
      <c r="B2409" s="4">
        <v>121</v>
      </c>
      <c r="C2409" s="4">
        <v>137</v>
      </c>
      <c r="D2409" s="4">
        <v>11</v>
      </c>
      <c r="E2409" s="4">
        <v>137</v>
      </c>
      <c r="F2409" s="4">
        <v>5246</v>
      </c>
      <c r="G2409" s="4">
        <v>55.9</v>
      </c>
      <c r="H2409" s="3">
        <v>4.2</v>
      </c>
      <c r="I2409" s="3">
        <v>1.58</v>
      </c>
    </row>
    <row r="2410" spans="1:9" x14ac:dyDescent="0.25">
      <c r="A2410" s="9" t="s">
        <v>134</v>
      </c>
      <c r="B2410" s="4">
        <v>2120</v>
      </c>
      <c r="C2410" s="4">
        <v>1978</v>
      </c>
      <c r="D2410" s="4">
        <v>118</v>
      </c>
      <c r="E2410" s="4">
        <v>1923</v>
      </c>
      <c r="F2410" s="4">
        <v>97858</v>
      </c>
      <c r="G2410" s="4">
        <v>1310.9</v>
      </c>
      <c r="H2410" s="3">
        <v>4.1777777777777771</v>
      </c>
      <c r="I2410" s="3">
        <v>1.9200000000000002</v>
      </c>
    </row>
    <row r="2411" spans="1:9" x14ac:dyDescent="0.25">
      <c r="A2411" s="9" t="s">
        <v>135</v>
      </c>
      <c r="B2411" s="4">
        <v>39</v>
      </c>
      <c r="C2411" s="4">
        <v>32</v>
      </c>
      <c r="D2411" s="4">
        <v>2</v>
      </c>
      <c r="E2411" s="4">
        <v>32</v>
      </c>
      <c r="F2411" s="4">
        <v>614</v>
      </c>
      <c r="G2411" s="4">
        <v>5.7</v>
      </c>
      <c r="H2411" s="3">
        <v>3.4</v>
      </c>
      <c r="I2411" s="3">
        <v>1.07</v>
      </c>
    </row>
    <row r="2412" spans="1:9" x14ac:dyDescent="0.25">
      <c r="A2412" s="9" t="s">
        <v>136</v>
      </c>
      <c r="B2412" s="4">
        <v>49</v>
      </c>
      <c r="C2412" s="4">
        <v>56</v>
      </c>
      <c r="D2412" s="4">
        <v>6</v>
      </c>
      <c r="E2412" s="4">
        <v>56</v>
      </c>
      <c r="F2412" s="4">
        <v>2168</v>
      </c>
      <c r="G2412" s="4">
        <v>15.8</v>
      </c>
      <c r="H2412" s="3">
        <v>3.4</v>
      </c>
      <c r="I2412" s="3">
        <v>1.1200000000000001</v>
      </c>
    </row>
    <row r="2413" spans="1:9" x14ac:dyDescent="0.25">
      <c r="A2413" s="9" t="s">
        <v>137</v>
      </c>
      <c r="B2413" s="4">
        <v>145</v>
      </c>
      <c r="C2413" s="4">
        <v>130</v>
      </c>
      <c r="D2413" s="4">
        <v>16</v>
      </c>
      <c r="E2413" s="4">
        <v>130</v>
      </c>
      <c r="F2413" s="4">
        <v>5394</v>
      </c>
      <c r="G2413" s="4">
        <v>49.7</v>
      </c>
      <c r="H2413" s="3">
        <v>3.5</v>
      </c>
      <c r="I2413" s="3">
        <v>1.43</v>
      </c>
    </row>
    <row r="2414" spans="1:9" x14ac:dyDescent="0.25">
      <c r="A2414" s="9" t="s">
        <v>138</v>
      </c>
      <c r="B2414" s="4">
        <v>14</v>
      </c>
      <c r="C2414" s="4">
        <v>24</v>
      </c>
      <c r="D2414" s="4">
        <v>14</v>
      </c>
      <c r="E2414" s="4">
        <v>24</v>
      </c>
      <c r="F2414" s="4">
        <v>225</v>
      </c>
      <c r="G2414" s="4">
        <v>3.2</v>
      </c>
      <c r="H2414" s="3">
        <v>2.9</v>
      </c>
      <c r="I2414" s="3">
        <v>1.06</v>
      </c>
    </row>
    <row r="2415" spans="1:9" x14ac:dyDescent="0.25">
      <c r="A2415" s="9" t="s">
        <v>139</v>
      </c>
      <c r="B2415" s="4">
        <v>658</v>
      </c>
      <c r="C2415" s="4">
        <v>592</v>
      </c>
      <c r="D2415" s="4">
        <v>68</v>
      </c>
      <c r="E2415" s="4">
        <v>616</v>
      </c>
      <c r="F2415" s="4">
        <v>29963</v>
      </c>
      <c r="G2415" s="4">
        <v>344.1</v>
      </c>
      <c r="H2415" s="3">
        <v>4.4000000000000004</v>
      </c>
      <c r="I2415" s="3">
        <v>1.7250000000000001</v>
      </c>
    </row>
    <row r="2416" spans="1:9" x14ac:dyDescent="0.25">
      <c r="A2416" s="9" t="s">
        <v>140</v>
      </c>
      <c r="B2416" s="4">
        <v>80</v>
      </c>
      <c r="C2416" s="4">
        <v>49</v>
      </c>
      <c r="D2416" s="4">
        <v>14</v>
      </c>
      <c r="E2416" s="4">
        <v>49</v>
      </c>
      <c r="F2416" s="4">
        <v>320</v>
      </c>
      <c r="G2416" s="4">
        <v>4</v>
      </c>
      <c r="H2416" s="3">
        <v>3.6</v>
      </c>
      <c r="I2416" s="3">
        <v>0.88</v>
      </c>
    </row>
    <row r="2417" spans="1:9" x14ac:dyDescent="0.25">
      <c r="A2417" s="9" t="s">
        <v>141</v>
      </c>
      <c r="B2417" s="4">
        <v>23</v>
      </c>
      <c r="C2417" s="4">
        <v>25</v>
      </c>
      <c r="D2417" s="4">
        <v>14</v>
      </c>
      <c r="E2417" s="4">
        <v>25</v>
      </c>
      <c r="F2417" s="4">
        <v>544</v>
      </c>
      <c r="G2417" s="4">
        <v>5.2</v>
      </c>
      <c r="H2417" s="3">
        <v>2.6</v>
      </c>
      <c r="I2417" s="3">
        <v>1.31</v>
      </c>
    </row>
    <row r="2418" spans="1:9" x14ac:dyDescent="0.25">
      <c r="A2418" s="9" t="s">
        <v>142</v>
      </c>
      <c r="B2418" s="4">
        <v>83</v>
      </c>
      <c r="C2418" s="4">
        <v>111</v>
      </c>
      <c r="D2418" s="4">
        <v>16</v>
      </c>
      <c r="E2418" s="4">
        <v>111</v>
      </c>
      <c r="F2418" s="4">
        <v>3366</v>
      </c>
      <c r="G2418" s="4">
        <v>36.1</v>
      </c>
      <c r="H2418" s="3">
        <v>3.8</v>
      </c>
      <c r="I2418" s="3">
        <v>1.63</v>
      </c>
    </row>
    <row r="2419" spans="1:9" x14ac:dyDescent="0.25">
      <c r="A2419" s="9" t="s">
        <v>143</v>
      </c>
      <c r="B2419" s="4">
        <v>29</v>
      </c>
      <c r="C2419" s="4">
        <v>25</v>
      </c>
      <c r="D2419" s="4">
        <v>14</v>
      </c>
      <c r="E2419" s="4">
        <v>25</v>
      </c>
      <c r="F2419" s="4">
        <v>386</v>
      </c>
      <c r="G2419" s="4">
        <v>13</v>
      </c>
      <c r="H2419" s="3">
        <v>4.7</v>
      </c>
      <c r="I2419" s="3">
        <v>1.0900000000000001</v>
      </c>
    </row>
    <row r="2420" spans="1:9" x14ac:dyDescent="0.25">
      <c r="A2420" s="9" t="s">
        <v>144</v>
      </c>
      <c r="B2420" s="4">
        <v>721</v>
      </c>
      <c r="C2420" s="4">
        <v>615</v>
      </c>
      <c r="D2420" s="4">
        <v>61</v>
      </c>
      <c r="E2420" s="4">
        <v>626</v>
      </c>
      <c r="F2420" s="4">
        <v>29241</v>
      </c>
      <c r="G2420" s="4">
        <v>333.6</v>
      </c>
      <c r="H2420" s="3">
        <v>3.6333333333333329</v>
      </c>
      <c r="I2420" s="3">
        <v>2.0700000000000003</v>
      </c>
    </row>
    <row r="2421" spans="1:9" x14ac:dyDescent="0.25">
      <c r="A2421" s="9" t="s">
        <v>145</v>
      </c>
      <c r="B2421" s="4">
        <v>224</v>
      </c>
      <c r="C2421" s="4">
        <v>216</v>
      </c>
      <c r="D2421" s="4">
        <v>12</v>
      </c>
      <c r="E2421" s="4">
        <v>438</v>
      </c>
      <c r="F2421" s="4">
        <v>11215</v>
      </c>
      <c r="G2421" s="4">
        <v>125.9</v>
      </c>
      <c r="H2421" s="3">
        <v>4.3</v>
      </c>
      <c r="I2421" s="3">
        <v>1.36</v>
      </c>
    </row>
    <row r="2422" spans="1:9" x14ac:dyDescent="0.25">
      <c r="A2422" s="9" t="s">
        <v>146</v>
      </c>
      <c r="B2422" s="4">
        <v>40</v>
      </c>
      <c r="C2422" s="4">
        <v>55</v>
      </c>
      <c r="D2422" s="4">
        <v>14</v>
      </c>
      <c r="E2422" s="4">
        <v>55</v>
      </c>
      <c r="F2422" s="4">
        <v>1626</v>
      </c>
      <c r="G2422" s="4">
        <v>19.5</v>
      </c>
      <c r="H2422" s="3">
        <v>3.85</v>
      </c>
      <c r="I2422" s="3">
        <v>1.1099999999999999</v>
      </c>
    </row>
    <row r="2423" spans="1:9" x14ac:dyDescent="0.25">
      <c r="A2423" s="9" t="s">
        <v>147</v>
      </c>
      <c r="B2423" s="4">
        <v>4754</v>
      </c>
      <c r="C2423" s="4">
        <v>2376</v>
      </c>
      <c r="D2423" s="4">
        <v>293</v>
      </c>
      <c r="E2423" s="4">
        <v>2445</v>
      </c>
      <c r="F2423" s="4">
        <v>105548</v>
      </c>
      <c r="G2423" s="4">
        <v>1276.6000000000001</v>
      </c>
      <c r="H2423" s="3">
        <v>4.6833333333333327</v>
      </c>
      <c r="I2423" s="3">
        <v>1.690833333333333</v>
      </c>
    </row>
    <row r="2424" spans="1:9" x14ac:dyDescent="0.25">
      <c r="A2424" s="9" t="s">
        <v>148</v>
      </c>
      <c r="B2424" s="4">
        <v>95</v>
      </c>
      <c r="C2424" s="4">
        <v>52</v>
      </c>
      <c r="D2424" s="4">
        <v>6</v>
      </c>
      <c r="E2424" s="4">
        <v>52</v>
      </c>
      <c r="F2424" s="4">
        <v>2184</v>
      </c>
      <c r="G2424" s="4">
        <v>24.5</v>
      </c>
      <c r="H2424" s="3">
        <v>4.3</v>
      </c>
      <c r="I2424" s="3">
        <v>1.43</v>
      </c>
    </row>
    <row r="2425" spans="1:9" x14ac:dyDescent="0.25">
      <c r="A2425" s="9" t="s">
        <v>149</v>
      </c>
      <c r="B2425" s="4">
        <v>886</v>
      </c>
      <c r="C2425" s="4">
        <v>455</v>
      </c>
      <c r="D2425" s="4">
        <v>43</v>
      </c>
      <c r="E2425" s="4">
        <v>455</v>
      </c>
      <c r="F2425" s="4">
        <v>37160</v>
      </c>
      <c r="G2425" s="4">
        <v>347.7</v>
      </c>
      <c r="H2425" s="3">
        <v>3.8250000000000002</v>
      </c>
      <c r="I2425" s="3">
        <v>1.47</v>
      </c>
    </row>
    <row r="2426" spans="1:9" x14ac:dyDescent="0.25">
      <c r="A2426" s="9" t="s">
        <v>150</v>
      </c>
      <c r="B2426" s="4">
        <v>42</v>
      </c>
      <c r="C2426" s="4">
        <v>25</v>
      </c>
      <c r="D2426" s="4">
        <v>14</v>
      </c>
      <c r="E2426" s="4">
        <v>25</v>
      </c>
      <c r="F2426" s="4">
        <v>924</v>
      </c>
      <c r="G2426" s="4">
        <v>8.6</v>
      </c>
      <c r="H2426" s="3">
        <v>3.3</v>
      </c>
      <c r="I2426" s="3">
        <v>1.39</v>
      </c>
    </row>
    <row r="2427" spans="1:9" x14ac:dyDescent="0.25">
      <c r="A2427" s="9" t="s">
        <v>151</v>
      </c>
      <c r="B2427" s="4">
        <v>80</v>
      </c>
      <c r="C2427" s="4">
        <v>49</v>
      </c>
      <c r="D2427" s="4">
        <v>14</v>
      </c>
      <c r="E2427" s="4">
        <v>49</v>
      </c>
      <c r="F2427" s="4">
        <v>656</v>
      </c>
      <c r="G2427" s="4">
        <v>6.8</v>
      </c>
      <c r="H2427" s="3">
        <v>4.9000000000000004</v>
      </c>
      <c r="I2427" s="3">
        <v>1</v>
      </c>
    </row>
    <row r="2428" spans="1:9" x14ac:dyDescent="0.25">
      <c r="A2428" s="9" t="s">
        <v>152</v>
      </c>
      <c r="B2428" s="4">
        <v>3064</v>
      </c>
      <c r="C2428" s="4">
        <v>1513</v>
      </c>
      <c r="D2428" s="4">
        <v>163</v>
      </c>
      <c r="E2428" s="4">
        <v>1563</v>
      </c>
      <c r="F2428" s="4">
        <v>67745</v>
      </c>
      <c r="G2428" s="4">
        <v>809.5</v>
      </c>
      <c r="H2428" s="3">
        <v>4.5625</v>
      </c>
      <c r="I2428" s="3">
        <v>1.647142857142857</v>
      </c>
    </row>
    <row r="2429" spans="1:9" x14ac:dyDescent="0.25">
      <c r="A2429" s="9" t="s">
        <v>153</v>
      </c>
      <c r="B2429" s="4">
        <v>82</v>
      </c>
      <c r="C2429" s="4">
        <v>39</v>
      </c>
      <c r="D2429" s="4">
        <v>6</v>
      </c>
      <c r="E2429" s="4">
        <v>39</v>
      </c>
      <c r="F2429" s="4">
        <v>2195</v>
      </c>
      <c r="G2429" s="4">
        <v>20.2</v>
      </c>
      <c r="H2429" s="3">
        <v>3.6</v>
      </c>
      <c r="I2429" s="3">
        <v>1.45</v>
      </c>
    </row>
    <row r="2430" spans="1:9" x14ac:dyDescent="0.25">
      <c r="A2430" s="9" t="s">
        <v>154</v>
      </c>
      <c r="B2430" s="4">
        <v>395</v>
      </c>
      <c r="C2430" s="4">
        <v>173</v>
      </c>
      <c r="D2430" s="4">
        <v>28</v>
      </c>
      <c r="E2430" s="4">
        <v>173</v>
      </c>
      <c r="F2430" s="4">
        <v>7455</v>
      </c>
      <c r="G2430" s="4">
        <v>75</v>
      </c>
      <c r="H2430" s="3">
        <v>3.7</v>
      </c>
      <c r="I2430" s="3">
        <v>1.54</v>
      </c>
    </row>
    <row r="2431" spans="1:9" x14ac:dyDescent="0.25">
      <c r="A2431" s="9" t="s">
        <v>155</v>
      </c>
      <c r="B2431" s="4">
        <v>2093</v>
      </c>
      <c r="C2431" s="4">
        <v>1672</v>
      </c>
      <c r="D2431" s="4">
        <v>141</v>
      </c>
      <c r="E2431" s="4">
        <v>1631</v>
      </c>
      <c r="F2431" s="4">
        <v>90777</v>
      </c>
      <c r="G2431" s="4">
        <v>1206.5999999999997</v>
      </c>
      <c r="H2431" s="3">
        <v>165.15555555555557</v>
      </c>
      <c r="I2431" s="3">
        <v>1.6771428571428575</v>
      </c>
    </row>
    <row r="2432" spans="1:9" x14ac:dyDescent="0.25">
      <c r="A2432" s="9" t="s">
        <v>156</v>
      </c>
      <c r="B2432" s="4">
        <v>19</v>
      </c>
      <c r="C2432" s="4">
        <v>15</v>
      </c>
      <c r="D2432" s="4">
        <v>14</v>
      </c>
      <c r="E2432" s="4">
        <v>15</v>
      </c>
      <c r="F2432" s="4">
        <v>122</v>
      </c>
      <c r="G2432" s="4">
        <v>17.3</v>
      </c>
      <c r="H2432" s="3">
        <v>2.8</v>
      </c>
      <c r="I2432" s="3">
        <v>0.9</v>
      </c>
    </row>
    <row r="2433" spans="1:9" x14ac:dyDescent="0.25">
      <c r="A2433" s="9" t="s">
        <v>157</v>
      </c>
      <c r="B2433" s="4">
        <v>480</v>
      </c>
      <c r="C2433" s="4">
        <v>217</v>
      </c>
      <c r="D2433" s="4">
        <v>24</v>
      </c>
      <c r="E2433" s="4">
        <v>217</v>
      </c>
      <c r="F2433" s="4">
        <v>10010</v>
      </c>
      <c r="G2433" s="4">
        <v>126.6</v>
      </c>
      <c r="H2433" s="3">
        <v>3.8750000000000004</v>
      </c>
      <c r="I2433" s="3">
        <v>1.3625</v>
      </c>
    </row>
    <row r="2434" spans="1:9" x14ac:dyDescent="0.25">
      <c r="A2434" s="9" t="s">
        <v>158</v>
      </c>
      <c r="B2434" s="4">
        <v>356</v>
      </c>
      <c r="C2434" s="4">
        <v>268</v>
      </c>
      <c r="D2434" s="4">
        <v>28</v>
      </c>
      <c r="E2434" s="4">
        <v>268</v>
      </c>
      <c r="F2434" s="4">
        <v>10469</v>
      </c>
      <c r="G2434" s="4">
        <v>110.7</v>
      </c>
      <c r="H2434" s="3">
        <v>4.3499999999999996</v>
      </c>
      <c r="I2434" s="3">
        <v>1.5350000000000001</v>
      </c>
    </row>
    <row r="2435" spans="1:9" x14ac:dyDescent="0.25">
      <c r="A2435" s="9" t="s">
        <v>159</v>
      </c>
      <c r="B2435" s="4">
        <v>90</v>
      </c>
      <c r="C2435" s="4">
        <v>29</v>
      </c>
      <c r="D2435" s="4">
        <v>4</v>
      </c>
      <c r="E2435" s="4">
        <v>29</v>
      </c>
      <c r="F2435" s="4">
        <v>1068</v>
      </c>
      <c r="G2435" s="4">
        <v>9.3000000000000007</v>
      </c>
      <c r="H2435" s="3">
        <v>2.9000000000000004</v>
      </c>
      <c r="I2435" s="3">
        <v>1.1800000000000002</v>
      </c>
    </row>
    <row r="2436" spans="1:9" x14ac:dyDescent="0.25">
      <c r="A2436" s="9" t="s">
        <v>160</v>
      </c>
      <c r="B2436" s="4">
        <v>1442</v>
      </c>
      <c r="C2436" s="4">
        <v>1387</v>
      </c>
      <c r="D2436" s="4">
        <v>137</v>
      </c>
      <c r="E2436" s="4">
        <v>1383</v>
      </c>
      <c r="F2436" s="4">
        <v>65296</v>
      </c>
      <c r="G2436" s="4">
        <v>693.7</v>
      </c>
      <c r="H2436" s="3">
        <v>3.9200000000000004</v>
      </c>
      <c r="I2436" s="3">
        <v>1.5159999999999998</v>
      </c>
    </row>
    <row r="2437" spans="1:9" x14ac:dyDescent="0.25">
      <c r="A2437" s="9" t="s">
        <v>161</v>
      </c>
      <c r="B2437" s="4">
        <v>306</v>
      </c>
      <c r="C2437" s="4">
        <v>230</v>
      </c>
      <c r="D2437" s="4">
        <v>22</v>
      </c>
      <c r="E2437" s="4">
        <v>142</v>
      </c>
      <c r="F2437" s="4">
        <v>12298</v>
      </c>
      <c r="G2437" s="4">
        <v>135.5</v>
      </c>
      <c r="H2437" s="3">
        <v>4.1000000000000005</v>
      </c>
      <c r="I2437" s="3">
        <v>1.57</v>
      </c>
    </row>
    <row r="2438" spans="1:9" x14ac:dyDescent="0.25">
      <c r="A2438" s="9" t="s">
        <v>162</v>
      </c>
      <c r="B2438" s="4">
        <v>169</v>
      </c>
      <c r="C2438" s="4">
        <v>50</v>
      </c>
      <c r="D2438" s="4">
        <v>8</v>
      </c>
      <c r="E2438" s="4">
        <v>50</v>
      </c>
      <c r="F2438" s="4">
        <v>3042</v>
      </c>
      <c r="G2438" s="4">
        <v>32.799999999999997</v>
      </c>
      <c r="H2438" s="3">
        <v>3.5</v>
      </c>
      <c r="I2438" s="3">
        <v>1.32</v>
      </c>
    </row>
    <row r="2439" spans="1:9" x14ac:dyDescent="0.25">
      <c r="A2439" s="9" t="s">
        <v>163</v>
      </c>
      <c r="B2439" s="4">
        <v>61</v>
      </c>
      <c r="C2439" s="4">
        <v>25</v>
      </c>
      <c r="D2439" s="4">
        <v>14</v>
      </c>
      <c r="E2439" s="4">
        <v>25</v>
      </c>
      <c r="F2439" s="4">
        <v>987</v>
      </c>
      <c r="G2439" s="4">
        <v>8.9</v>
      </c>
      <c r="H2439" s="3">
        <v>3.3</v>
      </c>
      <c r="I2439" s="3">
        <v>1.05</v>
      </c>
    </row>
    <row r="2440" spans="1:9" x14ac:dyDescent="0.25">
      <c r="A2440" s="9" t="s">
        <v>164</v>
      </c>
      <c r="B2440" s="4">
        <v>26645</v>
      </c>
      <c r="C2440" s="4">
        <v>19274</v>
      </c>
      <c r="D2440" s="4">
        <v>1914</v>
      </c>
      <c r="E2440" s="4">
        <v>19780</v>
      </c>
      <c r="F2440" s="4">
        <v>914167</v>
      </c>
      <c r="G2440" s="4">
        <v>11452.9</v>
      </c>
      <c r="H2440" s="3">
        <v>4.8482352941176456</v>
      </c>
      <c r="I2440" s="3">
        <v>1.7334999999999998</v>
      </c>
    </row>
    <row r="2441" spans="1:9" x14ac:dyDescent="0.25">
      <c r="A2441" s="9" t="s">
        <v>165</v>
      </c>
      <c r="B2441" s="4">
        <v>137</v>
      </c>
      <c r="C2441" s="4">
        <v>106</v>
      </c>
      <c r="D2441" s="4">
        <v>10</v>
      </c>
      <c r="E2441" s="4">
        <v>106</v>
      </c>
      <c r="F2441" s="4">
        <v>3658</v>
      </c>
      <c r="G2441" s="4">
        <v>38.200000000000003</v>
      </c>
      <c r="H2441" s="3">
        <v>4.3</v>
      </c>
      <c r="I2441" s="3">
        <v>1.51</v>
      </c>
    </row>
    <row r="2442" spans="1:9" x14ac:dyDescent="0.25">
      <c r="A2442" s="9" t="s">
        <v>166</v>
      </c>
      <c r="B2442" s="4">
        <v>1032</v>
      </c>
      <c r="C2442" s="4">
        <v>381</v>
      </c>
      <c r="D2442" s="4">
        <v>30</v>
      </c>
      <c r="E2442" s="4">
        <v>381</v>
      </c>
      <c r="F2442" s="4">
        <v>15326</v>
      </c>
      <c r="G2442" s="4">
        <v>159.1</v>
      </c>
      <c r="H2442" s="3">
        <v>3.7000000000000006</v>
      </c>
      <c r="I2442" s="3">
        <v>1.6199999999999999</v>
      </c>
    </row>
    <row r="2443" spans="1:9" x14ac:dyDescent="0.25">
      <c r="A2443" s="9" t="s">
        <v>167</v>
      </c>
      <c r="B2443" s="4">
        <v>28</v>
      </c>
      <c r="C2443" s="4">
        <v>18</v>
      </c>
      <c r="D2443" s="4">
        <v>14</v>
      </c>
      <c r="E2443" s="4">
        <v>18</v>
      </c>
      <c r="F2443" s="4">
        <v>309</v>
      </c>
      <c r="G2443" s="4">
        <v>12.8</v>
      </c>
      <c r="H2443" s="3">
        <v>3.6</v>
      </c>
      <c r="I2443" s="3">
        <v>1.04</v>
      </c>
    </row>
    <row r="2444" spans="1:9" x14ac:dyDescent="0.25">
      <c r="A2444" s="9" t="s">
        <v>168</v>
      </c>
      <c r="B2444" s="4">
        <v>316</v>
      </c>
      <c r="C2444" s="4">
        <v>100</v>
      </c>
      <c r="D2444" s="4">
        <v>14</v>
      </c>
      <c r="E2444" s="4">
        <v>100</v>
      </c>
      <c r="F2444" s="4">
        <v>5789</v>
      </c>
      <c r="G2444" s="4">
        <v>61.8</v>
      </c>
      <c r="H2444" s="3">
        <v>3.6666666666666665</v>
      </c>
      <c r="I2444" s="3">
        <v>1.4566666666666668</v>
      </c>
    </row>
    <row r="2445" spans="1:9" x14ac:dyDescent="0.25">
      <c r="A2445" s="9" t="s">
        <v>169</v>
      </c>
      <c r="B2445" s="4">
        <v>292</v>
      </c>
      <c r="C2445" s="4">
        <v>226</v>
      </c>
      <c r="D2445" s="4">
        <v>24</v>
      </c>
      <c r="E2445" s="4">
        <v>226</v>
      </c>
      <c r="F2445" s="4">
        <v>13059</v>
      </c>
      <c r="G2445" s="4">
        <v>132</v>
      </c>
      <c r="H2445" s="3">
        <v>4.0999999999999996</v>
      </c>
      <c r="I2445" s="3">
        <v>1.49</v>
      </c>
    </row>
    <row r="2446" spans="1:9" x14ac:dyDescent="0.25">
      <c r="A2446" s="9" t="s">
        <v>170</v>
      </c>
      <c r="B2446" s="4">
        <v>27</v>
      </c>
      <c r="C2446" s="4">
        <v>20</v>
      </c>
      <c r="D2446" s="4">
        <v>14</v>
      </c>
      <c r="E2446" s="4">
        <v>20</v>
      </c>
      <c r="F2446" s="4">
        <v>259</v>
      </c>
      <c r="G2446" s="4">
        <v>4.2</v>
      </c>
      <c r="H2446" s="3">
        <v>3.1500000000000004</v>
      </c>
      <c r="I2446" s="3">
        <v>0.94</v>
      </c>
    </row>
    <row r="2447" spans="1:9" x14ac:dyDescent="0.25">
      <c r="A2447" s="9" t="s">
        <v>171</v>
      </c>
      <c r="B2447" s="4">
        <v>62</v>
      </c>
      <c r="C2447" s="4">
        <v>17</v>
      </c>
      <c r="D2447" s="4">
        <v>2</v>
      </c>
      <c r="E2447" s="4">
        <v>17</v>
      </c>
      <c r="F2447" s="4">
        <v>820</v>
      </c>
      <c r="G2447" s="4">
        <v>4.5999999999999996</v>
      </c>
      <c r="H2447" s="3">
        <v>2.4</v>
      </c>
      <c r="I2447" s="3">
        <v>1.59</v>
      </c>
    </row>
    <row r="2448" spans="1:9" x14ac:dyDescent="0.25">
      <c r="A2448" s="9" t="s">
        <v>172</v>
      </c>
      <c r="B2448" s="4">
        <v>1061</v>
      </c>
      <c r="C2448" s="4">
        <v>691</v>
      </c>
      <c r="D2448" s="4">
        <v>47</v>
      </c>
      <c r="E2448" s="4">
        <v>709</v>
      </c>
      <c r="F2448" s="4">
        <v>31317</v>
      </c>
      <c r="G2448" s="4">
        <v>384.20000000000005</v>
      </c>
      <c r="H2448" s="3">
        <v>7.3250000000000002</v>
      </c>
      <c r="I2448" s="3">
        <v>1.5050000000000001</v>
      </c>
    </row>
    <row r="2449" spans="1:9" x14ac:dyDescent="0.25">
      <c r="A2449" s="9" t="s">
        <v>173</v>
      </c>
      <c r="B2449" s="4">
        <v>444</v>
      </c>
      <c r="C2449" s="4">
        <v>269</v>
      </c>
      <c r="D2449" s="4">
        <v>48</v>
      </c>
      <c r="E2449" s="4">
        <v>269</v>
      </c>
      <c r="F2449" s="4">
        <v>10228</v>
      </c>
      <c r="G2449" s="4">
        <v>132.80000000000001</v>
      </c>
      <c r="H2449" s="3">
        <v>4.9333333333333336</v>
      </c>
      <c r="I2449" s="3">
        <v>1.98</v>
      </c>
    </row>
    <row r="2450" spans="1:9" x14ac:dyDescent="0.25">
      <c r="A2450" s="9" t="s">
        <v>174</v>
      </c>
      <c r="B2450" s="4">
        <v>271</v>
      </c>
      <c r="C2450" s="4">
        <v>129</v>
      </c>
      <c r="D2450" s="4">
        <v>10</v>
      </c>
      <c r="E2450" s="4">
        <v>129</v>
      </c>
      <c r="F2450" s="4">
        <v>7433</v>
      </c>
      <c r="G2450" s="4">
        <v>65.8</v>
      </c>
      <c r="H2450" s="3">
        <v>3</v>
      </c>
      <c r="I2450" s="3">
        <v>1.5</v>
      </c>
    </row>
    <row r="2451" spans="1:9" x14ac:dyDescent="0.25">
      <c r="A2451" s="9" t="s">
        <v>175</v>
      </c>
      <c r="B2451" s="4">
        <v>7937</v>
      </c>
      <c r="C2451" s="4">
        <v>5305</v>
      </c>
      <c r="D2451" s="4">
        <v>585</v>
      </c>
      <c r="E2451" s="4">
        <v>5343</v>
      </c>
      <c r="F2451" s="4">
        <v>245483</v>
      </c>
      <c r="G2451" s="4">
        <v>2749.6000000000008</v>
      </c>
      <c r="H2451" s="3">
        <v>4.5538461538461537</v>
      </c>
      <c r="I2451" s="3">
        <v>1.6816666666666666</v>
      </c>
    </row>
    <row r="2452" spans="1:9" x14ac:dyDescent="0.25">
      <c r="A2452" s="9" t="s">
        <v>176</v>
      </c>
      <c r="B2452" s="4">
        <v>1598</v>
      </c>
      <c r="C2452" s="4">
        <v>677</v>
      </c>
      <c r="D2452" s="4">
        <v>70</v>
      </c>
      <c r="E2452" s="4">
        <v>677</v>
      </c>
      <c r="F2452" s="4">
        <v>44066</v>
      </c>
      <c r="G2452" s="4">
        <v>453.7</v>
      </c>
      <c r="H2452" s="3">
        <v>3.8666666666666667</v>
      </c>
      <c r="I2452" s="3">
        <v>1.6233333333333333</v>
      </c>
    </row>
    <row r="2453" spans="1:9" x14ac:dyDescent="0.25">
      <c r="A2453" s="9" t="s">
        <v>177</v>
      </c>
      <c r="B2453" s="4">
        <v>58</v>
      </c>
      <c r="C2453" s="4">
        <v>36</v>
      </c>
      <c r="D2453" s="4">
        <v>14</v>
      </c>
      <c r="E2453" s="4">
        <v>36</v>
      </c>
      <c r="F2453" s="4">
        <v>769</v>
      </c>
      <c r="G2453" s="4">
        <v>11.299999999999999</v>
      </c>
      <c r="H2453" s="3">
        <v>3.3666666666666671</v>
      </c>
      <c r="I2453" s="3">
        <v>0.95666666666666667</v>
      </c>
    </row>
    <row r="2454" spans="1:9" x14ac:dyDescent="0.25">
      <c r="A2454" s="9" t="s">
        <v>178</v>
      </c>
      <c r="B2454" s="4">
        <v>3890</v>
      </c>
      <c r="C2454" s="4">
        <v>3363</v>
      </c>
      <c r="D2454" s="4">
        <v>357</v>
      </c>
      <c r="E2454" s="4">
        <v>3373</v>
      </c>
      <c r="F2454" s="4">
        <v>170064</v>
      </c>
      <c r="G2454" s="4">
        <v>1907</v>
      </c>
      <c r="H2454" s="3">
        <v>4.0750000000000002</v>
      </c>
      <c r="I2454" s="3">
        <v>1.6668750000000001</v>
      </c>
    </row>
    <row r="2455" spans="1:9" x14ac:dyDescent="0.25">
      <c r="A2455" s="9" t="s">
        <v>179</v>
      </c>
      <c r="B2455" s="4">
        <v>5267</v>
      </c>
      <c r="C2455" s="4">
        <v>2640</v>
      </c>
      <c r="D2455" s="4">
        <v>262</v>
      </c>
      <c r="E2455" s="4">
        <v>2593</v>
      </c>
      <c r="F2455" s="4">
        <v>131988</v>
      </c>
      <c r="G2455" s="4">
        <v>1705.3999999999999</v>
      </c>
      <c r="H2455" s="3">
        <v>4.5625</v>
      </c>
      <c r="I2455" s="3">
        <v>1.92625</v>
      </c>
    </row>
    <row r="2456" spans="1:9" x14ac:dyDescent="0.25">
      <c r="A2456" s="9" t="s">
        <v>180</v>
      </c>
      <c r="B2456" s="4">
        <v>99</v>
      </c>
      <c r="C2456" s="4">
        <v>49</v>
      </c>
      <c r="D2456" s="4">
        <v>8</v>
      </c>
      <c r="E2456" s="4">
        <v>49</v>
      </c>
      <c r="F2456" s="4">
        <v>1795</v>
      </c>
      <c r="G2456" s="4">
        <v>16.399999999999999</v>
      </c>
      <c r="H2456" s="3">
        <v>3.8</v>
      </c>
      <c r="I2456" s="3">
        <v>1.19</v>
      </c>
    </row>
    <row r="2457" spans="1:9" x14ac:dyDescent="0.25">
      <c r="A2457" s="9" t="s">
        <v>181</v>
      </c>
      <c r="B2457" s="4">
        <v>4725</v>
      </c>
      <c r="C2457" s="4">
        <v>3684</v>
      </c>
      <c r="D2457" s="4">
        <v>335</v>
      </c>
      <c r="E2457" s="4">
        <v>4070</v>
      </c>
      <c r="F2457" s="4">
        <v>179751</v>
      </c>
      <c r="G2457" s="4">
        <v>2204.1999999999998</v>
      </c>
      <c r="H2457" s="3">
        <v>4.1055555555555552</v>
      </c>
      <c r="I2457" s="3">
        <v>1.5816666666666668</v>
      </c>
    </row>
    <row r="2458" spans="1:9" x14ac:dyDescent="0.25">
      <c r="A2458" s="9" t="s">
        <v>182</v>
      </c>
      <c r="B2458" s="4">
        <v>8857</v>
      </c>
      <c r="C2458" s="4">
        <v>5110</v>
      </c>
      <c r="D2458" s="4">
        <v>478</v>
      </c>
      <c r="E2458" s="4">
        <v>5942</v>
      </c>
      <c r="F2458" s="4">
        <v>258920</v>
      </c>
      <c r="G2458" s="4">
        <v>3152.3999999999996</v>
      </c>
      <c r="H2458" s="3">
        <v>4.4866666666666664</v>
      </c>
      <c r="I2458" s="3">
        <v>1.9053333333333329</v>
      </c>
    </row>
    <row r="2459" spans="1:9" x14ac:dyDescent="0.25">
      <c r="A2459" s="9" t="s">
        <v>183</v>
      </c>
      <c r="B2459" s="4">
        <v>5073</v>
      </c>
      <c r="C2459" s="4">
        <v>2369</v>
      </c>
      <c r="D2459" s="4">
        <v>293</v>
      </c>
      <c r="E2459" s="4">
        <v>2538</v>
      </c>
      <c r="F2459" s="4">
        <v>93283</v>
      </c>
      <c r="G2459" s="4">
        <v>1460</v>
      </c>
      <c r="H2459" s="3">
        <v>5.22</v>
      </c>
      <c r="I2459" s="3">
        <v>1.7809999999999999</v>
      </c>
    </row>
    <row r="2460" spans="1:9" x14ac:dyDescent="0.25">
      <c r="A2460" s="9" t="s">
        <v>184</v>
      </c>
      <c r="B2460" s="4">
        <v>1742</v>
      </c>
      <c r="C2460" s="4">
        <v>1259</v>
      </c>
      <c r="D2460" s="4">
        <v>110</v>
      </c>
      <c r="E2460" s="4">
        <v>1259</v>
      </c>
      <c r="F2460" s="4">
        <v>62550</v>
      </c>
      <c r="G2460" s="4">
        <v>673.2</v>
      </c>
      <c r="H2460" s="3">
        <v>4.0142857142857142</v>
      </c>
      <c r="I2460" s="3">
        <v>1.6528571428571428</v>
      </c>
    </row>
    <row r="2461" spans="1:9" x14ac:dyDescent="0.25">
      <c r="A2461" s="9" t="s">
        <v>185</v>
      </c>
      <c r="B2461" s="4">
        <v>539</v>
      </c>
      <c r="C2461" s="4">
        <v>435</v>
      </c>
      <c r="D2461" s="4">
        <v>54</v>
      </c>
      <c r="E2461" s="4">
        <v>485</v>
      </c>
      <c r="F2461" s="4">
        <v>19184</v>
      </c>
      <c r="G2461" s="4">
        <v>180.60000000000002</v>
      </c>
      <c r="H2461" s="3">
        <v>4</v>
      </c>
      <c r="I2461" s="3">
        <v>1.6966666666666665</v>
      </c>
    </row>
    <row r="2462" spans="1:9" x14ac:dyDescent="0.25">
      <c r="A2462" s="9" t="s">
        <v>186</v>
      </c>
      <c r="B2462" s="4">
        <v>2039</v>
      </c>
      <c r="C2462" s="4">
        <v>1058</v>
      </c>
      <c r="D2462" s="4">
        <v>110</v>
      </c>
      <c r="E2462" s="4">
        <v>1174</v>
      </c>
      <c r="F2462" s="4">
        <v>36287</v>
      </c>
      <c r="G2462" s="4">
        <v>398.50000000000006</v>
      </c>
      <c r="H2462" s="3">
        <v>4.0714285714285712</v>
      </c>
      <c r="I2462" s="3">
        <v>1.837142857142857</v>
      </c>
    </row>
    <row r="2463" spans="1:9" x14ac:dyDescent="0.25">
      <c r="A2463" s="9" t="s">
        <v>187</v>
      </c>
      <c r="B2463" s="4">
        <v>1448</v>
      </c>
      <c r="C2463" s="4">
        <v>697</v>
      </c>
      <c r="D2463" s="4">
        <v>62</v>
      </c>
      <c r="E2463" s="4">
        <v>615</v>
      </c>
      <c r="F2463" s="4">
        <v>35708</v>
      </c>
      <c r="G2463" s="4">
        <v>407.3</v>
      </c>
      <c r="H2463" s="3">
        <v>3.62</v>
      </c>
      <c r="I2463" s="3">
        <v>1.5879999999999999</v>
      </c>
    </row>
    <row r="2464" spans="1:9" x14ac:dyDescent="0.25">
      <c r="A2464" s="9" t="s">
        <v>188</v>
      </c>
      <c r="B2464" s="4">
        <v>6480</v>
      </c>
      <c r="C2464" s="4">
        <v>3212</v>
      </c>
      <c r="D2464" s="4">
        <v>283</v>
      </c>
      <c r="E2464" s="4">
        <v>3355</v>
      </c>
      <c r="F2464" s="4">
        <v>143884</v>
      </c>
      <c r="G2464" s="4">
        <v>1885.1</v>
      </c>
      <c r="H2464" s="3">
        <v>4.6000000000000005</v>
      </c>
      <c r="I2464" s="3">
        <v>1.8444444444444446</v>
      </c>
    </row>
    <row r="2465" spans="1:9" x14ac:dyDescent="0.25">
      <c r="A2465" s="9" t="s">
        <v>189</v>
      </c>
      <c r="B2465" s="4">
        <v>616</v>
      </c>
      <c r="C2465" s="4">
        <v>338</v>
      </c>
      <c r="D2465" s="4">
        <v>22</v>
      </c>
      <c r="E2465" s="4">
        <v>338</v>
      </c>
      <c r="F2465" s="4">
        <v>14449</v>
      </c>
      <c r="G2465" s="4">
        <v>170.5</v>
      </c>
      <c r="H2465" s="3">
        <v>5.3</v>
      </c>
      <c r="I2465" s="3">
        <v>1.7866666666666664</v>
      </c>
    </row>
    <row r="2466" spans="1:9" x14ac:dyDescent="0.25">
      <c r="A2466" s="9" t="s">
        <v>190</v>
      </c>
      <c r="B2466" s="4">
        <v>429</v>
      </c>
      <c r="C2466" s="4">
        <v>504</v>
      </c>
      <c r="D2466" s="4">
        <v>81</v>
      </c>
      <c r="E2466" s="4">
        <v>504</v>
      </c>
      <c r="F2466" s="4">
        <v>20851</v>
      </c>
      <c r="G2466" s="4">
        <v>256.5</v>
      </c>
      <c r="H2466" s="3">
        <v>3.5750000000000002</v>
      </c>
      <c r="I2466" s="3">
        <v>1.6275000000000002</v>
      </c>
    </row>
    <row r="2467" spans="1:9" x14ac:dyDescent="0.25">
      <c r="A2467" s="9" t="s">
        <v>191</v>
      </c>
      <c r="B2467" s="4">
        <v>148</v>
      </c>
      <c r="C2467" s="4">
        <v>50</v>
      </c>
      <c r="D2467" s="4">
        <v>8</v>
      </c>
      <c r="E2467" s="4">
        <v>50</v>
      </c>
      <c r="F2467" s="4">
        <v>2291</v>
      </c>
      <c r="G2467" s="4">
        <v>20.9</v>
      </c>
      <c r="H2467" s="3">
        <v>3.25</v>
      </c>
      <c r="I2467" s="3">
        <v>1.42</v>
      </c>
    </row>
    <row r="2468" spans="1:9" x14ac:dyDescent="0.25">
      <c r="A2468" s="9" t="s">
        <v>192</v>
      </c>
      <c r="B2468" s="4">
        <v>1274</v>
      </c>
      <c r="C2468" s="4">
        <v>628</v>
      </c>
      <c r="D2468" s="4">
        <v>92</v>
      </c>
      <c r="E2468" s="4">
        <v>692</v>
      </c>
      <c r="F2468" s="4">
        <v>27681</v>
      </c>
      <c r="G2468" s="4">
        <v>311.89999999999998</v>
      </c>
      <c r="H2468" s="3">
        <v>4.4499999999999993</v>
      </c>
      <c r="I2468" s="3">
        <v>1.7324999999999999</v>
      </c>
    </row>
    <row r="2469" spans="1:9" x14ac:dyDescent="0.25">
      <c r="A2469" s="9" t="s">
        <v>193</v>
      </c>
      <c r="B2469" s="4">
        <v>1440</v>
      </c>
      <c r="C2469" s="4">
        <v>692</v>
      </c>
      <c r="D2469" s="4">
        <v>77</v>
      </c>
      <c r="E2469" s="4">
        <v>692</v>
      </c>
      <c r="F2469" s="4">
        <v>31516</v>
      </c>
      <c r="G2469" s="4">
        <v>388.70000000000005</v>
      </c>
      <c r="H2469" s="3">
        <v>6.2000000000000011</v>
      </c>
      <c r="I2469" s="3">
        <v>1.5171428571428567</v>
      </c>
    </row>
    <row r="2470" spans="1:9" x14ac:dyDescent="0.25">
      <c r="A2470" s="9" t="s">
        <v>194</v>
      </c>
      <c r="B2470" s="4">
        <v>1098</v>
      </c>
      <c r="C2470" s="4">
        <v>1066</v>
      </c>
      <c r="D2470" s="4">
        <v>74</v>
      </c>
      <c r="E2470" s="4">
        <v>1218</v>
      </c>
      <c r="F2470" s="4">
        <v>49114</v>
      </c>
      <c r="G2470" s="4">
        <v>615</v>
      </c>
      <c r="H2470" s="3">
        <v>4.0400000000000009</v>
      </c>
      <c r="I2470" s="3">
        <v>1.6659999999999999</v>
      </c>
    </row>
    <row r="2471" spans="1:9" x14ac:dyDescent="0.25">
      <c r="A2471" s="9" t="s">
        <v>195</v>
      </c>
      <c r="B2471" s="4">
        <v>26</v>
      </c>
      <c r="C2471" s="4">
        <v>14</v>
      </c>
      <c r="D2471" s="4">
        <v>14</v>
      </c>
      <c r="E2471" s="4">
        <v>14</v>
      </c>
      <c r="F2471" s="4">
        <v>485</v>
      </c>
      <c r="G2471" s="4">
        <v>3.2</v>
      </c>
      <c r="H2471" s="3">
        <v>2.4</v>
      </c>
      <c r="I2471" s="3">
        <v>2.14</v>
      </c>
    </row>
    <row r="2472" spans="1:9" x14ac:dyDescent="0.25">
      <c r="A2472" s="9" t="s">
        <v>196</v>
      </c>
      <c r="B2472" s="4">
        <v>125</v>
      </c>
      <c r="C2472" s="4">
        <v>49</v>
      </c>
      <c r="D2472" s="4">
        <v>8</v>
      </c>
      <c r="E2472" s="4">
        <v>65</v>
      </c>
      <c r="F2472" s="4">
        <v>3191</v>
      </c>
      <c r="G2472" s="4">
        <v>27.1</v>
      </c>
      <c r="H2472" s="3">
        <v>3.4</v>
      </c>
      <c r="I2472" s="3">
        <v>1.41</v>
      </c>
    </row>
    <row r="2473" spans="1:9" x14ac:dyDescent="0.25">
      <c r="A2473" s="9" t="s">
        <v>197</v>
      </c>
      <c r="B2473" s="4">
        <v>23</v>
      </c>
      <c r="C2473" s="4">
        <v>25</v>
      </c>
      <c r="D2473" s="4">
        <v>14</v>
      </c>
      <c r="E2473" s="4">
        <v>25</v>
      </c>
      <c r="F2473" s="4">
        <v>231</v>
      </c>
      <c r="G2473" s="4">
        <v>5.9</v>
      </c>
      <c r="H2473" s="3">
        <v>4</v>
      </c>
      <c r="I2473" s="3">
        <v>1.01</v>
      </c>
    </row>
    <row r="2474" spans="1:9" x14ac:dyDescent="0.25">
      <c r="A2474" s="9" t="s">
        <v>198</v>
      </c>
      <c r="B2474" s="4">
        <v>858</v>
      </c>
      <c r="C2474" s="4">
        <v>683</v>
      </c>
      <c r="D2474" s="4">
        <v>65</v>
      </c>
      <c r="E2474" s="4">
        <v>746</v>
      </c>
      <c r="F2474" s="4">
        <v>30597</v>
      </c>
      <c r="G2474" s="4">
        <v>375.59999999999997</v>
      </c>
      <c r="H2474" s="3">
        <v>11.324999999999999</v>
      </c>
      <c r="I2474" s="3">
        <v>1.3499999999999999</v>
      </c>
    </row>
    <row r="2475" spans="1:9" x14ac:dyDescent="0.25">
      <c r="A2475" s="9" t="s">
        <v>199</v>
      </c>
      <c r="B2475" s="4">
        <v>231</v>
      </c>
      <c r="C2475" s="4">
        <v>84</v>
      </c>
      <c r="D2475" s="4">
        <v>6</v>
      </c>
      <c r="E2475" s="4">
        <v>84</v>
      </c>
      <c r="F2475" s="4">
        <v>4158</v>
      </c>
      <c r="G2475" s="4">
        <v>42.6</v>
      </c>
      <c r="H2475" s="3">
        <v>4</v>
      </c>
      <c r="I2475" s="3">
        <v>1.67</v>
      </c>
    </row>
    <row r="2476" spans="1:9" x14ac:dyDescent="0.25">
      <c r="A2476" s="9" t="s">
        <v>200</v>
      </c>
      <c r="B2476" s="4">
        <v>1892</v>
      </c>
      <c r="C2476" s="4">
        <v>1252</v>
      </c>
      <c r="D2476" s="4">
        <v>161</v>
      </c>
      <c r="E2476" s="4">
        <v>1322</v>
      </c>
      <c r="F2476" s="4">
        <v>62213</v>
      </c>
      <c r="G2476" s="4">
        <v>685.1</v>
      </c>
      <c r="H2476" s="3">
        <v>4.8857142857142852</v>
      </c>
      <c r="I2476" s="3">
        <v>1.5957142857142859</v>
      </c>
    </row>
    <row r="2477" spans="1:9" x14ac:dyDescent="0.25">
      <c r="A2477" s="9" t="s">
        <v>201</v>
      </c>
      <c r="B2477" s="4">
        <v>363</v>
      </c>
      <c r="C2477" s="4">
        <v>125</v>
      </c>
      <c r="D2477" s="4">
        <v>14</v>
      </c>
      <c r="E2477" s="4">
        <v>125</v>
      </c>
      <c r="F2477" s="4">
        <v>6535</v>
      </c>
      <c r="G2477" s="4">
        <v>55.6</v>
      </c>
      <c r="H2477" s="3">
        <v>3.7</v>
      </c>
      <c r="I2477" s="3">
        <v>1.6099999999999999</v>
      </c>
    </row>
    <row r="2478" spans="1:9" x14ac:dyDescent="0.25">
      <c r="A2478" s="9" t="s">
        <v>202</v>
      </c>
      <c r="B2478" s="4">
        <v>274</v>
      </c>
      <c r="C2478" s="4">
        <v>209</v>
      </c>
      <c r="D2478" s="4">
        <v>24</v>
      </c>
      <c r="E2478" s="4">
        <v>149</v>
      </c>
      <c r="F2478" s="4">
        <v>11677</v>
      </c>
      <c r="G2478" s="4">
        <v>147.80000000000001</v>
      </c>
      <c r="H2478" s="3">
        <v>4.9000000000000004</v>
      </c>
      <c r="I2478" s="3">
        <v>1.67</v>
      </c>
    </row>
    <row r="2479" spans="1:9" x14ac:dyDescent="0.25">
      <c r="A2479" s="9" t="s">
        <v>203</v>
      </c>
      <c r="B2479" s="4">
        <v>2382</v>
      </c>
      <c r="C2479" s="4">
        <v>866</v>
      </c>
      <c r="D2479" s="4">
        <v>125</v>
      </c>
      <c r="E2479" s="4">
        <v>874</v>
      </c>
      <c r="F2479" s="4">
        <v>45202</v>
      </c>
      <c r="G2479" s="4">
        <v>645.6</v>
      </c>
      <c r="H2479" s="3">
        <v>4.5666666666666673</v>
      </c>
      <c r="I2479" s="3">
        <v>1.9966666666666668</v>
      </c>
    </row>
    <row r="2480" spans="1:9" x14ac:dyDescent="0.25">
      <c r="A2480" s="9" t="s">
        <v>204</v>
      </c>
      <c r="B2480" s="4">
        <v>112</v>
      </c>
      <c r="C2480" s="4">
        <v>49</v>
      </c>
      <c r="D2480" s="4">
        <v>6</v>
      </c>
      <c r="E2480" s="4">
        <v>49</v>
      </c>
      <c r="F2480" s="4">
        <v>1926</v>
      </c>
      <c r="G2480" s="4">
        <v>18.5</v>
      </c>
      <c r="H2480" s="3">
        <v>3.9</v>
      </c>
      <c r="I2480" s="3">
        <v>1.58</v>
      </c>
    </row>
    <row r="2481" spans="1:9" x14ac:dyDescent="0.25">
      <c r="A2481" s="9" t="s">
        <v>205</v>
      </c>
      <c r="B2481" s="4">
        <v>1605</v>
      </c>
      <c r="C2481" s="4">
        <v>795</v>
      </c>
      <c r="D2481" s="4">
        <v>127</v>
      </c>
      <c r="E2481" s="4">
        <v>803</v>
      </c>
      <c r="F2481" s="4">
        <v>45619</v>
      </c>
      <c r="G2481" s="4">
        <v>563.1</v>
      </c>
      <c r="H2481" s="3">
        <v>4.6333333333333329</v>
      </c>
      <c r="I2481" s="3">
        <v>1.9100000000000001</v>
      </c>
    </row>
    <row r="2482" spans="1:9" x14ac:dyDescent="0.25">
      <c r="A2482" s="9" t="s">
        <v>206</v>
      </c>
      <c r="B2482" s="4">
        <v>37</v>
      </c>
      <c r="C2482" s="4">
        <v>11</v>
      </c>
      <c r="D2482" s="4">
        <v>14</v>
      </c>
      <c r="E2482" s="4">
        <v>11</v>
      </c>
      <c r="F2482" s="4">
        <v>454</v>
      </c>
      <c r="G2482" s="4">
        <v>3.3</v>
      </c>
      <c r="H2482" s="3">
        <v>2.6</v>
      </c>
      <c r="I2482" s="3">
        <v>1.1499999999999999</v>
      </c>
    </row>
    <row r="2483" spans="1:9" x14ac:dyDescent="0.25">
      <c r="A2483" s="9" t="s">
        <v>207</v>
      </c>
      <c r="B2483" s="4">
        <v>8</v>
      </c>
      <c r="C2483" s="4">
        <v>15</v>
      </c>
      <c r="D2483" s="4">
        <v>14</v>
      </c>
      <c r="E2483" s="4">
        <v>15</v>
      </c>
      <c r="F2483" s="4">
        <v>199</v>
      </c>
      <c r="G2483" s="4">
        <v>4.9000000000000004</v>
      </c>
      <c r="H2483" s="3">
        <v>3.3</v>
      </c>
      <c r="I2483" s="3">
        <v>0.98</v>
      </c>
    </row>
    <row r="2484" spans="1:9" x14ac:dyDescent="0.25">
      <c r="A2484" s="9" t="s">
        <v>208</v>
      </c>
      <c r="B2484" s="4">
        <v>1525</v>
      </c>
      <c r="C2484" s="4">
        <v>561</v>
      </c>
      <c r="D2484" s="4">
        <v>66</v>
      </c>
      <c r="E2484" s="4">
        <v>561</v>
      </c>
      <c r="F2484" s="4">
        <v>29147</v>
      </c>
      <c r="G2484" s="4">
        <v>285.10000000000002</v>
      </c>
      <c r="H2484" s="3">
        <v>3.875</v>
      </c>
      <c r="I2484" s="3">
        <v>1.7749999999999999</v>
      </c>
    </row>
    <row r="2485" spans="1:9" x14ac:dyDescent="0.25">
      <c r="A2485" s="9" t="s">
        <v>209</v>
      </c>
      <c r="B2485" s="4">
        <v>213</v>
      </c>
      <c r="C2485" s="4">
        <v>92</v>
      </c>
      <c r="D2485" s="4">
        <v>20</v>
      </c>
      <c r="E2485" s="4">
        <v>92</v>
      </c>
      <c r="F2485" s="4">
        <v>6009</v>
      </c>
      <c r="G2485" s="4">
        <v>51.6</v>
      </c>
      <c r="H2485" s="3">
        <v>2.4</v>
      </c>
      <c r="I2485" s="3">
        <v>1.4249999999999998</v>
      </c>
    </row>
    <row r="2486" spans="1:9" x14ac:dyDescent="0.25">
      <c r="A2486" s="9" t="s">
        <v>210</v>
      </c>
      <c r="B2486" s="4">
        <v>112</v>
      </c>
      <c r="C2486" s="4">
        <v>25</v>
      </c>
      <c r="D2486" s="4">
        <v>2</v>
      </c>
      <c r="E2486" s="4">
        <v>25</v>
      </c>
      <c r="F2486" s="4">
        <v>979</v>
      </c>
      <c r="G2486" s="4">
        <v>10.3</v>
      </c>
      <c r="H2486" s="3">
        <v>3</v>
      </c>
      <c r="I2486" s="3">
        <v>1.26</v>
      </c>
    </row>
    <row r="2487" spans="1:9" x14ac:dyDescent="0.25">
      <c r="A2487" s="9" t="s">
        <v>211</v>
      </c>
      <c r="B2487" s="4">
        <v>6</v>
      </c>
      <c r="C2487" s="4">
        <v>49</v>
      </c>
      <c r="D2487" s="4">
        <v>14</v>
      </c>
      <c r="E2487" s="4">
        <v>11</v>
      </c>
      <c r="F2487" s="4">
        <v>56</v>
      </c>
      <c r="G2487" s="4">
        <v>0.6</v>
      </c>
      <c r="H2487" s="3">
        <v>4.0999999999999996</v>
      </c>
      <c r="I2487" s="3">
        <v>0.89</v>
      </c>
    </row>
    <row r="2488" spans="1:9" x14ac:dyDescent="0.25">
      <c r="A2488" s="9" t="s">
        <v>212</v>
      </c>
      <c r="B2488" s="4">
        <v>18</v>
      </c>
      <c r="C2488" s="4">
        <v>17</v>
      </c>
      <c r="D2488" s="4">
        <v>14</v>
      </c>
      <c r="E2488" s="4">
        <v>17</v>
      </c>
      <c r="F2488" s="4">
        <v>161</v>
      </c>
      <c r="G2488" s="4">
        <v>2.9</v>
      </c>
      <c r="H2488" s="3">
        <v>2.9</v>
      </c>
      <c r="I2488" s="3">
        <v>1.04</v>
      </c>
    </row>
    <row r="2489" spans="1:9" x14ac:dyDescent="0.25">
      <c r="A2489" s="9" t="s">
        <v>213</v>
      </c>
      <c r="B2489" s="4">
        <v>99</v>
      </c>
      <c r="C2489" s="4">
        <v>49</v>
      </c>
      <c r="D2489" s="4">
        <v>6</v>
      </c>
      <c r="E2489" s="4">
        <v>49</v>
      </c>
      <c r="F2489" s="4">
        <v>1586</v>
      </c>
      <c r="G2489" s="4">
        <v>13.4</v>
      </c>
      <c r="H2489" s="3">
        <v>3.2</v>
      </c>
      <c r="I2489" s="3">
        <v>1.39</v>
      </c>
    </row>
    <row r="2490" spans="1:9" x14ac:dyDescent="0.25">
      <c r="A2490" s="9" t="s">
        <v>214</v>
      </c>
      <c r="B2490" s="4">
        <v>2729</v>
      </c>
      <c r="C2490" s="4">
        <v>1472</v>
      </c>
      <c r="D2490" s="4">
        <v>192</v>
      </c>
      <c r="E2490" s="4">
        <v>1751</v>
      </c>
      <c r="F2490" s="4">
        <v>66315</v>
      </c>
      <c r="G2490" s="4">
        <v>856.09999999999991</v>
      </c>
      <c r="H2490" s="3">
        <v>5.05</v>
      </c>
      <c r="I2490" s="3">
        <v>2.0583333333333331</v>
      </c>
    </row>
    <row r="2491" spans="1:9" x14ac:dyDescent="0.25">
      <c r="A2491" s="9" t="s">
        <v>215</v>
      </c>
      <c r="B2491" s="4">
        <v>954</v>
      </c>
      <c r="C2491" s="4">
        <v>490</v>
      </c>
      <c r="D2491" s="4">
        <v>54</v>
      </c>
      <c r="E2491" s="4">
        <v>589</v>
      </c>
      <c r="F2491" s="4">
        <v>28280</v>
      </c>
      <c r="G2491" s="4">
        <v>251.3</v>
      </c>
      <c r="H2491" s="3">
        <v>3.5333333333333337</v>
      </c>
      <c r="I2491" s="3">
        <v>1.9633333333333332</v>
      </c>
    </row>
    <row r="2492" spans="1:9" x14ac:dyDescent="0.25">
      <c r="A2492" s="9" t="s">
        <v>216</v>
      </c>
      <c r="B2492" s="4">
        <v>200</v>
      </c>
      <c r="C2492" s="4">
        <v>56</v>
      </c>
      <c r="D2492" s="4">
        <v>5</v>
      </c>
      <c r="E2492" s="4">
        <v>56</v>
      </c>
      <c r="F2492" s="4">
        <v>2077</v>
      </c>
      <c r="G2492" s="4">
        <v>13.9</v>
      </c>
      <c r="H2492" s="3">
        <v>3</v>
      </c>
      <c r="I2492" s="3">
        <v>2.11</v>
      </c>
    </row>
    <row r="2493" spans="1:9" x14ac:dyDescent="0.25">
      <c r="A2493" s="9" t="s">
        <v>217</v>
      </c>
      <c r="B2493" s="4">
        <v>1772</v>
      </c>
      <c r="C2493" s="4">
        <v>982</v>
      </c>
      <c r="D2493" s="4">
        <v>91</v>
      </c>
      <c r="E2493" s="4">
        <v>740</v>
      </c>
      <c r="F2493" s="4">
        <v>51301</v>
      </c>
      <c r="G2493" s="4">
        <v>602.6</v>
      </c>
      <c r="H2493" s="3">
        <v>3.7000000000000006</v>
      </c>
      <c r="I2493" s="3">
        <v>1.8933333333333333</v>
      </c>
    </row>
    <row r="2494" spans="1:9" x14ac:dyDescent="0.25">
      <c r="A2494" s="9" t="s">
        <v>218</v>
      </c>
      <c r="B2494" s="4">
        <v>88</v>
      </c>
      <c r="C2494" s="4">
        <v>25</v>
      </c>
      <c r="D2494" s="4">
        <v>4</v>
      </c>
      <c r="E2494" s="4">
        <v>25</v>
      </c>
      <c r="F2494" s="4">
        <v>1735</v>
      </c>
      <c r="G2494" s="4">
        <v>14.9</v>
      </c>
      <c r="H2494" s="3">
        <v>3.6</v>
      </c>
      <c r="I2494" s="3">
        <v>1.53</v>
      </c>
    </row>
    <row r="2495" spans="1:9" x14ac:dyDescent="0.25">
      <c r="A2495" s="9" t="s">
        <v>219</v>
      </c>
      <c r="B2495" s="4">
        <v>248</v>
      </c>
      <c r="C2495" s="4">
        <v>53</v>
      </c>
      <c r="D2495" s="4">
        <v>5</v>
      </c>
      <c r="E2495" s="4">
        <v>53</v>
      </c>
      <c r="F2495" s="4">
        <v>3601</v>
      </c>
      <c r="G2495" s="4">
        <v>38.200000000000003</v>
      </c>
      <c r="H2495" s="3">
        <v>3.6</v>
      </c>
      <c r="I2495" s="3">
        <v>1.53</v>
      </c>
    </row>
    <row r="2496" spans="1:9" x14ac:dyDescent="0.25">
      <c r="A2496" s="9" t="s">
        <v>220</v>
      </c>
      <c r="B2496" s="4">
        <v>51</v>
      </c>
      <c r="C2496" s="4">
        <v>21</v>
      </c>
      <c r="D2496" s="4">
        <v>14</v>
      </c>
      <c r="E2496" s="4">
        <v>23</v>
      </c>
      <c r="F2496" s="4">
        <v>101</v>
      </c>
      <c r="G2496" s="4">
        <v>10.199999999999999</v>
      </c>
      <c r="H2496" s="3">
        <v>3.6</v>
      </c>
      <c r="I2496" s="3">
        <v>1.02</v>
      </c>
    </row>
    <row r="2497" spans="1:9" x14ac:dyDescent="0.25">
      <c r="A2497" s="9" t="s">
        <v>221</v>
      </c>
      <c r="B2497" s="4">
        <v>76</v>
      </c>
      <c r="C2497" s="4">
        <v>20</v>
      </c>
      <c r="D2497" s="4">
        <v>14</v>
      </c>
      <c r="E2497" s="4">
        <v>20</v>
      </c>
      <c r="F2497" s="4">
        <v>510</v>
      </c>
      <c r="G2497" s="4">
        <v>4.7</v>
      </c>
      <c r="H2497" s="3">
        <v>2.2000000000000002</v>
      </c>
      <c r="I2497" s="3">
        <v>1.43</v>
      </c>
    </row>
    <row r="2498" spans="1:9" x14ac:dyDescent="0.25">
      <c r="A2498" s="9" t="s">
        <v>222</v>
      </c>
      <c r="B2498" s="4">
        <v>29</v>
      </c>
      <c r="C2498" s="4">
        <v>16</v>
      </c>
      <c r="D2498" s="4">
        <v>14</v>
      </c>
      <c r="E2498" s="4">
        <v>16</v>
      </c>
      <c r="F2498" s="4">
        <v>139</v>
      </c>
      <c r="G2498" s="4">
        <v>2.1</v>
      </c>
      <c r="H2498" s="3">
        <v>2.5</v>
      </c>
      <c r="I2498" s="3">
        <v>0.99</v>
      </c>
    </row>
    <row r="2499" spans="1:9" x14ac:dyDescent="0.25">
      <c r="A2499" s="9" t="s">
        <v>223</v>
      </c>
      <c r="B2499" s="4">
        <v>1173</v>
      </c>
      <c r="C2499" s="4">
        <v>476</v>
      </c>
      <c r="D2499" s="4">
        <v>46</v>
      </c>
      <c r="E2499" s="4">
        <v>476</v>
      </c>
      <c r="F2499" s="4">
        <v>25959</v>
      </c>
      <c r="G2499" s="4">
        <v>293</v>
      </c>
      <c r="H2499" s="3">
        <v>4.7750000000000004</v>
      </c>
      <c r="I2499" s="3">
        <v>1.9875</v>
      </c>
    </row>
    <row r="2500" spans="1:9" x14ac:dyDescent="0.25">
      <c r="A2500" s="9" t="s">
        <v>224</v>
      </c>
      <c r="B2500" s="4">
        <v>9</v>
      </c>
      <c r="C2500" s="4">
        <v>25</v>
      </c>
      <c r="D2500" s="4">
        <v>14</v>
      </c>
      <c r="E2500" s="4">
        <v>25</v>
      </c>
      <c r="F2500" s="4">
        <v>34</v>
      </c>
      <c r="G2500" s="4">
        <v>16.2</v>
      </c>
      <c r="H2500" s="3">
        <v>3.1</v>
      </c>
      <c r="I2500" s="3">
        <v>0.87</v>
      </c>
    </row>
    <row r="2501" spans="1:9" x14ac:dyDescent="0.25">
      <c r="A2501" s="9" t="s">
        <v>225</v>
      </c>
      <c r="B2501" s="4">
        <v>19</v>
      </c>
      <c r="C2501" s="4">
        <v>19</v>
      </c>
      <c r="D2501" s="4">
        <v>14</v>
      </c>
      <c r="E2501" s="4">
        <v>19</v>
      </c>
      <c r="F2501" s="4">
        <v>308</v>
      </c>
      <c r="G2501" s="4">
        <v>4.5999999999999996</v>
      </c>
      <c r="H2501" s="3">
        <v>3.3</v>
      </c>
      <c r="I2501" s="3">
        <v>0.89</v>
      </c>
    </row>
    <row r="2502" spans="1:9" x14ac:dyDescent="0.25">
      <c r="A2502" s="9" t="s">
        <v>226</v>
      </c>
      <c r="B2502" s="4">
        <v>12</v>
      </c>
      <c r="C2502" s="4">
        <v>8</v>
      </c>
      <c r="D2502" s="4">
        <v>14</v>
      </c>
      <c r="E2502" s="4">
        <v>8</v>
      </c>
      <c r="F2502" s="4">
        <v>104</v>
      </c>
      <c r="G2502" s="4">
        <v>0.8</v>
      </c>
      <c r="H2502" s="3">
        <v>1.8</v>
      </c>
      <c r="I2502" s="3">
        <v>0.9</v>
      </c>
    </row>
    <row r="2503" spans="1:9" x14ac:dyDescent="0.25">
      <c r="A2503" s="9" t="s">
        <v>227</v>
      </c>
      <c r="B2503" s="4">
        <v>292</v>
      </c>
      <c r="C2503" s="4">
        <v>94</v>
      </c>
      <c r="D2503" s="4">
        <v>11</v>
      </c>
      <c r="E2503" s="4">
        <v>94</v>
      </c>
      <c r="F2503" s="4">
        <v>4801</v>
      </c>
      <c r="G2503" s="4">
        <v>39.199999999999996</v>
      </c>
      <c r="H2503" s="3">
        <v>2.65</v>
      </c>
      <c r="I2503" s="3">
        <v>2.04</v>
      </c>
    </row>
    <row r="2504" spans="1:9" x14ac:dyDescent="0.25">
      <c r="A2504" s="9" t="s">
        <v>228</v>
      </c>
      <c r="B2504" s="4">
        <v>1361</v>
      </c>
      <c r="C2504" s="4">
        <v>562</v>
      </c>
      <c r="D2504" s="4">
        <v>43</v>
      </c>
      <c r="E2504" s="4">
        <v>560</v>
      </c>
      <c r="F2504" s="4">
        <v>29183</v>
      </c>
      <c r="G2504" s="4">
        <v>305.8</v>
      </c>
      <c r="H2504" s="3">
        <v>3.5800000000000005</v>
      </c>
      <c r="I2504" s="3">
        <v>1.762</v>
      </c>
    </row>
    <row r="2505" spans="1:9" x14ac:dyDescent="0.25">
      <c r="A2505" s="9" t="s">
        <v>229</v>
      </c>
      <c r="B2505" s="4">
        <v>46</v>
      </c>
      <c r="C2505" s="4">
        <v>25</v>
      </c>
      <c r="D2505" s="4">
        <v>14</v>
      </c>
      <c r="E2505" s="4">
        <v>25</v>
      </c>
      <c r="F2505" s="4">
        <v>479</v>
      </c>
      <c r="G2505" s="4">
        <v>7.2</v>
      </c>
      <c r="H2505" s="3">
        <v>3.4</v>
      </c>
      <c r="I2505" s="3">
        <v>0.96</v>
      </c>
    </row>
    <row r="2506" spans="1:9" x14ac:dyDescent="0.25">
      <c r="A2506" s="9" t="s">
        <v>230</v>
      </c>
      <c r="B2506" s="4">
        <v>23</v>
      </c>
      <c r="C2506" s="4">
        <v>15</v>
      </c>
      <c r="D2506" s="4">
        <v>14</v>
      </c>
      <c r="E2506" s="4">
        <v>15</v>
      </c>
      <c r="F2506" s="4">
        <v>137</v>
      </c>
      <c r="G2506" s="4">
        <v>2.6</v>
      </c>
      <c r="H2506" s="3">
        <v>3.3</v>
      </c>
      <c r="I2506" s="3">
        <v>0.97</v>
      </c>
    </row>
    <row r="2507" spans="1:9" x14ac:dyDescent="0.25">
      <c r="A2507" s="9" t="s">
        <v>231</v>
      </c>
      <c r="B2507" s="4">
        <v>68</v>
      </c>
      <c r="C2507" s="4">
        <v>25</v>
      </c>
      <c r="D2507" s="4">
        <v>4</v>
      </c>
      <c r="E2507" s="4">
        <v>25</v>
      </c>
      <c r="F2507" s="4">
        <v>1100</v>
      </c>
      <c r="G2507" s="4">
        <v>8.1</v>
      </c>
      <c r="H2507" s="3">
        <v>3</v>
      </c>
      <c r="I2507" s="3">
        <v>1.46</v>
      </c>
    </row>
    <row r="2508" spans="1:9" x14ac:dyDescent="0.25">
      <c r="A2508" s="9" t="s">
        <v>232</v>
      </c>
      <c r="B2508" s="4">
        <v>763</v>
      </c>
      <c r="C2508" s="4">
        <v>335</v>
      </c>
      <c r="D2508" s="4">
        <v>30</v>
      </c>
      <c r="E2508" s="4">
        <v>335</v>
      </c>
      <c r="F2508" s="4">
        <v>18899</v>
      </c>
      <c r="G2508" s="4">
        <v>185.7</v>
      </c>
      <c r="H2508" s="3">
        <v>3.1333333333333333</v>
      </c>
      <c r="I2508" s="3">
        <v>1.7066666666666668</v>
      </c>
    </row>
    <row r="2509" spans="1:9" x14ac:dyDescent="0.25">
      <c r="A2509" s="9" t="s">
        <v>233</v>
      </c>
      <c r="B2509" s="4">
        <v>44</v>
      </c>
      <c r="C2509" s="4">
        <v>25</v>
      </c>
      <c r="D2509" s="4">
        <v>14</v>
      </c>
      <c r="E2509" s="4">
        <v>25</v>
      </c>
      <c r="F2509" s="4">
        <v>819</v>
      </c>
      <c r="G2509" s="4">
        <v>8.8000000000000007</v>
      </c>
      <c r="H2509" s="3">
        <v>3.2</v>
      </c>
      <c r="I2509" s="3">
        <v>1.39</v>
      </c>
    </row>
    <row r="2510" spans="1:9" x14ac:dyDescent="0.25">
      <c r="A2510" s="9" t="s">
        <v>234</v>
      </c>
      <c r="B2510" s="4">
        <v>78</v>
      </c>
      <c r="C2510" s="4">
        <v>25</v>
      </c>
      <c r="D2510" s="4">
        <v>4</v>
      </c>
      <c r="E2510" s="4">
        <v>25</v>
      </c>
      <c r="F2510" s="4">
        <v>1027</v>
      </c>
      <c r="G2510" s="4">
        <v>9.6</v>
      </c>
      <c r="H2510" s="3">
        <v>3.1</v>
      </c>
      <c r="I2510" s="3">
        <v>1.27</v>
      </c>
    </row>
    <row r="2511" spans="1:9" x14ac:dyDescent="0.25">
      <c r="A2511" s="9" t="s">
        <v>235</v>
      </c>
      <c r="B2511" s="4">
        <v>177</v>
      </c>
      <c r="C2511" s="4">
        <v>50</v>
      </c>
      <c r="D2511" s="4">
        <v>8</v>
      </c>
      <c r="E2511" s="4">
        <v>50</v>
      </c>
      <c r="F2511" s="4">
        <v>3031</v>
      </c>
      <c r="G2511" s="4">
        <v>18.3</v>
      </c>
      <c r="H2511" s="3">
        <v>2.4</v>
      </c>
      <c r="I2511" s="3">
        <v>1.42</v>
      </c>
    </row>
    <row r="2512" spans="1:9" x14ac:dyDescent="0.25">
      <c r="A2512" s="9" t="s">
        <v>236</v>
      </c>
      <c r="B2512" s="4">
        <v>92</v>
      </c>
      <c r="C2512" s="4">
        <v>61</v>
      </c>
      <c r="D2512" s="4">
        <v>6</v>
      </c>
      <c r="E2512" s="4">
        <v>61</v>
      </c>
      <c r="F2512" s="4">
        <v>1360</v>
      </c>
      <c r="G2512" s="4">
        <v>9.3000000000000007</v>
      </c>
      <c r="H2512" s="3">
        <v>2.6</v>
      </c>
      <c r="I2512" s="3">
        <v>1.3</v>
      </c>
    </row>
    <row r="2513" spans="1:9" x14ac:dyDescent="0.25">
      <c r="A2513" s="9" t="s">
        <v>237</v>
      </c>
      <c r="B2513" s="4">
        <v>74</v>
      </c>
      <c r="C2513" s="4">
        <v>522</v>
      </c>
      <c r="D2513" s="4">
        <v>506</v>
      </c>
      <c r="E2513" s="4">
        <v>522</v>
      </c>
      <c r="F2513" s="4">
        <v>1048</v>
      </c>
      <c r="G2513" s="4">
        <v>256.2</v>
      </c>
      <c r="H2513" s="3">
        <v>3</v>
      </c>
      <c r="I2513" s="3">
        <v>1.18</v>
      </c>
    </row>
    <row r="2514" spans="1:9" x14ac:dyDescent="0.25">
      <c r="A2514" s="9" t="s">
        <v>238</v>
      </c>
      <c r="B2514" s="4">
        <v>27</v>
      </c>
      <c r="C2514" s="4">
        <v>40</v>
      </c>
      <c r="D2514" s="4">
        <v>14</v>
      </c>
      <c r="E2514" s="4">
        <v>40</v>
      </c>
      <c r="F2514" s="4">
        <v>258</v>
      </c>
      <c r="G2514" s="4">
        <v>23.4</v>
      </c>
      <c r="H2514" s="3">
        <v>3.1</v>
      </c>
      <c r="I2514" s="3">
        <v>0.93500000000000005</v>
      </c>
    </row>
    <row r="2515" spans="1:9" x14ac:dyDescent="0.25">
      <c r="A2515" s="9" t="s">
        <v>239</v>
      </c>
      <c r="B2515" s="4">
        <v>78</v>
      </c>
      <c r="C2515" s="4">
        <v>25</v>
      </c>
      <c r="D2515" s="4">
        <v>4</v>
      </c>
      <c r="E2515" s="4">
        <v>25</v>
      </c>
      <c r="F2515" s="4">
        <v>716</v>
      </c>
      <c r="G2515" s="4">
        <v>6.4</v>
      </c>
      <c r="H2515" s="3">
        <v>3.3</v>
      </c>
      <c r="I2515" s="3">
        <v>1.49</v>
      </c>
    </row>
    <row r="2516" spans="1:9" x14ac:dyDescent="0.25">
      <c r="A2516" s="9" t="s">
        <v>240</v>
      </c>
      <c r="B2516" s="4">
        <v>52</v>
      </c>
      <c r="C2516" s="4">
        <v>25</v>
      </c>
      <c r="D2516" s="4">
        <v>14</v>
      </c>
      <c r="E2516" s="4">
        <v>25</v>
      </c>
      <c r="F2516" s="4">
        <v>537</v>
      </c>
      <c r="G2516" s="4">
        <v>8.1999999999999993</v>
      </c>
      <c r="H2516" s="3">
        <v>2.7</v>
      </c>
      <c r="I2516" s="3">
        <v>0.97</v>
      </c>
    </row>
    <row r="2517" spans="1:9" x14ac:dyDescent="0.25">
      <c r="A2517" s="9" t="s">
        <v>241</v>
      </c>
      <c r="B2517" s="4">
        <v>727</v>
      </c>
      <c r="C2517" s="4">
        <v>318</v>
      </c>
      <c r="D2517" s="4">
        <v>18</v>
      </c>
      <c r="E2517" s="4">
        <v>318</v>
      </c>
      <c r="F2517" s="4">
        <v>16003</v>
      </c>
      <c r="G2517" s="4">
        <v>207.8</v>
      </c>
      <c r="H2517" s="3">
        <v>4.5999999999999996</v>
      </c>
      <c r="I2517" s="3">
        <v>1.7450000000000001</v>
      </c>
    </row>
    <row r="2518" spans="1:9" x14ac:dyDescent="0.25">
      <c r="A2518" s="9" t="s">
        <v>242</v>
      </c>
      <c r="B2518" s="4">
        <v>24</v>
      </c>
      <c r="C2518" s="4">
        <v>35</v>
      </c>
      <c r="D2518" s="4">
        <v>14</v>
      </c>
      <c r="E2518" s="4">
        <v>35</v>
      </c>
      <c r="F2518" s="4">
        <v>420</v>
      </c>
      <c r="G2518" s="4">
        <v>18</v>
      </c>
      <c r="H2518" s="3">
        <v>2.25</v>
      </c>
      <c r="I2518" s="3">
        <v>1.145</v>
      </c>
    </row>
    <row r="2519" spans="1:9" x14ac:dyDescent="0.25">
      <c r="A2519" s="9" t="s">
        <v>243</v>
      </c>
      <c r="B2519" s="4">
        <v>33</v>
      </c>
      <c r="C2519" s="4">
        <v>17</v>
      </c>
      <c r="D2519" s="4">
        <v>14</v>
      </c>
      <c r="E2519" s="4">
        <v>17</v>
      </c>
      <c r="F2519" s="4">
        <v>443</v>
      </c>
      <c r="G2519" s="4">
        <v>6.7</v>
      </c>
      <c r="H2519" s="3">
        <v>3.3</v>
      </c>
      <c r="I2519" s="3">
        <v>0.98</v>
      </c>
    </row>
    <row r="2520" spans="1:9" x14ac:dyDescent="0.25">
      <c r="A2520" s="9" t="s">
        <v>244</v>
      </c>
      <c r="B2520" s="4">
        <v>106</v>
      </c>
      <c r="C2520" s="4">
        <v>39</v>
      </c>
      <c r="D2520" s="4">
        <v>4</v>
      </c>
      <c r="E2520" s="4">
        <v>39</v>
      </c>
      <c r="F2520" s="4">
        <v>1334</v>
      </c>
      <c r="G2520" s="4">
        <v>8.6999999999999993</v>
      </c>
      <c r="H2520" s="3">
        <v>2.8</v>
      </c>
      <c r="I2520" s="3">
        <v>1.97</v>
      </c>
    </row>
    <row r="2521" spans="1:9" x14ac:dyDescent="0.25">
      <c r="A2521" s="9" t="s">
        <v>245</v>
      </c>
      <c r="B2521" s="4">
        <v>10</v>
      </c>
      <c r="C2521" s="4">
        <v>9</v>
      </c>
      <c r="D2521" s="4">
        <v>14</v>
      </c>
      <c r="E2521" s="4">
        <v>9</v>
      </c>
      <c r="F2521" s="4">
        <v>154</v>
      </c>
      <c r="G2521" s="4">
        <v>2</v>
      </c>
      <c r="H2521" s="3">
        <v>2.9</v>
      </c>
      <c r="I2521" s="3">
        <v>0.9</v>
      </c>
    </row>
    <row r="2522" spans="1:9" x14ac:dyDescent="0.25">
      <c r="A2522" s="9" t="s">
        <v>246</v>
      </c>
      <c r="B2522" s="4">
        <v>94</v>
      </c>
      <c r="C2522" s="4">
        <v>34</v>
      </c>
      <c r="D2522" s="4">
        <v>8</v>
      </c>
      <c r="E2522" s="4">
        <v>34</v>
      </c>
      <c r="F2522" s="4">
        <v>1286</v>
      </c>
      <c r="G2522" s="4">
        <v>8.6</v>
      </c>
      <c r="H2522" s="3">
        <v>3</v>
      </c>
      <c r="I2522" s="3">
        <v>1.72</v>
      </c>
    </row>
    <row r="2523" spans="1:9" x14ac:dyDescent="0.25">
      <c r="A2523" s="9" t="s">
        <v>247</v>
      </c>
      <c r="B2523" s="4">
        <v>40</v>
      </c>
      <c r="C2523" s="4">
        <v>15</v>
      </c>
      <c r="D2523" s="4">
        <v>14</v>
      </c>
      <c r="E2523" s="4">
        <v>15</v>
      </c>
      <c r="F2523" s="4">
        <v>392</v>
      </c>
      <c r="G2523" s="4">
        <v>4.4000000000000004</v>
      </c>
      <c r="H2523" s="3">
        <v>3</v>
      </c>
      <c r="I2523" s="3">
        <v>1.31</v>
      </c>
    </row>
    <row r="2524" spans="1:9" x14ac:dyDescent="0.25">
      <c r="A2524" s="9" t="s">
        <v>248</v>
      </c>
      <c r="B2524" s="4">
        <v>561</v>
      </c>
      <c r="C2524" s="4">
        <v>275</v>
      </c>
      <c r="D2524" s="4">
        <v>22</v>
      </c>
      <c r="E2524" s="4">
        <v>275</v>
      </c>
      <c r="F2524" s="4">
        <v>12386</v>
      </c>
      <c r="G2524" s="4">
        <v>142.30000000000001</v>
      </c>
      <c r="H2524" s="3">
        <v>4.9000000000000004</v>
      </c>
      <c r="I2524" s="3">
        <v>1.79</v>
      </c>
    </row>
    <row r="2525" spans="1:9" x14ac:dyDescent="0.25">
      <c r="A2525" s="9" t="s">
        <v>249</v>
      </c>
      <c r="B2525" s="4">
        <v>46</v>
      </c>
      <c r="C2525" s="4">
        <v>31</v>
      </c>
      <c r="D2525" s="4">
        <v>14</v>
      </c>
      <c r="E2525" s="4">
        <v>30</v>
      </c>
      <c r="F2525" s="4">
        <v>535</v>
      </c>
      <c r="G2525" s="4">
        <v>5.8000000000000007</v>
      </c>
      <c r="H2525" s="3">
        <v>2.7</v>
      </c>
      <c r="I2525" s="3">
        <v>1.095</v>
      </c>
    </row>
    <row r="2526" spans="1:9" x14ac:dyDescent="0.25">
      <c r="A2526" s="9" t="s">
        <v>250</v>
      </c>
      <c r="B2526" s="4">
        <v>4044</v>
      </c>
      <c r="C2526" s="4">
        <v>1593</v>
      </c>
      <c r="D2526" s="4">
        <v>158</v>
      </c>
      <c r="E2526" s="4">
        <v>1593</v>
      </c>
      <c r="F2526" s="4">
        <v>85304</v>
      </c>
      <c r="G2526" s="4">
        <v>986.6</v>
      </c>
      <c r="H2526" s="3">
        <v>4.5166666666666666</v>
      </c>
      <c r="I2526" s="3">
        <v>1.6483333333333332</v>
      </c>
    </row>
    <row r="2527" spans="1:9" x14ac:dyDescent="0.25">
      <c r="A2527" s="9" t="s">
        <v>251</v>
      </c>
      <c r="B2527" s="4">
        <v>4291</v>
      </c>
      <c r="C2527" s="4">
        <v>1829</v>
      </c>
      <c r="D2527" s="4">
        <v>219</v>
      </c>
      <c r="E2527" s="4">
        <v>2630</v>
      </c>
      <c r="F2527" s="4">
        <v>107228</v>
      </c>
      <c r="G2527" s="4">
        <v>1249</v>
      </c>
      <c r="H2527" s="3">
        <v>4.4428571428571431</v>
      </c>
      <c r="I2527" s="3">
        <v>1.6214285714285714</v>
      </c>
    </row>
    <row r="2528" spans="1:9" x14ac:dyDescent="0.25">
      <c r="A2528" s="9" t="s">
        <v>252</v>
      </c>
      <c r="B2528" s="4">
        <v>346</v>
      </c>
      <c r="C2528" s="4">
        <v>157</v>
      </c>
      <c r="D2528" s="4">
        <v>21</v>
      </c>
      <c r="E2528" s="4">
        <v>242</v>
      </c>
      <c r="F2528" s="4">
        <v>6807</v>
      </c>
      <c r="G2528" s="4">
        <v>67.7</v>
      </c>
      <c r="H2528" s="3">
        <v>3.5</v>
      </c>
      <c r="I2528" s="3">
        <v>1.33</v>
      </c>
    </row>
    <row r="2529" spans="1:9" x14ac:dyDescent="0.25">
      <c r="A2529" s="9" t="s">
        <v>253</v>
      </c>
      <c r="B2529" s="4">
        <v>656</v>
      </c>
      <c r="C2529" s="4">
        <v>187</v>
      </c>
      <c r="D2529" s="4">
        <v>24</v>
      </c>
      <c r="E2529" s="4">
        <v>278</v>
      </c>
      <c r="F2529" s="4">
        <v>10920</v>
      </c>
      <c r="G2529" s="4">
        <v>116.7</v>
      </c>
      <c r="H2529" s="3">
        <v>4.0999999999999996</v>
      </c>
      <c r="I2529" s="3">
        <v>1.5</v>
      </c>
    </row>
    <row r="2530" spans="1:9" x14ac:dyDescent="0.25">
      <c r="A2530" s="9" t="s">
        <v>254</v>
      </c>
      <c r="B2530" s="4">
        <v>4544</v>
      </c>
      <c r="C2530" s="4">
        <v>2043</v>
      </c>
      <c r="D2530" s="4">
        <v>108</v>
      </c>
      <c r="E2530" s="4">
        <v>1847</v>
      </c>
      <c r="F2530" s="4">
        <v>101536</v>
      </c>
      <c r="G2530" s="4">
        <v>1463.5000000000002</v>
      </c>
      <c r="H2530" s="3">
        <v>5.4249999999999998</v>
      </c>
      <c r="I2530" s="3">
        <v>1.5100000000000002</v>
      </c>
    </row>
    <row r="2531" spans="1:9" x14ac:dyDescent="0.25">
      <c r="A2531" s="9" t="s">
        <v>255</v>
      </c>
      <c r="B2531" s="4">
        <v>939</v>
      </c>
      <c r="C2531" s="4">
        <v>401</v>
      </c>
      <c r="D2531" s="4">
        <v>22</v>
      </c>
      <c r="E2531" s="4">
        <v>419</v>
      </c>
      <c r="F2531" s="4">
        <v>22304</v>
      </c>
      <c r="G2531" s="4">
        <v>270.2</v>
      </c>
      <c r="H2531" s="3">
        <v>4.5999999999999996</v>
      </c>
      <c r="I2531" s="3">
        <v>1.62</v>
      </c>
    </row>
    <row r="2532" spans="1:9" x14ac:dyDescent="0.25">
      <c r="A2532" s="9" t="s">
        <v>256</v>
      </c>
      <c r="B2532" s="4">
        <v>200</v>
      </c>
      <c r="C2532" s="4">
        <v>152</v>
      </c>
      <c r="D2532" s="4">
        <v>16</v>
      </c>
      <c r="E2532" s="4">
        <v>152</v>
      </c>
      <c r="F2532" s="4">
        <v>3970</v>
      </c>
      <c r="G2532" s="4">
        <v>60.6</v>
      </c>
      <c r="H2532" s="3">
        <v>5.55</v>
      </c>
      <c r="I2532" s="3">
        <v>1.405</v>
      </c>
    </row>
    <row r="2533" spans="1:9" x14ac:dyDescent="0.25">
      <c r="A2533" s="9" t="s">
        <v>257</v>
      </c>
      <c r="B2533" s="4">
        <v>371</v>
      </c>
      <c r="C2533" s="4">
        <v>144</v>
      </c>
      <c r="D2533" s="4">
        <v>6</v>
      </c>
      <c r="E2533" s="4">
        <v>144</v>
      </c>
      <c r="F2533" s="4">
        <v>6218</v>
      </c>
      <c r="G2533" s="4">
        <v>64.7</v>
      </c>
      <c r="H2533" s="3">
        <v>4</v>
      </c>
      <c r="I2533" s="3">
        <v>1.33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D992D-F81D-4545-BCC2-C8E293E9004D}">
  <dimension ref="A3:A2536"/>
  <sheetViews>
    <sheetView workbookViewId="0">
      <selection activeCell="A3" sqref="A3"/>
    </sheetView>
  </sheetViews>
  <sheetFormatPr defaultRowHeight="15" x14ac:dyDescent="0.25"/>
  <cols>
    <col min="1" max="1" width="13.140625" bestFit="1" customWidth="1"/>
  </cols>
  <sheetData>
    <row r="3" spans="1:1" x14ac:dyDescent="0.25">
      <c r="A3" s="19" t="s">
        <v>1</v>
      </c>
    </row>
    <row r="4" spans="1:1" x14ac:dyDescent="0.25">
      <c r="A4" s="20">
        <v>10001</v>
      </c>
    </row>
    <row r="5" spans="1:1" x14ac:dyDescent="0.25">
      <c r="A5" s="20">
        <v>10003</v>
      </c>
    </row>
    <row r="6" spans="1:1" x14ac:dyDescent="0.25">
      <c r="A6" s="20">
        <v>10005</v>
      </c>
    </row>
    <row r="7" spans="1:1" x14ac:dyDescent="0.25">
      <c r="A7" s="20">
        <v>11001</v>
      </c>
    </row>
    <row r="8" spans="1:1" x14ac:dyDescent="0.25">
      <c r="A8" s="20">
        <v>12001</v>
      </c>
    </row>
    <row r="9" spans="1:1" x14ac:dyDescent="0.25">
      <c r="A9" s="20">
        <v>12003</v>
      </c>
    </row>
    <row r="10" spans="1:1" x14ac:dyDescent="0.25">
      <c r="A10" s="20">
        <v>12005</v>
      </c>
    </row>
    <row r="11" spans="1:1" x14ac:dyDescent="0.25">
      <c r="A11" s="20">
        <v>12007</v>
      </c>
    </row>
    <row r="12" spans="1:1" x14ac:dyDescent="0.25">
      <c r="A12" s="20">
        <v>12009</v>
      </c>
    </row>
    <row r="13" spans="1:1" x14ac:dyDescent="0.25">
      <c r="A13" s="20">
        <v>12011</v>
      </c>
    </row>
    <row r="14" spans="1:1" x14ac:dyDescent="0.25">
      <c r="A14" s="20">
        <v>12013</v>
      </c>
    </row>
    <row r="15" spans="1:1" x14ac:dyDescent="0.25">
      <c r="A15" s="20">
        <v>12015</v>
      </c>
    </row>
    <row r="16" spans="1:1" x14ac:dyDescent="0.25">
      <c r="A16" s="20">
        <v>12017</v>
      </c>
    </row>
    <row r="17" spans="1:1" x14ac:dyDescent="0.25">
      <c r="A17" s="20">
        <v>12019</v>
      </c>
    </row>
    <row r="18" spans="1:1" x14ac:dyDescent="0.25">
      <c r="A18" s="20">
        <v>12021</v>
      </c>
    </row>
    <row r="19" spans="1:1" x14ac:dyDescent="0.25">
      <c r="A19" s="20">
        <v>12023</v>
      </c>
    </row>
    <row r="20" spans="1:1" x14ac:dyDescent="0.25">
      <c r="A20" s="20">
        <v>12027</v>
      </c>
    </row>
    <row r="21" spans="1:1" x14ac:dyDescent="0.25">
      <c r="A21" s="20">
        <v>12031</v>
      </c>
    </row>
    <row r="22" spans="1:1" x14ac:dyDescent="0.25">
      <c r="A22" s="20">
        <v>12033</v>
      </c>
    </row>
    <row r="23" spans="1:1" x14ac:dyDescent="0.25">
      <c r="A23" s="20">
        <v>12035</v>
      </c>
    </row>
    <row r="24" spans="1:1" x14ac:dyDescent="0.25">
      <c r="A24" s="20">
        <v>12037</v>
      </c>
    </row>
    <row r="25" spans="1:1" x14ac:dyDescent="0.25">
      <c r="A25" s="20">
        <v>12039</v>
      </c>
    </row>
    <row r="26" spans="1:1" x14ac:dyDescent="0.25">
      <c r="A26" s="20">
        <v>12045</v>
      </c>
    </row>
    <row r="27" spans="1:1" x14ac:dyDescent="0.25">
      <c r="A27" s="20">
        <v>12049</v>
      </c>
    </row>
    <row r="28" spans="1:1" x14ac:dyDescent="0.25">
      <c r="A28" s="20">
        <v>12051</v>
      </c>
    </row>
    <row r="29" spans="1:1" x14ac:dyDescent="0.25">
      <c r="A29" s="20">
        <v>12053</v>
      </c>
    </row>
    <row r="30" spans="1:1" x14ac:dyDescent="0.25">
      <c r="A30" s="20">
        <v>12055</v>
      </c>
    </row>
    <row r="31" spans="1:1" x14ac:dyDescent="0.25">
      <c r="A31" s="20">
        <v>12057</v>
      </c>
    </row>
    <row r="32" spans="1:1" x14ac:dyDescent="0.25">
      <c r="A32" s="20">
        <v>12059</v>
      </c>
    </row>
    <row r="33" spans="1:1" x14ac:dyDescent="0.25">
      <c r="A33" s="20">
        <v>12061</v>
      </c>
    </row>
    <row r="34" spans="1:1" x14ac:dyDescent="0.25">
      <c r="A34" s="20">
        <v>12063</v>
      </c>
    </row>
    <row r="35" spans="1:1" x14ac:dyDescent="0.25">
      <c r="A35" s="20">
        <v>12069</v>
      </c>
    </row>
    <row r="36" spans="1:1" x14ac:dyDescent="0.25">
      <c r="A36" s="20">
        <v>12071</v>
      </c>
    </row>
    <row r="37" spans="1:1" x14ac:dyDescent="0.25">
      <c r="A37" s="20">
        <v>12073</v>
      </c>
    </row>
    <row r="38" spans="1:1" x14ac:dyDescent="0.25">
      <c r="A38" s="20">
        <v>12075</v>
      </c>
    </row>
    <row r="39" spans="1:1" x14ac:dyDescent="0.25">
      <c r="A39" s="20">
        <v>12079</v>
      </c>
    </row>
    <row r="40" spans="1:1" x14ac:dyDescent="0.25">
      <c r="A40" s="20">
        <v>12081</v>
      </c>
    </row>
    <row r="41" spans="1:1" x14ac:dyDescent="0.25">
      <c r="A41" s="20">
        <v>12083</v>
      </c>
    </row>
    <row r="42" spans="1:1" x14ac:dyDescent="0.25">
      <c r="A42" s="20">
        <v>12085</v>
      </c>
    </row>
    <row r="43" spans="1:1" x14ac:dyDescent="0.25">
      <c r="A43" s="20">
        <v>12086</v>
      </c>
    </row>
    <row r="44" spans="1:1" x14ac:dyDescent="0.25">
      <c r="A44" s="20">
        <v>12087</v>
      </c>
    </row>
    <row r="45" spans="1:1" x14ac:dyDescent="0.25">
      <c r="A45" s="20">
        <v>12089</v>
      </c>
    </row>
    <row r="46" spans="1:1" x14ac:dyDescent="0.25">
      <c r="A46" s="20">
        <v>12091</v>
      </c>
    </row>
    <row r="47" spans="1:1" x14ac:dyDescent="0.25">
      <c r="A47" s="20">
        <v>12093</v>
      </c>
    </row>
    <row r="48" spans="1:1" x14ac:dyDescent="0.25">
      <c r="A48" s="20">
        <v>12095</v>
      </c>
    </row>
    <row r="49" spans="1:1" x14ac:dyDescent="0.25">
      <c r="A49" s="20">
        <v>12097</v>
      </c>
    </row>
    <row r="50" spans="1:1" x14ac:dyDescent="0.25">
      <c r="A50" s="20">
        <v>12099</v>
      </c>
    </row>
    <row r="51" spans="1:1" x14ac:dyDescent="0.25">
      <c r="A51" s="20">
        <v>12101</v>
      </c>
    </row>
    <row r="52" spans="1:1" x14ac:dyDescent="0.25">
      <c r="A52" s="20">
        <v>12103</v>
      </c>
    </row>
    <row r="53" spans="1:1" x14ac:dyDescent="0.25">
      <c r="A53" s="20">
        <v>12105</v>
      </c>
    </row>
    <row r="54" spans="1:1" x14ac:dyDescent="0.25">
      <c r="A54" s="20">
        <v>12107</v>
      </c>
    </row>
    <row r="55" spans="1:1" x14ac:dyDescent="0.25">
      <c r="A55" s="20">
        <v>12109</v>
      </c>
    </row>
    <row r="56" spans="1:1" x14ac:dyDescent="0.25">
      <c r="A56" s="20">
        <v>12111</v>
      </c>
    </row>
    <row r="57" spans="1:1" x14ac:dyDescent="0.25">
      <c r="A57" s="20">
        <v>12113</v>
      </c>
    </row>
    <row r="58" spans="1:1" x14ac:dyDescent="0.25">
      <c r="A58" s="20">
        <v>12115</v>
      </c>
    </row>
    <row r="59" spans="1:1" x14ac:dyDescent="0.25">
      <c r="A59" s="20">
        <v>12117</v>
      </c>
    </row>
    <row r="60" spans="1:1" x14ac:dyDescent="0.25">
      <c r="A60" s="20">
        <v>12121</v>
      </c>
    </row>
    <row r="61" spans="1:1" x14ac:dyDescent="0.25">
      <c r="A61" s="20">
        <v>12123</v>
      </c>
    </row>
    <row r="62" spans="1:1" x14ac:dyDescent="0.25">
      <c r="A62" s="20">
        <v>12125</v>
      </c>
    </row>
    <row r="63" spans="1:1" x14ac:dyDescent="0.25">
      <c r="A63" s="20">
        <v>12127</v>
      </c>
    </row>
    <row r="64" spans="1:1" x14ac:dyDescent="0.25">
      <c r="A64" s="20">
        <v>12131</v>
      </c>
    </row>
    <row r="65" spans="1:1" x14ac:dyDescent="0.25">
      <c r="A65" s="20">
        <v>12133</v>
      </c>
    </row>
    <row r="66" spans="1:1" x14ac:dyDescent="0.25">
      <c r="A66" s="20">
        <v>13001</v>
      </c>
    </row>
    <row r="67" spans="1:1" x14ac:dyDescent="0.25">
      <c r="A67" s="20">
        <v>13005</v>
      </c>
    </row>
    <row r="68" spans="1:1" x14ac:dyDescent="0.25">
      <c r="A68" s="20">
        <v>13009</v>
      </c>
    </row>
    <row r="69" spans="1:1" x14ac:dyDescent="0.25">
      <c r="A69" s="20">
        <v>13013</v>
      </c>
    </row>
    <row r="70" spans="1:1" x14ac:dyDescent="0.25">
      <c r="A70" s="20">
        <v>13015</v>
      </c>
    </row>
    <row r="71" spans="1:1" x14ac:dyDescent="0.25">
      <c r="A71" s="20">
        <v>13017</v>
      </c>
    </row>
    <row r="72" spans="1:1" x14ac:dyDescent="0.25">
      <c r="A72" s="20">
        <v>13019</v>
      </c>
    </row>
    <row r="73" spans="1:1" x14ac:dyDescent="0.25">
      <c r="A73" s="20">
        <v>13021</v>
      </c>
    </row>
    <row r="74" spans="1:1" x14ac:dyDescent="0.25">
      <c r="A74" s="20">
        <v>13023</v>
      </c>
    </row>
    <row r="75" spans="1:1" x14ac:dyDescent="0.25">
      <c r="A75" s="20">
        <v>13027</v>
      </c>
    </row>
    <row r="76" spans="1:1" x14ac:dyDescent="0.25">
      <c r="A76" s="20">
        <v>13031</v>
      </c>
    </row>
    <row r="77" spans="1:1" x14ac:dyDescent="0.25">
      <c r="A77" s="20">
        <v>13033</v>
      </c>
    </row>
    <row r="78" spans="1:1" x14ac:dyDescent="0.25">
      <c r="A78" s="20">
        <v>13035</v>
      </c>
    </row>
    <row r="79" spans="1:1" x14ac:dyDescent="0.25">
      <c r="A79" s="20">
        <v>13037</v>
      </c>
    </row>
    <row r="80" spans="1:1" x14ac:dyDescent="0.25">
      <c r="A80" s="20">
        <v>13039</v>
      </c>
    </row>
    <row r="81" spans="1:1" x14ac:dyDescent="0.25">
      <c r="A81" s="20">
        <v>13043</v>
      </c>
    </row>
    <row r="82" spans="1:1" x14ac:dyDescent="0.25">
      <c r="A82" s="20">
        <v>13045</v>
      </c>
    </row>
    <row r="83" spans="1:1" x14ac:dyDescent="0.25">
      <c r="A83" s="20">
        <v>13047</v>
      </c>
    </row>
    <row r="84" spans="1:1" x14ac:dyDescent="0.25">
      <c r="A84" s="20">
        <v>13049</v>
      </c>
    </row>
    <row r="85" spans="1:1" x14ac:dyDescent="0.25">
      <c r="A85" s="20">
        <v>13051</v>
      </c>
    </row>
    <row r="86" spans="1:1" x14ac:dyDescent="0.25">
      <c r="A86" s="20">
        <v>13057</v>
      </c>
    </row>
    <row r="87" spans="1:1" x14ac:dyDescent="0.25">
      <c r="A87" s="20">
        <v>13059</v>
      </c>
    </row>
    <row r="88" spans="1:1" x14ac:dyDescent="0.25">
      <c r="A88" s="20">
        <v>13063</v>
      </c>
    </row>
    <row r="89" spans="1:1" x14ac:dyDescent="0.25">
      <c r="A89" s="20">
        <v>13065</v>
      </c>
    </row>
    <row r="90" spans="1:1" x14ac:dyDescent="0.25">
      <c r="A90" s="20">
        <v>13067</v>
      </c>
    </row>
    <row r="91" spans="1:1" x14ac:dyDescent="0.25">
      <c r="A91" s="20">
        <v>13069</v>
      </c>
    </row>
    <row r="92" spans="1:1" x14ac:dyDescent="0.25">
      <c r="A92" s="20">
        <v>13071</v>
      </c>
    </row>
    <row r="93" spans="1:1" x14ac:dyDescent="0.25">
      <c r="A93" s="20">
        <v>13073</v>
      </c>
    </row>
    <row r="94" spans="1:1" x14ac:dyDescent="0.25">
      <c r="A94" s="20">
        <v>13075</v>
      </c>
    </row>
    <row r="95" spans="1:1" x14ac:dyDescent="0.25">
      <c r="A95" s="20">
        <v>13077</v>
      </c>
    </row>
    <row r="96" spans="1:1" x14ac:dyDescent="0.25">
      <c r="A96" s="20">
        <v>13081</v>
      </c>
    </row>
    <row r="97" spans="1:1" x14ac:dyDescent="0.25">
      <c r="A97" s="20">
        <v>13083</v>
      </c>
    </row>
    <row r="98" spans="1:1" x14ac:dyDescent="0.25">
      <c r="A98" s="20">
        <v>13087</v>
      </c>
    </row>
    <row r="99" spans="1:1" x14ac:dyDescent="0.25">
      <c r="A99" s="20">
        <v>13089</v>
      </c>
    </row>
    <row r="100" spans="1:1" x14ac:dyDescent="0.25">
      <c r="A100" s="20">
        <v>13091</v>
      </c>
    </row>
    <row r="101" spans="1:1" x14ac:dyDescent="0.25">
      <c r="A101" s="20">
        <v>13095</v>
      </c>
    </row>
    <row r="102" spans="1:1" x14ac:dyDescent="0.25">
      <c r="A102" s="20">
        <v>13097</v>
      </c>
    </row>
    <row r="103" spans="1:1" x14ac:dyDescent="0.25">
      <c r="A103" s="20">
        <v>13099</v>
      </c>
    </row>
    <row r="104" spans="1:1" x14ac:dyDescent="0.25">
      <c r="A104" s="20">
        <v>13103</v>
      </c>
    </row>
    <row r="105" spans="1:1" x14ac:dyDescent="0.25">
      <c r="A105" s="20">
        <v>13105</v>
      </c>
    </row>
    <row r="106" spans="1:1" x14ac:dyDescent="0.25">
      <c r="A106" s="20">
        <v>13107</v>
      </c>
    </row>
    <row r="107" spans="1:1" x14ac:dyDescent="0.25">
      <c r="A107" s="20">
        <v>13109</v>
      </c>
    </row>
    <row r="108" spans="1:1" x14ac:dyDescent="0.25">
      <c r="A108" s="20">
        <v>13111</v>
      </c>
    </row>
    <row r="109" spans="1:1" x14ac:dyDescent="0.25">
      <c r="A109" s="20">
        <v>13113</v>
      </c>
    </row>
    <row r="110" spans="1:1" x14ac:dyDescent="0.25">
      <c r="A110" s="20">
        <v>13115</v>
      </c>
    </row>
    <row r="111" spans="1:1" x14ac:dyDescent="0.25">
      <c r="A111" s="20">
        <v>13117</v>
      </c>
    </row>
    <row r="112" spans="1:1" x14ac:dyDescent="0.25">
      <c r="A112" s="20">
        <v>13119</v>
      </c>
    </row>
    <row r="113" spans="1:1" x14ac:dyDescent="0.25">
      <c r="A113" s="20">
        <v>13121</v>
      </c>
    </row>
    <row r="114" spans="1:1" x14ac:dyDescent="0.25">
      <c r="A114" s="20">
        <v>13123</v>
      </c>
    </row>
    <row r="115" spans="1:1" x14ac:dyDescent="0.25">
      <c r="A115" s="20">
        <v>13127</v>
      </c>
    </row>
    <row r="116" spans="1:1" x14ac:dyDescent="0.25">
      <c r="A116" s="20">
        <v>13129</v>
      </c>
    </row>
    <row r="117" spans="1:1" x14ac:dyDescent="0.25">
      <c r="A117" s="20">
        <v>13131</v>
      </c>
    </row>
    <row r="118" spans="1:1" x14ac:dyDescent="0.25">
      <c r="A118" s="20">
        <v>13133</v>
      </c>
    </row>
    <row r="119" spans="1:1" x14ac:dyDescent="0.25">
      <c r="A119" s="20">
        <v>13135</v>
      </c>
    </row>
    <row r="120" spans="1:1" x14ac:dyDescent="0.25">
      <c r="A120" s="20">
        <v>13137</v>
      </c>
    </row>
    <row r="121" spans="1:1" x14ac:dyDescent="0.25">
      <c r="A121" s="20">
        <v>13139</v>
      </c>
    </row>
    <row r="122" spans="1:1" x14ac:dyDescent="0.25">
      <c r="A122" s="20">
        <v>13143</v>
      </c>
    </row>
    <row r="123" spans="1:1" x14ac:dyDescent="0.25">
      <c r="A123" s="20">
        <v>13147</v>
      </c>
    </row>
    <row r="124" spans="1:1" x14ac:dyDescent="0.25">
      <c r="A124" s="20">
        <v>13151</v>
      </c>
    </row>
    <row r="125" spans="1:1" x14ac:dyDescent="0.25">
      <c r="A125" s="20">
        <v>13153</v>
      </c>
    </row>
    <row r="126" spans="1:1" x14ac:dyDescent="0.25">
      <c r="A126" s="20">
        <v>13155</v>
      </c>
    </row>
    <row r="127" spans="1:1" x14ac:dyDescent="0.25">
      <c r="A127" s="20">
        <v>13157</v>
      </c>
    </row>
    <row r="128" spans="1:1" x14ac:dyDescent="0.25">
      <c r="A128" s="20">
        <v>13159</v>
      </c>
    </row>
    <row r="129" spans="1:1" x14ac:dyDescent="0.25">
      <c r="A129" s="20">
        <v>13161</v>
      </c>
    </row>
    <row r="130" spans="1:1" x14ac:dyDescent="0.25">
      <c r="A130" s="20">
        <v>13163</v>
      </c>
    </row>
    <row r="131" spans="1:1" x14ac:dyDescent="0.25">
      <c r="A131" s="20">
        <v>13165</v>
      </c>
    </row>
    <row r="132" spans="1:1" x14ac:dyDescent="0.25">
      <c r="A132" s="20">
        <v>13173</v>
      </c>
    </row>
    <row r="133" spans="1:1" x14ac:dyDescent="0.25">
      <c r="A133" s="20">
        <v>13175</v>
      </c>
    </row>
    <row r="134" spans="1:1" x14ac:dyDescent="0.25">
      <c r="A134" s="20">
        <v>13179</v>
      </c>
    </row>
    <row r="135" spans="1:1" x14ac:dyDescent="0.25">
      <c r="A135" s="20">
        <v>13185</v>
      </c>
    </row>
    <row r="136" spans="1:1" x14ac:dyDescent="0.25">
      <c r="A136" s="20">
        <v>13187</v>
      </c>
    </row>
    <row r="137" spans="1:1" x14ac:dyDescent="0.25">
      <c r="A137" s="20">
        <v>13189</v>
      </c>
    </row>
    <row r="138" spans="1:1" x14ac:dyDescent="0.25">
      <c r="A138" s="20">
        <v>13193</v>
      </c>
    </row>
    <row r="139" spans="1:1" x14ac:dyDescent="0.25">
      <c r="A139" s="20">
        <v>13199</v>
      </c>
    </row>
    <row r="140" spans="1:1" x14ac:dyDescent="0.25">
      <c r="A140" s="20">
        <v>13201</v>
      </c>
    </row>
    <row r="141" spans="1:1" x14ac:dyDescent="0.25">
      <c r="A141" s="20">
        <v>13205</v>
      </c>
    </row>
    <row r="142" spans="1:1" x14ac:dyDescent="0.25">
      <c r="A142" s="20">
        <v>13207</v>
      </c>
    </row>
    <row r="143" spans="1:1" x14ac:dyDescent="0.25">
      <c r="A143" s="20">
        <v>13211</v>
      </c>
    </row>
    <row r="144" spans="1:1" x14ac:dyDescent="0.25">
      <c r="A144" s="20">
        <v>13213</v>
      </c>
    </row>
    <row r="145" spans="1:1" x14ac:dyDescent="0.25">
      <c r="A145" s="20">
        <v>13215</v>
      </c>
    </row>
    <row r="146" spans="1:1" x14ac:dyDescent="0.25">
      <c r="A146" s="20">
        <v>13217</v>
      </c>
    </row>
    <row r="147" spans="1:1" x14ac:dyDescent="0.25">
      <c r="A147" s="20">
        <v>13223</v>
      </c>
    </row>
    <row r="148" spans="1:1" x14ac:dyDescent="0.25">
      <c r="A148" s="20">
        <v>13225</v>
      </c>
    </row>
    <row r="149" spans="1:1" x14ac:dyDescent="0.25">
      <c r="A149" s="20">
        <v>13227</v>
      </c>
    </row>
    <row r="150" spans="1:1" x14ac:dyDescent="0.25">
      <c r="A150" s="20">
        <v>13233</v>
      </c>
    </row>
    <row r="151" spans="1:1" x14ac:dyDescent="0.25">
      <c r="A151" s="20">
        <v>13235</v>
      </c>
    </row>
    <row r="152" spans="1:1" x14ac:dyDescent="0.25">
      <c r="A152" s="20">
        <v>13237</v>
      </c>
    </row>
    <row r="153" spans="1:1" x14ac:dyDescent="0.25">
      <c r="A153" s="20">
        <v>13241</v>
      </c>
    </row>
    <row r="154" spans="1:1" x14ac:dyDescent="0.25">
      <c r="A154" s="20">
        <v>13243</v>
      </c>
    </row>
    <row r="155" spans="1:1" x14ac:dyDescent="0.25">
      <c r="A155" s="20">
        <v>13245</v>
      </c>
    </row>
    <row r="156" spans="1:1" x14ac:dyDescent="0.25">
      <c r="A156" s="20">
        <v>13247</v>
      </c>
    </row>
    <row r="157" spans="1:1" x14ac:dyDescent="0.25">
      <c r="A157" s="20">
        <v>13251</v>
      </c>
    </row>
    <row r="158" spans="1:1" x14ac:dyDescent="0.25">
      <c r="A158" s="20">
        <v>13253</v>
      </c>
    </row>
    <row r="159" spans="1:1" x14ac:dyDescent="0.25">
      <c r="A159" s="20">
        <v>13255</v>
      </c>
    </row>
    <row r="160" spans="1:1" x14ac:dyDescent="0.25">
      <c r="A160" s="20">
        <v>13257</v>
      </c>
    </row>
    <row r="161" spans="1:1" x14ac:dyDescent="0.25">
      <c r="A161" s="20">
        <v>13259</v>
      </c>
    </row>
    <row r="162" spans="1:1" x14ac:dyDescent="0.25">
      <c r="A162" s="20">
        <v>13261</v>
      </c>
    </row>
    <row r="163" spans="1:1" x14ac:dyDescent="0.25">
      <c r="A163" s="20">
        <v>13267</v>
      </c>
    </row>
    <row r="164" spans="1:1" x14ac:dyDescent="0.25">
      <c r="A164" s="20">
        <v>13275</v>
      </c>
    </row>
    <row r="165" spans="1:1" x14ac:dyDescent="0.25">
      <c r="A165" s="20">
        <v>13277</v>
      </c>
    </row>
    <row r="166" spans="1:1" x14ac:dyDescent="0.25">
      <c r="A166" s="20">
        <v>13279</v>
      </c>
    </row>
    <row r="167" spans="1:1" x14ac:dyDescent="0.25">
      <c r="A167" s="20">
        <v>13281</v>
      </c>
    </row>
    <row r="168" spans="1:1" x14ac:dyDescent="0.25">
      <c r="A168" s="20">
        <v>13285</v>
      </c>
    </row>
    <row r="169" spans="1:1" x14ac:dyDescent="0.25">
      <c r="A169" s="20">
        <v>13291</v>
      </c>
    </row>
    <row r="170" spans="1:1" x14ac:dyDescent="0.25">
      <c r="A170" s="20">
        <v>13293</v>
      </c>
    </row>
    <row r="171" spans="1:1" x14ac:dyDescent="0.25">
      <c r="A171" s="20">
        <v>13297</v>
      </c>
    </row>
    <row r="172" spans="1:1" x14ac:dyDescent="0.25">
      <c r="A172" s="20">
        <v>13299</v>
      </c>
    </row>
    <row r="173" spans="1:1" x14ac:dyDescent="0.25">
      <c r="A173" s="20">
        <v>13303</v>
      </c>
    </row>
    <row r="174" spans="1:1" x14ac:dyDescent="0.25">
      <c r="A174" s="20">
        <v>13305</v>
      </c>
    </row>
    <row r="175" spans="1:1" x14ac:dyDescent="0.25">
      <c r="A175" s="20">
        <v>13309</v>
      </c>
    </row>
    <row r="176" spans="1:1" x14ac:dyDescent="0.25">
      <c r="A176" s="20">
        <v>13313</v>
      </c>
    </row>
    <row r="177" spans="1:1" x14ac:dyDescent="0.25">
      <c r="A177" s="20">
        <v>13317</v>
      </c>
    </row>
    <row r="178" spans="1:1" x14ac:dyDescent="0.25">
      <c r="A178" s="20">
        <v>13321</v>
      </c>
    </row>
    <row r="179" spans="1:1" x14ac:dyDescent="0.25">
      <c r="A179" s="20">
        <v>15001</v>
      </c>
    </row>
    <row r="180" spans="1:1" x14ac:dyDescent="0.25">
      <c r="A180" s="20">
        <v>15003</v>
      </c>
    </row>
    <row r="181" spans="1:1" x14ac:dyDescent="0.25">
      <c r="A181" s="20">
        <v>15007</v>
      </c>
    </row>
    <row r="182" spans="1:1" x14ac:dyDescent="0.25">
      <c r="A182" s="20">
        <v>15009</v>
      </c>
    </row>
    <row r="183" spans="1:1" x14ac:dyDescent="0.25">
      <c r="A183" s="20">
        <v>16001</v>
      </c>
    </row>
    <row r="184" spans="1:1" x14ac:dyDescent="0.25">
      <c r="A184" s="20">
        <v>16005</v>
      </c>
    </row>
    <row r="185" spans="1:1" x14ac:dyDescent="0.25">
      <c r="A185" s="20">
        <v>16007</v>
      </c>
    </row>
    <row r="186" spans="1:1" x14ac:dyDescent="0.25">
      <c r="A186" s="20">
        <v>16009</v>
      </c>
    </row>
    <row r="187" spans="1:1" x14ac:dyDescent="0.25">
      <c r="A187" s="20">
        <v>16011</v>
      </c>
    </row>
    <row r="188" spans="1:1" x14ac:dyDescent="0.25">
      <c r="A188" s="20">
        <v>16013</v>
      </c>
    </row>
    <row r="189" spans="1:1" x14ac:dyDescent="0.25">
      <c r="A189" s="20">
        <v>16017</v>
      </c>
    </row>
    <row r="190" spans="1:1" x14ac:dyDescent="0.25">
      <c r="A190" s="20">
        <v>16019</v>
      </c>
    </row>
    <row r="191" spans="1:1" x14ac:dyDescent="0.25">
      <c r="A191" s="20">
        <v>16021</v>
      </c>
    </row>
    <row r="192" spans="1:1" x14ac:dyDescent="0.25">
      <c r="A192" s="20">
        <v>16023</v>
      </c>
    </row>
    <row r="193" spans="1:1" x14ac:dyDescent="0.25">
      <c r="A193" s="20">
        <v>16027</v>
      </c>
    </row>
    <row r="194" spans="1:1" x14ac:dyDescent="0.25">
      <c r="A194" s="20">
        <v>16029</v>
      </c>
    </row>
    <row r="195" spans="1:1" x14ac:dyDescent="0.25">
      <c r="A195" s="20">
        <v>16031</v>
      </c>
    </row>
    <row r="196" spans="1:1" x14ac:dyDescent="0.25">
      <c r="A196" s="20">
        <v>16035</v>
      </c>
    </row>
    <row r="197" spans="1:1" x14ac:dyDescent="0.25">
      <c r="A197" s="20">
        <v>16039</v>
      </c>
    </row>
    <row r="198" spans="1:1" x14ac:dyDescent="0.25">
      <c r="A198" s="20">
        <v>16041</v>
      </c>
    </row>
    <row r="199" spans="1:1" x14ac:dyDescent="0.25">
      <c r="A199" s="20">
        <v>16045</v>
      </c>
    </row>
    <row r="200" spans="1:1" x14ac:dyDescent="0.25">
      <c r="A200" s="20">
        <v>16047</v>
      </c>
    </row>
    <row r="201" spans="1:1" x14ac:dyDescent="0.25">
      <c r="A201" s="20">
        <v>16049</v>
      </c>
    </row>
    <row r="202" spans="1:1" x14ac:dyDescent="0.25">
      <c r="A202" s="20">
        <v>16053</v>
      </c>
    </row>
    <row r="203" spans="1:1" x14ac:dyDescent="0.25">
      <c r="A203" s="20">
        <v>16055</v>
      </c>
    </row>
    <row r="204" spans="1:1" x14ac:dyDescent="0.25">
      <c r="A204" s="20">
        <v>16057</v>
      </c>
    </row>
    <row r="205" spans="1:1" x14ac:dyDescent="0.25">
      <c r="A205" s="20">
        <v>16059</v>
      </c>
    </row>
    <row r="206" spans="1:1" x14ac:dyDescent="0.25">
      <c r="A206" s="20">
        <v>16065</v>
      </c>
    </row>
    <row r="207" spans="1:1" x14ac:dyDescent="0.25">
      <c r="A207" s="20">
        <v>16067</v>
      </c>
    </row>
    <row r="208" spans="1:1" x14ac:dyDescent="0.25">
      <c r="A208" s="20">
        <v>16069</v>
      </c>
    </row>
    <row r="209" spans="1:1" x14ac:dyDescent="0.25">
      <c r="A209" s="20">
        <v>16071</v>
      </c>
    </row>
    <row r="210" spans="1:1" x14ac:dyDescent="0.25">
      <c r="A210" s="20">
        <v>16077</v>
      </c>
    </row>
    <row r="211" spans="1:1" x14ac:dyDescent="0.25">
      <c r="A211" s="20">
        <v>16079</v>
      </c>
    </row>
    <row r="212" spans="1:1" x14ac:dyDescent="0.25">
      <c r="A212" s="20">
        <v>16081</v>
      </c>
    </row>
    <row r="213" spans="1:1" x14ac:dyDescent="0.25">
      <c r="A213" s="20">
        <v>16083</v>
      </c>
    </row>
    <row r="214" spans="1:1" x14ac:dyDescent="0.25">
      <c r="A214" s="20">
        <v>16085</v>
      </c>
    </row>
    <row r="215" spans="1:1" x14ac:dyDescent="0.25">
      <c r="A215" s="20">
        <v>16087</v>
      </c>
    </row>
    <row r="216" spans="1:1" x14ac:dyDescent="0.25">
      <c r="A216" s="20">
        <v>17001</v>
      </c>
    </row>
    <row r="217" spans="1:1" x14ac:dyDescent="0.25">
      <c r="A217" s="20">
        <v>17005</v>
      </c>
    </row>
    <row r="218" spans="1:1" x14ac:dyDescent="0.25">
      <c r="A218" s="20">
        <v>17007</v>
      </c>
    </row>
    <row r="219" spans="1:1" x14ac:dyDescent="0.25">
      <c r="A219" s="20">
        <v>17011</v>
      </c>
    </row>
    <row r="220" spans="1:1" x14ac:dyDescent="0.25">
      <c r="A220" s="20">
        <v>17019</v>
      </c>
    </row>
    <row r="221" spans="1:1" x14ac:dyDescent="0.25">
      <c r="A221" s="20">
        <v>17021</v>
      </c>
    </row>
    <row r="222" spans="1:1" x14ac:dyDescent="0.25">
      <c r="A222" s="20">
        <v>17025</v>
      </c>
    </row>
    <row r="223" spans="1:1" x14ac:dyDescent="0.25">
      <c r="A223" s="20">
        <v>17027</v>
      </c>
    </row>
    <row r="224" spans="1:1" x14ac:dyDescent="0.25">
      <c r="A224" s="20">
        <v>17029</v>
      </c>
    </row>
    <row r="225" spans="1:1" x14ac:dyDescent="0.25">
      <c r="A225" s="20">
        <v>17031</v>
      </c>
    </row>
    <row r="226" spans="1:1" x14ac:dyDescent="0.25">
      <c r="A226" s="20">
        <v>17033</v>
      </c>
    </row>
    <row r="227" spans="1:1" x14ac:dyDescent="0.25">
      <c r="A227" s="20">
        <v>17037</v>
      </c>
    </row>
    <row r="228" spans="1:1" x14ac:dyDescent="0.25">
      <c r="A228" s="20">
        <v>17039</v>
      </c>
    </row>
    <row r="229" spans="1:1" x14ac:dyDescent="0.25">
      <c r="A229" s="20">
        <v>17043</v>
      </c>
    </row>
    <row r="230" spans="1:1" x14ac:dyDescent="0.25">
      <c r="A230" s="20">
        <v>17045</v>
      </c>
    </row>
    <row r="231" spans="1:1" x14ac:dyDescent="0.25">
      <c r="A231" s="20">
        <v>17049</v>
      </c>
    </row>
    <row r="232" spans="1:1" x14ac:dyDescent="0.25">
      <c r="A232" s="20">
        <v>17051</v>
      </c>
    </row>
    <row r="233" spans="1:1" x14ac:dyDescent="0.25">
      <c r="A233" s="20">
        <v>17053</v>
      </c>
    </row>
    <row r="234" spans="1:1" x14ac:dyDescent="0.25">
      <c r="A234" s="20">
        <v>17055</v>
      </c>
    </row>
    <row r="235" spans="1:1" x14ac:dyDescent="0.25">
      <c r="A235" s="20">
        <v>17057</v>
      </c>
    </row>
    <row r="236" spans="1:1" x14ac:dyDescent="0.25">
      <c r="A236" s="20">
        <v>17061</v>
      </c>
    </row>
    <row r="237" spans="1:1" x14ac:dyDescent="0.25">
      <c r="A237" s="20">
        <v>17063</v>
      </c>
    </row>
    <row r="238" spans="1:1" x14ac:dyDescent="0.25">
      <c r="A238" s="20">
        <v>17065</v>
      </c>
    </row>
    <row r="239" spans="1:1" x14ac:dyDescent="0.25">
      <c r="A239" s="20">
        <v>17067</v>
      </c>
    </row>
    <row r="240" spans="1:1" x14ac:dyDescent="0.25">
      <c r="A240" s="20">
        <v>17069</v>
      </c>
    </row>
    <row r="241" spans="1:1" x14ac:dyDescent="0.25">
      <c r="A241" s="20">
        <v>17073</v>
      </c>
    </row>
    <row r="242" spans="1:1" x14ac:dyDescent="0.25">
      <c r="A242" s="20">
        <v>17075</v>
      </c>
    </row>
    <row r="243" spans="1:1" x14ac:dyDescent="0.25">
      <c r="A243" s="20">
        <v>17077</v>
      </c>
    </row>
    <row r="244" spans="1:1" x14ac:dyDescent="0.25">
      <c r="A244" s="20">
        <v>17081</v>
      </c>
    </row>
    <row r="245" spans="1:1" x14ac:dyDescent="0.25">
      <c r="A245" s="20">
        <v>17083</v>
      </c>
    </row>
    <row r="246" spans="1:1" x14ac:dyDescent="0.25">
      <c r="A246" s="20">
        <v>17085</v>
      </c>
    </row>
    <row r="247" spans="1:1" x14ac:dyDescent="0.25">
      <c r="A247" s="20">
        <v>17089</v>
      </c>
    </row>
    <row r="248" spans="1:1" x14ac:dyDescent="0.25">
      <c r="A248" s="20">
        <v>17091</v>
      </c>
    </row>
    <row r="249" spans="1:1" x14ac:dyDescent="0.25">
      <c r="A249" s="20">
        <v>17095</v>
      </c>
    </row>
    <row r="250" spans="1:1" x14ac:dyDescent="0.25">
      <c r="A250" s="20">
        <v>17097</v>
      </c>
    </row>
    <row r="251" spans="1:1" x14ac:dyDescent="0.25">
      <c r="A251" s="20">
        <v>17099</v>
      </c>
    </row>
    <row r="252" spans="1:1" x14ac:dyDescent="0.25">
      <c r="A252" s="20">
        <v>17101</v>
      </c>
    </row>
    <row r="253" spans="1:1" x14ac:dyDescent="0.25">
      <c r="A253" s="20">
        <v>17103</v>
      </c>
    </row>
    <row r="254" spans="1:1" x14ac:dyDescent="0.25">
      <c r="A254" s="20">
        <v>17105</v>
      </c>
    </row>
    <row r="255" spans="1:1" x14ac:dyDescent="0.25">
      <c r="A255" s="20">
        <v>17107</v>
      </c>
    </row>
    <row r="256" spans="1:1" x14ac:dyDescent="0.25">
      <c r="A256" s="20">
        <v>17109</v>
      </c>
    </row>
    <row r="257" spans="1:1" x14ac:dyDescent="0.25">
      <c r="A257" s="20">
        <v>17111</v>
      </c>
    </row>
    <row r="258" spans="1:1" x14ac:dyDescent="0.25">
      <c r="A258" s="20">
        <v>17113</v>
      </c>
    </row>
    <row r="259" spans="1:1" x14ac:dyDescent="0.25">
      <c r="A259" s="20">
        <v>17115</v>
      </c>
    </row>
    <row r="260" spans="1:1" x14ac:dyDescent="0.25">
      <c r="A260" s="20">
        <v>17117</v>
      </c>
    </row>
    <row r="261" spans="1:1" x14ac:dyDescent="0.25">
      <c r="A261" s="20">
        <v>17119</v>
      </c>
    </row>
    <row r="262" spans="1:1" x14ac:dyDescent="0.25">
      <c r="A262" s="20">
        <v>17121</v>
      </c>
    </row>
    <row r="263" spans="1:1" x14ac:dyDescent="0.25">
      <c r="A263" s="20">
        <v>17125</v>
      </c>
    </row>
    <row r="264" spans="1:1" x14ac:dyDescent="0.25">
      <c r="A264" s="20">
        <v>17127</v>
      </c>
    </row>
    <row r="265" spans="1:1" x14ac:dyDescent="0.25">
      <c r="A265" s="20">
        <v>17131</v>
      </c>
    </row>
    <row r="266" spans="1:1" x14ac:dyDescent="0.25">
      <c r="A266" s="20">
        <v>17135</v>
      </c>
    </row>
    <row r="267" spans="1:1" x14ac:dyDescent="0.25">
      <c r="A267" s="20">
        <v>17137</v>
      </c>
    </row>
    <row r="268" spans="1:1" x14ac:dyDescent="0.25">
      <c r="A268" s="20">
        <v>17141</v>
      </c>
    </row>
    <row r="269" spans="1:1" x14ac:dyDescent="0.25">
      <c r="A269" s="20">
        <v>17143</v>
      </c>
    </row>
    <row r="270" spans="1:1" x14ac:dyDescent="0.25">
      <c r="A270" s="20">
        <v>17145</v>
      </c>
    </row>
    <row r="271" spans="1:1" x14ac:dyDescent="0.25">
      <c r="A271" s="20">
        <v>17147</v>
      </c>
    </row>
    <row r="272" spans="1:1" x14ac:dyDescent="0.25">
      <c r="A272" s="20">
        <v>17149</v>
      </c>
    </row>
    <row r="273" spans="1:1" x14ac:dyDescent="0.25">
      <c r="A273" s="20">
        <v>17157</v>
      </c>
    </row>
    <row r="274" spans="1:1" x14ac:dyDescent="0.25">
      <c r="A274" s="20">
        <v>17159</v>
      </c>
    </row>
    <row r="275" spans="1:1" x14ac:dyDescent="0.25">
      <c r="A275" s="20">
        <v>17161</v>
      </c>
    </row>
    <row r="276" spans="1:1" x14ac:dyDescent="0.25">
      <c r="A276" s="20">
        <v>17163</v>
      </c>
    </row>
    <row r="277" spans="1:1" x14ac:dyDescent="0.25">
      <c r="A277" s="20">
        <v>17165</v>
      </c>
    </row>
    <row r="278" spans="1:1" x14ac:dyDescent="0.25">
      <c r="A278" s="20">
        <v>17167</v>
      </c>
    </row>
    <row r="279" spans="1:1" x14ac:dyDescent="0.25">
      <c r="A279" s="20">
        <v>17169</v>
      </c>
    </row>
    <row r="280" spans="1:1" x14ac:dyDescent="0.25">
      <c r="A280" s="20">
        <v>17173</v>
      </c>
    </row>
    <row r="281" spans="1:1" x14ac:dyDescent="0.25">
      <c r="A281" s="20">
        <v>17177</v>
      </c>
    </row>
    <row r="282" spans="1:1" x14ac:dyDescent="0.25">
      <c r="A282" s="20">
        <v>17179</v>
      </c>
    </row>
    <row r="283" spans="1:1" x14ac:dyDescent="0.25">
      <c r="A283" s="20">
        <v>17181</v>
      </c>
    </row>
    <row r="284" spans="1:1" x14ac:dyDescent="0.25">
      <c r="A284" s="20">
        <v>17183</v>
      </c>
    </row>
    <row r="285" spans="1:1" x14ac:dyDescent="0.25">
      <c r="A285" s="20">
        <v>17185</v>
      </c>
    </row>
    <row r="286" spans="1:1" x14ac:dyDescent="0.25">
      <c r="A286" s="20">
        <v>17187</v>
      </c>
    </row>
    <row r="287" spans="1:1" x14ac:dyDescent="0.25">
      <c r="A287" s="20">
        <v>17189</v>
      </c>
    </row>
    <row r="288" spans="1:1" x14ac:dyDescent="0.25">
      <c r="A288" s="20">
        <v>17191</v>
      </c>
    </row>
    <row r="289" spans="1:1" x14ac:dyDescent="0.25">
      <c r="A289" s="20">
        <v>17195</v>
      </c>
    </row>
    <row r="290" spans="1:1" x14ac:dyDescent="0.25">
      <c r="A290" s="20">
        <v>17197</v>
      </c>
    </row>
    <row r="291" spans="1:1" x14ac:dyDescent="0.25">
      <c r="A291" s="20">
        <v>17199</v>
      </c>
    </row>
    <row r="292" spans="1:1" x14ac:dyDescent="0.25">
      <c r="A292" s="20">
        <v>17201</v>
      </c>
    </row>
    <row r="293" spans="1:1" x14ac:dyDescent="0.25">
      <c r="A293" s="20">
        <v>17203</v>
      </c>
    </row>
    <row r="294" spans="1:1" x14ac:dyDescent="0.25">
      <c r="A294" s="20">
        <v>18001</v>
      </c>
    </row>
    <row r="295" spans="1:1" x14ac:dyDescent="0.25">
      <c r="A295" s="20">
        <v>18003</v>
      </c>
    </row>
    <row r="296" spans="1:1" x14ac:dyDescent="0.25">
      <c r="A296" s="20">
        <v>18005</v>
      </c>
    </row>
    <row r="297" spans="1:1" x14ac:dyDescent="0.25">
      <c r="A297" s="20">
        <v>18009</v>
      </c>
    </row>
    <row r="298" spans="1:1" x14ac:dyDescent="0.25">
      <c r="A298" s="20">
        <v>18011</v>
      </c>
    </row>
    <row r="299" spans="1:1" x14ac:dyDescent="0.25">
      <c r="A299" s="20">
        <v>18017</v>
      </c>
    </row>
    <row r="300" spans="1:1" x14ac:dyDescent="0.25">
      <c r="A300" s="20">
        <v>18019</v>
      </c>
    </row>
    <row r="301" spans="1:1" x14ac:dyDescent="0.25">
      <c r="A301" s="20">
        <v>18021</v>
      </c>
    </row>
    <row r="302" spans="1:1" x14ac:dyDescent="0.25">
      <c r="A302" s="20">
        <v>18023</v>
      </c>
    </row>
    <row r="303" spans="1:1" x14ac:dyDescent="0.25">
      <c r="A303" s="20">
        <v>18027</v>
      </c>
    </row>
    <row r="304" spans="1:1" x14ac:dyDescent="0.25">
      <c r="A304" s="20">
        <v>18029</v>
      </c>
    </row>
    <row r="305" spans="1:1" x14ac:dyDescent="0.25">
      <c r="A305" s="20">
        <v>18031</v>
      </c>
    </row>
    <row r="306" spans="1:1" x14ac:dyDescent="0.25">
      <c r="A306" s="20">
        <v>18033</v>
      </c>
    </row>
    <row r="307" spans="1:1" x14ac:dyDescent="0.25">
      <c r="A307" s="20">
        <v>18035</v>
      </c>
    </row>
    <row r="308" spans="1:1" x14ac:dyDescent="0.25">
      <c r="A308" s="20">
        <v>18037</v>
      </c>
    </row>
    <row r="309" spans="1:1" x14ac:dyDescent="0.25">
      <c r="A309" s="20">
        <v>18039</v>
      </c>
    </row>
    <row r="310" spans="1:1" x14ac:dyDescent="0.25">
      <c r="A310" s="20">
        <v>18041</v>
      </c>
    </row>
    <row r="311" spans="1:1" x14ac:dyDescent="0.25">
      <c r="A311" s="20">
        <v>18043</v>
      </c>
    </row>
    <row r="312" spans="1:1" x14ac:dyDescent="0.25">
      <c r="A312" s="20">
        <v>18049</v>
      </c>
    </row>
    <row r="313" spans="1:1" x14ac:dyDescent="0.25">
      <c r="A313" s="20">
        <v>18051</v>
      </c>
    </row>
    <row r="314" spans="1:1" x14ac:dyDescent="0.25">
      <c r="A314" s="20">
        <v>18053</v>
      </c>
    </row>
    <row r="315" spans="1:1" x14ac:dyDescent="0.25">
      <c r="A315" s="20">
        <v>18055</v>
      </c>
    </row>
    <row r="316" spans="1:1" x14ac:dyDescent="0.25">
      <c r="A316" s="20">
        <v>18057</v>
      </c>
    </row>
    <row r="317" spans="1:1" x14ac:dyDescent="0.25">
      <c r="A317" s="20">
        <v>18059</v>
      </c>
    </row>
    <row r="318" spans="1:1" x14ac:dyDescent="0.25">
      <c r="A318" s="20">
        <v>18061</v>
      </c>
    </row>
    <row r="319" spans="1:1" x14ac:dyDescent="0.25">
      <c r="A319" s="20">
        <v>18063</v>
      </c>
    </row>
    <row r="320" spans="1:1" x14ac:dyDescent="0.25">
      <c r="A320" s="20">
        <v>18065</v>
      </c>
    </row>
    <row r="321" spans="1:1" x14ac:dyDescent="0.25">
      <c r="A321" s="20">
        <v>18067</v>
      </c>
    </row>
    <row r="322" spans="1:1" x14ac:dyDescent="0.25">
      <c r="A322" s="20">
        <v>18069</v>
      </c>
    </row>
    <row r="323" spans="1:1" x14ac:dyDescent="0.25">
      <c r="A323" s="20">
        <v>18071</v>
      </c>
    </row>
    <row r="324" spans="1:1" x14ac:dyDescent="0.25">
      <c r="A324" s="20">
        <v>18073</v>
      </c>
    </row>
    <row r="325" spans="1:1" x14ac:dyDescent="0.25">
      <c r="A325" s="20">
        <v>18075</v>
      </c>
    </row>
    <row r="326" spans="1:1" x14ac:dyDescent="0.25">
      <c r="A326" s="20">
        <v>18077</v>
      </c>
    </row>
    <row r="327" spans="1:1" x14ac:dyDescent="0.25">
      <c r="A327" s="20">
        <v>18079</v>
      </c>
    </row>
    <row r="328" spans="1:1" x14ac:dyDescent="0.25">
      <c r="A328" s="20">
        <v>18081</v>
      </c>
    </row>
    <row r="329" spans="1:1" x14ac:dyDescent="0.25">
      <c r="A329" s="20">
        <v>18083</v>
      </c>
    </row>
    <row r="330" spans="1:1" x14ac:dyDescent="0.25">
      <c r="A330" s="20">
        <v>18085</v>
      </c>
    </row>
    <row r="331" spans="1:1" x14ac:dyDescent="0.25">
      <c r="A331" s="20">
        <v>18087</v>
      </c>
    </row>
    <row r="332" spans="1:1" x14ac:dyDescent="0.25">
      <c r="A332" s="20">
        <v>18089</v>
      </c>
    </row>
    <row r="333" spans="1:1" x14ac:dyDescent="0.25">
      <c r="A333" s="20">
        <v>18091</v>
      </c>
    </row>
    <row r="334" spans="1:1" x14ac:dyDescent="0.25">
      <c r="A334" s="20">
        <v>18093</v>
      </c>
    </row>
    <row r="335" spans="1:1" x14ac:dyDescent="0.25">
      <c r="A335" s="20">
        <v>18095</v>
      </c>
    </row>
    <row r="336" spans="1:1" x14ac:dyDescent="0.25">
      <c r="A336" s="20">
        <v>18097</v>
      </c>
    </row>
    <row r="337" spans="1:1" x14ac:dyDescent="0.25">
      <c r="A337" s="20">
        <v>18099</v>
      </c>
    </row>
    <row r="338" spans="1:1" x14ac:dyDescent="0.25">
      <c r="A338" s="20">
        <v>18103</v>
      </c>
    </row>
    <row r="339" spans="1:1" x14ac:dyDescent="0.25">
      <c r="A339" s="20">
        <v>18105</v>
      </c>
    </row>
    <row r="340" spans="1:1" x14ac:dyDescent="0.25">
      <c r="A340" s="20">
        <v>18107</v>
      </c>
    </row>
    <row r="341" spans="1:1" x14ac:dyDescent="0.25">
      <c r="A341" s="20">
        <v>18109</v>
      </c>
    </row>
    <row r="342" spans="1:1" x14ac:dyDescent="0.25">
      <c r="A342" s="20">
        <v>18113</v>
      </c>
    </row>
    <row r="343" spans="1:1" x14ac:dyDescent="0.25">
      <c r="A343" s="20">
        <v>18117</v>
      </c>
    </row>
    <row r="344" spans="1:1" x14ac:dyDescent="0.25">
      <c r="A344" s="20">
        <v>18123</v>
      </c>
    </row>
    <row r="345" spans="1:1" x14ac:dyDescent="0.25">
      <c r="A345" s="20">
        <v>18127</v>
      </c>
    </row>
    <row r="346" spans="1:1" x14ac:dyDescent="0.25">
      <c r="A346" s="20">
        <v>18131</v>
      </c>
    </row>
    <row r="347" spans="1:1" x14ac:dyDescent="0.25">
      <c r="A347" s="20">
        <v>18133</v>
      </c>
    </row>
    <row r="348" spans="1:1" x14ac:dyDescent="0.25">
      <c r="A348" s="20">
        <v>18135</v>
      </c>
    </row>
    <row r="349" spans="1:1" x14ac:dyDescent="0.25">
      <c r="A349" s="20">
        <v>18137</v>
      </c>
    </row>
    <row r="350" spans="1:1" x14ac:dyDescent="0.25">
      <c r="A350" s="20">
        <v>18139</v>
      </c>
    </row>
    <row r="351" spans="1:1" x14ac:dyDescent="0.25">
      <c r="A351" s="20">
        <v>18141</v>
      </c>
    </row>
    <row r="352" spans="1:1" x14ac:dyDescent="0.25">
      <c r="A352" s="20">
        <v>18143</v>
      </c>
    </row>
    <row r="353" spans="1:1" x14ac:dyDescent="0.25">
      <c r="A353" s="20">
        <v>18145</v>
      </c>
    </row>
    <row r="354" spans="1:1" x14ac:dyDescent="0.25">
      <c r="A354" s="20">
        <v>18149</v>
      </c>
    </row>
    <row r="355" spans="1:1" x14ac:dyDescent="0.25">
      <c r="A355" s="20">
        <v>18151</v>
      </c>
    </row>
    <row r="356" spans="1:1" x14ac:dyDescent="0.25">
      <c r="A356" s="20">
        <v>18153</v>
      </c>
    </row>
    <row r="357" spans="1:1" x14ac:dyDescent="0.25">
      <c r="A357" s="20">
        <v>18157</v>
      </c>
    </row>
    <row r="358" spans="1:1" x14ac:dyDescent="0.25">
      <c r="A358" s="20">
        <v>18159</v>
      </c>
    </row>
    <row r="359" spans="1:1" x14ac:dyDescent="0.25">
      <c r="A359" s="20">
        <v>18163</v>
      </c>
    </row>
    <row r="360" spans="1:1" x14ac:dyDescent="0.25">
      <c r="A360" s="20">
        <v>18165</v>
      </c>
    </row>
    <row r="361" spans="1:1" x14ac:dyDescent="0.25">
      <c r="A361" s="20">
        <v>18167</v>
      </c>
    </row>
    <row r="362" spans="1:1" x14ac:dyDescent="0.25">
      <c r="A362" s="20">
        <v>18169</v>
      </c>
    </row>
    <row r="363" spans="1:1" x14ac:dyDescent="0.25">
      <c r="A363" s="20">
        <v>18171</v>
      </c>
    </row>
    <row r="364" spans="1:1" x14ac:dyDescent="0.25">
      <c r="A364" s="20">
        <v>18173</v>
      </c>
    </row>
    <row r="365" spans="1:1" x14ac:dyDescent="0.25">
      <c r="A365" s="20">
        <v>18175</v>
      </c>
    </row>
    <row r="366" spans="1:1" x14ac:dyDescent="0.25">
      <c r="A366" s="20">
        <v>18177</v>
      </c>
    </row>
    <row r="367" spans="1:1" x14ac:dyDescent="0.25">
      <c r="A367" s="20">
        <v>18179</v>
      </c>
    </row>
    <row r="368" spans="1:1" x14ac:dyDescent="0.25">
      <c r="A368" s="20">
        <v>18181</v>
      </c>
    </row>
    <row r="369" spans="1:1" x14ac:dyDescent="0.25">
      <c r="A369" s="20">
        <v>18183</v>
      </c>
    </row>
    <row r="370" spans="1:1" x14ac:dyDescent="0.25">
      <c r="A370" s="20">
        <v>19001</v>
      </c>
    </row>
    <row r="371" spans="1:1" x14ac:dyDescent="0.25">
      <c r="A371" s="20">
        <v>19003</v>
      </c>
    </row>
    <row r="372" spans="1:1" x14ac:dyDescent="0.25">
      <c r="A372" s="20">
        <v>19005</v>
      </c>
    </row>
    <row r="373" spans="1:1" x14ac:dyDescent="0.25">
      <c r="A373" s="20">
        <v>19007</v>
      </c>
    </row>
    <row r="374" spans="1:1" x14ac:dyDescent="0.25">
      <c r="A374" s="20">
        <v>19009</v>
      </c>
    </row>
    <row r="375" spans="1:1" x14ac:dyDescent="0.25">
      <c r="A375" s="20">
        <v>19011</v>
      </c>
    </row>
    <row r="376" spans="1:1" x14ac:dyDescent="0.25">
      <c r="A376" s="20">
        <v>19013</v>
      </c>
    </row>
    <row r="377" spans="1:1" x14ac:dyDescent="0.25">
      <c r="A377" s="20">
        <v>19015</v>
      </c>
    </row>
    <row r="378" spans="1:1" x14ac:dyDescent="0.25">
      <c r="A378" s="20">
        <v>19017</v>
      </c>
    </row>
    <row r="379" spans="1:1" x14ac:dyDescent="0.25">
      <c r="A379" s="20">
        <v>19019</v>
      </c>
    </row>
    <row r="380" spans="1:1" x14ac:dyDescent="0.25">
      <c r="A380" s="20">
        <v>19021</v>
      </c>
    </row>
    <row r="381" spans="1:1" x14ac:dyDescent="0.25">
      <c r="A381" s="20">
        <v>19025</v>
      </c>
    </row>
    <row r="382" spans="1:1" x14ac:dyDescent="0.25">
      <c r="A382" s="20">
        <v>19027</v>
      </c>
    </row>
    <row r="383" spans="1:1" x14ac:dyDescent="0.25">
      <c r="A383" s="20">
        <v>19029</v>
      </c>
    </row>
    <row r="384" spans="1:1" x14ac:dyDescent="0.25">
      <c r="A384" s="20">
        <v>19033</v>
      </c>
    </row>
    <row r="385" spans="1:1" x14ac:dyDescent="0.25">
      <c r="A385" s="20">
        <v>19035</v>
      </c>
    </row>
    <row r="386" spans="1:1" x14ac:dyDescent="0.25">
      <c r="A386" s="20">
        <v>19037</v>
      </c>
    </row>
    <row r="387" spans="1:1" x14ac:dyDescent="0.25">
      <c r="A387" s="20">
        <v>19039</v>
      </c>
    </row>
    <row r="388" spans="1:1" x14ac:dyDescent="0.25">
      <c r="A388" s="20">
        <v>19041</v>
      </c>
    </row>
    <row r="389" spans="1:1" x14ac:dyDescent="0.25">
      <c r="A389" s="20">
        <v>19043</v>
      </c>
    </row>
    <row r="390" spans="1:1" x14ac:dyDescent="0.25">
      <c r="A390" s="20">
        <v>19045</v>
      </c>
    </row>
    <row r="391" spans="1:1" x14ac:dyDescent="0.25">
      <c r="A391" s="20">
        <v>19047</v>
      </c>
    </row>
    <row r="392" spans="1:1" x14ac:dyDescent="0.25">
      <c r="A392" s="20">
        <v>19049</v>
      </c>
    </row>
    <row r="393" spans="1:1" x14ac:dyDescent="0.25">
      <c r="A393" s="20">
        <v>19051</v>
      </c>
    </row>
    <row r="394" spans="1:1" x14ac:dyDescent="0.25">
      <c r="A394" s="20">
        <v>19053</v>
      </c>
    </row>
    <row r="395" spans="1:1" x14ac:dyDescent="0.25">
      <c r="A395" s="20">
        <v>19055</v>
      </c>
    </row>
    <row r="396" spans="1:1" x14ac:dyDescent="0.25">
      <c r="A396" s="20">
        <v>19057</v>
      </c>
    </row>
    <row r="397" spans="1:1" x14ac:dyDescent="0.25">
      <c r="A397" s="20">
        <v>19059</v>
      </c>
    </row>
    <row r="398" spans="1:1" x14ac:dyDescent="0.25">
      <c r="A398" s="20">
        <v>19061</v>
      </c>
    </row>
    <row r="399" spans="1:1" x14ac:dyDescent="0.25">
      <c r="A399" s="20">
        <v>19063</v>
      </c>
    </row>
    <row r="400" spans="1:1" x14ac:dyDescent="0.25">
      <c r="A400" s="20">
        <v>19065</v>
      </c>
    </row>
    <row r="401" spans="1:1" x14ac:dyDescent="0.25">
      <c r="A401" s="20">
        <v>19067</v>
      </c>
    </row>
    <row r="402" spans="1:1" x14ac:dyDescent="0.25">
      <c r="A402" s="20">
        <v>19069</v>
      </c>
    </row>
    <row r="403" spans="1:1" x14ac:dyDescent="0.25">
      <c r="A403" s="20">
        <v>19071</v>
      </c>
    </row>
    <row r="404" spans="1:1" x14ac:dyDescent="0.25">
      <c r="A404" s="20">
        <v>19073</v>
      </c>
    </row>
    <row r="405" spans="1:1" x14ac:dyDescent="0.25">
      <c r="A405" s="20">
        <v>19075</v>
      </c>
    </row>
    <row r="406" spans="1:1" x14ac:dyDescent="0.25">
      <c r="A406" s="20">
        <v>19077</v>
      </c>
    </row>
    <row r="407" spans="1:1" x14ac:dyDescent="0.25">
      <c r="A407" s="20">
        <v>19079</v>
      </c>
    </row>
    <row r="408" spans="1:1" x14ac:dyDescent="0.25">
      <c r="A408" s="20">
        <v>19081</v>
      </c>
    </row>
    <row r="409" spans="1:1" x14ac:dyDescent="0.25">
      <c r="A409" s="20">
        <v>19083</v>
      </c>
    </row>
    <row r="410" spans="1:1" x14ac:dyDescent="0.25">
      <c r="A410" s="20">
        <v>19085</v>
      </c>
    </row>
    <row r="411" spans="1:1" x14ac:dyDescent="0.25">
      <c r="A411" s="20">
        <v>19087</v>
      </c>
    </row>
    <row r="412" spans="1:1" x14ac:dyDescent="0.25">
      <c r="A412" s="20">
        <v>19089</v>
      </c>
    </row>
    <row r="413" spans="1:1" x14ac:dyDescent="0.25">
      <c r="A413" s="20">
        <v>19091</v>
      </c>
    </row>
    <row r="414" spans="1:1" x14ac:dyDescent="0.25">
      <c r="A414" s="20">
        <v>19093</v>
      </c>
    </row>
    <row r="415" spans="1:1" x14ac:dyDescent="0.25">
      <c r="A415" s="20">
        <v>19095</v>
      </c>
    </row>
    <row r="416" spans="1:1" x14ac:dyDescent="0.25">
      <c r="A416" s="20">
        <v>19097</v>
      </c>
    </row>
    <row r="417" spans="1:1" x14ac:dyDescent="0.25">
      <c r="A417" s="20">
        <v>19099</v>
      </c>
    </row>
    <row r="418" spans="1:1" x14ac:dyDescent="0.25">
      <c r="A418" s="20">
        <v>19101</v>
      </c>
    </row>
    <row r="419" spans="1:1" x14ac:dyDescent="0.25">
      <c r="A419" s="20">
        <v>19103</v>
      </c>
    </row>
    <row r="420" spans="1:1" x14ac:dyDescent="0.25">
      <c r="A420" s="20">
        <v>19105</v>
      </c>
    </row>
    <row r="421" spans="1:1" x14ac:dyDescent="0.25">
      <c r="A421" s="20">
        <v>19107</v>
      </c>
    </row>
    <row r="422" spans="1:1" x14ac:dyDescent="0.25">
      <c r="A422" s="20">
        <v>19109</v>
      </c>
    </row>
    <row r="423" spans="1:1" x14ac:dyDescent="0.25">
      <c r="A423" s="20">
        <v>19111</v>
      </c>
    </row>
    <row r="424" spans="1:1" x14ac:dyDescent="0.25">
      <c r="A424" s="20">
        <v>19113</v>
      </c>
    </row>
    <row r="425" spans="1:1" x14ac:dyDescent="0.25">
      <c r="A425" s="20">
        <v>19117</v>
      </c>
    </row>
    <row r="426" spans="1:1" x14ac:dyDescent="0.25">
      <c r="A426" s="20">
        <v>19119</v>
      </c>
    </row>
    <row r="427" spans="1:1" x14ac:dyDescent="0.25">
      <c r="A427" s="20">
        <v>19121</v>
      </c>
    </row>
    <row r="428" spans="1:1" x14ac:dyDescent="0.25">
      <c r="A428" s="20">
        <v>19123</v>
      </c>
    </row>
    <row r="429" spans="1:1" x14ac:dyDescent="0.25">
      <c r="A429" s="20">
        <v>19125</v>
      </c>
    </row>
    <row r="430" spans="1:1" x14ac:dyDescent="0.25">
      <c r="A430" s="20">
        <v>19127</v>
      </c>
    </row>
    <row r="431" spans="1:1" x14ac:dyDescent="0.25">
      <c r="A431" s="20">
        <v>19131</v>
      </c>
    </row>
    <row r="432" spans="1:1" x14ac:dyDescent="0.25">
      <c r="A432" s="20">
        <v>19133</v>
      </c>
    </row>
    <row r="433" spans="1:1" x14ac:dyDescent="0.25">
      <c r="A433" s="20">
        <v>19135</v>
      </c>
    </row>
    <row r="434" spans="1:1" x14ac:dyDescent="0.25">
      <c r="A434" s="20">
        <v>19137</v>
      </c>
    </row>
    <row r="435" spans="1:1" x14ac:dyDescent="0.25">
      <c r="A435" s="20">
        <v>19139</v>
      </c>
    </row>
    <row r="436" spans="1:1" x14ac:dyDescent="0.25">
      <c r="A436" s="20">
        <v>19141</v>
      </c>
    </row>
    <row r="437" spans="1:1" x14ac:dyDescent="0.25">
      <c r="A437" s="20">
        <v>19143</v>
      </c>
    </row>
    <row r="438" spans="1:1" x14ac:dyDescent="0.25">
      <c r="A438" s="20">
        <v>19145</v>
      </c>
    </row>
    <row r="439" spans="1:1" x14ac:dyDescent="0.25">
      <c r="A439" s="20">
        <v>19147</v>
      </c>
    </row>
    <row r="440" spans="1:1" x14ac:dyDescent="0.25">
      <c r="A440" s="20">
        <v>19149</v>
      </c>
    </row>
    <row r="441" spans="1:1" x14ac:dyDescent="0.25">
      <c r="A441" s="20">
        <v>19151</v>
      </c>
    </row>
    <row r="442" spans="1:1" x14ac:dyDescent="0.25">
      <c r="A442" s="20">
        <v>19153</v>
      </c>
    </row>
    <row r="443" spans="1:1" x14ac:dyDescent="0.25">
      <c r="A443" s="20">
        <v>19155</v>
      </c>
    </row>
    <row r="444" spans="1:1" x14ac:dyDescent="0.25">
      <c r="A444" s="20">
        <v>19157</v>
      </c>
    </row>
    <row r="445" spans="1:1" x14ac:dyDescent="0.25">
      <c r="A445" s="20">
        <v>19159</v>
      </c>
    </row>
    <row r="446" spans="1:1" x14ac:dyDescent="0.25">
      <c r="A446" s="20">
        <v>19161</v>
      </c>
    </row>
    <row r="447" spans="1:1" x14ac:dyDescent="0.25">
      <c r="A447" s="20">
        <v>19163</v>
      </c>
    </row>
    <row r="448" spans="1:1" x14ac:dyDescent="0.25">
      <c r="A448" s="20">
        <v>19165</v>
      </c>
    </row>
    <row r="449" spans="1:1" x14ac:dyDescent="0.25">
      <c r="A449" s="20">
        <v>19167</v>
      </c>
    </row>
    <row r="450" spans="1:1" x14ac:dyDescent="0.25">
      <c r="A450" s="20">
        <v>19169</v>
      </c>
    </row>
    <row r="451" spans="1:1" x14ac:dyDescent="0.25">
      <c r="A451" s="20">
        <v>19175</v>
      </c>
    </row>
    <row r="452" spans="1:1" x14ac:dyDescent="0.25">
      <c r="A452" s="20">
        <v>19177</v>
      </c>
    </row>
    <row r="453" spans="1:1" x14ac:dyDescent="0.25">
      <c r="A453" s="20">
        <v>19179</v>
      </c>
    </row>
    <row r="454" spans="1:1" x14ac:dyDescent="0.25">
      <c r="A454" s="20">
        <v>19183</v>
      </c>
    </row>
    <row r="455" spans="1:1" x14ac:dyDescent="0.25">
      <c r="A455" s="20">
        <v>19185</v>
      </c>
    </row>
    <row r="456" spans="1:1" x14ac:dyDescent="0.25">
      <c r="A456" s="20">
        <v>19187</v>
      </c>
    </row>
    <row r="457" spans="1:1" x14ac:dyDescent="0.25">
      <c r="A457" s="20">
        <v>19191</v>
      </c>
    </row>
    <row r="458" spans="1:1" x14ac:dyDescent="0.25">
      <c r="A458" s="20">
        <v>19193</v>
      </c>
    </row>
    <row r="459" spans="1:1" x14ac:dyDescent="0.25">
      <c r="A459" s="20">
        <v>19197</v>
      </c>
    </row>
    <row r="460" spans="1:1" x14ac:dyDescent="0.25">
      <c r="A460" s="20">
        <v>20001</v>
      </c>
    </row>
    <row r="461" spans="1:1" x14ac:dyDescent="0.25">
      <c r="A461" s="20">
        <v>20003</v>
      </c>
    </row>
    <row r="462" spans="1:1" x14ac:dyDescent="0.25">
      <c r="A462" s="20">
        <v>20005</v>
      </c>
    </row>
    <row r="463" spans="1:1" x14ac:dyDescent="0.25">
      <c r="A463" s="20">
        <v>20007</v>
      </c>
    </row>
    <row r="464" spans="1:1" x14ac:dyDescent="0.25">
      <c r="A464" s="20">
        <v>20009</v>
      </c>
    </row>
    <row r="465" spans="1:1" x14ac:dyDescent="0.25">
      <c r="A465" s="20">
        <v>20011</v>
      </c>
    </row>
    <row r="466" spans="1:1" x14ac:dyDescent="0.25">
      <c r="A466" s="20">
        <v>20013</v>
      </c>
    </row>
    <row r="467" spans="1:1" x14ac:dyDescent="0.25">
      <c r="A467" s="20">
        <v>20015</v>
      </c>
    </row>
    <row r="468" spans="1:1" x14ac:dyDescent="0.25">
      <c r="A468" s="20">
        <v>20019</v>
      </c>
    </row>
    <row r="469" spans="1:1" x14ac:dyDescent="0.25">
      <c r="A469" s="20">
        <v>20021</v>
      </c>
    </row>
    <row r="470" spans="1:1" x14ac:dyDescent="0.25">
      <c r="A470" s="20">
        <v>20023</v>
      </c>
    </row>
    <row r="471" spans="1:1" x14ac:dyDescent="0.25">
      <c r="A471" s="20">
        <v>20025</v>
      </c>
    </row>
    <row r="472" spans="1:1" x14ac:dyDescent="0.25">
      <c r="A472" s="20">
        <v>20027</v>
      </c>
    </row>
    <row r="473" spans="1:1" x14ac:dyDescent="0.25">
      <c r="A473" s="20">
        <v>20029</v>
      </c>
    </row>
    <row r="474" spans="1:1" x14ac:dyDescent="0.25">
      <c r="A474" s="20">
        <v>20031</v>
      </c>
    </row>
    <row r="475" spans="1:1" x14ac:dyDescent="0.25">
      <c r="A475" s="20">
        <v>20033</v>
      </c>
    </row>
    <row r="476" spans="1:1" x14ac:dyDescent="0.25">
      <c r="A476" s="20">
        <v>20035</v>
      </c>
    </row>
    <row r="477" spans="1:1" x14ac:dyDescent="0.25">
      <c r="A477" s="20">
        <v>20037</v>
      </c>
    </row>
    <row r="478" spans="1:1" x14ac:dyDescent="0.25">
      <c r="A478" s="20">
        <v>20039</v>
      </c>
    </row>
    <row r="479" spans="1:1" x14ac:dyDescent="0.25">
      <c r="A479" s="20">
        <v>20041</v>
      </c>
    </row>
    <row r="480" spans="1:1" x14ac:dyDescent="0.25">
      <c r="A480" s="20">
        <v>20045</v>
      </c>
    </row>
    <row r="481" spans="1:1" x14ac:dyDescent="0.25">
      <c r="A481" s="20">
        <v>20047</v>
      </c>
    </row>
    <row r="482" spans="1:1" x14ac:dyDescent="0.25">
      <c r="A482" s="20">
        <v>20051</v>
      </c>
    </row>
    <row r="483" spans="1:1" x14ac:dyDescent="0.25">
      <c r="A483" s="20">
        <v>20053</v>
      </c>
    </row>
    <row r="484" spans="1:1" x14ac:dyDescent="0.25">
      <c r="A484" s="20">
        <v>20055</v>
      </c>
    </row>
    <row r="485" spans="1:1" x14ac:dyDescent="0.25">
      <c r="A485" s="20">
        <v>20057</v>
      </c>
    </row>
    <row r="486" spans="1:1" x14ac:dyDescent="0.25">
      <c r="A486" s="20">
        <v>20059</v>
      </c>
    </row>
    <row r="487" spans="1:1" x14ac:dyDescent="0.25">
      <c r="A487" s="20">
        <v>20061</v>
      </c>
    </row>
    <row r="488" spans="1:1" x14ac:dyDescent="0.25">
      <c r="A488" s="20">
        <v>20063</v>
      </c>
    </row>
    <row r="489" spans="1:1" x14ac:dyDescent="0.25">
      <c r="A489" s="20">
        <v>20065</v>
      </c>
    </row>
    <row r="490" spans="1:1" x14ac:dyDescent="0.25">
      <c r="A490" s="20">
        <v>20067</v>
      </c>
    </row>
    <row r="491" spans="1:1" x14ac:dyDescent="0.25">
      <c r="A491" s="20">
        <v>20071</v>
      </c>
    </row>
    <row r="492" spans="1:1" x14ac:dyDescent="0.25">
      <c r="A492" s="20">
        <v>20073</v>
      </c>
    </row>
    <row r="493" spans="1:1" x14ac:dyDescent="0.25">
      <c r="A493" s="20">
        <v>20075</v>
      </c>
    </row>
    <row r="494" spans="1:1" x14ac:dyDescent="0.25">
      <c r="A494" s="20">
        <v>20077</v>
      </c>
    </row>
    <row r="495" spans="1:1" x14ac:dyDescent="0.25">
      <c r="A495" s="20">
        <v>20079</v>
      </c>
    </row>
    <row r="496" spans="1:1" x14ac:dyDescent="0.25">
      <c r="A496" s="20">
        <v>20081</v>
      </c>
    </row>
    <row r="497" spans="1:1" x14ac:dyDescent="0.25">
      <c r="A497" s="20">
        <v>20083</v>
      </c>
    </row>
    <row r="498" spans="1:1" x14ac:dyDescent="0.25">
      <c r="A498" s="20">
        <v>20085</v>
      </c>
    </row>
    <row r="499" spans="1:1" x14ac:dyDescent="0.25">
      <c r="A499" s="20">
        <v>20087</v>
      </c>
    </row>
    <row r="500" spans="1:1" x14ac:dyDescent="0.25">
      <c r="A500" s="20">
        <v>20089</v>
      </c>
    </row>
    <row r="501" spans="1:1" x14ac:dyDescent="0.25">
      <c r="A501" s="20">
        <v>20091</v>
      </c>
    </row>
    <row r="502" spans="1:1" x14ac:dyDescent="0.25">
      <c r="A502" s="20">
        <v>20093</v>
      </c>
    </row>
    <row r="503" spans="1:1" x14ac:dyDescent="0.25">
      <c r="A503" s="20">
        <v>20095</v>
      </c>
    </row>
    <row r="504" spans="1:1" x14ac:dyDescent="0.25">
      <c r="A504" s="20">
        <v>20097</v>
      </c>
    </row>
    <row r="505" spans="1:1" x14ac:dyDescent="0.25">
      <c r="A505" s="20">
        <v>20099</v>
      </c>
    </row>
    <row r="506" spans="1:1" x14ac:dyDescent="0.25">
      <c r="A506" s="20">
        <v>20101</v>
      </c>
    </row>
    <row r="507" spans="1:1" x14ac:dyDescent="0.25">
      <c r="A507" s="20">
        <v>20103</v>
      </c>
    </row>
    <row r="508" spans="1:1" x14ac:dyDescent="0.25">
      <c r="A508" s="20">
        <v>20105</v>
      </c>
    </row>
    <row r="509" spans="1:1" x14ac:dyDescent="0.25">
      <c r="A509" s="20">
        <v>20109</v>
      </c>
    </row>
    <row r="510" spans="1:1" x14ac:dyDescent="0.25">
      <c r="A510" s="20">
        <v>20111</v>
      </c>
    </row>
    <row r="511" spans="1:1" x14ac:dyDescent="0.25">
      <c r="A511" s="20">
        <v>20113</v>
      </c>
    </row>
    <row r="512" spans="1:1" x14ac:dyDescent="0.25">
      <c r="A512" s="20">
        <v>20115</v>
      </c>
    </row>
    <row r="513" spans="1:1" x14ac:dyDescent="0.25">
      <c r="A513" s="20">
        <v>20117</v>
      </c>
    </row>
    <row r="514" spans="1:1" x14ac:dyDescent="0.25">
      <c r="A514" s="20">
        <v>20119</v>
      </c>
    </row>
    <row r="515" spans="1:1" x14ac:dyDescent="0.25">
      <c r="A515" s="20">
        <v>20121</v>
      </c>
    </row>
    <row r="516" spans="1:1" x14ac:dyDescent="0.25">
      <c r="A516" s="20">
        <v>20123</v>
      </c>
    </row>
    <row r="517" spans="1:1" x14ac:dyDescent="0.25">
      <c r="A517" s="20">
        <v>20125</v>
      </c>
    </row>
    <row r="518" spans="1:1" x14ac:dyDescent="0.25">
      <c r="A518" s="20">
        <v>20127</v>
      </c>
    </row>
    <row r="519" spans="1:1" x14ac:dyDescent="0.25">
      <c r="A519" s="20">
        <v>20129</v>
      </c>
    </row>
    <row r="520" spans="1:1" x14ac:dyDescent="0.25">
      <c r="A520" s="20">
        <v>20131</v>
      </c>
    </row>
    <row r="521" spans="1:1" x14ac:dyDescent="0.25">
      <c r="A521" s="20">
        <v>20133</v>
      </c>
    </row>
    <row r="522" spans="1:1" x14ac:dyDescent="0.25">
      <c r="A522" s="20">
        <v>20135</v>
      </c>
    </row>
    <row r="523" spans="1:1" x14ac:dyDescent="0.25">
      <c r="A523" s="20">
        <v>20137</v>
      </c>
    </row>
    <row r="524" spans="1:1" x14ac:dyDescent="0.25">
      <c r="A524" s="20">
        <v>20141</v>
      </c>
    </row>
    <row r="525" spans="1:1" x14ac:dyDescent="0.25">
      <c r="A525" s="20">
        <v>20143</v>
      </c>
    </row>
    <row r="526" spans="1:1" x14ac:dyDescent="0.25">
      <c r="A526" s="20">
        <v>20145</v>
      </c>
    </row>
    <row r="527" spans="1:1" x14ac:dyDescent="0.25">
      <c r="A527" s="20">
        <v>20147</v>
      </c>
    </row>
    <row r="528" spans="1:1" x14ac:dyDescent="0.25">
      <c r="A528" s="20">
        <v>20149</v>
      </c>
    </row>
    <row r="529" spans="1:1" x14ac:dyDescent="0.25">
      <c r="A529" s="20">
        <v>20151</v>
      </c>
    </row>
    <row r="530" spans="1:1" x14ac:dyDescent="0.25">
      <c r="A530" s="20">
        <v>20153</v>
      </c>
    </row>
    <row r="531" spans="1:1" x14ac:dyDescent="0.25">
      <c r="A531" s="20">
        <v>20155</v>
      </c>
    </row>
    <row r="532" spans="1:1" x14ac:dyDescent="0.25">
      <c r="A532" s="20">
        <v>20157</v>
      </c>
    </row>
    <row r="533" spans="1:1" x14ac:dyDescent="0.25">
      <c r="A533" s="20">
        <v>20159</v>
      </c>
    </row>
    <row r="534" spans="1:1" x14ac:dyDescent="0.25">
      <c r="A534" s="20">
        <v>20161</v>
      </c>
    </row>
    <row r="535" spans="1:1" x14ac:dyDescent="0.25">
      <c r="A535" s="20">
        <v>20163</v>
      </c>
    </row>
    <row r="536" spans="1:1" x14ac:dyDescent="0.25">
      <c r="A536" s="20">
        <v>20165</v>
      </c>
    </row>
    <row r="537" spans="1:1" x14ac:dyDescent="0.25">
      <c r="A537" s="20">
        <v>20167</v>
      </c>
    </row>
    <row r="538" spans="1:1" x14ac:dyDescent="0.25">
      <c r="A538" s="20">
        <v>20169</v>
      </c>
    </row>
    <row r="539" spans="1:1" x14ac:dyDescent="0.25">
      <c r="A539" s="20">
        <v>20171</v>
      </c>
    </row>
    <row r="540" spans="1:1" x14ac:dyDescent="0.25">
      <c r="A540" s="20">
        <v>20173</v>
      </c>
    </row>
    <row r="541" spans="1:1" x14ac:dyDescent="0.25">
      <c r="A541" s="20">
        <v>20175</v>
      </c>
    </row>
    <row r="542" spans="1:1" x14ac:dyDescent="0.25">
      <c r="A542" s="20">
        <v>20177</v>
      </c>
    </row>
    <row r="543" spans="1:1" x14ac:dyDescent="0.25">
      <c r="A543" s="20">
        <v>20179</v>
      </c>
    </row>
    <row r="544" spans="1:1" x14ac:dyDescent="0.25">
      <c r="A544" s="20">
        <v>20181</v>
      </c>
    </row>
    <row r="545" spans="1:1" x14ac:dyDescent="0.25">
      <c r="A545" s="20">
        <v>20183</v>
      </c>
    </row>
    <row r="546" spans="1:1" x14ac:dyDescent="0.25">
      <c r="A546" s="20">
        <v>20185</v>
      </c>
    </row>
    <row r="547" spans="1:1" x14ac:dyDescent="0.25">
      <c r="A547" s="20">
        <v>20187</v>
      </c>
    </row>
    <row r="548" spans="1:1" x14ac:dyDescent="0.25">
      <c r="A548" s="20">
        <v>20189</v>
      </c>
    </row>
    <row r="549" spans="1:1" x14ac:dyDescent="0.25">
      <c r="A549" s="20">
        <v>20191</v>
      </c>
    </row>
    <row r="550" spans="1:1" x14ac:dyDescent="0.25">
      <c r="A550" s="20">
        <v>20193</v>
      </c>
    </row>
    <row r="551" spans="1:1" x14ac:dyDescent="0.25">
      <c r="A551" s="20">
        <v>20195</v>
      </c>
    </row>
    <row r="552" spans="1:1" x14ac:dyDescent="0.25">
      <c r="A552" s="20">
        <v>20201</v>
      </c>
    </row>
    <row r="553" spans="1:1" x14ac:dyDescent="0.25">
      <c r="A553" s="20">
        <v>20203</v>
      </c>
    </row>
    <row r="554" spans="1:1" x14ac:dyDescent="0.25">
      <c r="A554" s="20">
        <v>20205</v>
      </c>
    </row>
    <row r="555" spans="1:1" x14ac:dyDescent="0.25">
      <c r="A555" s="20">
        <v>20209</v>
      </c>
    </row>
    <row r="556" spans="1:1" x14ac:dyDescent="0.25">
      <c r="A556" s="20">
        <v>21001</v>
      </c>
    </row>
    <row r="557" spans="1:1" x14ac:dyDescent="0.25">
      <c r="A557" s="20">
        <v>21003</v>
      </c>
    </row>
    <row r="558" spans="1:1" x14ac:dyDescent="0.25">
      <c r="A558" s="20">
        <v>21009</v>
      </c>
    </row>
    <row r="559" spans="1:1" x14ac:dyDescent="0.25">
      <c r="A559" s="20">
        <v>21013</v>
      </c>
    </row>
    <row r="560" spans="1:1" x14ac:dyDescent="0.25">
      <c r="A560" s="20">
        <v>21015</v>
      </c>
    </row>
    <row r="561" spans="1:1" x14ac:dyDescent="0.25">
      <c r="A561" s="20">
        <v>21017</v>
      </c>
    </row>
    <row r="562" spans="1:1" x14ac:dyDescent="0.25">
      <c r="A562" s="20">
        <v>21019</v>
      </c>
    </row>
    <row r="563" spans="1:1" x14ac:dyDescent="0.25">
      <c r="A563" s="20">
        <v>21021</v>
      </c>
    </row>
    <row r="564" spans="1:1" x14ac:dyDescent="0.25">
      <c r="A564" s="20">
        <v>21025</v>
      </c>
    </row>
    <row r="565" spans="1:1" x14ac:dyDescent="0.25">
      <c r="A565" s="20">
        <v>21027</v>
      </c>
    </row>
    <row r="566" spans="1:1" x14ac:dyDescent="0.25">
      <c r="A566" s="20">
        <v>21033</v>
      </c>
    </row>
    <row r="567" spans="1:1" x14ac:dyDescent="0.25">
      <c r="A567" s="20">
        <v>21035</v>
      </c>
    </row>
    <row r="568" spans="1:1" x14ac:dyDescent="0.25">
      <c r="A568" s="20">
        <v>21037</v>
      </c>
    </row>
    <row r="569" spans="1:1" x14ac:dyDescent="0.25">
      <c r="A569" s="20">
        <v>21041</v>
      </c>
    </row>
    <row r="570" spans="1:1" x14ac:dyDescent="0.25">
      <c r="A570" s="20">
        <v>21045</v>
      </c>
    </row>
    <row r="571" spans="1:1" x14ac:dyDescent="0.25">
      <c r="A571" s="20">
        <v>21047</v>
      </c>
    </row>
    <row r="572" spans="1:1" x14ac:dyDescent="0.25">
      <c r="A572" s="20">
        <v>21049</v>
      </c>
    </row>
    <row r="573" spans="1:1" x14ac:dyDescent="0.25">
      <c r="A573" s="20">
        <v>21051</v>
      </c>
    </row>
    <row r="574" spans="1:1" x14ac:dyDescent="0.25">
      <c r="A574" s="20">
        <v>21053</v>
      </c>
    </row>
    <row r="575" spans="1:1" x14ac:dyDescent="0.25">
      <c r="A575" s="20">
        <v>21055</v>
      </c>
    </row>
    <row r="576" spans="1:1" x14ac:dyDescent="0.25">
      <c r="A576" s="20">
        <v>21057</v>
      </c>
    </row>
    <row r="577" spans="1:1" x14ac:dyDescent="0.25">
      <c r="A577" s="20">
        <v>21059</v>
      </c>
    </row>
    <row r="578" spans="1:1" x14ac:dyDescent="0.25">
      <c r="A578" s="20">
        <v>21065</v>
      </c>
    </row>
    <row r="579" spans="1:1" x14ac:dyDescent="0.25">
      <c r="A579" s="20">
        <v>21067</v>
      </c>
    </row>
    <row r="580" spans="1:1" x14ac:dyDescent="0.25">
      <c r="A580" s="20">
        <v>21069</v>
      </c>
    </row>
    <row r="581" spans="1:1" x14ac:dyDescent="0.25">
      <c r="A581" s="20">
        <v>21071</v>
      </c>
    </row>
    <row r="582" spans="1:1" x14ac:dyDescent="0.25">
      <c r="A582" s="20">
        <v>21073</v>
      </c>
    </row>
    <row r="583" spans="1:1" x14ac:dyDescent="0.25">
      <c r="A583" s="20">
        <v>21075</v>
      </c>
    </row>
    <row r="584" spans="1:1" x14ac:dyDescent="0.25">
      <c r="A584" s="20">
        <v>21081</v>
      </c>
    </row>
    <row r="585" spans="1:1" x14ac:dyDescent="0.25">
      <c r="A585" s="20">
        <v>21083</v>
      </c>
    </row>
    <row r="586" spans="1:1" x14ac:dyDescent="0.25">
      <c r="A586" s="20">
        <v>21085</v>
      </c>
    </row>
    <row r="587" spans="1:1" x14ac:dyDescent="0.25">
      <c r="A587" s="20">
        <v>21087</v>
      </c>
    </row>
    <row r="588" spans="1:1" x14ac:dyDescent="0.25">
      <c r="A588" s="20">
        <v>21093</v>
      </c>
    </row>
    <row r="589" spans="1:1" x14ac:dyDescent="0.25">
      <c r="A589" s="20">
        <v>21095</v>
      </c>
    </row>
    <row r="590" spans="1:1" x14ac:dyDescent="0.25">
      <c r="A590" s="20">
        <v>21097</v>
      </c>
    </row>
    <row r="591" spans="1:1" x14ac:dyDescent="0.25">
      <c r="A591" s="20">
        <v>21099</v>
      </c>
    </row>
    <row r="592" spans="1:1" x14ac:dyDescent="0.25">
      <c r="A592" s="20">
        <v>21101</v>
      </c>
    </row>
    <row r="593" spans="1:1" x14ac:dyDescent="0.25">
      <c r="A593" s="20">
        <v>21107</v>
      </c>
    </row>
    <row r="594" spans="1:1" x14ac:dyDescent="0.25">
      <c r="A594" s="20">
        <v>21111</v>
      </c>
    </row>
    <row r="595" spans="1:1" x14ac:dyDescent="0.25">
      <c r="A595" s="20">
        <v>21115</v>
      </c>
    </row>
    <row r="596" spans="1:1" x14ac:dyDescent="0.25">
      <c r="A596" s="20">
        <v>21117</v>
      </c>
    </row>
    <row r="597" spans="1:1" x14ac:dyDescent="0.25">
      <c r="A597" s="20">
        <v>21121</v>
      </c>
    </row>
    <row r="598" spans="1:1" x14ac:dyDescent="0.25">
      <c r="A598" s="20">
        <v>21125</v>
      </c>
    </row>
    <row r="599" spans="1:1" x14ac:dyDescent="0.25">
      <c r="A599" s="20">
        <v>21127</v>
      </c>
    </row>
    <row r="600" spans="1:1" x14ac:dyDescent="0.25">
      <c r="A600" s="20">
        <v>21131</v>
      </c>
    </row>
    <row r="601" spans="1:1" x14ac:dyDescent="0.25">
      <c r="A601" s="20">
        <v>21133</v>
      </c>
    </row>
    <row r="602" spans="1:1" x14ac:dyDescent="0.25">
      <c r="A602" s="20">
        <v>21137</v>
      </c>
    </row>
    <row r="603" spans="1:1" x14ac:dyDescent="0.25">
      <c r="A603" s="20">
        <v>21139</v>
      </c>
    </row>
    <row r="604" spans="1:1" x14ac:dyDescent="0.25">
      <c r="A604" s="20">
        <v>21141</v>
      </c>
    </row>
    <row r="605" spans="1:1" x14ac:dyDescent="0.25">
      <c r="A605" s="20">
        <v>21145</v>
      </c>
    </row>
    <row r="606" spans="1:1" x14ac:dyDescent="0.25">
      <c r="A606" s="20">
        <v>21151</v>
      </c>
    </row>
    <row r="607" spans="1:1" x14ac:dyDescent="0.25">
      <c r="A607" s="20">
        <v>21155</v>
      </c>
    </row>
    <row r="608" spans="1:1" x14ac:dyDescent="0.25">
      <c r="A608" s="20">
        <v>21157</v>
      </c>
    </row>
    <row r="609" spans="1:1" x14ac:dyDescent="0.25">
      <c r="A609" s="20">
        <v>21161</v>
      </c>
    </row>
    <row r="610" spans="1:1" x14ac:dyDescent="0.25">
      <c r="A610" s="20">
        <v>21167</v>
      </c>
    </row>
    <row r="611" spans="1:1" x14ac:dyDescent="0.25">
      <c r="A611" s="20">
        <v>21171</v>
      </c>
    </row>
    <row r="612" spans="1:1" x14ac:dyDescent="0.25">
      <c r="A612" s="20">
        <v>21173</v>
      </c>
    </row>
    <row r="613" spans="1:1" x14ac:dyDescent="0.25">
      <c r="A613" s="20">
        <v>21175</v>
      </c>
    </row>
    <row r="614" spans="1:1" x14ac:dyDescent="0.25">
      <c r="A614" s="20">
        <v>21177</v>
      </c>
    </row>
    <row r="615" spans="1:1" x14ac:dyDescent="0.25">
      <c r="A615" s="20">
        <v>21179</v>
      </c>
    </row>
    <row r="616" spans="1:1" x14ac:dyDescent="0.25">
      <c r="A616" s="20">
        <v>21181</v>
      </c>
    </row>
    <row r="617" spans="1:1" x14ac:dyDescent="0.25">
      <c r="A617" s="20">
        <v>21183</v>
      </c>
    </row>
    <row r="618" spans="1:1" x14ac:dyDescent="0.25">
      <c r="A618" s="20">
        <v>21185</v>
      </c>
    </row>
    <row r="619" spans="1:1" x14ac:dyDescent="0.25">
      <c r="A619" s="20">
        <v>21187</v>
      </c>
    </row>
    <row r="620" spans="1:1" x14ac:dyDescent="0.25">
      <c r="A620" s="20">
        <v>21191</v>
      </c>
    </row>
    <row r="621" spans="1:1" x14ac:dyDescent="0.25">
      <c r="A621" s="20">
        <v>21193</v>
      </c>
    </row>
    <row r="622" spans="1:1" x14ac:dyDescent="0.25">
      <c r="A622" s="20">
        <v>21195</v>
      </c>
    </row>
    <row r="623" spans="1:1" x14ac:dyDescent="0.25">
      <c r="A623" s="20">
        <v>21199</v>
      </c>
    </row>
    <row r="624" spans="1:1" x14ac:dyDescent="0.25">
      <c r="A624" s="20">
        <v>21203</v>
      </c>
    </row>
    <row r="625" spans="1:1" x14ac:dyDescent="0.25">
      <c r="A625" s="20">
        <v>21205</v>
      </c>
    </row>
    <row r="626" spans="1:1" x14ac:dyDescent="0.25">
      <c r="A626" s="20">
        <v>21207</v>
      </c>
    </row>
    <row r="627" spans="1:1" x14ac:dyDescent="0.25">
      <c r="A627" s="20">
        <v>21209</v>
      </c>
    </row>
    <row r="628" spans="1:1" x14ac:dyDescent="0.25">
      <c r="A628" s="20">
        <v>21211</v>
      </c>
    </row>
    <row r="629" spans="1:1" x14ac:dyDescent="0.25">
      <c r="A629" s="20">
        <v>21213</v>
      </c>
    </row>
    <row r="630" spans="1:1" x14ac:dyDescent="0.25">
      <c r="A630" s="20">
        <v>21217</v>
      </c>
    </row>
    <row r="631" spans="1:1" x14ac:dyDescent="0.25">
      <c r="A631" s="20">
        <v>21221</v>
      </c>
    </row>
    <row r="632" spans="1:1" x14ac:dyDescent="0.25">
      <c r="A632" s="20">
        <v>21225</v>
      </c>
    </row>
    <row r="633" spans="1:1" x14ac:dyDescent="0.25">
      <c r="A633" s="20">
        <v>21227</v>
      </c>
    </row>
    <row r="634" spans="1:1" x14ac:dyDescent="0.25">
      <c r="A634" s="20">
        <v>21231</v>
      </c>
    </row>
    <row r="635" spans="1:1" x14ac:dyDescent="0.25">
      <c r="A635" s="20">
        <v>21235</v>
      </c>
    </row>
    <row r="636" spans="1:1" x14ac:dyDescent="0.25">
      <c r="A636" s="20">
        <v>21239</v>
      </c>
    </row>
    <row r="637" spans="1:1" x14ac:dyDescent="0.25">
      <c r="A637" s="20">
        <v>22001</v>
      </c>
    </row>
    <row r="638" spans="1:1" x14ac:dyDescent="0.25">
      <c r="A638" s="20">
        <v>22003</v>
      </c>
    </row>
    <row r="639" spans="1:1" x14ac:dyDescent="0.25">
      <c r="A639" s="20">
        <v>22005</v>
      </c>
    </row>
    <row r="640" spans="1:1" x14ac:dyDescent="0.25">
      <c r="A640" s="20">
        <v>22007</v>
      </c>
    </row>
    <row r="641" spans="1:1" x14ac:dyDescent="0.25">
      <c r="A641" s="20">
        <v>22009</v>
      </c>
    </row>
    <row r="642" spans="1:1" x14ac:dyDescent="0.25">
      <c r="A642" s="20">
        <v>22011</v>
      </c>
    </row>
    <row r="643" spans="1:1" x14ac:dyDescent="0.25">
      <c r="A643" s="20">
        <v>22013</v>
      </c>
    </row>
    <row r="644" spans="1:1" x14ac:dyDescent="0.25">
      <c r="A644" s="20">
        <v>22015</v>
      </c>
    </row>
    <row r="645" spans="1:1" x14ac:dyDescent="0.25">
      <c r="A645" s="20">
        <v>22017</v>
      </c>
    </row>
    <row r="646" spans="1:1" x14ac:dyDescent="0.25">
      <c r="A646" s="20">
        <v>22019</v>
      </c>
    </row>
    <row r="647" spans="1:1" x14ac:dyDescent="0.25">
      <c r="A647" s="20">
        <v>22021</v>
      </c>
    </row>
    <row r="648" spans="1:1" x14ac:dyDescent="0.25">
      <c r="A648" s="20">
        <v>22023</v>
      </c>
    </row>
    <row r="649" spans="1:1" x14ac:dyDescent="0.25">
      <c r="A649" s="20">
        <v>22027</v>
      </c>
    </row>
    <row r="650" spans="1:1" x14ac:dyDescent="0.25">
      <c r="A650" s="20">
        <v>22029</v>
      </c>
    </row>
    <row r="651" spans="1:1" x14ac:dyDescent="0.25">
      <c r="A651" s="20">
        <v>22031</v>
      </c>
    </row>
    <row r="652" spans="1:1" x14ac:dyDescent="0.25">
      <c r="A652" s="20">
        <v>22033</v>
      </c>
    </row>
    <row r="653" spans="1:1" x14ac:dyDescent="0.25">
      <c r="A653" s="20">
        <v>22035</v>
      </c>
    </row>
    <row r="654" spans="1:1" x14ac:dyDescent="0.25">
      <c r="A654" s="20">
        <v>22037</v>
      </c>
    </row>
    <row r="655" spans="1:1" x14ac:dyDescent="0.25">
      <c r="A655" s="20">
        <v>22039</v>
      </c>
    </row>
    <row r="656" spans="1:1" x14ac:dyDescent="0.25">
      <c r="A656" s="20">
        <v>22041</v>
      </c>
    </row>
    <row r="657" spans="1:1" x14ac:dyDescent="0.25">
      <c r="A657" s="20">
        <v>22045</v>
      </c>
    </row>
    <row r="658" spans="1:1" x14ac:dyDescent="0.25">
      <c r="A658" s="20">
        <v>22047</v>
      </c>
    </row>
    <row r="659" spans="1:1" x14ac:dyDescent="0.25">
      <c r="A659" s="20">
        <v>22049</v>
      </c>
    </row>
    <row r="660" spans="1:1" x14ac:dyDescent="0.25">
      <c r="A660" s="20">
        <v>22051</v>
      </c>
    </row>
    <row r="661" spans="1:1" x14ac:dyDescent="0.25">
      <c r="A661" s="20">
        <v>22053</v>
      </c>
    </row>
    <row r="662" spans="1:1" x14ac:dyDescent="0.25">
      <c r="A662" s="20">
        <v>22055</v>
      </c>
    </row>
    <row r="663" spans="1:1" x14ac:dyDescent="0.25">
      <c r="A663" s="20">
        <v>22057</v>
      </c>
    </row>
    <row r="664" spans="1:1" x14ac:dyDescent="0.25">
      <c r="A664" s="20">
        <v>22059</v>
      </c>
    </row>
    <row r="665" spans="1:1" x14ac:dyDescent="0.25">
      <c r="A665" s="20">
        <v>22061</v>
      </c>
    </row>
    <row r="666" spans="1:1" x14ac:dyDescent="0.25">
      <c r="A666" s="20">
        <v>22063</v>
      </c>
    </row>
    <row r="667" spans="1:1" x14ac:dyDescent="0.25">
      <c r="A667" s="20">
        <v>22065</v>
      </c>
    </row>
    <row r="668" spans="1:1" x14ac:dyDescent="0.25">
      <c r="A668" s="20">
        <v>22067</v>
      </c>
    </row>
    <row r="669" spans="1:1" x14ac:dyDescent="0.25">
      <c r="A669" s="20">
        <v>22069</v>
      </c>
    </row>
    <row r="670" spans="1:1" x14ac:dyDescent="0.25">
      <c r="A670" s="20">
        <v>22071</v>
      </c>
    </row>
    <row r="671" spans="1:1" x14ac:dyDescent="0.25">
      <c r="A671" s="20">
        <v>22073</v>
      </c>
    </row>
    <row r="672" spans="1:1" x14ac:dyDescent="0.25">
      <c r="A672" s="20">
        <v>22077</v>
      </c>
    </row>
    <row r="673" spans="1:1" x14ac:dyDescent="0.25">
      <c r="A673" s="20">
        <v>22079</v>
      </c>
    </row>
    <row r="674" spans="1:1" x14ac:dyDescent="0.25">
      <c r="A674" s="20">
        <v>22081</v>
      </c>
    </row>
    <row r="675" spans="1:1" x14ac:dyDescent="0.25">
      <c r="A675" s="20">
        <v>22083</v>
      </c>
    </row>
    <row r="676" spans="1:1" x14ac:dyDescent="0.25">
      <c r="A676" s="20">
        <v>22085</v>
      </c>
    </row>
    <row r="677" spans="1:1" x14ac:dyDescent="0.25">
      <c r="A677" s="20">
        <v>22087</v>
      </c>
    </row>
    <row r="678" spans="1:1" x14ac:dyDescent="0.25">
      <c r="A678" s="20">
        <v>22089</v>
      </c>
    </row>
    <row r="679" spans="1:1" x14ac:dyDescent="0.25">
      <c r="A679" s="20">
        <v>22091</v>
      </c>
    </row>
    <row r="680" spans="1:1" x14ac:dyDescent="0.25">
      <c r="A680" s="20">
        <v>22093</v>
      </c>
    </row>
    <row r="681" spans="1:1" x14ac:dyDescent="0.25">
      <c r="A681" s="20">
        <v>22095</v>
      </c>
    </row>
    <row r="682" spans="1:1" x14ac:dyDescent="0.25">
      <c r="A682" s="20">
        <v>22097</v>
      </c>
    </row>
    <row r="683" spans="1:1" x14ac:dyDescent="0.25">
      <c r="A683" s="20">
        <v>22099</v>
      </c>
    </row>
    <row r="684" spans="1:1" x14ac:dyDescent="0.25">
      <c r="A684" s="20">
        <v>22101</v>
      </c>
    </row>
    <row r="685" spans="1:1" x14ac:dyDescent="0.25">
      <c r="A685" s="20">
        <v>22103</v>
      </c>
    </row>
    <row r="686" spans="1:1" x14ac:dyDescent="0.25">
      <c r="A686" s="20">
        <v>22105</v>
      </c>
    </row>
    <row r="687" spans="1:1" x14ac:dyDescent="0.25">
      <c r="A687" s="20">
        <v>22109</v>
      </c>
    </row>
    <row r="688" spans="1:1" x14ac:dyDescent="0.25">
      <c r="A688" s="20">
        <v>22111</v>
      </c>
    </row>
    <row r="689" spans="1:1" x14ac:dyDescent="0.25">
      <c r="A689" s="20">
        <v>22113</v>
      </c>
    </row>
    <row r="690" spans="1:1" x14ac:dyDescent="0.25">
      <c r="A690" s="20">
        <v>22115</v>
      </c>
    </row>
    <row r="691" spans="1:1" x14ac:dyDescent="0.25">
      <c r="A691" s="20">
        <v>22117</v>
      </c>
    </row>
    <row r="692" spans="1:1" x14ac:dyDescent="0.25">
      <c r="A692" s="20">
        <v>22119</v>
      </c>
    </row>
    <row r="693" spans="1:1" x14ac:dyDescent="0.25">
      <c r="A693" s="20">
        <v>22123</v>
      </c>
    </row>
    <row r="694" spans="1:1" x14ac:dyDescent="0.25">
      <c r="A694" s="20">
        <v>22125</v>
      </c>
    </row>
    <row r="695" spans="1:1" x14ac:dyDescent="0.25">
      <c r="A695" s="20">
        <v>22127</v>
      </c>
    </row>
    <row r="696" spans="1:1" x14ac:dyDescent="0.25">
      <c r="A696" s="20">
        <v>23001</v>
      </c>
    </row>
    <row r="697" spans="1:1" x14ac:dyDescent="0.25">
      <c r="A697" s="20">
        <v>23003</v>
      </c>
    </row>
    <row r="698" spans="1:1" x14ac:dyDescent="0.25">
      <c r="A698" s="20">
        <v>23005</v>
      </c>
    </row>
    <row r="699" spans="1:1" x14ac:dyDescent="0.25">
      <c r="A699" s="20">
        <v>23007</v>
      </c>
    </row>
    <row r="700" spans="1:1" x14ac:dyDescent="0.25">
      <c r="A700" s="20">
        <v>23009</v>
      </c>
    </row>
    <row r="701" spans="1:1" x14ac:dyDescent="0.25">
      <c r="A701" s="20">
        <v>23011</v>
      </c>
    </row>
    <row r="702" spans="1:1" x14ac:dyDescent="0.25">
      <c r="A702" s="20">
        <v>23013</v>
      </c>
    </row>
    <row r="703" spans="1:1" x14ac:dyDescent="0.25">
      <c r="A703" s="20">
        <v>23015</v>
      </c>
    </row>
    <row r="704" spans="1:1" x14ac:dyDescent="0.25">
      <c r="A704" s="20">
        <v>23017</v>
      </c>
    </row>
    <row r="705" spans="1:1" x14ac:dyDescent="0.25">
      <c r="A705" s="20">
        <v>23019</v>
      </c>
    </row>
    <row r="706" spans="1:1" x14ac:dyDescent="0.25">
      <c r="A706" s="20">
        <v>23021</v>
      </c>
    </row>
    <row r="707" spans="1:1" x14ac:dyDescent="0.25">
      <c r="A707" s="20">
        <v>23025</v>
      </c>
    </row>
    <row r="708" spans="1:1" x14ac:dyDescent="0.25">
      <c r="A708" s="20">
        <v>23027</v>
      </c>
    </row>
    <row r="709" spans="1:1" x14ac:dyDescent="0.25">
      <c r="A709" s="20">
        <v>23029</v>
      </c>
    </row>
    <row r="710" spans="1:1" x14ac:dyDescent="0.25">
      <c r="A710" s="20">
        <v>23031</v>
      </c>
    </row>
    <row r="711" spans="1:1" x14ac:dyDescent="0.25">
      <c r="A711" s="20">
        <v>24001</v>
      </c>
    </row>
    <row r="712" spans="1:1" x14ac:dyDescent="0.25">
      <c r="A712" s="20">
        <v>24003</v>
      </c>
    </row>
    <row r="713" spans="1:1" x14ac:dyDescent="0.25">
      <c r="A713" s="20">
        <v>24005</v>
      </c>
    </row>
    <row r="714" spans="1:1" x14ac:dyDescent="0.25">
      <c r="A714" s="20">
        <v>24009</v>
      </c>
    </row>
    <row r="715" spans="1:1" x14ac:dyDescent="0.25">
      <c r="A715" s="20">
        <v>24013</v>
      </c>
    </row>
    <row r="716" spans="1:1" x14ac:dyDescent="0.25">
      <c r="A716" s="20">
        <v>24015</v>
      </c>
    </row>
    <row r="717" spans="1:1" x14ac:dyDescent="0.25">
      <c r="A717" s="20">
        <v>24017</v>
      </c>
    </row>
    <row r="718" spans="1:1" x14ac:dyDescent="0.25">
      <c r="A718" s="20">
        <v>24019</v>
      </c>
    </row>
    <row r="719" spans="1:1" x14ac:dyDescent="0.25">
      <c r="A719" s="20">
        <v>24021</v>
      </c>
    </row>
    <row r="720" spans="1:1" x14ac:dyDescent="0.25">
      <c r="A720" s="20">
        <v>24023</v>
      </c>
    </row>
    <row r="721" spans="1:1" x14ac:dyDescent="0.25">
      <c r="A721" s="20">
        <v>24025</v>
      </c>
    </row>
    <row r="722" spans="1:1" x14ac:dyDescent="0.25">
      <c r="A722" s="20">
        <v>24027</v>
      </c>
    </row>
    <row r="723" spans="1:1" x14ac:dyDescent="0.25">
      <c r="A723" s="20">
        <v>24029</v>
      </c>
    </row>
    <row r="724" spans="1:1" x14ac:dyDescent="0.25">
      <c r="A724" s="20">
        <v>24031</v>
      </c>
    </row>
    <row r="725" spans="1:1" x14ac:dyDescent="0.25">
      <c r="A725" s="20">
        <v>24033</v>
      </c>
    </row>
    <row r="726" spans="1:1" x14ac:dyDescent="0.25">
      <c r="A726" s="20">
        <v>24037</v>
      </c>
    </row>
    <row r="727" spans="1:1" x14ac:dyDescent="0.25">
      <c r="A727" s="20">
        <v>24039</v>
      </c>
    </row>
    <row r="728" spans="1:1" x14ac:dyDescent="0.25">
      <c r="A728" s="20">
        <v>24041</v>
      </c>
    </row>
    <row r="729" spans="1:1" x14ac:dyDescent="0.25">
      <c r="A729" s="20">
        <v>24043</v>
      </c>
    </row>
    <row r="730" spans="1:1" x14ac:dyDescent="0.25">
      <c r="A730" s="20">
        <v>24045</v>
      </c>
    </row>
    <row r="731" spans="1:1" x14ac:dyDescent="0.25">
      <c r="A731" s="20">
        <v>24047</v>
      </c>
    </row>
    <row r="732" spans="1:1" x14ac:dyDescent="0.25">
      <c r="A732" s="20">
        <v>24510</v>
      </c>
    </row>
    <row r="733" spans="1:1" x14ac:dyDescent="0.25">
      <c r="A733" s="20">
        <v>25001</v>
      </c>
    </row>
    <row r="734" spans="1:1" x14ac:dyDescent="0.25">
      <c r="A734" s="20">
        <v>25003</v>
      </c>
    </row>
    <row r="735" spans="1:1" x14ac:dyDescent="0.25">
      <c r="A735" s="20">
        <v>25005</v>
      </c>
    </row>
    <row r="736" spans="1:1" x14ac:dyDescent="0.25">
      <c r="A736" s="20">
        <v>25007</v>
      </c>
    </row>
    <row r="737" spans="1:1" x14ac:dyDescent="0.25">
      <c r="A737" s="20">
        <v>25009</v>
      </c>
    </row>
    <row r="738" spans="1:1" x14ac:dyDescent="0.25">
      <c r="A738" s="20">
        <v>25011</v>
      </c>
    </row>
    <row r="739" spans="1:1" x14ac:dyDescent="0.25">
      <c r="A739" s="20">
        <v>25013</v>
      </c>
    </row>
    <row r="740" spans="1:1" x14ac:dyDescent="0.25">
      <c r="A740" s="20">
        <v>25015</v>
      </c>
    </row>
    <row r="741" spans="1:1" x14ac:dyDescent="0.25">
      <c r="A741" s="20">
        <v>25017</v>
      </c>
    </row>
    <row r="742" spans="1:1" x14ac:dyDescent="0.25">
      <c r="A742" s="20">
        <v>25019</v>
      </c>
    </row>
    <row r="743" spans="1:1" x14ac:dyDescent="0.25">
      <c r="A743" s="20">
        <v>25021</v>
      </c>
    </row>
    <row r="744" spans="1:1" x14ac:dyDescent="0.25">
      <c r="A744" s="20">
        <v>25023</v>
      </c>
    </row>
    <row r="745" spans="1:1" x14ac:dyDescent="0.25">
      <c r="A745" s="20">
        <v>25025</v>
      </c>
    </row>
    <row r="746" spans="1:1" x14ac:dyDescent="0.25">
      <c r="A746" s="20">
        <v>25027</v>
      </c>
    </row>
    <row r="747" spans="1:1" x14ac:dyDescent="0.25">
      <c r="A747" s="20">
        <v>26003</v>
      </c>
    </row>
    <row r="748" spans="1:1" x14ac:dyDescent="0.25">
      <c r="A748" s="20">
        <v>26005</v>
      </c>
    </row>
    <row r="749" spans="1:1" x14ac:dyDescent="0.25">
      <c r="A749" s="20">
        <v>26007</v>
      </c>
    </row>
    <row r="750" spans="1:1" x14ac:dyDescent="0.25">
      <c r="A750" s="20">
        <v>26011</v>
      </c>
    </row>
    <row r="751" spans="1:1" x14ac:dyDescent="0.25">
      <c r="A751" s="20">
        <v>26013</v>
      </c>
    </row>
    <row r="752" spans="1:1" x14ac:dyDescent="0.25">
      <c r="A752" s="20">
        <v>26015</v>
      </c>
    </row>
    <row r="753" spans="1:1" x14ac:dyDescent="0.25">
      <c r="A753" s="20">
        <v>26017</v>
      </c>
    </row>
    <row r="754" spans="1:1" x14ac:dyDescent="0.25">
      <c r="A754" s="20">
        <v>26019</v>
      </c>
    </row>
    <row r="755" spans="1:1" x14ac:dyDescent="0.25">
      <c r="A755" s="20">
        <v>26021</v>
      </c>
    </row>
    <row r="756" spans="1:1" x14ac:dyDescent="0.25">
      <c r="A756" s="20">
        <v>26023</v>
      </c>
    </row>
    <row r="757" spans="1:1" x14ac:dyDescent="0.25">
      <c r="A757" s="20">
        <v>26025</v>
      </c>
    </row>
    <row r="758" spans="1:1" x14ac:dyDescent="0.25">
      <c r="A758" s="20">
        <v>26027</v>
      </c>
    </row>
    <row r="759" spans="1:1" x14ac:dyDescent="0.25">
      <c r="A759" s="20">
        <v>26029</v>
      </c>
    </row>
    <row r="760" spans="1:1" x14ac:dyDescent="0.25">
      <c r="A760" s="20">
        <v>26031</v>
      </c>
    </row>
    <row r="761" spans="1:1" x14ac:dyDescent="0.25">
      <c r="A761" s="20">
        <v>26033</v>
      </c>
    </row>
    <row r="762" spans="1:1" x14ac:dyDescent="0.25">
      <c r="A762" s="20">
        <v>26035</v>
      </c>
    </row>
    <row r="763" spans="1:1" x14ac:dyDescent="0.25">
      <c r="A763" s="20">
        <v>26037</v>
      </c>
    </row>
    <row r="764" spans="1:1" x14ac:dyDescent="0.25">
      <c r="A764" s="20">
        <v>26039</v>
      </c>
    </row>
    <row r="765" spans="1:1" x14ac:dyDescent="0.25">
      <c r="A765" s="20">
        <v>26041</v>
      </c>
    </row>
    <row r="766" spans="1:1" x14ac:dyDescent="0.25">
      <c r="A766" s="20">
        <v>26043</v>
      </c>
    </row>
    <row r="767" spans="1:1" x14ac:dyDescent="0.25">
      <c r="A767" s="20">
        <v>26045</v>
      </c>
    </row>
    <row r="768" spans="1:1" x14ac:dyDescent="0.25">
      <c r="A768" s="20">
        <v>26047</v>
      </c>
    </row>
    <row r="769" spans="1:1" x14ac:dyDescent="0.25">
      <c r="A769" s="20">
        <v>26049</v>
      </c>
    </row>
    <row r="770" spans="1:1" x14ac:dyDescent="0.25">
      <c r="A770" s="20">
        <v>26051</v>
      </c>
    </row>
    <row r="771" spans="1:1" x14ac:dyDescent="0.25">
      <c r="A771" s="20">
        <v>26053</v>
      </c>
    </row>
    <row r="772" spans="1:1" x14ac:dyDescent="0.25">
      <c r="A772" s="20">
        <v>26055</v>
      </c>
    </row>
    <row r="773" spans="1:1" x14ac:dyDescent="0.25">
      <c r="A773" s="20">
        <v>26057</v>
      </c>
    </row>
    <row r="774" spans="1:1" x14ac:dyDescent="0.25">
      <c r="A774" s="20">
        <v>26059</v>
      </c>
    </row>
    <row r="775" spans="1:1" x14ac:dyDescent="0.25">
      <c r="A775" s="20">
        <v>26061</v>
      </c>
    </row>
    <row r="776" spans="1:1" x14ac:dyDescent="0.25">
      <c r="A776" s="20">
        <v>26063</v>
      </c>
    </row>
    <row r="777" spans="1:1" x14ac:dyDescent="0.25">
      <c r="A777" s="20">
        <v>26065</v>
      </c>
    </row>
    <row r="778" spans="1:1" x14ac:dyDescent="0.25">
      <c r="A778" s="20">
        <v>26067</v>
      </c>
    </row>
    <row r="779" spans="1:1" x14ac:dyDescent="0.25">
      <c r="A779" s="20">
        <v>26069</v>
      </c>
    </row>
    <row r="780" spans="1:1" x14ac:dyDescent="0.25">
      <c r="A780" s="20">
        <v>26071</v>
      </c>
    </row>
    <row r="781" spans="1:1" x14ac:dyDescent="0.25">
      <c r="A781" s="20">
        <v>26073</v>
      </c>
    </row>
    <row r="782" spans="1:1" x14ac:dyDescent="0.25">
      <c r="A782" s="20">
        <v>26075</v>
      </c>
    </row>
    <row r="783" spans="1:1" x14ac:dyDescent="0.25">
      <c r="A783" s="20">
        <v>26077</v>
      </c>
    </row>
    <row r="784" spans="1:1" x14ac:dyDescent="0.25">
      <c r="A784" s="20">
        <v>26079</v>
      </c>
    </row>
    <row r="785" spans="1:1" x14ac:dyDescent="0.25">
      <c r="A785" s="20">
        <v>26081</v>
      </c>
    </row>
    <row r="786" spans="1:1" x14ac:dyDescent="0.25">
      <c r="A786" s="20">
        <v>26087</v>
      </c>
    </row>
    <row r="787" spans="1:1" x14ac:dyDescent="0.25">
      <c r="A787" s="20">
        <v>26091</v>
      </c>
    </row>
    <row r="788" spans="1:1" x14ac:dyDescent="0.25">
      <c r="A788" s="20">
        <v>26093</v>
      </c>
    </row>
    <row r="789" spans="1:1" x14ac:dyDescent="0.25">
      <c r="A789" s="20">
        <v>26095</v>
      </c>
    </row>
    <row r="790" spans="1:1" x14ac:dyDescent="0.25">
      <c r="A790" s="20">
        <v>26097</v>
      </c>
    </row>
    <row r="791" spans="1:1" x14ac:dyDescent="0.25">
      <c r="A791" s="20">
        <v>26099</v>
      </c>
    </row>
    <row r="792" spans="1:1" x14ac:dyDescent="0.25">
      <c r="A792" s="20">
        <v>26101</v>
      </c>
    </row>
    <row r="793" spans="1:1" x14ac:dyDescent="0.25">
      <c r="A793" s="20">
        <v>26103</v>
      </c>
    </row>
    <row r="794" spans="1:1" x14ac:dyDescent="0.25">
      <c r="A794" s="20">
        <v>26105</v>
      </c>
    </row>
    <row r="795" spans="1:1" x14ac:dyDescent="0.25">
      <c r="A795" s="20">
        <v>26107</v>
      </c>
    </row>
    <row r="796" spans="1:1" x14ac:dyDescent="0.25">
      <c r="A796" s="20">
        <v>26111</v>
      </c>
    </row>
    <row r="797" spans="1:1" x14ac:dyDescent="0.25">
      <c r="A797" s="20">
        <v>26115</v>
      </c>
    </row>
    <row r="798" spans="1:1" x14ac:dyDescent="0.25">
      <c r="A798" s="20">
        <v>26117</v>
      </c>
    </row>
    <row r="799" spans="1:1" x14ac:dyDescent="0.25">
      <c r="A799" s="20">
        <v>26121</v>
      </c>
    </row>
    <row r="800" spans="1:1" x14ac:dyDescent="0.25">
      <c r="A800" s="20">
        <v>26123</v>
      </c>
    </row>
    <row r="801" spans="1:1" x14ac:dyDescent="0.25">
      <c r="A801" s="20">
        <v>26125</v>
      </c>
    </row>
    <row r="802" spans="1:1" x14ac:dyDescent="0.25">
      <c r="A802" s="20">
        <v>26127</v>
      </c>
    </row>
    <row r="803" spans="1:1" x14ac:dyDescent="0.25">
      <c r="A803" s="20">
        <v>26129</v>
      </c>
    </row>
    <row r="804" spans="1:1" x14ac:dyDescent="0.25">
      <c r="A804" s="20">
        <v>26131</v>
      </c>
    </row>
    <row r="805" spans="1:1" x14ac:dyDescent="0.25">
      <c r="A805" s="20">
        <v>26133</v>
      </c>
    </row>
    <row r="806" spans="1:1" x14ac:dyDescent="0.25">
      <c r="A806" s="20">
        <v>26137</v>
      </c>
    </row>
    <row r="807" spans="1:1" x14ac:dyDescent="0.25">
      <c r="A807" s="20">
        <v>26139</v>
      </c>
    </row>
    <row r="808" spans="1:1" x14ac:dyDescent="0.25">
      <c r="A808" s="20">
        <v>26145</v>
      </c>
    </row>
    <row r="809" spans="1:1" x14ac:dyDescent="0.25">
      <c r="A809" s="20">
        <v>26147</v>
      </c>
    </row>
    <row r="810" spans="1:1" x14ac:dyDescent="0.25">
      <c r="A810" s="20">
        <v>26149</v>
      </c>
    </row>
    <row r="811" spans="1:1" x14ac:dyDescent="0.25">
      <c r="A811" s="20">
        <v>26151</v>
      </c>
    </row>
    <row r="812" spans="1:1" x14ac:dyDescent="0.25">
      <c r="A812" s="20">
        <v>26153</v>
      </c>
    </row>
    <row r="813" spans="1:1" x14ac:dyDescent="0.25">
      <c r="A813" s="20">
        <v>26155</v>
      </c>
    </row>
    <row r="814" spans="1:1" x14ac:dyDescent="0.25">
      <c r="A814" s="20">
        <v>26157</v>
      </c>
    </row>
    <row r="815" spans="1:1" x14ac:dyDescent="0.25">
      <c r="A815" s="20">
        <v>26159</v>
      </c>
    </row>
    <row r="816" spans="1:1" x14ac:dyDescent="0.25">
      <c r="A816" s="20">
        <v>26161</v>
      </c>
    </row>
    <row r="817" spans="1:1" x14ac:dyDescent="0.25">
      <c r="A817" s="20">
        <v>26163</v>
      </c>
    </row>
    <row r="818" spans="1:1" x14ac:dyDescent="0.25">
      <c r="A818" s="20">
        <v>26165</v>
      </c>
    </row>
    <row r="819" spans="1:1" x14ac:dyDescent="0.25">
      <c r="A819" s="20">
        <v>27001</v>
      </c>
    </row>
    <row r="820" spans="1:1" x14ac:dyDescent="0.25">
      <c r="A820" s="20">
        <v>27003</v>
      </c>
    </row>
    <row r="821" spans="1:1" x14ac:dyDescent="0.25">
      <c r="A821" s="20">
        <v>27005</v>
      </c>
    </row>
    <row r="822" spans="1:1" x14ac:dyDescent="0.25">
      <c r="A822" s="20">
        <v>27007</v>
      </c>
    </row>
    <row r="823" spans="1:1" x14ac:dyDescent="0.25">
      <c r="A823" s="20">
        <v>27011</v>
      </c>
    </row>
    <row r="824" spans="1:1" x14ac:dyDescent="0.25">
      <c r="A824" s="20">
        <v>27013</v>
      </c>
    </row>
    <row r="825" spans="1:1" x14ac:dyDescent="0.25">
      <c r="A825" s="20">
        <v>27015</v>
      </c>
    </row>
    <row r="826" spans="1:1" x14ac:dyDescent="0.25">
      <c r="A826" s="20">
        <v>27017</v>
      </c>
    </row>
    <row r="827" spans="1:1" x14ac:dyDescent="0.25">
      <c r="A827" s="20">
        <v>27019</v>
      </c>
    </row>
    <row r="828" spans="1:1" x14ac:dyDescent="0.25">
      <c r="A828" s="20">
        <v>27021</v>
      </c>
    </row>
    <row r="829" spans="1:1" x14ac:dyDescent="0.25">
      <c r="A829" s="20">
        <v>27023</v>
      </c>
    </row>
    <row r="830" spans="1:1" x14ac:dyDescent="0.25">
      <c r="A830" s="20">
        <v>27025</v>
      </c>
    </row>
    <row r="831" spans="1:1" x14ac:dyDescent="0.25">
      <c r="A831" s="20">
        <v>27029</v>
      </c>
    </row>
    <row r="832" spans="1:1" x14ac:dyDescent="0.25">
      <c r="A832" s="20">
        <v>27031</v>
      </c>
    </row>
    <row r="833" spans="1:1" x14ac:dyDescent="0.25">
      <c r="A833" s="20">
        <v>27033</v>
      </c>
    </row>
    <row r="834" spans="1:1" x14ac:dyDescent="0.25">
      <c r="A834" s="20">
        <v>27035</v>
      </c>
    </row>
    <row r="835" spans="1:1" x14ac:dyDescent="0.25">
      <c r="A835" s="20">
        <v>27037</v>
      </c>
    </row>
    <row r="836" spans="1:1" x14ac:dyDescent="0.25">
      <c r="A836" s="20">
        <v>27041</v>
      </c>
    </row>
    <row r="837" spans="1:1" x14ac:dyDescent="0.25">
      <c r="A837" s="20">
        <v>27043</v>
      </c>
    </row>
    <row r="838" spans="1:1" x14ac:dyDescent="0.25">
      <c r="A838" s="20">
        <v>27047</v>
      </c>
    </row>
    <row r="839" spans="1:1" x14ac:dyDescent="0.25">
      <c r="A839" s="20">
        <v>27049</v>
      </c>
    </row>
    <row r="840" spans="1:1" x14ac:dyDescent="0.25">
      <c r="A840" s="20">
        <v>27051</v>
      </c>
    </row>
    <row r="841" spans="1:1" x14ac:dyDescent="0.25">
      <c r="A841" s="20">
        <v>27053</v>
      </c>
    </row>
    <row r="842" spans="1:1" x14ac:dyDescent="0.25">
      <c r="A842" s="20">
        <v>27057</v>
      </c>
    </row>
    <row r="843" spans="1:1" x14ac:dyDescent="0.25">
      <c r="A843" s="20">
        <v>27059</v>
      </c>
    </row>
    <row r="844" spans="1:1" x14ac:dyDescent="0.25">
      <c r="A844" s="20">
        <v>27061</v>
      </c>
    </row>
    <row r="845" spans="1:1" x14ac:dyDescent="0.25">
      <c r="A845" s="20">
        <v>27063</v>
      </c>
    </row>
    <row r="846" spans="1:1" x14ac:dyDescent="0.25">
      <c r="A846" s="20">
        <v>27065</v>
      </c>
    </row>
    <row r="847" spans="1:1" x14ac:dyDescent="0.25">
      <c r="A847" s="20">
        <v>27067</v>
      </c>
    </row>
    <row r="848" spans="1:1" x14ac:dyDescent="0.25">
      <c r="A848" s="20">
        <v>27069</v>
      </c>
    </row>
    <row r="849" spans="1:1" x14ac:dyDescent="0.25">
      <c r="A849" s="20">
        <v>27071</v>
      </c>
    </row>
    <row r="850" spans="1:1" x14ac:dyDescent="0.25">
      <c r="A850" s="20">
        <v>27073</v>
      </c>
    </row>
    <row r="851" spans="1:1" x14ac:dyDescent="0.25">
      <c r="A851" s="20">
        <v>27075</v>
      </c>
    </row>
    <row r="852" spans="1:1" x14ac:dyDescent="0.25">
      <c r="A852" s="20">
        <v>27077</v>
      </c>
    </row>
    <row r="853" spans="1:1" x14ac:dyDescent="0.25">
      <c r="A853" s="20">
        <v>27079</v>
      </c>
    </row>
    <row r="854" spans="1:1" x14ac:dyDescent="0.25">
      <c r="A854" s="20">
        <v>27081</v>
      </c>
    </row>
    <row r="855" spans="1:1" x14ac:dyDescent="0.25">
      <c r="A855" s="20">
        <v>27083</v>
      </c>
    </row>
    <row r="856" spans="1:1" x14ac:dyDescent="0.25">
      <c r="A856" s="20">
        <v>27085</v>
      </c>
    </row>
    <row r="857" spans="1:1" x14ac:dyDescent="0.25">
      <c r="A857" s="20">
        <v>27087</v>
      </c>
    </row>
    <row r="858" spans="1:1" x14ac:dyDescent="0.25">
      <c r="A858" s="20">
        <v>27089</v>
      </c>
    </row>
    <row r="859" spans="1:1" x14ac:dyDescent="0.25">
      <c r="A859" s="20">
        <v>27091</v>
      </c>
    </row>
    <row r="860" spans="1:1" x14ac:dyDescent="0.25">
      <c r="A860" s="20">
        <v>27093</v>
      </c>
    </row>
    <row r="861" spans="1:1" x14ac:dyDescent="0.25">
      <c r="A861" s="20">
        <v>27095</v>
      </c>
    </row>
    <row r="862" spans="1:1" x14ac:dyDescent="0.25">
      <c r="A862" s="20">
        <v>27097</v>
      </c>
    </row>
    <row r="863" spans="1:1" x14ac:dyDescent="0.25">
      <c r="A863" s="20">
        <v>27099</v>
      </c>
    </row>
    <row r="864" spans="1:1" x14ac:dyDescent="0.25">
      <c r="A864" s="20">
        <v>27101</v>
      </c>
    </row>
    <row r="865" spans="1:1" x14ac:dyDescent="0.25">
      <c r="A865" s="20">
        <v>27103</v>
      </c>
    </row>
    <row r="866" spans="1:1" x14ac:dyDescent="0.25">
      <c r="A866" s="20">
        <v>27105</v>
      </c>
    </row>
    <row r="867" spans="1:1" x14ac:dyDescent="0.25">
      <c r="A867" s="20">
        <v>27107</v>
      </c>
    </row>
    <row r="868" spans="1:1" x14ac:dyDescent="0.25">
      <c r="A868" s="20">
        <v>27109</v>
      </c>
    </row>
    <row r="869" spans="1:1" x14ac:dyDescent="0.25">
      <c r="A869" s="20">
        <v>27111</v>
      </c>
    </row>
    <row r="870" spans="1:1" x14ac:dyDescent="0.25">
      <c r="A870" s="20">
        <v>27113</v>
      </c>
    </row>
    <row r="871" spans="1:1" x14ac:dyDescent="0.25">
      <c r="A871" s="20">
        <v>27115</v>
      </c>
    </row>
    <row r="872" spans="1:1" x14ac:dyDescent="0.25">
      <c r="A872" s="20">
        <v>27117</v>
      </c>
    </row>
    <row r="873" spans="1:1" x14ac:dyDescent="0.25">
      <c r="A873" s="20">
        <v>27119</v>
      </c>
    </row>
    <row r="874" spans="1:1" x14ac:dyDescent="0.25">
      <c r="A874" s="20">
        <v>27121</v>
      </c>
    </row>
    <row r="875" spans="1:1" x14ac:dyDescent="0.25">
      <c r="A875" s="20">
        <v>27123</v>
      </c>
    </row>
    <row r="876" spans="1:1" x14ac:dyDescent="0.25">
      <c r="A876" s="20">
        <v>27127</v>
      </c>
    </row>
    <row r="877" spans="1:1" x14ac:dyDescent="0.25">
      <c r="A877" s="20">
        <v>27129</v>
      </c>
    </row>
    <row r="878" spans="1:1" x14ac:dyDescent="0.25">
      <c r="A878" s="20">
        <v>27131</v>
      </c>
    </row>
    <row r="879" spans="1:1" x14ac:dyDescent="0.25">
      <c r="A879" s="20">
        <v>27133</v>
      </c>
    </row>
    <row r="880" spans="1:1" x14ac:dyDescent="0.25">
      <c r="A880" s="20">
        <v>27135</v>
      </c>
    </row>
    <row r="881" spans="1:1" x14ac:dyDescent="0.25">
      <c r="A881" s="20">
        <v>27137</v>
      </c>
    </row>
    <row r="882" spans="1:1" x14ac:dyDescent="0.25">
      <c r="A882" s="20">
        <v>27139</v>
      </c>
    </row>
    <row r="883" spans="1:1" x14ac:dyDescent="0.25">
      <c r="A883" s="20">
        <v>27143</v>
      </c>
    </row>
    <row r="884" spans="1:1" x14ac:dyDescent="0.25">
      <c r="A884" s="20">
        <v>27145</v>
      </c>
    </row>
    <row r="885" spans="1:1" x14ac:dyDescent="0.25">
      <c r="A885" s="20">
        <v>27147</v>
      </c>
    </row>
    <row r="886" spans="1:1" x14ac:dyDescent="0.25">
      <c r="A886" s="20">
        <v>27149</v>
      </c>
    </row>
    <row r="887" spans="1:1" x14ac:dyDescent="0.25">
      <c r="A887" s="20">
        <v>27151</v>
      </c>
    </row>
    <row r="888" spans="1:1" x14ac:dyDescent="0.25">
      <c r="A888" s="20">
        <v>27153</v>
      </c>
    </row>
    <row r="889" spans="1:1" x14ac:dyDescent="0.25">
      <c r="A889" s="20">
        <v>27155</v>
      </c>
    </row>
    <row r="890" spans="1:1" x14ac:dyDescent="0.25">
      <c r="A890" s="20">
        <v>27157</v>
      </c>
    </row>
    <row r="891" spans="1:1" x14ac:dyDescent="0.25">
      <c r="A891" s="20">
        <v>27159</v>
      </c>
    </row>
    <row r="892" spans="1:1" x14ac:dyDescent="0.25">
      <c r="A892" s="20">
        <v>27161</v>
      </c>
    </row>
    <row r="893" spans="1:1" x14ac:dyDescent="0.25">
      <c r="A893" s="20">
        <v>27163</v>
      </c>
    </row>
    <row r="894" spans="1:1" x14ac:dyDescent="0.25">
      <c r="A894" s="20">
        <v>27165</v>
      </c>
    </row>
    <row r="895" spans="1:1" x14ac:dyDescent="0.25">
      <c r="A895" s="20">
        <v>27167</v>
      </c>
    </row>
    <row r="896" spans="1:1" x14ac:dyDescent="0.25">
      <c r="A896" s="20">
        <v>27169</v>
      </c>
    </row>
    <row r="897" spans="1:1" x14ac:dyDescent="0.25">
      <c r="A897" s="20">
        <v>27171</v>
      </c>
    </row>
    <row r="898" spans="1:1" x14ac:dyDescent="0.25">
      <c r="A898" s="20">
        <v>27173</v>
      </c>
    </row>
    <row r="899" spans="1:1" x14ac:dyDescent="0.25">
      <c r="A899" s="20">
        <v>28001</v>
      </c>
    </row>
    <row r="900" spans="1:1" x14ac:dyDescent="0.25">
      <c r="A900" s="20">
        <v>28003</v>
      </c>
    </row>
    <row r="901" spans="1:1" x14ac:dyDescent="0.25">
      <c r="A901" s="20">
        <v>28007</v>
      </c>
    </row>
    <row r="902" spans="1:1" x14ac:dyDescent="0.25">
      <c r="A902" s="20">
        <v>28011</v>
      </c>
    </row>
    <row r="903" spans="1:1" x14ac:dyDescent="0.25">
      <c r="A903" s="20">
        <v>28013</v>
      </c>
    </row>
    <row r="904" spans="1:1" x14ac:dyDescent="0.25">
      <c r="A904" s="20">
        <v>28017</v>
      </c>
    </row>
    <row r="905" spans="1:1" x14ac:dyDescent="0.25">
      <c r="A905" s="20">
        <v>28019</v>
      </c>
    </row>
    <row r="906" spans="1:1" x14ac:dyDescent="0.25">
      <c r="A906" s="20">
        <v>28021</v>
      </c>
    </row>
    <row r="907" spans="1:1" x14ac:dyDescent="0.25">
      <c r="A907" s="20">
        <v>28023</v>
      </c>
    </row>
    <row r="908" spans="1:1" x14ac:dyDescent="0.25">
      <c r="A908" s="20">
        <v>28025</v>
      </c>
    </row>
    <row r="909" spans="1:1" x14ac:dyDescent="0.25">
      <c r="A909" s="20">
        <v>28027</v>
      </c>
    </row>
    <row r="910" spans="1:1" x14ac:dyDescent="0.25">
      <c r="A910" s="20">
        <v>28029</v>
      </c>
    </row>
    <row r="911" spans="1:1" x14ac:dyDescent="0.25">
      <c r="A911" s="20">
        <v>28031</v>
      </c>
    </row>
    <row r="912" spans="1:1" x14ac:dyDescent="0.25">
      <c r="A912" s="20">
        <v>28033</v>
      </c>
    </row>
    <row r="913" spans="1:1" x14ac:dyDescent="0.25">
      <c r="A913" s="20">
        <v>28035</v>
      </c>
    </row>
    <row r="914" spans="1:1" x14ac:dyDescent="0.25">
      <c r="A914" s="20">
        <v>28037</v>
      </c>
    </row>
    <row r="915" spans="1:1" x14ac:dyDescent="0.25">
      <c r="A915" s="20">
        <v>28039</v>
      </c>
    </row>
    <row r="916" spans="1:1" x14ac:dyDescent="0.25">
      <c r="A916" s="20">
        <v>28041</v>
      </c>
    </row>
    <row r="917" spans="1:1" x14ac:dyDescent="0.25">
      <c r="A917" s="20">
        <v>28043</v>
      </c>
    </row>
    <row r="918" spans="1:1" x14ac:dyDescent="0.25">
      <c r="A918" s="20">
        <v>28045</v>
      </c>
    </row>
    <row r="919" spans="1:1" x14ac:dyDescent="0.25">
      <c r="A919" s="20">
        <v>28047</v>
      </c>
    </row>
    <row r="920" spans="1:1" x14ac:dyDescent="0.25">
      <c r="A920" s="20">
        <v>28049</v>
      </c>
    </row>
    <row r="921" spans="1:1" x14ac:dyDescent="0.25">
      <c r="A921" s="20">
        <v>28051</v>
      </c>
    </row>
    <row r="922" spans="1:1" x14ac:dyDescent="0.25">
      <c r="A922" s="20">
        <v>28053</v>
      </c>
    </row>
    <row r="923" spans="1:1" x14ac:dyDescent="0.25">
      <c r="A923" s="20">
        <v>28059</v>
      </c>
    </row>
    <row r="924" spans="1:1" x14ac:dyDescent="0.25">
      <c r="A924" s="20">
        <v>28061</v>
      </c>
    </row>
    <row r="925" spans="1:1" x14ac:dyDescent="0.25">
      <c r="A925" s="20">
        <v>28063</v>
      </c>
    </row>
    <row r="926" spans="1:1" x14ac:dyDescent="0.25">
      <c r="A926" s="20">
        <v>28065</v>
      </c>
    </row>
    <row r="927" spans="1:1" x14ac:dyDescent="0.25">
      <c r="A927" s="20">
        <v>28067</v>
      </c>
    </row>
    <row r="928" spans="1:1" x14ac:dyDescent="0.25">
      <c r="A928" s="20">
        <v>28069</v>
      </c>
    </row>
    <row r="929" spans="1:1" x14ac:dyDescent="0.25">
      <c r="A929" s="20">
        <v>28071</v>
      </c>
    </row>
    <row r="930" spans="1:1" x14ac:dyDescent="0.25">
      <c r="A930" s="20">
        <v>28075</v>
      </c>
    </row>
    <row r="931" spans="1:1" x14ac:dyDescent="0.25">
      <c r="A931" s="20">
        <v>28077</v>
      </c>
    </row>
    <row r="932" spans="1:1" x14ac:dyDescent="0.25">
      <c r="A932" s="20">
        <v>28079</v>
      </c>
    </row>
    <row r="933" spans="1:1" x14ac:dyDescent="0.25">
      <c r="A933" s="20">
        <v>28081</v>
      </c>
    </row>
    <row r="934" spans="1:1" x14ac:dyDescent="0.25">
      <c r="A934" s="20">
        <v>28083</v>
      </c>
    </row>
    <row r="935" spans="1:1" x14ac:dyDescent="0.25">
      <c r="A935" s="20">
        <v>28085</v>
      </c>
    </row>
    <row r="936" spans="1:1" x14ac:dyDescent="0.25">
      <c r="A936" s="20">
        <v>28087</v>
      </c>
    </row>
    <row r="937" spans="1:1" x14ac:dyDescent="0.25">
      <c r="A937" s="20">
        <v>28089</v>
      </c>
    </row>
    <row r="938" spans="1:1" x14ac:dyDescent="0.25">
      <c r="A938" s="20">
        <v>28091</v>
      </c>
    </row>
    <row r="939" spans="1:1" x14ac:dyDescent="0.25">
      <c r="A939" s="20">
        <v>28093</v>
      </c>
    </row>
    <row r="940" spans="1:1" x14ac:dyDescent="0.25">
      <c r="A940" s="20">
        <v>28095</v>
      </c>
    </row>
    <row r="941" spans="1:1" x14ac:dyDescent="0.25">
      <c r="A941" s="20">
        <v>28097</v>
      </c>
    </row>
    <row r="942" spans="1:1" x14ac:dyDescent="0.25">
      <c r="A942" s="20">
        <v>28099</v>
      </c>
    </row>
    <row r="943" spans="1:1" x14ac:dyDescent="0.25">
      <c r="A943" s="20">
        <v>28101</v>
      </c>
    </row>
    <row r="944" spans="1:1" x14ac:dyDescent="0.25">
      <c r="A944" s="20">
        <v>28103</v>
      </c>
    </row>
    <row r="945" spans="1:1" x14ac:dyDescent="0.25">
      <c r="A945" s="20">
        <v>28105</v>
      </c>
    </row>
    <row r="946" spans="1:1" x14ac:dyDescent="0.25">
      <c r="A946" s="20">
        <v>28107</v>
      </c>
    </row>
    <row r="947" spans="1:1" x14ac:dyDescent="0.25">
      <c r="A947" s="20">
        <v>28109</v>
      </c>
    </row>
    <row r="948" spans="1:1" x14ac:dyDescent="0.25">
      <c r="A948" s="20">
        <v>28111</v>
      </c>
    </row>
    <row r="949" spans="1:1" x14ac:dyDescent="0.25">
      <c r="A949" s="20">
        <v>28113</v>
      </c>
    </row>
    <row r="950" spans="1:1" x14ac:dyDescent="0.25">
      <c r="A950" s="20">
        <v>28115</v>
      </c>
    </row>
    <row r="951" spans="1:1" x14ac:dyDescent="0.25">
      <c r="A951" s="20">
        <v>28117</v>
      </c>
    </row>
    <row r="952" spans="1:1" x14ac:dyDescent="0.25">
      <c r="A952" s="20">
        <v>28119</v>
      </c>
    </row>
    <row r="953" spans="1:1" x14ac:dyDescent="0.25">
      <c r="A953" s="20">
        <v>28121</v>
      </c>
    </row>
    <row r="954" spans="1:1" x14ac:dyDescent="0.25">
      <c r="A954" s="20">
        <v>28123</v>
      </c>
    </row>
    <row r="955" spans="1:1" x14ac:dyDescent="0.25">
      <c r="A955" s="20">
        <v>28125</v>
      </c>
    </row>
    <row r="956" spans="1:1" x14ac:dyDescent="0.25">
      <c r="A956" s="20">
        <v>28127</v>
      </c>
    </row>
    <row r="957" spans="1:1" x14ac:dyDescent="0.25">
      <c r="A957" s="20">
        <v>28129</v>
      </c>
    </row>
    <row r="958" spans="1:1" x14ac:dyDescent="0.25">
      <c r="A958" s="20">
        <v>28131</v>
      </c>
    </row>
    <row r="959" spans="1:1" x14ac:dyDescent="0.25">
      <c r="A959" s="20">
        <v>28133</v>
      </c>
    </row>
    <row r="960" spans="1:1" x14ac:dyDescent="0.25">
      <c r="A960" s="20">
        <v>28135</v>
      </c>
    </row>
    <row r="961" spans="1:1" x14ac:dyDescent="0.25">
      <c r="A961" s="20">
        <v>28137</v>
      </c>
    </row>
    <row r="962" spans="1:1" x14ac:dyDescent="0.25">
      <c r="A962" s="20">
        <v>28139</v>
      </c>
    </row>
    <row r="963" spans="1:1" x14ac:dyDescent="0.25">
      <c r="A963" s="20">
        <v>28141</v>
      </c>
    </row>
    <row r="964" spans="1:1" x14ac:dyDescent="0.25">
      <c r="A964" s="20">
        <v>28145</v>
      </c>
    </row>
    <row r="965" spans="1:1" x14ac:dyDescent="0.25">
      <c r="A965" s="20">
        <v>28147</v>
      </c>
    </row>
    <row r="966" spans="1:1" x14ac:dyDescent="0.25">
      <c r="A966" s="20">
        <v>28149</v>
      </c>
    </row>
    <row r="967" spans="1:1" x14ac:dyDescent="0.25">
      <c r="A967" s="20">
        <v>28151</v>
      </c>
    </row>
    <row r="968" spans="1:1" x14ac:dyDescent="0.25">
      <c r="A968" s="20">
        <v>28153</v>
      </c>
    </row>
    <row r="969" spans="1:1" x14ac:dyDescent="0.25">
      <c r="A969" s="20">
        <v>28155</v>
      </c>
    </row>
    <row r="970" spans="1:1" x14ac:dyDescent="0.25">
      <c r="A970" s="20">
        <v>28157</v>
      </c>
    </row>
    <row r="971" spans="1:1" x14ac:dyDescent="0.25">
      <c r="A971" s="20">
        <v>28159</v>
      </c>
    </row>
    <row r="972" spans="1:1" x14ac:dyDescent="0.25">
      <c r="A972" s="20">
        <v>28161</v>
      </c>
    </row>
    <row r="973" spans="1:1" x14ac:dyDescent="0.25">
      <c r="A973" s="20">
        <v>28163</v>
      </c>
    </row>
    <row r="974" spans="1:1" x14ac:dyDescent="0.25">
      <c r="A974" s="20">
        <v>29001</v>
      </c>
    </row>
    <row r="975" spans="1:1" x14ac:dyDescent="0.25">
      <c r="A975" s="20">
        <v>29005</v>
      </c>
    </row>
    <row r="976" spans="1:1" x14ac:dyDescent="0.25">
      <c r="A976" s="20">
        <v>29007</v>
      </c>
    </row>
    <row r="977" spans="1:1" x14ac:dyDescent="0.25">
      <c r="A977" s="20">
        <v>29009</v>
      </c>
    </row>
    <row r="978" spans="1:1" x14ac:dyDescent="0.25">
      <c r="A978" s="20">
        <v>29011</v>
      </c>
    </row>
    <row r="979" spans="1:1" x14ac:dyDescent="0.25">
      <c r="A979" s="20">
        <v>29013</v>
      </c>
    </row>
    <row r="980" spans="1:1" x14ac:dyDescent="0.25">
      <c r="A980" s="20">
        <v>29019</v>
      </c>
    </row>
    <row r="981" spans="1:1" x14ac:dyDescent="0.25">
      <c r="A981" s="20">
        <v>29021</v>
      </c>
    </row>
    <row r="982" spans="1:1" x14ac:dyDescent="0.25">
      <c r="A982" s="20">
        <v>29023</v>
      </c>
    </row>
    <row r="983" spans="1:1" x14ac:dyDescent="0.25">
      <c r="A983" s="20">
        <v>29027</v>
      </c>
    </row>
    <row r="984" spans="1:1" x14ac:dyDescent="0.25">
      <c r="A984" s="20">
        <v>29029</v>
      </c>
    </row>
    <row r="985" spans="1:1" x14ac:dyDescent="0.25">
      <c r="A985" s="20">
        <v>29031</v>
      </c>
    </row>
    <row r="986" spans="1:1" x14ac:dyDescent="0.25">
      <c r="A986" s="20">
        <v>29033</v>
      </c>
    </row>
    <row r="987" spans="1:1" x14ac:dyDescent="0.25">
      <c r="A987" s="20">
        <v>29037</v>
      </c>
    </row>
    <row r="988" spans="1:1" x14ac:dyDescent="0.25">
      <c r="A988" s="20">
        <v>29039</v>
      </c>
    </row>
    <row r="989" spans="1:1" x14ac:dyDescent="0.25">
      <c r="A989" s="20">
        <v>29043</v>
      </c>
    </row>
    <row r="990" spans="1:1" x14ac:dyDescent="0.25">
      <c r="A990" s="20">
        <v>29047</v>
      </c>
    </row>
    <row r="991" spans="1:1" x14ac:dyDescent="0.25">
      <c r="A991" s="20">
        <v>29049</v>
      </c>
    </row>
    <row r="992" spans="1:1" x14ac:dyDescent="0.25">
      <c r="A992" s="20">
        <v>29051</v>
      </c>
    </row>
    <row r="993" spans="1:1" x14ac:dyDescent="0.25">
      <c r="A993" s="20">
        <v>29053</v>
      </c>
    </row>
    <row r="994" spans="1:1" x14ac:dyDescent="0.25">
      <c r="A994" s="20">
        <v>29065</v>
      </c>
    </row>
    <row r="995" spans="1:1" x14ac:dyDescent="0.25">
      <c r="A995" s="20">
        <v>29069</v>
      </c>
    </row>
    <row r="996" spans="1:1" x14ac:dyDescent="0.25">
      <c r="A996" s="20">
        <v>29071</v>
      </c>
    </row>
    <row r="997" spans="1:1" x14ac:dyDescent="0.25">
      <c r="A997" s="20">
        <v>29073</v>
      </c>
    </row>
    <row r="998" spans="1:1" x14ac:dyDescent="0.25">
      <c r="A998" s="20">
        <v>29075</v>
      </c>
    </row>
    <row r="999" spans="1:1" x14ac:dyDescent="0.25">
      <c r="A999" s="20">
        <v>29077</v>
      </c>
    </row>
    <row r="1000" spans="1:1" x14ac:dyDescent="0.25">
      <c r="A1000" s="20">
        <v>29079</v>
      </c>
    </row>
    <row r="1001" spans="1:1" x14ac:dyDescent="0.25">
      <c r="A1001" s="20">
        <v>29081</v>
      </c>
    </row>
    <row r="1002" spans="1:1" x14ac:dyDescent="0.25">
      <c r="A1002" s="20">
        <v>29083</v>
      </c>
    </row>
    <row r="1003" spans="1:1" x14ac:dyDescent="0.25">
      <c r="A1003" s="20">
        <v>29091</v>
      </c>
    </row>
    <row r="1004" spans="1:1" x14ac:dyDescent="0.25">
      <c r="A1004" s="20">
        <v>29093</v>
      </c>
    </row>
    <row r="1005" spans="1:1" x14ac:dyDescent="0.25">
      <c r="A1005" s="20">
        <v>29095</v>
      </c>
    </row>
    <row r="1006" spans="1:1" x14ac:dyDescent="0.25">
      <c r="A1006" s="20">
        <v>29097</v>
      </c>
    </row>
    <row r="1007" spans="1:1" x14ac:dyDescent="0.25">
      <c r="A1007" s="20">
        <v>29099</v>
      </c>
    </row>
    <row r="1008" spans="1:1" x14ac:dyDescent="0.25">
      <c r="A1008" s="20">
        <v>29101</v>
      </c>
    </row>
    <row r="1009" spans="1:1" x14ac:dyDescent="0.25">
      <c r="A1009" s="20">
        <v>29105</v>
      </c>
    </row>
    <row r="1010" spans="1:1" x14ac:dyDescent="0.25">
      <c r="A1010" s="20">
        <v>29107</v>
      </c>
    </row>
    <row r="1011" spans="1:1" x14ac:dyDescent="0.25">
      <c r="A1011" s="20">
        <v>29109</v>
      </c>
    </row>
    <row r="1012" spans="1:1" x14ac:dyDescent="0.25">
      <c r="A1012" s="20">
        <v>29113</v>
      </c>
    </row>
    <row r="1013" spans="1:1" x14ac:dyDescent="0.25">
      <c r="A1013" s="20">
        <v>29115</v>
      </c>
    </row>
    <row r="1014" spans="1:1" x14ac:dyDescent="0.25">
      <c r="A1014" s="20">
        <v>29117</v>
      </c>
    </row>
    <row r="1015" spans="1:1" x14ac:dyDescent="0.25">
      <c r="A1015" s="20">
        <v>29121</v>
      </c>
    </row>
    <row r="1016" spans="1:1" x14ac:dyDescent="0.25">
      <c r="A1016" s="20">
        <v>29123</v>
      </c>
    </row>
    <row r="1017" spans="1:1" x14ac:dyDescent="0.25">
      <c r="A1017" s="20">
        <v>29127</v>
      </c>
    </row>
    <row r="1018" spans="1:1" x14ac:dyDescent="0.25">
      <c r="A1018" s="20">
        <v>29145</v>
      </c>
    </row>
    <row r="1019" spans="1:1" x14ac:dyDescent="0.25">
      <c r="A1019" s="20">
        <v>29147</v>
      </c>
    </row>
    <row r="1020" spans="1:1" x14ac:dyDescent="0.25">
      <c r="A1020" s="20">
        <v>29155</v>
      </c>
    </row>
    <row r="1021" spans="1:1" x14ac:dyDescent="0.25">
      <c r="A1021" s="20">
        <v>29157</v>
      </c>
    </row>
    <row r="1022" spans="1:1" x14ac:dyDescent="0.25">
      <c r="A1022" s="20">
        <v>29159</v>
      </c>
    </row>
    <row r="1023" spans="1:1" x14ac:dyDescent="0.25">
      <c r="A1023" s="20">
        <v>29161</v>
      </c>
    </row>
    <row r="1024" spans="1:1" x14ac:dyDescent="0.25">
      <c r="A1024" s="20">
        <v>29163</v>
      </c>
    </row>
    <row r="1025" spans="1:1" x14ac:dyDescent="0.25">
      <c r="A1025" s="20">
        <v>29165</v>
      </c>
    </row>
    <row r="1026" spans="1:1" x14ac:dyDescent="0.25">
      <c r="A1026" s="20">
        <v>29167</v>
      </c>
    </row>
    <row r="1027" spans="1:1" x14ac:dyDescent="0.25">
      <c r="A1027" s="20">
        <v>29171</v>
      </c>
    </row>
    <row r="1028" spans="1:1" x14ac:dyDescent="0.25">
      <c r="A1028" s="20">
        <v>29175</v>
      </c>
    </row>
    <row r="1029" spans="1:1" x14ac:dyDescent="0.25">
      <c r="A1029" s="20">
        <v>29177</v>
      </c>
    </row>
    <row r="1030" spans="1:1" x14ac:dyDescent="0.25">
      <c r="A1030" s="20">
        <v>29179</v>
      </c>
    </row>
    <row r="1031" spans="1:1" x14ac:dyDescent="0.25">
      <c r="A1031" s="20">
        <v>29181</v>
      </c>
    </row>
    <row r="1032" spans="1:1" x14ac:dyDescent="0.25">
      <c r="A1032" s="20">
        <v>29183</v>
      </c>
    </row>
    <row r="1033" spans="1:1" x14ac:dyDescent="0.25">
      <c r="A1033" s="20">
        <v>29185</v>
      </c>
    </row>
    <row r="1034" spans="1:1" x14ac:dyDescent="0.25">
      <c r="A1034" s="20">
        <v>29186</v>
      </c>
    </row>
    <row r="1035" spans="1:1" x14ac:dyDescent="0.25">
      <c r="A1035" s="20">
        <v>29187</v>
      </c>
    </row>
    <row r="1036" spans="1:1" x14ac:dyDescent="0.25">
      <c r="A1036" s="20">
        <v>29189</v>
      </c>
    </row>
    <row r="1037" spans="1:1" x14ac:dyDescent="0.25">
      <c r="A1037" s="20">
        <v>29195</v>
      </c>
    </row>
    <row r="1038" spans="1:1" x14ac:dyDescent="0.25">
      <c r="A1038" s="20">
        <v>29199</v>
      </c>
    </row>
    <row r="1039" spans="1:1" x14ac:dyDescent="0.25">
      <c r="A1039" s="20">
        <v>29201</v>
      </c>
    </row>
    <row r="1040" spans="1:1" x14ac:dyDescent="0.25">
      <c r="A1040" s="20">
        <v>29207</v>
      </c>
    </row>
    <row r="1041" spans="1:1" x14ac:dyDescent="0.25">
      <c r="A1041" s="20">
        <v>29211</v>
      </c>
    </row>
    <row r="1042" spans="1:1" x14ac:dyDescent="0.25">
      <c r="A1042" s="20">
        <v>29213</v>
      </c>
    </row>
    <row r="1043" spans="1:1" x14ac:dyDescent="0.25">
      <c r="A1043" s="20">
        <v>29215</v>
      </c>
    </row>
    <row r="1044" spans="1:1" x14ac:dyDescent="0.25">
      <c r="A1044" s="20">
        <v>29217</v>
      </c>
    </row>
    <row r="1045" spans="1:1" x14ac:dyDescent="0.25">
      <c r="A1045" s="20">
        <v>29221</v>
      </c>
    </row>
    <row r="1046" spans="1:1" x14ac:dyDescent="0.25">
      <c r="A1046" s="20">
        <v>29510</v>
      </c>
    </row>
    <row r="1047" spans="1:1" x14ac:dyDescent="0.25">
      <c r="A1047" s="20">
        <v>30001</v>
      </c>
    </row>
    <row r="1048" spans="1:1" x14ac:dyDescent="0.25">
      <c r="A1048" s="20">
        <v>30003</v>
      </c>
    </row>
    <row r="1049" spans="1:1" x14ac:dyDescent="0.25">
      <c r="A1049" s="20">
        <v>30005</v>
      </c>
    </row>
    <row r="1050" spans="1:1" x14ac:dyDescent="0.25">
      <c r="A1050" s="20">
        <v>30007</v>
      </c>
    </row>
    <row r="1051" spans="1:1" x14ac:dyDescent="0.25">
      <c r="A1051" s="20">
        <v>30009</v>
      </c>
    </row>
    <row r="1052" spans="1:1" x14ac:dyDescent="0.25">
      <c r="A1052" s="20">
        <v>30011</v>
      </c>
    </row>
    <row r="1053" spans="1:1" x14ac:dyDescent="0.25">
      <c r="A1053" s="20">
        <v>30013</v>
      </c>
    </row>
    <row r="1054" spans="1:1" x14ac:dyDescent="0.25">
      <c r="A1054" s="20">
        <v>30015</v>
      </c>
    </row>
    <row r="1055" spans="1:1" x14ac:dyDescent="0.25">
      <c r="A1055" s="20">
        <v>30017</v>
      </c>
    </row>
    <row r="1056" spans="1:1" x14ac:dyDescent="0.25">
      <c r="A1056" s="20">
        <v>30019</v>
      </c>
    </row>
    <row r="1057" spans="1:1" x14ac:dyDescent="0.25">
      <c r="A1057" s="20">
        <v>30021</v>
      </c>
    </row>
    <row r="1058" spans="1:1" x14ac:dyDescent="0.25">
      <c r="A1058" s="20">
        <v>30023</v>
      </c>
    </row>
    <row r="1059" spans="1:1" x14ac:dyDescent="0.25">
      <c r="A1059" s="20">
        <v>30025</v>
      </c>
    </row>
    <row r="1060" spans="1:1" x14ac:dyDescent="0.25">
      <c r="A1060" s="20">
        <v>30027</v>
      </c>
    </row>
    <row r="1061" spans="1:1" x14ac:dyDescent="0.25">
      <c r="A1061" s="20">
        <v>30029</v>
      </c>
    </row>
    <row r="1062" spans="1:1" x14ac:dyDescent="0.25">
      <c r="A1062" s="20">
        <v>30031</v>
      </c>
    </row>
    <row r="1063" spans="1:1" x14ac:dyDescent="0.25">
      <c r="A1063" s="20">
        <v>30033</v>
      </c>
    </row>
    <row r="1064" spans="1:1" x14ac:dyDescent="0.25">
      <c r="A1064" s="20">
        <v>30035</v>
      </c>
    </row>
    <row r="1065" spans="1:1" x14ac:dyDescent="0.25">
      <c r="A1065" s="20">
        <v>30039</v>
      </c>
    </row>
    <row r="1066" spans="1:1" x14ac:dyDescent="0.25">
      <c r="A1066" s="20">
        <v>30041</v>
      </c>
    </row>
    <row r="1067" spans="1:1" x14ac:dyDescent="0.25">
      <c r="A1067" s="20">
        <v>30047</v>
      </c>
    </row>
    <row r="1068" spans="1:1" x14ac:dyDescent="0.25">
      <c r="A1068" s="20">
        <v>30049</v>
      </c>
    </row>
    <row r="1069" spans="1:1" x14ac:dyDescent="0.25">
      <c r="A1069" s="20">
        <v>30051</v>
      </c>
    </row>
    <row r="1070" spans="1:1" x14ac:dyDescent="0.25">
      <c r="A1070" s="20">
        <v>30053</v>
      </c>
    </row>
    <row r="1071" spans="1:1" x14ac:dyDescent="0.25">
      <c r="A1071" s="20">
        <v>30055</v>
      </c>
    </row>
    <row r="1072" spans="1:1" x14ac:dyDescent="0.25">
      <c r="A1072" s="20">
        <v>30057</v>
      </c>
    </row>
    <row r="1073" spans="1:1" x14ac:dyDescent="0.25">
      <c r="A1073" s="20">
        <v>30059</v>
      </c>
    </row>
    <row r="1074" spans="1:1" x14ac:dyDescent="0.25">
      <c r="A1074" s="20">
        <v>30061</v>
      </c>
    </row>
    <row r="1075" spans="1:1" x14ac:dyDescent="0.25">
      <c r="A1075" s="20">
        <v>30063</v>
      </c>
    </row>
    <row r="1076" spans="1:1" x14ac:dyDescent="0.25">
      <c r="A1076" s="20">
        <v>30065</v>
      </c>
    </row>
    <row r="1077" spans="1:1" x14ac:dyDescent="0.25">
      <c r="A1077" s="20">
        <v>30067</v>
      </c>
    </row>
    <row r="1078" spans="1:1" x14ac:dyDescent="0.25">
      <c r="A1078" s="20">
        <v>30071</v>
      </c>
    </row>
    <row r="1079" spans="1:1" x14ac:dyDescent="0.25">
      <c r="A1079" s="20">
        <v>30073</v>
      </c>
    </row>
    <row r="1080" spans="1:1" x14ac:dyDescent="0.25">
      <c r="A1080" s="20">
        <v>30077</v>
      </c>
    </row>
    <row r="1081" spans="1:1" x14ac:dyDescent="0.25">
      <c r="A1081" s="20">
        <v>30079</v>
      </c>
    </row>
    <row r="1082" spans="1:1" x14ac:dyDescent="0.25">
      <c r="A1082" s="20">
        <v>30081</v>
      </c>
    </row>
    <row r="1083" spans="1:1" x14ac:dyDescent="0.25">
      <c r="A1083" s="20">
        <v>30083</v>
      </c>
    </row>
    <row r="1084" spans="1:1" x14ac:dyDescent="0.25">
      <c r="A1084" s="20">
        <v>30085</v>
      </c>
    </row>
    <row r="1085" spans="1:1" x14ac:dyDescent="0.25">
      <c r="A1085" s="20">
        <v>30087</v>
      </c>
    </row>
    <row r="1086" spans="1:1" x14ac:dyDescent="0.25">
      <c r="A1086" s="20">
        <v>30089</v>
      </c>
    </row>
    <row r="1087" spans="1:1" x14ac:dyDescent="0.25">
      <c r="A1087" s="20">
        <v>30091</v>
      </c>
    </row>
    <row r="1088" spans="1:1" x14ac:dyDescent="0.25">
      <c r="A1088" s="20">
        <v>30093</v>
      </c>
    </row>
    <row r="1089" spans="1:1" x14ac:dyDescent="0.25">
      <c r="A1089" s="20">
        <v>30095</v>
      </c>
    </row>
    <row r="1090" spans="1:1" x14ac:dyDescent="0.25">
      <c r="A1090" s="20">
        <v>30097</v>
      </c>
    </row>
    <row r="1091" spans="1:1" x14ac:dyDescent="0.25">
      <c r="A1091" s="20">
        <v>30099</v>
      </c>
    </row>
    <row r="1092" spans="1:1" x14ac:dyDescent="0.25">
      <c r="A1092" s="20">
        <v>30101</v>
      </c>
    </row>
    <row r="1093" spans="1:1" x14ac:dyDescent="0.25">
      <c r="A1093" s="20">
        <v>30105</v>
      </c>
    </row>
    <row r="1094" spans="1:1" x14ac:dyDescent="0.25">
      <c r="A1094" s="20">
        <v>30107</v>
      </c>
    </row>
    <row r="1095" spans="1:1" x14ac:dyDescent="0.25">
      <c r="A1095" s="20">
        <v>30111</v>
      </c>
    </row>
    <row r="1096" spans="1:1" x14ac:dyDescent="0.25">
      <c r="A1096" s="20">
        <v>31001</v>
      </c>
    </row>
    <row r="1097" spans="1:1" x14ac:dyDescent="0.25">
      <c r="A1097" s="20">
        <v>31003</v>
      </c>
    </row>
    <row r="1098" spans="1:1" x14ac:dyDescent="0.25">
      <c r="A1098" s="20">
        <v>31011</v>
      </c>
    </row>
    <row r="1099" spans="1:1" x14ac:dyDescent="0.25">
      <c r="A1099" s="20">
        <v>31013</v>
      </c>
    </row>
    <row r="1100" spans="1:1" x14ac:dyDescent="0.25">
      <c r="A1100" s="20">
        <v>31015</v>
      </c>
    </row>
    <row r="1101" spans="1:1" x14ac:dyDescent="0.25">
      <c r="A1101" s="20">
        <v>31017</v>
      </c>
    </row>
    <row r="1102" spans="1:1" x14ac:dyDescent="0.25">
      <c r="A1102" s="20">
        <v>31019</v>
      </c>
    </row>
    <row r="1103" spans="1:1" x14ac:dyDescent="0.25">
      <c r="A1103" s="20">
        <v>31021</v>
      </c>
    </row>
    <row r="1104" spans="1:1" x14ac:dyDescent="0.25">
      <c r="A1104" s="20">
        <v>31023</v>
      </c>
    </row>
    <row r="1105" spans="1:1" x14ac:dyDescent="0.25">
      <c r="A1105" s="20">
        <v>31029</v>
      </c>
    </row>
    <row r="1106" spans="1:1" x14ac:dyDescent="0.25">
      <c r="A1106" s="20">
        <v>31031</v>
      </c>
    </row>
    <row r="1107" spans="1:1" x14ac:dyDescent="0.25">
      <c r="A1107" s="20">
        <v>31033</v>
      </c>
    </row>
    <row r="1108" spans="1:1" x14ac:dyDescent="0.25">
      <c r="A1108" s="20">
        <v>31037</v>
      </c>
    </row>
    <row r="1109" spans="1:1" x14ac:dyDescent="0.25">
      <c r="A1109" s="20">
        <v>31039</v>
      </c>
    </row>
    <row r="1110" spans="1:1" x14ac:dyDescent="0.25">
      <c r="A1110" s="20">
        <v>31041</v>
      </c>
    </row>
    <row r="1111" spans="1:1" x14ac:dyDescent="0.25">
      <c r="A1111" s="20">
        <v>31045</v>
      </c>
    </row>
    <row r="1112" spans="1:1" x14ac:dyDescent="0.25">
      <c r="A1112" s="20">
        <v>31047</v>
      </c>
    </row>
    <row r="1113" spans="1:1" x14ac:dyDescent="0.25">
      <c r="A1113" s="20">
        <v>31053</v>
      </c>
    </row>
    <row r="1114" spans="1:1" x14ac:dyDescent="0.25">
      <c r="A1114" s="20">
        <v>31055</v>
      </c>
    </row>
    <row r="1115" spans="1:1" x14ac:dyDescent="0.25">
      <c r="A1115" s="20">
        <v>31057</v>
      </c>
    </row>
    <row r="1116" spans="1:1" x14ac:dyDescent="0.25">
      <c r="A1116" s="20">
        <v>31059</v>
      </c>
    </row>
    <row r="1117" spans="1:1" x14ac:dyDescent="0.25">
      <c r="A1117" s="20">
        <v>31061</v>
      </c>
    </row>
    <row r="1118" spans="1:1" x14ac:dyDescent="0.25">
      <c r="A1118" s="20">
        <v>31065</v>
      </c>
    </row>
    <row r="1119" spans="1:1" x14ac:dyDescent="0.25">
      <c r="A1119" s="20">
        <v>31067</v>
      </c>
    </row>
    <row r="1120" spans="1:1" x14ac:dyDescent="0.25">
      <c r="A1120" s="20">
        <v>31069</v>
      </c>
    </row>
    <row r="1121" spans="1:1" x14ac:dyDescent="0.25">
      <c r="A1121" s="20">
        <v>31079</v>
      </c>
    </row>
    <row r="1122" spans="1:1" x14ac:dyDescent="0.25">
      <c r="A1122" s="20">
        <v>31081</v>
      </c>
    </row>
    <row r="1123" spans="1:1" x14ac:dyDescent="0.25">
      <c r="A1123" s="20">
        <v>31083</v>
      </c>
    </row>
    <row r="1124" spans="1:1" x14ac:dyDescent="0.25">
      <c r="A1124" s="20">
        <v>31089</v>
      </c>
    </row>
    <row r="1125" spans="1:1" x14ac:dyDescent="0.25">
      <c r="A1125" s="20">
        <v>31093</v>
      </c>
    </row>
    <row r="1126" spans="1:1" x14ac:dyDescent="0.25">
      <c r="A1126" s="20">
        <v>31095</v>
      </c>
    </row>
    <row r="1127" spans="1:1" x14ac:dyDescent="0.25">
      <c r="A1127" s="20">
        <v>31097</v>
      </c>
    </row>
    <row r="1128" spans="1:1" x14ac:dyDescent="0.25">
      <c r="A1128" s="20">
        <v>31099</v>
      </c>
    </row>
    <row r="1129" spans="1:1" x14ac:dyDescent="0.25">
      <c r="A1129" s="20">
        <v>31101</v>
      </c>
    </row>
    <row r="1130" spans="1:1" x14ac:dyDescent="0.25">
      <c r="A1130" s="20">
        <v>31105</v>
      </c>
    </row>
    <row r="1131" spans="1:1" x14ac:dyDescent="0.25">
      <c r="A1131" s="20">
        <v>31107</v>
      </c>
    </row>
    <row r="1132" spans="1:1" x14ac:dyDescent="0.25">
      <c r="A1132" s="20">
        <v>31109</v>
      </c>
    </row>
    <row r="1133" spans="1:1" x14ac:dyDescent="0.25">
      <c r="A1133" s="20">
        <v>31111</v>
      </c>
    </row>
    <row r="1134" spans="1:1" x14ac:dyDescent="0.25">
      <c r="A1134" s="20">
        <v>31119</v>
      </c>
    </row>
    <row r="1135" spans="1:1" x14ac:dyDescent="0.25">
      <c r="A1135" s="20">
        <v>31121</v>
      </c>
    </row>
    <row r="1136" spans="1:1" x14ac:dyDescent="0.25">
      <c r="A1136" s="20">
        <v>31123</v>
      </c>
    </row>
    <row r="1137" spans="1:1" x14ac:dyDescent="0.25">
      <c r="A1137" s="20">
        <v>31125</v>
      </c>
    </row>
    <row r="1138" spans="1:1" x14ac:dyDescent="0.25">
      <c r="A1138" s="20">
        <v>31127</v>
      </c>
    </row>
    <row r="1139" spans="1:1" x14ac:dyDescent="0.25">
      <c r="A1139" s="20">
        <v>31129</v>
      </c>
    </row>
    <row r="1140" spans="1:1" x14ac:dyDescent="0.25">
      <c r="A1140" s="20">
        <v>31131</v>
      </c>
    </row>
    <row r="1141" spans="1:1" x14ac:dyDescent="0.25">
      <c r="A1141" s="20">
        <v>31133</v>
      </c>
    </row>
    <row r="1142" spans="1:1" x14ac:dyDescent="0.25">
      <c r="A1142" s="20">
        <v>31135</v>
      </c>
    </row>
    <row r="1143" spans="1:1" x14ac:dyDescent="0.25">
      <c r="A1143" s="20">
        <v>31137</v>
      </c>
    </row>
    <row r="1144" spans="1:1" x14ac:dyDescent="0.25">
      <c r="A1144" s="20">
        <v>31139</v>
      </c>
    </row>
    <row r="1145" spans="1:1" x14ac:dyDescent="0.25">
      <c r="A1145" s="20">
        <v>31141</v>
      </c>
    </row>
    <row r="1146" spans="1:1" x14ac:dyDescent="0.25">
      <c r="A1146" s="20">
        <v>31143</v>
      </c>
    </row>
    <row r="1147" spans="1:1" x14ac:dyDescent="0.25">
      <c r="A1147" s="20">
        <v>31145</v>
      </c>
    </row>
    <row r="1148" spans="1:1" x14ac:dyDescent="0.25">
      <c r="A1148" s="20">
        <v>31147</v>
      </c>
    </row>
    <row r="1149" spans="1:1" x14ac:dyDescent="0.25">
      <c r="A1149" s="20">
        <v>31149</v>
      </c>
    </row>
    <row r="1150" spans="1:1" x14ac:dyDescent="0.25">
      <c r="A1150" s="20">
        <v>31151</v>
      </c>
    </row>
    <row r="1151" spans="1:1" x14ac:dyDescent="0.25">
      <c r="A1151" s="20">
        <v>31153</v>
      </c>
    </row>
    <row r="1152" spans="1:1" x14ac:dyDescent="0.25">
      <c r="A1152" s="20">
        <v>31155</v>
      </c>
    </row>
    <row r="1153" spans="1:1" x14ac:dyDescent="0.25">
      <c r="A1153" s="20">
        <v>31157</v>
      </c>
    </row>
    <row r="1154" spans="1:1" x14ac:dyDescent="0.25">
      <c r="A1154" s="20">
        <v>31159</v>
      </c>
    </row>
    <row r="1155" spans="1:1" x14ac:dyDescent="0.25">
      <c r="A1155" s="20">
        <v>31161</v>
      </c>
    </row>
    <row r="1156" spans="1:1" x14ac:dyDescent="0.25">
      <c r="A1156" s="20">
        <v>31169</v>
      </c>
    </row>
    <row r="1157" spans="1:1" x14ac:dyDescent="0.25">
      <c r="A1157" s="20">
        <v>31173</v>
      </c>
    </row>
    <row r="1158" spans="1:1" x14ac:dyDescent="0.25">
      <c r="A1158" s="20">
        <v>31175</v>
      </c>
    </row>
    <row r="1159" spans="1:1" x14ac:dyDescent="0.25">
      <c r="A1159" s="20">
        <v>31177</v>
      </c>
    </row>
    <row r="1160" spans="1:1" x14ac:dyDescent="0.25">
      <c r="A1160" s="20">
        <v>31179</v>
      </c>
    </row>
    <row r="1161" spans="1:1" x14ac:dyDescent="0.25">
      <c r="A1161" s="20">
        <v>31181</v>
      </c>
    </row>
    <row r="1162" spans="1:1" x14ac:dyDescent="0.25">
      <c r="A1162" s="20">
        <v>31185</v>
      </c>
    </row>
    <row r="1163" spans="1:1" x14ac:dyDescent="0.25">
      <c r="A1163" s="20">
        <v>32001</v>
      </c>
    </row>
    <row r="1164" spans="1:1" x14ac:dyDescent="0.25">
      <c r="A1164" s="20">
        <v>32003</v>
      </c>
    </row>
    <row r="1165" spans="1:1" x14ac:dyDescent="0.25">
      <c r="A1165" s="20">
        <v>32005</v>
      </c>
    </row>
    <row r="1166" spans="1:1" x14ac:dyDescent="0.25">
      <c r="A1166" s="20">
        <v>32007</v>
      </c>
    </row>
    <row r="1167" spans="1:1" x14ac:dyDescent="0.25">
      <c r="A1167" s="20">
        <v>32013</v>
      </c>
    </row>
    <row r="1168" spans="1:1" x14ac:dyDescent="0.25">
      <c r="A1168" s="20">
        <v>32015</v>
      </c>
    </row>
    <row r="1169" spans="1:1" x14ac:dyDescent="0.25">
      <c r="A1169" s="20">
        <v>32017</v>
      </c>
    </row>
    <row r="1170" spans="1:1" x14ac:dyDescent="0.25">
      <c r="A1170" s="20">
        <v>32019</v>
      </c>
    </row>
    <row r="1171" spans="1:1" x14ac:dyDescent="0.25">
      <c r="A1171" s="20">
        <v>32021</v>
      </c>
    </row>
    <row r="1172" spans="1:1" x14ac:dyDescent="0.25">
      <c r="A1172" s="20">
        <v>32023</v>
      </c>
    </row>
    <row r="1173" spans="1:1" x14ac:dyDescent="0.25">
      <c r="A1173" s="20">
        <v>32027</v>
      </c>
    </row>
    <row r="1174" spans="1:1" x14ac:dyDescent="0.25">
      <c r="A1174" s="20">
        <v>32031</v>
      </c>
    </row>
    <row r="1175" spans="1:1" x14ac:dyDescent="0.25">
      <c r="A1175" s="20">
        <v>32033</v>
      </c>
    </row>
    <row r="1176" spans="1:1" x14ac:dyDescent="0.25">
      <c r="A1176" s="20">
        <v>32510</v>
      </c>
    </row>
    <row r="1177" spans="1:1" x14ac:dyDescent="0.25">
      <c r="A1177" s="20">
        <v>33001</v>
      </c>
    </row>
    <row r="1178" spans="1:1" x14ac:dyDescent="0.25">
      <c r="A1178" s="20">
        <v>33003</v>
      </c>
    </row>
    <row r="1179" spans="1:1" x14ac:dyDescent="0.25">
      <c r="A1179" s="20">
        <v>33005</v>
      </c>
    </row>
    <row r="1180" spans="1:1" x14ac:dyDescent="0.25">
      <c r="A1180" s="20">
        <v>33007</v>
      </c>
    </row>
    <row r="1181" spans="1:1" x14ac:dyDescent="0.25">
      <c r="A1181" s="20">
        <v>33009</v>
      </c>
    </row>
    <row r="1182" spans="1:1" x14ac:dyDescent="0.25">
      <c r="A1182" s="20">
        <v>33011</v>
      </c>
    </row>
    <row r="1183" spans="1:1" x14ac:dyDescent="0.25">
      <c r="A1183" s="20">
        <v>33013</v>
      </c>
    </row>
    <row r="1184" spans="1:1" x14ac:dyDescent="0.25">
      <c r="A1184" s="20">
        <v>33015</v>
      </c>
    </row>
    <row r="1185" spans="1:1" x14ac:dyDescent="0.25">
      <c r="A1185" s="20">
        <v>33017</v>
      </c>
    </row>
    <row r="1186" spans="1:1" x14ac:dyDescent="0.25">
      <c r="A1186" s="20">
        <v>33019</v>
      </c>
    </row>
    <row r="1187" spans="1:1" x14ac:dyDescent="0.25">
      <c r="A1187" s="20">
        <v>34001</v>
      </c>
    </row>
    <row r="1188" spans="1:1" x14ac:dyDescent="0.25">
      <c r="A1188" s="20">
        <v>34003</v>
      </c>
    </row>
    <row r="1189" spans="1:1" x14ac:dyDescent="0.25">
      <c r="A1189" s="20">
        <v>34005</v>
      </c>
    </row>
    <row r="1190" spans="1:1" x14ac:dyDescent="0.25">
      <c r="A1190" s="20">
        <v>34007</v>
      </c>
    </row>
    <row r="1191" spans="1:1" x14ac:dyDescent="0.25">
      <c r="A1191" s="20">
        <v>34009</v>
      </c>
    </row>
    <row r="1192" spans="1:1" x14ac:dyDescent="0.25">
      <c r="A1192" s="20">
        <v>34011</v>
      </c>
    </row>
    <row r="1193" spans="1:1" x14ac:dyDescent="0.25">
      <c r="A1193" s="20">
        <v>34013</v>
      </c>
    </row>
    <row r="1194" spans="1:1" x14ac:dyDescent="0.25">
      <c r="A1194" s="20">
        <v>34015</v>
      </c>
    </row>
    <row r="1195" spans="1:1" x14ac:dyDescent="0.25">
      <c r="A1195" s="20">
        <v>34017</v>
      </c>
    </row>
    <row r="1196" spans="1:1" x14ac:dyDescent="0.25">
      <c r="A1196" s="20">
        <v>34019</v>
      </c>
    </row>
    <row r="1197" spans="1:1" x14ac:dyDescent="0.25">
      <c r="A1197" s="20">
        <v>34021</v>
      </c>
    </row>
    <row r="1198" spans="1:1" x14ac:dyDescent="0.25">
      <c r="A1198" s="20">
        <v>34023</v>
      </c>
    </row>
    <row r="1199" spans="1:1" x14ac:dyDescent="0.25">
      <c r="A1199" s="20">
        <v>34025</v>
      </c>
    </row>
    <row r="1200" spans="1:1" x14ac:dyDescent="0.25">
      <c r="A1200" s="20">
        <v>34027</v>
      </c>
    </row>
    <row r="1201" spans="1:1" x14ac:dyDescent="0.25">
      <c r="A1201" s="20">
        <v>34029</v>
      </c>
    </row>
    <row r="1202" spans="1:1" x14ac:dyDescent="0.25">
      <c r="A1202" s="20">
        <v>34031</v>
      </c>
    </row>
    <row r="1203" spans="1:1" x14ac:dyDescent="0.25">
      <c r="A1203" s="20">
        <v>34033</v>
      </c>
    </row>
    <row r="1204" spans="1:1" x14ac:dyDescent="0.25">
      <c r="A1204" s="20">
        <v>34035</v>
      </c>
    </row>
    <row r="1205" spans="1:1" x14ac:dyDescent="0.25">
      <c r="A1205" s="20">
        <v>34037</v>
      </c>
    </row>
    <row r="1206" spans="1:1" x14ac:dyDescent="0.25">
      <c r="A1206" s="20">
        <v>34039</v>
      </c>
    </row>
    <row r="1207" spans="1:1" x14ac:dyDescent="0.25">
      <c r="A1207" s="20">
        <v>34041</v>
      </c>
    </row>
    <row r="1208" spans="1:1" x14ac:dyDescent="0.25">
      <c r="A1208" s="20">
        <v>35001</v>
      </c>
    </row>
    <row r="1209" spans="1:1" x14ac:dyDescent="0.25">
      <c r="A1209" s="20">
        <v>35005</v>
      </c>
    </row>
    <row r="1210" spans="1:1" x14ac:dyDescent="0.25">
      <c r="A1210" s="20">
        <v>35006</v>
      </c>
    </row>
    <row r="1211" spans="1:1" x14ac:dyDescent="0.25">
      <c r="A1211" s="20">
        <v>35007</v>
      </c>
    </row>
    <row r="1212" spans="1:1" x14ac:dyDescent="0.25">
      <c r="A1212" s="20">
        <v>35009</v>
      </c>
    </row>
    <row r="1213" spans="1:1" x14ac:dyDescent="0.25">
      <c r="A1213" s="20">
        <v>35013</v>
      </c>
    </row>
    <row r="1214" spans="1:1" x14ac:dyDescent="0.25">
      <c r="A1214" s="20">
        <v>35015</v>
      </c>
    </row>
    <row r="1215" spans="1:1" x14ac:dyDescent="0.25">
      <c r="A1215" s="20">
        <v>35017</v>
      </c>
    </row>
    <row r="1216" spans="1:1" x14ac:dyDescent="0.25">
      <c r="A1216" s="20">
        <v>35019</v>
      </c>
    </row>
    <row r="1217" spans="1:1" x14ac:dyDescent="0.25">
      <c r="A1217" s="20">
        <v>35025</v>
      </c>
    </row>
    <row r="1218" spans="1:1" x14ac:dyDescent="0.25">
      <c r="A1218" s="20">
        <v>35027</v>
      </c>
    </row>
    <row r="1219" spans="1:1" x14ac:dyDescent="0.25">
      <c r="A1219" s="20">
        <v>35028</v>
      </c>
    </row>
    <row r="1220" spans="1:1" x14ac:dyDescent="0.25">
      <c r="A1220" s="20">
        <v>35029</v>
      </c>
    </row>
    <row r="1221" spans="1:1" x14ac:dyDescent="0.25">
      <c r="A1221" s="20">
        <v>35031</v>
      </c>
    </row>
    <row r="1222" spans="1:1" x14ac:dyDescent="0.25">
      <c r="A1222" s="20">
        <v>35035</v>
      </c>
    </row>
    <row r="1223" spans="1:1" x14ac:dyDescent="0.25">
      <c r="A1223" s="20">
        <v>35039</v>
      </c>
    </row>
    <row r="1224" spans="1:1" x14ac:dyDescent="0.25">
      <c r="A1224" s="20">
        <v>35041</v>
      </c>
    </row>
    <row r="1225" spans="1:1" x14ac:dyDescent="0.25">
      <c r="A1225" s="20">
        <v>35043</v>
      </c>
    </row>
    <row r="1226" spans="1:1" x14ac:dyDescent="0.25">
      <c r="A1226" s="20">
        <v>35045</v>
      </c>
    </row>
    <row r="1227" spans="1:1" x14ac:dyDescent="0.25">
      <c r="A1227" s="20">
        <v>35047</v>
      </c>
    </row>
    <row r="1228" spans="1:1" x14ac:dyDescent="0.25">
      <c r="A1228" s="20">
        <v>35049</v>
      </c>
    </row>
    <row r="1229" spans="1:1" x14ac:dyDescent="0.25">
      <c r="A1229" s="20">
        <v>35051</v>
      </c>
    </row>
    <row r="1230" spans="1:1" x14ac:dyDescent="0.25">
      <c r="A1230" s="20">
        <v>35053</v>
      </c>
    </row>
    <row r="1231" spans="1:1" x14ac:dyDescent="0.25">
      <c r="A1231" s="20">
        <v>35055</v>
      </c>
    </row>
    <row r="1232" spans="1:1" x14ac:dyDescent="0.25">
      <c r="A1232" s="20">
        <v>35059</v>
      </c>
    </row>
    <row r="1233" spans="1:1" x14ac:dyDescent="0.25">
      <c r="A1233" s="20">
        <v>36001</v>
      </c>
    </row>
    <row r="1234" spans="1:1" x14ac:dyDescent="0.25">
      <c r="A1234" s="20">
        <v>36003</v>
      </c>
    </row>
    <row r="1235" spans="1:1" x14ac:dyDescent="0.25">
      <c r="A1235" s="20">
        <v>36005</v>
      </c>
    </row>
    <row r="1236" spans="1:1" x14ac:dyDescent="0.25">
      <c r="A1236" s="20">
        <v>36007</v>
      </c>
    </row>
    <row r="1237" spans="1:1" x14ac:dyDescent="0.25">
      <c r="A1237" s="20">
        <v>36009</v>
      </c>
    </row>
    <row r="1238" spans="1:1" x14ac:dyDescent="0.25">
      <c r="A1238" s="20">
        <v>36011</v>
      </c>
    </row>
    <row r="1239" spans="1:1" x14ac:dyDescent="0.25">
      <c r="A1239" s="20">
        <v>36013</v>
      </c>
    </row>
    <row r="1240" spans="1:1" x14ac:dyDescent="0.25">
      <c r="A1240" s="20">
        <v>36015</v>
      </c>
    </row>
    <row r="1241" spans="1:1" x14ac:dyDescent="0.25">
      <c r="A1241" s="20">
        <v>36017</v>
      </c>
    </row>
    <row r="1242" spans="1:1" x14ac:dyDescent="0.25">
      <c r="A1242" s="20">
        <v>36019</v>
      </c>
    </row>
    <row r="1243" spans="1:1" x14ac:dyDescent="0.25">
      <c r="A1243" s="20">
        <v>36021</v>
      </c>
    </row>
    <row r="1244" spans="1:1" x14ac:dyDescent="0.25">
      <c r="A1244" s="20">
        <v>36023</v>
      </c>
    </row>
    <row r="1245" spans="1:1" x14ac:dyDescent="0.25">
      <c r="A1245" s="20">
        <v>36025</v>
      </c>
    </row>
    <row r="1246" spans="1:1" x14ac:dyDescent="0.25">
      <c r="A1246" s="20">
        <v>36027</v>
      </c>
    </row>
    <row r="1247" spans="1:1" x14ac:dyDescent="0.25">
      <c r="A1247" s="20">
        <v>36029</v>
      </c>
    </row>
    <row r="1248" spans="1:1" x14ac:dyDescent="0.25">
      <c r="A1248" s="20">
        <v>36031</v>
      </c>
    </row>
    <row r="1249" spans="1:1" x14ac:dyDescent="0.25">
      <c r="A1249" s="20">
        <v>36033</v>
      </c>
    </row>
    <row r="1250" spans="1:1" x14ac:dyDescent="0.25">
      <c r="A1250" s="20">
        <v>36035</v>
      </c>
    </row>
    <row r="1251" spans="1:1" x14ac:dyDescent="0.25">
      <c r="A1251" s="20">
        <v>36037</v>
      </c>
    </row>
    <row r="1252" spans="1:1" x14ac:dyDescent="0.25">
      <c r="A1252" s="20">
        <v>36043</v>
      </c>
    </row>
    <row r="1253" spans="1:1" x14ac:dyDescent="0.25">
      <c r="A1253" s="20">
        <v>36045</v>
      </c>
    </row>
    <row r="1254" spans="1:1" x14ac:dyDescent="0.25">
      <c r="A1254" s="20">
        <v>36047</v>
      </c>
    </row>
    <row r="1255" spans="1:1" x14ac:dyDescent="0.25">
      <c r="A1255" s="20">
        <v>36049</v>
      </c>
    </row>
    <row r="1256" spans="1:1" x14ac:dyDescent="0.25">
      <c r="A1256" s="20">
        <v>36051</v>
      </c>
    </row>
    <row r="1257" spans="1:1" x14ac:dyDescent="0.25">
      <c r="A1257" s="20">
        <v>36053</v>
      </c>
    </row>
    <row r="1258" spans="1:1" x14ac:dyDescent="0.25">
      <c r="A1258" s="20">
        <v>36055</v>
      </c>
    </row>
    <row r="1259" spans="1:1" x14ac:dyDescent="0.25">
      <c r="A1259" s="20">
        <v>36057</v>
      </c>
    </row>
    <row r="1260" spans="1:1" x14ac:dyDescent="0.25">
      <c r="A1260" s="20">
        <v>36059</v>
      </c>
    </row>
    <row r="1261" spans="1:1" x14ac:dyDescent="0.25">
      <c r="A1261" s="20">
        <v>36061</v>
      </c>
    </row>
    <row r="1262" spans="1:1" x14ac:dyDescent="0.25">
      <c r="A1262" s="20">
        <v>36063</v>
      </c>
    </row>
    <row r="1263" spans="1:1" x14ac:dyDescent="0.25">
      <c r="A1263" s="20">
        <v>36065</v>
      </c>
    </row>
    <row r="1264" spans="1:1" x14ac:dyDescent="0.25">
      <c r="A1264" s="20">
        <v>36067</v>
      </c>
    </row>
    <row r="1265" spans="1:1" x14ac:dyDescent="0.25">
      <c r="A1265" s="20">
        <v>36069</v>
      </c>
    </row>
    <row r="1266" spans="1:1" x14ac:dyDescent="0.25">
      <c r="A1266" s="20">
        <v>36071</v>
      </c>
    </row>
    <row r="1267" spans="1:1" x14ac:dyDescent="0.25">
      <c r="A1267" s="20">
        <v>36073</v>
      </c>
    </row>
    <row r="1268" spans="1:1" x14ac:dyDescent="0.25">
      <c r="A1268" s="20">
        <v>36075</v>
      </c>
    </row>
    <row r="1269" spans="1:1" x14ac:dyDescent="0.25">
      <c r="A1269" s="20">
        <v>36077</v>
      </c>
    </row>
    <row r="1270" spans="1:1" x14ac:dyDescent="0.25">
      <c r="A1270" s="20">
        <v>36079</v>
      </c>
    </row>
    <row r="1271" spans="1:1" x14ac:dyDescent="0.25">
      <c r="A1271" s="20">
        <v>36081</v>
      </c>
    </row>
    <row r="1272" spans="1:1" x14ac:dyDescent="0.25">
      <c r="A1272" s="20">
        <v>36083</v>
      </c>
    </row>
    <row r="1273" spans="1:1" x14ac:dyDescent="0.25">
      <c r="A1273" s="20">
        <v>36085</v>
      </c>
    </row>
    <row r="1274" spans="1:1" x14ac:dyDescent="0.25">
      <c r="A1274" s="20">
        <v>36087</v>
      </c>
    </row>
    <row r="1275" spans="1:1" x14ac:dyDescent="0.25">
      <c r="A1275" s="20">
        <v>36089</v>
      </c>
    </row>
    <row r="1276" spans="1:1" x14ac:dyDescent="0.25">
      <c r="A1276" s="20">
        <v>36091</v>
      </c>
    </row>
    <row r="1277" spans="1:1" x14ac:dyDescent="0.25">
      <c r="A1277" s="20">
        <v>36093</v>
      </c>
    </row>
    <row r="1278" spans="1:1" x14ac:dyDescent="0.25">
      <c r="A1278" s="20">
        <v>36095</v>
      </c>
    </row>
    <row r="1279" spans="1:1" x14ac:dyDescent="0.25">
      <c r="A1279" s="20">
        <v>36097</v>
      </c>
    </row>
    <row r="1280" spans="1:1" x14ac:dyDescent="0.25">
      <c r="A1280" s="20">
        <v>36101</v>
      </c>
    </row>
    <row r="1281" spans="1:1" x14ac:dyDescent="0.25">
      <c r="A1281" s="20">
        <v>36103</v>
      </c>
    </row>
    <row r="1282" spans="1:1" x14ac:dyDescent="0.25">
      <c r="A1282" s="20">
        <v>36105</v>
      </c>
    </row>
    <row r="1283" spans="1:1" x14ac:dyDescent="0.25">
      <c r="A1283" s="20">
        <v>36109</v>
      </c>
    </row>
    <row r="1284" spans="1:1" x14ac:dyDescent="0.25">
      <c r="A1284" s="20">
        <v>36111</v>
      </c>
    </row>
    <row r="1285" spans="1:1" x14ac:dyDescent="0.25">
      <c r="A1285" s="20">
        <v>36113</v>
      </c>
    </row>
    <row r="1286" spans="1:1" x14ac:dyDescent="0.25">
      <c r="A1286" s="20">
        <v>36117</v>
      </c>
    </row>
    <row r="1287" spans="1:1" x14ac:dyDescent="0.25">
      <c r="A1287" s="20">
        <v>36119</v>
      </c>
    </row>
    <row r="1288" spans="1:1" x14ac:dyDescent="0.25">
      <c r="A1288" s="20">
        <v>36121</v>
      </c>
    </row>
    <row r="1289" spans="1:1" x14ac:dyDescent="0.25">
      <c r="A1289" s="20">
        <v>36123</v>
      </c>
    </row>
    <row r="1290" spans="1:1" x14ac:dyDescent="0.25">
      <c r="A1290" s="20">
        <v>37001</v>
      </c>
    </row>
    <row r="1291" spans="1:1" x14ac:dyDescent="0.25">
      <c r="A1291" s="20">
        <v>37005</v>
      </c>
    </row>
    <row r="1292" spans="1:1" x14ac:dyDescent="0.25">
      <c r="A1292" s="20">
        <v>37007</v>
      </c>
    </row>
    <row r="1293" spans="1:1" x14ac:dyDescent="0.25">
      <c r="A1293" s="20">
        <v>37009</v>
      </c>
    </row>
    <row r="1294" spans="1:1" x14ac:dyDescent="0.25">
      <c r="A1294" s="20">
        <v>37011</v>
      </c>
    </row>
    <row r="1295" spans="1:1" x14ac:dyDescent="0.25">
      <c r="A1295" s="20">
        <v>37013</v>
      </c>
    </row>
    <row r="1296" spans="1:1" x14ac:dyDescent="0.25">
      <c r="A1296" s="20">
        <v>37015</v>
      </c>
    </row>
    <row r="1297" spans="1:1" x14ac:dyDescent="0.25">
      <c r="A1297" s="20">
        <v>37017</v>
      </c>
    </row>
    <row r="1298" spans="1:1" x14ac:dyDescent="0.25">
      <c r="A1298" s="20">
        <v>37019</v>
      </c>
    </row>
    <row r="1299" spans="1:1" x14ac:dyDescent="0.25">
      <c r="A1299" s="20">
        <v>37021</v>
      </c>
    </row>
    <row r="1300" spans="1:1" x14ac:dyDescent="0.25">
      <c r="A1300" s="20">
        <v>37023</v>
      </c>
    </row>
    <row r="1301" spans="1:1" x14ac:dyDescent="0.25">
      <c r="A1301" s="20">
        <v>37025</v>
      </c>
    </row>
    <row r="1302" spans="1:1" x14ac:dyDescent="0.25">
      <c r="A1302" s="20">
        <v>37027</v>
      </c>
    </row>
    <row r="1303" spans="1:1" x14ac:dyDescent="0.25">
      <c r="A1303" s="20">
        <v>37031</v>
      </c>
    </row>
    <row r="1304" spans="1:1" x14ac:dyDescent="0.25">
      <c r="A1304" s="20">
        <v>37035</v>
      </c>
    </row>
    <row r="1305" spans="1:1" x14ac:dyDescent="0.25">
      <c r="A1305" s="20">
        <v>37037</v>
      </c>
    </row>
    <row r="1306" spans="1:1" x14ac:dyDescent="0.25">
      <c r="A1306" s="20">
        <v>37039</v>
      </c>
    </row>
    <row r="1307" spans="1:1" x14ac:dyDescent="0.25">
      <c r="A1307" s="20">
        <v>37041</v>
      </c>
    </row>
    <row r="1308" spans="1:1" x14ac:dyDescent="0.25">
      <c r="A1308" s="20">
        <v>37045</v>
      </c>
    </row>
    <row r="1309" spans="1:1" x14ac:dyDescent="0.25">
      <c r="A1309" s="20">
        <v>37047</v>
      </c>
    </row>
    <row r="1310" spans="1:1" x14ac:dyDescent="0.25">
      <c r="A1310" s="20">
        <v>37049</v>
      </c>
    </row>
    <row r="1311" spans="1:1" x14ac:dyDescent="0.25">
      <c r="A1311" s="20">
        <v>37051</v>
      </c>
    </row>
    <row r="1312" spans="1:1" x14ac:dyDescent="0.25">
      <c r="A1312" s="20">
        <v>37055</v>
      </c>
    </row>
    <row r="1313" spans="1:1" x14ac:dyDescent="0.25">
      <c r="A1313" s="20">
        <v>37057</v>
      </c>
    </row>
    <row r="1314" spans="1:1" x14ac:dyDescent="0.25">
      <c r="A1314" s="20">
        <v>37059</v>
      </c>
    </row>
    <row r="1315" spans="1:1" x14ac:dyDescent="0.25">
      <c r="A1315" s="20">
        <v>37061</v>
      </c>
    </row>
    <row r="1316" spans="1:1" x14ac:dyDescent="0.25">
      <c r="A1316" s="20">
        <v>37063</v>
      </c>
    </row>
    <row r="1317" spans="1:1" x14ac:dyDescent="0.25">
      <c r="A1317" s="20">
        <v>37065</v>
      </c>
    </row>
    <row r="1318" spans="1:1" x14ac:dyDescent="0.25">
      <c r="A1318" s="20">
        <v>37067</v>
      </c>
    </row>
    <row r="1319" spans="1:1" x14ac:dyDescent="0.25">
      <c r="A1319" s="20">
        <v>37069</v>
      </c>
    </row>
    <row r="1320" spans="1:1" x14ac:dyDescent="0.25">
      <c r="A1320" s="20">
        <v>37071</v>
      </c>
    </row>
    <row r="1321" spans="1:1" x14ac:dyDescent="0.25">
      <c r="A1321" s="20">
        <v>37077</v>
      </c>
    </row>
    <row r="1322" spans="1:1" x14ac:dyDescent="0.25">
      <c r="A1322" s="20">
        <v>37081</v>
      </c>
    </row>
    <row r="1323" spans="1:1" x14ac:dyDescent="0.25">
      <c r="A1323" s="20">
        <v>37083</v>
      </c>
    </row>
    <row r="1324" spans="1:1" x14ac:dyDescent="0.25">
      <c r="A1324" s="20">
        <v>37085</v>
      </c>
    </row>
    <row r="1325" spans="1:1" x14ac:dyDescent="0.25">
      <c r="A1325" s="20">
        <v>37087</v>
      </c>
    </row>
    <row r="1326" spans="1:1" x14ac:dyDescent="0.25">
      <c r="A1326" s="20">
        <v>37089</v>
      </c>
    </row>
    <row r="1327" spans="1:1" x14ac:dyDescent="0.25">
      <c r="A1327" s="20">
        <v>37091</v>
      </c>
    </row>
    <row r="1328" spans="1:1" x14ac:dyDescent="0.25">
      <c r="A1328" s="20">
        <v>37093</v>
      </c>
    </row>
    <row r="1329" spans="1:1" x14ac:dyDescent="0.25">
      <c r="A1329" s="20">
        <v>37097</v>
      </c>
    </row>
    <row r="1330" spans="1:1" x14ac:dyDescent="0.25">
      <c r="A1330" s="20">
        <v>37099</v>
      </c>
    </row>
    <row r="1331" spans="1:1" x14ac:dyDescent="0.25">
      <c r="A1331" s="20">
        <v>37101</v>
      </c>
    </row>
    <row r="1332" spans="1:1" x14ac:dyDescent="0.25">
      <c r="A1332" s="20">
        <v>37105</v>
      </c>
    </row>
    <row r="1333" spans="1:1" x14ac:dyDescent="0.25">
      <c r="A1333" s="20">
        <v>37107</v>
      </c>
    </row>
    <row r="1334" spans="1:1" x14ac:dyDescent="0.25">
      <c r="A1334" s="20">
        <v>37109</v>
      </c>
    </row>
    <row r="1335" spans="1:1" x14ac:dyDescent="0.25">
      <c r="A1335" s="20">
        <v>37111</v>
      </c>
    </row>
    <row r="1336" spans="1:1" x14ac:dyDescent="0.25">
      <c r="A1336" s="20">
        <v>37113</v>
      </c>
    </row>
    <row r="1337" spans="1:1" x14ac:dyDescent="0.25">
      <c r="A1337" s="20">
        <v>37117</v>
      </c>
    </row>
    <row r="1338" spans="1:1" x14ac:dyDescent="0.25">
      <c r="A1338" s="20">
        <v>37119</v>
      </c>
    </row>
    <row r="1339" spans="1:1" x14ac:dyDescent="0.25">
      <c r="A1339" s="20">
        <v>37121</v>
      </c>
    </row>
    <row r="1340" spans="1:1" x14ac:dyDescent="0.25">
      <c r="A1340" s="20">
        <v>37123</v>
      </c>
    </row>
    <row r="1341" spans="1:1" x14ac:dyDescent="0.25">
      <c r="A1341" s="20">
        <v>37125</v>
      </c>
    </row>
    <row r="1342" spans="1:1" x14ac:dyDescent="0.25">
      <c r="A1342" s="20">
        <v>37127</v>
      </c>
    </row>
    <row r="1343" spans="1:1" x14ac:dyDescent="0.25">
      <c r="A1343" s="20">
        <v>37129</v>
      </c>
    </row>
    <row r="1344" spans="1:1" x14ac:dyDescent="0.25">
      <c r="A1344" s="20">
        <v>37133</v>
      </c>
    </row>
    <row r="1345" spans="1:1" x14ac:dyDescent="0.25">
      <c r="A1345" s="20">
        <v>37135</v>
      </c>
    </row>
    <row r="1346" spans="1:1" x14ac:dyDescent="0.25">
      <c r="A1346" s="20">
        <v>37139</v>
      </c>
    </row>
    <row r="1347" spans="1:1" x14ac:dyDescent="0.25">
      <c r="A1347" s="20">
        <v>37141</v>
      </c>
    </row>
    <row r="1348" spans="1:1" x14ac:dyDescent="0.25">
      <c r="A1348" s="20">
        <v>37145</v>
      </c>
    </row>
    <row r="1349" spans="1:1" x14ac:dyDescent="0.25">
      <c r="A1349" s="20">
        <v>37147</v>
      </c>
    </row>
    <row r="1350" spans="1:1" x14ac:dyDescent="0.25">
      <c r="A1350" s="20">
        <v>37149</v>
      </c>
    </row>
    <row r="1351" spans="1:1" x14ac:dyDescent="0.25">
      <c r="A1351" s="20">
        <v>37151</v>
      </c>
    </row>
    <row r="1352" spans="1:1" x14ac:dyDescent="0.25">
      <c r="A1352" s="20">
        <v>37153</v>
      </c>
    </row>
    <row r="1353" spans="1:1" x14ac:dyDescent="0.25">
      <c r="A1353" s="20">
        <v>37155</v>
      </c>
    </row>
    <row r="1354" spans="1:1" x14ac:dyDescent="0.25">
      <c r="A1354" s="20">
        <v>37157</v>
      </c>
    </row>
    <row r="1355" spans="1:1" x14ac:dyDescent="0.25">
      <c r="A1355" s="20">
        <v>37159</v>
      </c>
    </row>
    <row r="1356" spans="1:1" x14ac:dyDescent="0.25">
      <c r="A1356" s="20">
        <v>37161</v>
      </c>
    </row>
    <row r="1357" spans="1:1" x14ac:dyDescent="0.25">
      <c r="A1357" s="20">
        <v>37163</v>
      </c>
    </row>
    <row r="1358" spans="1:1" x14ac:dyDescent="0.25">
      <c r="A1358" s="20">
        <v>37165</v>
      </c>
    </row>
    <row r="1359" spans="1:1" x14ac:dyDescent="0.25">
      <c r="A1359" s="20">
        <v>37167</v>
      </c>
    </row>
    <row r="1360" spans="1:1" x14ac:dyDescent="0.25">
      <c r="A1360" s="20">
        <v>37169</v>
      </c>
    </row>
    <row r="1361" spans="1:1" x14ac:dyDescent="0.25">
      <c r="A1361" s="20">
        <v>37171</v>
      </c>
    </row>
    <row r="1362" spans="1:1" x14ac:dyDescent="0.25">
      <c r="A1362" s="20">
        <v>37173</v>
      </c>
    </row>
    <row r="1363" spans="1:1" x14ac:dyDescent="0.25">
      <c r="A1363" s="20">
        <v>37175</v>
      </c>
    </row>
    <row r="1364" spans="1:1" x14ac:dyDescent="0.25">
      <c r="A1364" s="20">
        <v>37179</v>
      </c>
    </row>
    <row r="1365" spans="1:1" x14ac:dyDescent="0.25">
      <c r="A1365" s="20">
        <v>37181</v>
      </c>
    </row>
    <row r="1366" spans="1:1" x14ac:dyDescent="0.25">
      <c r="A1366" s="20">
        <v>37183</v>
      </c>
    </row>
    <row r="1367" spans="1:1" x14ac:dyDescent="0.25">
      <c r="A1367" s="20">
        <v>37187</v>
      </c>
    </row>
    <row r="1368" spans="1:1" x14ac:dyDescent="0.25">
      <c r="A1368" s="20">
        <v>37189</v>
      </c>
    </row>
    <row r="1369" spans="1:1" x14ac:dyDescent="0.25">
      <c r="A1369" s="20">
        <v>37191</v>
      </c>
    </row>
    <row r="1370" spans="1:1" x14ac:dyDescent="0.25">
      <c r="A1370" s="20">
        <v>37193</v>
      </c>
    </row>
    <row r="1371" spans="1:1" x14ac:dyDescent="0.25">
      <c r="A1371" s="20">
        <v>37195</v>
      </c>
    </row>
    <row r="1372" spans="1:1" x14ac:dyDescent="0.25">
      <c r="A1372" s="20">
        <v>37197</v>
      </c>
    </row>
    <row r="1373" spans="1:1" x14ac:dyDescent="0.25">
      <c r="A1373" s="20">
        <v>38001</v>
      </c>
    </row>
    <row r="1374" spans="1:1" x14ac:dyDescent="0.25">
      <c r="A1374" s="20">
        <v>38003</v>
      </c>
    </row>
    <row r="1375" spans="1:1" x14ac:dyDescent="0.25">
      <c r="A1375" s="20">
        <v>38009</v>
      </c>
    </row>
    <row r="1376" spans="1:1" x14ac:dyDescent="0.25">
      <c r="A1376" s="20">
        <v>38011</v>
      </c>
    </row>
    <row r="1377" spans="1:1" x14ac:dyDescent="0.25">
      <c r="A1377" s="20">
        <v>38015</v>
      </c>
    </row>
    <row r="1378" spans="1:1" x14ac:dyDescent="0.25">
      <c r="A1378" s="20">
        <v>38017</v>
      </c>
    </row>
    <row r="1379" spans="1:1" x14ac:dyDescent="0.25">
      <c r="A1379" s="20">
        <v>38019</v>
      </c>
    </row>
    <row r="1380" spans="1:1" x14ac:dyDescent="0.25">
      <c r="A1380" s="20">
        <v>38021</v>
      </c>
    </row>
    <row r="1381" spans="1:1" x14ac:dyDescent="0.25">
      <c r="A1381" s="20">
        <v>38023</v>
      </c>
    </row>
    <row r="1382" spans="1:1" x14ac:dyDescent="0.25">
      <c r="A1382" s="20">
        <v>38029</v>
      </c>
    </row>
    <row r="1383" spans="1:1" x14ac:dyDescent="0.25">
      <c r="A1383" s="20">
        <v>38031</v>
      </c>
    </row>
    <row r="1384" spans="1:1" x14ac:dyDescent="0.25">
      <c r="A1384" s="20">
        <v>38035</v>
      </c>
    </row>
    <row r="1385" spans="1:1" x14ac:dyDescent="0.25">
      <c r="A1385" s="20">
        <v>38037</v>
      </c>
    </row>
    <row r="1386" spans="1:1" x14ac:dyDescent="0.25">
      <c r="A1386" s="20">
        <v>38039</v>
      </c>
    </row>
    <row r="1387" spans="1:1" x14ac:dyDescent="0.25">
      <c r="A1387" s="20">
        <v>38051</v>
      </c>
    </row>
    <row r="1388" spans="1:1" x14ac:dyDescent="0.25">
      <c r="A1388" s="20">
        <v>38053</v>
      </c>
    </row>
    <row r="1389" spans="1:1" x14ac:dyDescent="0.25">
      <c r="A1389" s="20">
        <v>38055</v>
      </c>
    </row>
    <row r="1390" spans="1:1" x14ac:dyDescent="0.25">
      <c r="A1390" s="20">
        <v>38057</v>
      </c>
    </row>
    <row r="1391" spans="1:1" x14ac:dyDescent="0.25">
      <c r="A1391" s="20">
        <v>38061</v>
      </c>
    </row>
    <row r="1392" spans="1:1" x14ac:dyDescent="0.25">
      <c r="A1392" s="20">
        <v>38063</v>
      </c>
    </row>
    <row r="1393" spans="1:1" x14ac:dyDescent="0.25">
      <c r="A1393" s="20">
        <v>38067</v>
      </c>
    </row>
    <row r="1394" spans="1:1" x14ac:dyDescent="0.25">
      <c r="A1394" s="20">
        <v>38069</v>
      </c>
    </row>
    <row r="1395" spans="1:1" x14ac:dyDescent="0.25">
      <c r="A1395" s="20">
        <v>38071</v>
      </c>
    </row>
    <row r="1396" spans="1:1" x14ac:dyDescent="0.25">
      <c r="A1396" s="20">
        <v>38073</v>
      </c>
    </row>
    <row r="1397" spans="1:1" x14ac:dyDescent="0.25">
      <c r="A1397" s="20">
        <v>38079</v>
      </c>
    </row>
    <row r="1398" spans="1:1" x14ac:dyDescent="0.25">
      <c r="A1398" s="20">
        <v>38085</v>
      </c>
    </row>
    <row r="1399" spans="1:1" x14ac:dyDescent="0.25">
      <c r="A1399" s="20">
        <v>38089</v>
      </c>
    </row>
    <row r="1400" spans="1:1" x14ac:dyDescent="0.25">
      <c r="A1400" s="20">
        <v>38093</v>
      </c>
    </row>
    <row r="1401" spans="1:1" x14ac:dyDescent="0.25">
      <c r="A1401" s="20">
        <v>38095</v>
      </c>
    </row>
    <row r="1402" spans="1:1" x14ac:dyDescent="0.25">
      <c r="A1402" s="20">
        <v>38097</v>
      </c>
    </row>
    <row r="1403" spans="1:1" x14ac:dyDescent="0.25">
      <c r="A1403" s="20">
        <v>38099</v>
      </c>
    </row>
    <row r="1404" spans="1:1" x14ac:dyDescent="0.25">
      <c r="A1404" s="20">
        <v>38101</v>
      </c>
    </row>
    <row r="1405" spans="1:1" x14ac:dyDescent="0.25">
      <c r="A1405" s="20">
        <v>38103</v>
      </c>
    </row>
    <row r="1406" spans="1:1" x14ac:dyDescent="0.25">
      <c r="A1406" s="20">
        <v>38105</v>
      </c>
    </row>
    <row r="1407" spans="1:1" x14ac:dyDescent="0.25">
      <c r="A1407" s="20">
        <v>39001</v>
      </c>
    </row>
    <row r="1408" spans="1:1" x14ac:dyDescent="0.25">
      <c r="A1408" s="20">
        <v>39003</v>
      </c>
    </row>
    <row r="1409" spans="1:1" x14ac:dyDescent="0.25">
      <c r="A1409" s="20">
        <v>39005</v>
      </c>
    </row>
    <row r="1410" spans="1:1" x14ac:dyDescent="0.25">
      <c r="A1410" s="20">
        <v>39007</v>
      </c>
    </row>
    <row r="1411" spans="1:1" x14ac:dyDescent="0.25">
      <c r="A1411" s="20">
        <v>39009</v>
      </c>
    </row>
    <row r="1412" spans="1:1" x14ac:dyDescent="0.25">
      <c r="A1412" s="20">
        <v>39011</v>
      </c>
    </row>
    <row r="1413" spans="1:1" x14ac:dyDescent="0.25">
      <c r="A1413" s="20">
        <v>39013</v>
      </c>
    </row>
    <row r="1414" spans="1:1" x14ac:dyDescent="0.25">
      <c r="A1414" s="20">
        <v>39015</v>
      </c>
    </row>
    <row r="1415" spans="1:1" x14ac:dyDescent="0.25">
      <c r="A1415" s="20">
        <v>39017</v>
      </c>
    </row>
    <row r="1416" spans="1:1" x14ac:dyDescent="0.25">
      <c r="A1416" s="20">
        <v>39021</v>
      </c>
    </row>
    <row r="1417" spans="1:1" x14ac:dyDescent="0.25">
      <c r="A1417" s="20">
        <v>39023</v>
      </c>
    </row>
    <row r="1418" spans="1:1" x14ac:dyDescent="0.25">
      <c r="A1418" s="20">
        <v>39025</v>
      </c>
    </row>
    <row r="1419" spans="1:1" x14ac:dyDescent="0.25">
      <c r="A1419" s="20">
        <v>39027</v>
      </c>
    </row>
    <row r="1420" spans="1:1" x14ac:dyDescent="0.25">
      <c r="A1420" s="20">
        <v>39029</v>
      </c>
    </row>
    <row r="1421" spans="1:1" x14ac:dyDescent="0.25">
      <c r="A1421" s="20">
        <v>39031</v>
      </c>
    </row>
    <row r="1422" spans="1:1" x14ac:dyDescent="0.25">
      <c r="A1422" s="20">
        <v>39033</v>
      </c>
    </row>
    <row r="1423" spans="1:1" x14ac:dyDescent="0.25">
      <c r="A1423" s="20">
        <v>39035</v>
      </c>
    </row>
    <row r="1424" spans="1:1" x14ac:dyDescent="0.25">
      <c r="A1424" s="20">
        <v>39037</v>
      </c>
    </row>
    <row r="1425" spans="1:1" x14ac:dyDescent="0.25">
      <c r="A1425" s="20">
        <v>39039</v>
      </c>
    </row>
    <row r="1426" spans="1:1" x14ac:dyDescent="0.25">
      <c r="A1426" s="20">
        <v>39041</v>
      </c>
    </row>
    <row r="1427" spans="1:1" x14ac:dyDescent="0.25">
      <c r="A1427" s="20">
        <v>39043</v>
      </c>
    </row>
    <row r="1428" spans="1:1" x14ac:dyDescent="0.25">
      <c r="A1428" s="20">
        <v>39045</v>
      </c>
    </row>
    <row r="1429" spans="1:1" x14ac:dyDescent="0.25">
      <c r="A1429" s="20">
        <v>39047</v>
      </c>
    </row>
    <row r="1430" spans="1:1" x14ac:dyDescent="0.25">
      <c r="A1430" s="20">
        <v>39049</v>
      </c>
    </row>
    <row r="1431" spans="1:1" x14ac:dyDescent="0.25">
      <c r="A1431" s="20">
        <v>39051</v>
      </c>
    </row>
    <row r="1432" spans="1:1" x14ac:dyDescent="0.25">
      <c r="A1432" s="20">
        <v>39053</v>
      </c>
    </row>
    <row r="1433" spans="1:1" x14ac:dyDescent="0.25">
      <c r="A1433" s="20">
        <v>39055</v>
      </c>
    </row>
    <row r="1434" spans="1:1" x14ac:dyDescent="0.25">
      <c r="A1434" s="20">
        <v>39057</v>
      </c>
    </row>
    <row r="1435" spans="1:1" x14ac:dyDescent="0.25">
      <c r="A1435" s="20">
        <v>39059</v>
      </c>
    </row>
    <row r="1436" spans="1:1" x14ac:dyDescent="0.25">
      <c r="A1436" s="20">
        <v>39061</v>
      </c>
    </row>
    <row r="1437" spans="1:1" x14ac:dyDescent="0.25">
      <c r="A1437" s="20">
        <v>39063</v>
      </c>
    </row>
    <row r="1438" spans="1:1" x14ac:dyDescent="0.25">
      <c r="A1438" s="20">
        <v>39065</v>
      </c>
    </row>
    <row r="1439" spans="1:1" x14ac:dyDescent="0.25">
      <c r="A1439" s="20">
        <v>39067</v>
      </c>
    </row>
    <row r="1440" spans="1:1" x14ac:dyDescent="0.25">
      <c r="A1440" s="20">
        <v>39069</v>
      </c>
    </row>
    <row r="1441" spans="1:1" x14ac:dyDescent="0.25">
      <c r="A1441" s="20">
        <v>39071</v>
      </c>
    </row>
    <row r="1442" spans="1:1" x14ac:dyDescent="0.25">
      <c r="A1442" s="20">
        <v>39073</v>
      </c>
    </row>
    <row r="1443" spans="1:1" x14ac:dyDescent="0.25">
      <c r="A1443" s="20">
        <v>39075</v>
      </c>
    </row>
    <row r="1444" spans="1:1" x14ac:dyDescent="0.25">
      <c r="A1444" s="20">
        <v>39077</v>
      </c>
    </row>
    <row r="1445" spans="1:1" x14ac:dyDescent="0.25">
      <c r="A1445" s="20">
        <v>39079</v>
      </c>
    </row>
    <row r="1446" spans="1:1" x14ac:dyDescent="0.25">
      <c r="A1446" s="20">
        <v>39081</v>
      </c>
    </row>
    <row r="1447" spans="1:1" x14ac:dyDescent="0.25">
      <c r="A1447" s="20">
        <v>39083</v>
      </c>
    </row>
    <row r="1448" spans="1:1" x14ac:dyDescent="0.25">
      <c r="A1448" s="20">
        <v>39085</v>
      </c>
    </row>
    <row r="1449" spans="1:1" x14ac:dyDescent="0.25">
      <c r="A1449" s="20">
        <v>39087</v>
      </c>
    </row>
    <row r="1450" spans="1:1" x14ac:dyDescent="0.25">
      <c r="A1450" s="20">
        <v>39089</v>
      </c>
    </row>
    <row r="1451" spans="1:1" x14ac:dyDescent="0.25">
      <c r="A1451" s="20">
        <v>39091</v>
      </c>
    </row>
    <row r="1452" spans="1:1" x14ac:dyDescent="0.25">
      <c r="A1452" s="20">
        <v>39093</v>
      </c>
    </row>
    <row r="1453" spans="1:1" x14ac:dyDescent="0.25">
      <c r="A1453" s="20">
        <v>39095</v>
      </c>
    </row>
    <row r="1454" spans="1:1" x14ac:dyDescent="0.25">
      <c r="A1454" s="20">
        <v>39097</v>
      </c>
    </row>
    <row r="1455" spans="1:1" x14ac:dyDescent="0.25">
      <c r="A1455" s="20">
        <v>39099</v>
      </c>
    </row>
    <row r="1456" spans="1:1" x14ac:dyDescent="0.25">
      <c r="A1456" s="20">
        <v>39101</v>
      </c>
    </row>
    <row r="1457" spans="1:1" x14ac:dyDescent="0.25">
      <c r="A1457" s="20">
        <v>39103</v>
      </c>
    </row>
    <row r="1458" spans="1:1" x14ac:dyDescent="0.25">
      <c r="A1458" s="20">
        <v>39107</v>
      </c>
    </row>
    <row r="1459" spans="1:1" x14ac:dyDescent="0.25">
      <c r="A1459" s="20">
        <v>39109</v>
      </c>
    </row>
    <row r="1460" spans="1:1" x14ac:dyDescent="0.25">
      <c r="A1460" s="20">
        <v>39113</v>
      </c>
    </row>
    <row r="1461" spans="1:1" x14ac:dyDescent="0.25">
      <c r="A1461" s="20">
        <v>39117</v>
      </c>
    </row>
    <row r="1462" spans="1:1" x14ac:dyDescent="0.25">
      <c r="A1462" s="20">
        <v>39119</v>
      </c>
    </row>
    <row r="1463" spans="1:1" x14ac:dyDescent="0.25">
      <c r="A1463" s="20">
        <v>39123</v>
      </c>
    </row>
    <row r="1464" spans="1:1" x14ac:dyDescent="0.25">
      <c r="A1464" s="20">
        <v>39125</v>
      </c>
    </row>
    <row r="1465" spans="1:1" x14ac:dyDescent="0.25">
      <c r="A1465" s="20">
        <v>39129</v>
      </c>
    </row>
    <row r="1466" spans="1:1" x14ac:dyDescent="0.25">
      <c r="A1466" s="20">
        <v>39131</v>
      </c>
    </row>
    <row r="1467" spans="1:1" x14ac:dyDescent="0.25">
      <c r="A1467" s="20">
        <v>39133</v>
      </c>
    </row>
    <row r="1468" spans="1:1" x14ac:dyDescent="0.25">
      <c r="A1468" s="20">
        <v>39139</v>
      </c>
    </row>
    <row r="1469" spans="1:1" x14ac:dyDescent="0.25">
      <c r="A1469" s="20">
        <v>39141</v>
      </c>
    </row>
    <row r="1470" spans="1:1" x14ac:dyDescent="0.25">
      <c r="A1470" s="20">
        <v>39143</v>
      </c>
    </row>
    <row r="1471" spans="1:1" x14ac:dyDescent="0.25">
      <c r="A1471" s="20">
        <v>39145</v>
      </c>
    </row>
    <row r="1472" spans="1:1" x14ac:dyDescent="0.25">
      <c r="A1472" s="20">
        <v>39147</v>
      </c>
    </row>
    <row r="1473" spans="1:1" x14ac:dyDescent="0.25">
      <c r="A1473" s="20">
        <v>39149</v>
      </c>
    </row>
    <row r="1474" spans="1:1" x14ac:dyDescent="0.25">
      <c r="A1474" s="20">
        <v>39151</v>
      </c>
    </row>
    <row r="1475" spans="1:1" x14ac:dyDescent="0.25">
      <c r="A1475" s="20">
        <v>39153</v>
      </c>
    </row>
    <row r="1476" spans="1:1" x14ac:dyDescent="0.25">
      <c r="A1476" s="20">
        <v>39155</v>
      </c>
    </row>
    <row r="1477" spans="1:1" x14ac:dyDescent="0.25">
      <c r="A1477" s="20">
        <v>39157</v>
      </c>
    </row>
    <row r="1478" spans="1:1" x14ac:dyDescent="0.25">
      <c r="A1478" s="20">
        <v>39159</v>
      </c>
    </row>
    <row r="1479" spans="1:1" x14ac:dyDescent="0.25">
      <c r="A1479" s="20">
        <v>39161</v>
      </c>
    </row>
    <row r="1480" spans="1:1" x14ac:dyDescent="0.25">
      <c r="A1480" s="20">
        <v>39165</v>
      </c>
    </row>
    <row r="1481" spans="1:1" x14ac:dyDescent="0.25">
      <c r="A1481" s="20">
        <v>39167</v>
      </c>
    </row>
    <row r="1482" spans="1:1" x14ac:dyDescent="0.25">
      <c r="A1482" s="20">
        <v>39169</v>
      </c>
    </row>
    <row r="1483" spans="1:1" x14ac:dyDescent="0.25">
      <c r="A1483" s="20">
        <v>39171</v>
      </c>
    </row>
    <row r="1484" spans="1:1" x14ac:dyDescent="0.25">
      <c r="A1484" s="20">
        <v>39173</v>
      </c>
    </row>
    <row r="1485" spans="1:1" x14ac:dyDescent="0.25">
      <c r="A1485" s="20">
        <v>39175</v>
      </c>
    </row>
    <row r="1486" spans="1:1" x14ac:dyDescent="0.25">
      <c r="A1486" s="20">
        <v>40001</v>
      </c>
    </row>
    <row r="1487" spans="1:1" x14ac:dyDescent="0.25">
      <c r="A1487" s="20">
        <v>40005</v>
      </c>
    </row>
    <row r="1488" spans="1:1" x14ac:dyDescent="0.25">
      <c r="A1488" s="20">
        <v>40007</v>
      </c>
    </row>
    <row r="1489" spans="1:1" x14ac:dyDescent="0.25">
      <c r="A1489" s="20">
        <v>40009</v>
      </c>
    </row>
    <row r="1490" spans="1:1" x14ac:dyDescent="0.25">
      <c r="A1490" s="20">
        <v>40011</v>
      </c>
    </row>
    <row r="1491" spans="1:1" x14ac:dyDescent="0.25">
      <c r="A1491" s="20">
        <v>40013</v>
      </c>
    </row>
    <row r="1492" spans="1:1" x14ac:dyDescent="0.25">
      <c r="A1492" s="20">
        <v>40015</v>
      </c>
    </row>
    <row r="1493" spans="1:1" x14ac:dyDescent="0.25">
      <c r="A1493" s="20">
        <v>40017</v>
      </c>
    </row>
    <row r="1494" spans="1:1" x14ac:dyDescent="0.25">
      <c r="A1494" s="20">
        <v>40019</v>
      </c>
    </row>
    <row r="1495" spans="1:1" x14ac:dyDescent="0.25">
      <c r="A1495" s="20">
        <v>40021</v>
      </c>
    </row>
    <row r="1496" spans="1:1" x14ac:dyDescent="0.25">
      <c r="A1496" s="20">
        <v>40023</v>
      </c>
    </row>
    <row r="1497" spans="1:1" x14ac:dyDescent="0.25">
      <c r="A1497" s="20">
        <v>40025</v>
      </c>
    </row>
    <row r="1498" spans="1:1" x14ac:dyDescent="0.25">
      <c r="A1498" s="20">
        <v>40027</v>
      </c>
    </row>
    <row r="1499" spans="1:1" x14ac:dyDescent="0.25">
      <c r="A1499" s="20">
        <v>40029</v>
      </c>
    </row>
    <row r="1500" spans="1:1" x14ac:dyDescent="0.25">
      <c r="A1500" s="20">
        <v>40031</v>
      </c>
    </row>
    <row r="1501" spans="1:1" x14ac:dyDescent="0.25">
      <c r="A1501" s="20">
        <v>40035</v>
      </c>
    </row>
    <row r="1502" spans="1:1" x14ac:dyDescent="0.25">
      <c r="A1502" s="20">
        <v>40037</v>
      </c>
    </row>
    <row r="1503" spans="1:1" x14ac:dyDescent="0.25">
      <c r="A1503" s="20">
        <v>40039</v>
      </c>
    </row>
    <row r="1504" spans="1:1" x14ac:dyDescent="0.25">
      <c r="A1504" s="20">
        <v>40041</v>
      </c>
    </row>
    <row r="1505" spans="1:1" x14ac:dyDescent="0.25">
      <c r="A1505" s="20">
        <v>40043</v>
      </c>
    </row>
    <row r="1506" spans="1:1" x14ac:dyDescent="0.25">
      <c r="A1506" s="20">
        <v>40045</v>
      </c>
    </row>
    <row r="1507" spans="1:1" x14ac:dyDescent="0.25">
      <c r="A1507" s="20">
        <v>40047</v>
      </c>
    </row>
    <row r="1508" spans="1:1" x14ac:dyDescent="0.25">
      <c r="A1508" s="20">
        <v>40049</v>
      </c>
    </row>
    <row r="1509" spans="1:1" x14ac:dyDescent="0.25">
      <c r="A1509" s="20">
        <v>40051</v>
      </c>
    </row>
    <row r="1510" spans="1:1" x14ac:dyDescent="0.25">
      <c r="A1510" s="20">
        <v>40055</v>
      </c>
    </row>
    <row r="1511" spans="1:1" x14ac:dyDescent="0.25">
      <c r="A1511" s="20">
        <v>40057</v>
      </c>
    </row>
    <row r="1512" spans="1:1" x14ac:dyDescent="0.25">
      <c r="A1512" s="20">
        <v>40059</v>
      </c>
    </row>
    <row r="1513" spans="1:1" x14ac:dyDescent="0.25">
      <c r="A1513" s="20">
        <v>40061</v>
      </c>
    </row>
    <row r="1514" spans="1:1" x14ac:dyDescent="0.25">
      <c r="A1514" s="20">
        <v>40063</v>
      </c>
    </row>
    <row r="1515" spans="1:1" x14ac:dyDescent="0.25">
      <c r="A1515" s="20">
        <v>40065</v>
      </c>
    </row>
    <row r="1516" spans="1:1" x14ac:dyDescent="0.25">
      <c r="A1516" s="20">
        <v>40067</v>
      </c>
    </row>
    <row r="1517" spans="1:1" x14ac:dyDescent="0.25">
      <c r="A1517" s="20">
        <v>40069</v>
      </c>
    </row>
    <row r="1518" spans="1:1" x14ac:dyDescent="0.25">
      <c r="A1518" s="20">
        <v>40071</v>
      </c>
    </row>
    <row r="1519" spans="1:1" x14ac:dyDescent="0.25">
      <c r="A1519" s="20">
        <v>40073</v>
      </c>
    </row>
    <row r="1520" spans="1:1" x14ac:dyDescent="0.25">
      <c r="A1520" s="20">
        <v>40075</v>
      </c>
    </row>
    <row r="1521" spans="1:1" x14ac:dyDescent="0.25">
      <c r="A1521" s="20">
        <v>40077</v>
      </c>
    </row>
    <row r="1522" spans="1:1" x14ac:dyDescent="0.25">
      <c r="A1522" s="20">
        <v>40079</v>
      </c>
    </row>
    <row r="1523" spans="1:1" x14ac:dyDescent="0.25">
      <c r="A1523" s="20">
        <v>40081</v>
      </c>
    </row>
    <row r="1524" spans="1:1" x14ac:dyDescent="0.25">
      <c r="A1524" s="20">
        <v>40083</v>
      </c>
    </row>
    <row r="1525" spans="1:1" x14ac:dyDescent="0.25">
      <c r="A1525" s="20">
        <v>40085</v>
      </c>
    </row>
    <row r="1526" spans="1:1" x14ac:dyDescent="0.25">
      <c r="A1526" s="20">
        <v>40087</v>
      </c>
    </row>
    <row r="1527" spans="1:1" x14ac:dyDescent="0.25">
      <c r="A1527" s="20">
        <v>40089</v>
      </c>
    </row>
    <row r="1528" spans="1:1" x14ac:dyDescent="0.25">
      <c r="A1528" s="20">
        <v>40091</v>
      </c>
    </row>
    <row r="1529" spans="1:1" x14ac:dyDescent="0.25">
      <c r="A1529" s="20">
        <v>40093</v>
      </c>
    </row>
    <row r="1530" spans="1:1" x14ac:dyDescent="0.25">
      <c r="A1530" s="20">
        <v>40095</v>
      </c>
    </row>
    <row r="1531" spans="1:1" x14ac:dyDescent="0.25">
      <c r="A1531" s="20">
        <v>40097</v>
      </c>
    </row>
    <row r="1532" spans="1:1" x14ac:dyDescent="0.25">
      <c r="A1532" s="20">
        <v>40099</v>
      </c>
    </row>
    <row r="1533" spans="1:1" x14ac:dyDescent="0.25">
      <c r="A1533" s="20">
        <v>40101</v>
      </c>
    </row>
    <row r="1534" spans="1:1" x14ac:dyDescent="0.25">
      <c r="A1534" s="20">
        <v>40103</v>
      </c>
    </row>
    <row r="1535" spans="1:1" x14ac:dyDescent="0.25">
      <c r="A1535" s="20">
        <v>40105</v>
      </c>
    </row>
    <row r="1536" spans="1:1" x14ac:dyDescent="0.25">
      <c r="A1536" s="20">
        <v>40107</v>
      </c>
    </row>
    <row r="1537" spans="1:1" x14ac:dyDescent="0.25">
      <c r="A1537" s="20">
        <v>40109</v>
      </c>
    </row>
    <row r="1538" spans="1:1" x14ac:dyDescent="0.25">
      <c r="A1538" s="20">
        <v>40111</v>
      </c>
    </row>
    <row r="1539" spans="1:1" x14ac:dyDescent="0.25">
      <c r="A1539" s="20">
        <v>40113</v>
      </c>
    </row>
    <row r="1540" spans="1:1" x14ac:dyDescent="0.25">
      <c r="A1540" s="20">
        <v>40115</v>
      </c>
    </row>
    <row r="1541" spans="1:1" x14ac:dyDescent="0.25">
      <c r="A1541" s="20">
        <v>40117</v>
      </c>
    </row>
    <row r="1542" spans="1:1" x14ac:dyDescent="0.25">
      <c r="A1542" s="20">
        <v>40119</v>
      </c>
    </row>
    <row r="1543" spans="1:1" x14ac:dyDescent="0.25">
      <c r="A1543" s="20">
        <v>40121</v>
      </c>
    </row>
    <row r="1544" spans="1:1" x14ac:dyDescent="0.25">
      <c r="A1544" s="20">
        <v>40123</v>
      </c>
    </row>
    <row r="1545" spans="1:1" x14ac:dyDescent="0.25">
      <c r="A1545" s="20">
        <v>40125</v>
      </c>
    </row>
    <row r="1546" spans="1:1" x14ac:dyDescent="0.25">
      <c r="A1546" s="20">
        <v>40127</v>
      </c>
    </row>
    <row r="1547" spans="1:1" x14ac:dyDescent="0.25">
      <c r="A1547" s="20">
        <v>40129</v>
      </c>
    </row>
    <row r="1548" spans="1:1" x14ac:dyDescent="0.25">
      <c r="A1548" s="20">
        <v>40131</v>
      </c>
    </row>
    <row r="1549" spans="1:1" x14ac:dyDescent="0.25">
      <c r="A1549" s="20">
        <v>40133</v>
      </c>
    </row>
    <row r="1550" spans="1:1" x14ac:dyDescent="0.25">
      <c r="A1550" s="20">
        <v>40135</v>
      </c>
    </row>
    <row r="1551" spans="1:1" x14ac:dyDescent="0.25">
      <c r="A1551" s="20">
        <v>40137</v>
      </c>
    </row>
    <row r="1552" spans="1:1" x14ac:dyDescent="0.25">
      <c r="A1552" s="20">
        <v>40139</v>
      </c>
    </row>
    <row r="1553" spans="1:1" x14ac:dyDescent="0.25">
      <c r="A1553" s="20">
        <v>40141</v>
      </c>
    </row>
    <row r="1554" spans="1:1" x14ac:dyDescent="0.25">
      <c r="A1554" s="20">
        <v>40143</v>
      </c>
    </row>
    <row r="1555" spans="1:1" x14ac:dyDescent="0.25">
      <c r="A1555" s="20">
        <v>40145</v>
      </c>
    </row>
    <row r="1556" spans="1:1" x14ac:dyDescent="0.25">
      <c r="A1556" s="20">
        <v>40147</v>
      </c>
    </row>
    <row r="1557" spans="1:1" x14ac:dyDescent="0.25">
      <c r="A1557" s="20">
        <v>40149</v>
      </c>
    </row>
    <row r="1558" spans="1:1" x14ac:dyDescent="0.25">
      <c r="A1558" s="20">
        <v>40151</v>
      </c>
    </row>
    <row r="1559" spans="1:1" x14ac:dyDescent="0.25">
      <c r="A1559" s="20">
        <v>40153</v>
      </c>
    </row>
    <row r="1560" spans="1:1" x14ac:dyDescent="0.25">
      <c r="A1560" s="20">
        <v>41001</v>
      </c>
    </row>
    <row r="1561" spans="1:1" x14ac:dyDescent="0.25">
      <c r="A1561" s="20">
        <v>41003</v>
      </c>
    </row>
    <row r="1562" spans="1:1" x14ac:dyDescent="0.25">
      <c r="A1562" s="20">
        <v>41005</v>
      </c>
    </row>
    <row r="1563" spans="1:1" x14ac:dyDescent="0.25">
      <c r="A1563" s="20">
        <v>41007</v>
      </c>
    </row>
    <row r="1564" spans="1:1" x14ac:dyDescent="0.25">
      <c r="A1564" s="20">
        <v>41011</v>
      </c>
    </row>
    <row r="1565" spans="1:1" x14ac:dyDescent="0.25">
      <c r="A1565" s="20">
        <v>41013</v>
      </c>
    </row>
    <row r="1566" spans="1:1" x14ac:dyDescent="0.25">
      <c r="A1566" s="20">
        <v>41015</v>
      </c>
    </row>
    <row r="1567" spans="1:1" x14ac:dyDescent="0.25">
      <c r="A1567" s="20">
        <v>41017</v>
      </c>
    </row>
    <row r="1568" spans="1:1" x14ac:dyDescent="0.25">
      <c r="A1568" s="20">
        <v>41019</v>
      </c>
    </row>
    <row r="1569" spans="1:1" x14ac:dyDescent="0.25">
      <c r="A1569" s="20">
        <v>41023</v>
      </c>
    </row>
    <row r="1570" spans="1:1" x14ac:dyDescent="0.25">
      <c r="A1570" s="20">
        <v>41025</v>
      </c>
    </row>
    <row r="1571" spans="1:1" x14ac:dyDescent="0.25">
      <c r="A1571" s="20">
        <v>41027</v>
      </c>
    </row>
    <row r="1572" spans="1:1" x14ac:dyDescent="0.25">
      <c r="A1572" s="20">
        <v>41029</v>
      </c>
    </row>
    <row r="1573" spans="1:1" x14ac:dyDescent="0.25">
      <c r="A1573" s="20">
        <v>41031</v>
      </c>
    </row>
    <row r="1574" spans="1:1" x14ac:dyDescent="0.25">
      <c r="A1574" s="20">
        <v>41033</v>
      </c>
    </row>
    <row r="1575" spans="1:1" x14ac:dyDescent="0.25">
      <c r="A1575" s="20">
        <v>41035</v>
      </c>
    </row>
    <row r="1576" spans="1:1" x14ac:dyDescent="0.25">
      <c r="A1576" s="20">
        <v>41037</v>
      </c>
    </row>
    <row r="1577" spans="1:1" x14ac:dyDescent="0.25">
      <c r="A1577" s="20">
        <v>41039</v>
      </c>
    </row>
    <row r="1578" spans="1:1" x14ac:dyDescent="0.25">
      <c r="A1578" s="20">
        <v>41041</v>
      </c>
    </row>
    <row r="1579" spans="1:1" x14ac:dyDescent="0.25">
      <c r="A1579" s="20">
        <v>41043</v>
      </c>
    </row>
    <row r="1580" spans="1:1" x14ac:dyDescent="0.25">
      <c r="A1580" s="20">
        <v>41045</v>
      </c>
    </row>
    <row r="1581" spans="1:1" x14ac:dyDescent="0.25">
      <c r="A1581" s="20">
        <v>41047</v>
      </c>
    </row>
    <row r="1582" spans="1:1" x14ac:dyDescent="0.25">
      <c r="A1582" s="20">
        <v>41049</v>
      </c>
    </row>
    <row r="1583" spans="1:1" x14ac:dyDescent="0.25">
      <c r="A1583" s="20">
        <v>41051</v>
      </c>
    </row>
    <row r="1584" spans="1:1" x14ac:dyDescent="0.25">
      <c r="A1584" s="20">
        <v>41053</v>
      </c>
    </row>
    <row r="1585" spans="1:1" x14ac:dyDescent="0.25">
      <c r="A1585" s="20">
        <v>41057</v>
      </c>
    </row>
    <row r="1586" spans="1:1" x14ac:dyDescent="0.25">
      <c r="A1586" s="20">
        <v>41059</v>
      </c>
    </row>
    <row r="1587" spans="1:1" x14ac:dyDescent="0.25">
      <c r="A1587" s="20">
        <v>41061</v>
      </c>
    </row>
    <row r="1588" spans="1:1" x14ac:dyDescent="0.25">
      <c r="A1588" s="20">
        <v>41063</v>
      </c>
    </row>
    <row r="1589" spans="1:1" x14ac:dyDescent="0.25">
      <c r="A1589" s="20">
        <v>41065</v>
      </c>
    </row>
    <row r="1590" spans="1:1" x14ac:dyDescent="0.25">
      <c r="A1590" s="20">
        <v>41067</v>
      </c>
    </row>
    <row r="1591" spans="1:1" x14ac:dyDescent="0.25">
      <c r="A1591" s="20">
        <v>41071</v>
      </c>
    </row>
    <row r="1592" spans="1:1" x14ac:dyDescent="0.25">
      <c r="A1592" s="20">
        <v>42001</v>
      </c>
    </row>
    <row r="1593" spans="1:1" x14ac:dyDescent="0.25">
      <c r="A1593" s="20">
        <v>42003</v>
      </c>
    </row>
    <row r="1594" spans="1:1" x14ac:dyDescent="0.25">
      <c r="A1594" s="20">
        <v>42005</v>
      </c>
    </row>
    <row r="1595" spans="1:1" x14ac:dyDescent="0.25">
      <c r="A1595" s="20">
        <v>42007</v>
      </c>
    </row>
    <row r="1596" spans="1:1" x14ac:dyDescent="0.25">
      <c r="A1596" s="20">
        <v>42009</v>
      </c>
    </row>
    <row r="1597" spans="1:1" x14ac:dyDescent="0.25">
      <c r="A1597" s="20">
        <v>42011</v>
      </c>
    </row>
    <row r="1598" spans="1:1" x14ac:dyDescent="0.25">
      <c r="A1598" s="20">
        <v>42013</v>
      </c>
    </row>
    <row r="1599" spans="1:1" x14ac:dyDescent="0.25">
      <c r="A1599" s="20">
        <v>42015</v>
      </c>
    </row>
    <row r="1600" spans="1:1" x14ac:dyDescent="0.25">
      <c r="A1600" s="20">
        <v>42017</v>
      </c>
    </row>
    <row r="1601" spans="1:1" x14ac:dyDescent="0.25">
      <c r="A1601" s="20">
        <v>42019</v>
      </c>
    </row>
    <row r="1602" spans="1:1" x14ac:dyDescent="0.25">
      <c r="A1602" s="20">
        <v>42021</v>
      </c>
    </row>
    <row r="1603" spans="1:1" x14ac:dyDescent="0.25">
      <c r="A1603" s="20">
        <v>42025</v>
      </c>
    </row>
    <row r="1604" spans="1:1" x14ac:dyDescent="0.25">
      <c r="A1604" s="20">
        <v>42027</v>
      </c>
    </row>
    <row r="1605" spans="1:1" x14ac:dyDescent="0.25">
      <c r="A1605" s="20">
        <v>42029</v>
      </c>
    </row>
    <row r="1606" spans="1:1" x14ac:dyDescent="0.25">
      <c r="A1606" s="20">
        <v>42031</v>
      </c>
    </row>
    <row r="1607" spans="1:1" x14ac:dyDescent="0.25">
      <c r="A1607" s="20">
        <v>42033</v>
      </c>
    </row>
    <row r="1608" spans="1:1" x14ac:dyDescent="0.25">
      <c r="A1608" s="20">
        <v>42035</v>
      </c>
    </row>
    <row r="1609" spans="1:1" x14ac:dyDescent="0.25">
      <c r="A1609" s="20">
        <v>42037</v>
      </c>
    </row>
    <row r="1610" spans="1:1" x14ac:dyDescent="0.25">
      <c r="A1610" s="20">
        <v>42039</v>
      </c>
    </row>
    <row r="1611" spans="1:1" x14ac:dyDescent="0.25">
      <c r="A1611" s="20">
        <v>42041</v>
      </c>
    </row>
    <row r="1612" spans="1:1" x14ac:dyDescent="0.25">
      <c r="A1612" s="20">
        <v>42043</v>
      </c>
    </row>
    <row r="1613" spans="1:1" x14ac:dyDescent="0.25">
      <c r="A1613" s="20">
        <v>42045</v>
      </c>
    </row>
    <row r="1614" spans="1:1" x14ac:dyDescent="0.25">
      <c r="A1614" s="20">
        <v>42047</v>
      </c>
    </row>
    <row r="1615" spans="1:1" x14ac:dyDescent="0.25">
      <c r="A1615" s="20">
        <v>42049</v>
      </c>
    </row>
    <row r="1616" spans="1:1" x14ac:dyDescent="0.25">
      <c r="A1616" s="20">
        <v>42051</v>
      </c>
    </row>
    <row r="1617" spans="1:1" x14ac:dyDescent="0.25">
      <c r="A1617" s="20">
        <v>42055</v>
      </c>
    </row>
    <row r="1618" spans="1:1" x14ac:dyDescent="0.25">
      <c r="A1618" s="20">
        <v>42057</v>
      </c>
    </row>
    <row r="1619" spans="1:1" x14ac:dyDescent="0.25">
      <c r="A1619" s="20">
        <v>42059</v>
      </c>
    </row>
    <row r="1620" spans="1:1" x14ac:dyDescent="0.25">
      <c r="A1620" s="20">
        <v>42061</v>
      </c>
    </row>
    <row r="1621" spans="1:1" x14ac:dyDescent="0.25">
      <c r="A1621" s="20">
        <v>42063</v>
      </c>
    </row>
    <row r="1622" spans="1:1" x14ac:dyDescent="0.25">
      <c r="A1622" s="20">
        <v>42065</v>
      </c>
    </row>
    <row r="1623" spans="1:1" x14ac:dyDescent="0.25">
      <c r="A1623" s="20">
        <v>42069</v>
      </c>
    </row>
    <row r="1624" spans="1:1" x14ac:dyDescent="0.25">
      <c r="A1624" s="20">
        <v>42071</v>
      </c>
    </row>
    <row r="1625" spans="1:1" x14ac:dyDescent="0.25">
      <c r="A1625" s="20">
        <v>42073</v>
      </c>
    </row>
    <row r="1626" spans="1:1" x14ac:dyDescent="0.25">
      <c r="A1626" s="20">
        <v>42075</v>
      </c>
    </row>
    <row r="1627" spans="1:1" x14ac:dyDescent="0.25">
      <c r="A1627" s="20">
        <v>42077</v>
      </c>
    </row>
    <row r="1628" spans="1:1" x14ac:dyDescent="0.25">
      <c r="A1628" s="20">
        <v>42079</v>
      </c>
    </row>
    <row r="1629" spans="1:1" x14ac:dyDescent="0.25">
      <c r="A1629" s="20">
        <v>42081</v>
      </c>
    </row>
    <row r="1630" spans="1:1" x14ac:dyDescent="0.25">
      <c r="A1630" s="20">
        <v>42083</v>
      </c>
    </row>
    <row r="1631" spans="1:1" x14ac:dyDescent="0.25">
      <c r="A1631" s="20">
        <v>42085</v>
      </c>
    </row>
    <row r="1632" spans="1:1" x14ac:dyDescent="0.25">
      <c r="A1632" s="20">
        <v>42087</v>
      </c>
    </row>
    <row r="1633" spans="1:1" x14ac:dyDescent="0.25">
      <c r="A1633" s="20">
        <v>42089</v>
      </c>
    </row>
    <row r="1634" spans="1:1" x14ac:dyDescent="0.25">
      <c r="A1634" s="20">
        <v>42091</v>
      </c>
    </row>
    <row r="1635" spans="1:1" x14ac:dyDescent="0.25">
      <c r="A1635" s="20">
        <v>42093</v>
      </c>
    </row>
    <row r="1636" spans="1:1" x14ac:dyDescent="0.25">
      <c r="A1636" s="20">
        <v>42095</v>
      </c>
    </row>
    <row r="1637" spans="1:1" x14ac:dyDescent="0.25">
      <c r="A1637" s="20">
        <v>42097</v>
      </c>
    </row>
    <row r="1638" spans="1:1" x14ac:dyDescent="0.25">
      <c r="A1638" s="20">
        <v>42101</v>
      </c>
    </row>
    <row r="1639" spans="1:1" x14ac:dyDescent="0.25">
      <c r="A1639" s="20">
        <v>42105</v>
      </c>
    </row>
    <row r="1640" spans="1:1" x14ac:dyDescent="0.25">
      <c r="A1640" s="20">
        <v>42107</v>
      </c>
    </row>
    <row r="1641" spans="1:1" x14ac:dyDescent="0.25">
      <c r="A1641" s="20">
        <v>42111</v>
      </c>
    </row>
    <row r="1642" spans="1:1" x14ac:dyDescent="0.25">
      <c r="A1642" s="20">
        <v>42115</v>
      </c>
    </row>
    <row r="1643" spans="1:1" x14ac:dyDescent="0.25">
      <c r="A1643" s="20">
        <v>42117</v>
      </c>
    </row>
    <row r="1644" spans="1:1" x14ac:dyDescent="0.25">
      <c r="A1644" s="20">
        <v>42119</v>
      </c>
    </row>
    <row r="1645" spans="1:1" x14ac:dyDescent="0.25">
      <c r="A1645" s="20">
        <v>42121</v>
      </c>
    </row>
    <row r="1646" spans="1:1" x14ac:dyDescent="0.25">
      <c r="A1646" s="20">
        <v>42123</v>
      </c>
    </row>
    <row r="1647" spans="1:1" x14ac:dyDescent="0.25">
      <c r="A1647" s="20">
        <v>42125</v>
      </c>
    </row>
    <row r="1648" spans="1:1" x14ac:dyDescent="0.25">
      <c r="A1648" s="20">
        <v>42127</v>
      </c>
    </row>
    <row r="1649" spans="1:1" x14ac:dyDescent="0.25">
      <c r="A1649" s="20">
        <v>42129</v>
      </c>
    </row>
    <row r="1650" spans="1:1" x14ac:dyDescent="0.25">
      <c r="A1650" s="20">
        <v>42131</v>
      </c>
    </row>
    <row r="1651" spans="1:1" x14ac:dyDescent="0.25">
      <c r="A1651" s="20">
        <v>42133</v>
      </c>
    </row>
    <row r="1652" spans="1:1" x14ac:dyDescent="0.25">
      <c r="A1652" s="20">
        <v>44003</v>
      </c>
    </row>
    <row r="1653" spans="1:1" x14ac:dyDescent="0.25">
      <c r="A1653" s="20">
        <v>44005</v>
      </c>
    </row>
    <row r="1654" spans="1:1" x14ac:dyDescent="0.25">
      <c r="A1654" s="20">
        <v>44007</v>
      </c>
    </row>
    <row r="1655" spans="1:1" x14ac:dyDescent="0.25">
      <c r="A1655" s="20">
        <v>44009</v>
      </c>
    </row>
    <row r="1656" spans="1:1" x14ac:dyDescent="0.25">
      <c r="A1656" s="20">
        <v>45001</v>
      </c>
    </row>
    <row r="1657" spans="1:1" x14ac:dyDescent="0.25">
      <c r="A1657" s="20">
        <v>45003</v>
      </c>
    </row>
    <row r="1658" spans="1:1" x14ac:dyDescent="0.25">
      <c r="A1658" s="20">
        <v>45005</v>
      </c>
    </row>
    <row r="1659" spans="1:1" x14ac:dyDescent="0.25">
      <c r="A1659" s="20">
        <v>45007</v>
      </c>
    </row>
    <row r="1660" spans="1:1" x14ac:dyDescent="0.25">
      <c r="A1660" s="20">
        <v>45009</v>
      </c>
    </row>
    <row r="1661" spans="1:1" x14ac:dyDescent="0.25">
      <c r="A1661" s="20">
        <v>45011</v>
      </c>
    </row>
    <row r="1662" spans="1:1" x14ac:dyDescent="0.25">
      <c r="A1662" s="20">
        <v>45013</v>
      </c>
    </row>
    <row r="1663" spans="1:1" x14ac:dyDescent="0.25">
      <c r="A1663" s="20">
        <v>45019</v>
      </c>
    </row>
    <row r="1664" spans="1:1" x14ac:dyDescent="0.25">
      <c r="A1664" s="20">
        <v>45021</v>
      </c>
    </row>
    <row r="1665" spans="1:1" x14ac:dyDescent="0.25">
      <c r="A1665" s="20">
        <v>45023</v>
      </c>
    </row>
    <row r="1666" spans="1:1" x14ac:dyDescent="0.25">
      <c r="A1666" s="20">
        <v>45025</v>
      </c>
    </row>
    <row r="1667" spans="1:1" x14ac:dyDescent="0.25">
      <c r="A1667" s="20">
        <v>45027</v>
      </c>
    </row>
    <row r="1668" spans="1:1" x14ac:dyDescent="0.25">
      <c r="A1668" s="20">
        <v>45029</v>
      </c>
    </row>
    <row r="1669" spans="1:1" x14ac:dyDescent="0.25">
      <c r="A1669" s="20">
        <v>45031</v>
      </c>
    </row>
    <row r="1670" spans="1:1" x14ac:dyDescent="0.25">
      <c r="A1670" s="20">
        <v>45033</v>
      </c>
    </row>
    <row r="1671" spans="1:1" x14ac:dyDescent="0.25">
      <c r="A1671" s="20">
        <v>45035</v>
      </c>
    </row>
    <row r="1672" spans="1:1" x14ac:dyDescent="0.25">
      <c r="A1672" s="20">
        <v>45037</v>
      </c>
    </row>
    <row r="1673" spans="1:1" x14ac:dyDescent="0.25">
      <c r="A1673" s="20">
        <v>45039</v>
      </c>
    </row>
    <row r="1674" spans="1:1" x14ac:dyDescent="0.25">
      <c r="A1674" s="20">
        <v>45041</v>
      </c>
    </row>
    <row r="1675" spans="1:1" x14ac:dyDescent="0.25">
      <c r="A1675" s="20">
        <v>45043</v>
      </c>
    </row>
    <row r="1676" spans="1:1" x14ac:dyDescent="0.25">
      <c r="A1676" s="20">
        <v>45045</v>
      </c>
    </row>
    <row r="1677" spans="1:1" x14ac:dyDescent="0.25">
      <c r="A1677" s="20">
        <v>45047</v>
      </c>
    </row>
    <row r="1678" spans="1:1" x14ac:dyDescent="0.25">
      <c r="A1678" s="20">
        <v>45049</v>
      </c>
    </row>
    <row r="1679" spans="1:1" x14ac:dyDescent="0.25">
      <c r="A1679" s="20">
        <v>45051</v>
      </c>
    </row>
    <row r="1680" spans="1:1" x14ac:dyDescent="0.25">
      <c r="A1680" s="20">
        <v>45053</v>
      </c>
    </row>
    <row r="1681" spans="1:1" x14ac:dyDescent="0.25">
      <c r="A1681" s="20">
        <v>45055</v>
      </c>
    </row>
    <row r="1682" spans="1:1" x14ac:dyDescent="0.25">
      <c r="A1682" s="20">
        <v>45057</v>
      </c>
    </row>
    <row r="1683" spans="1:1" x14ac:dyDescent="0.25">
      <c r="A1683" s="20">
        <v>45059</v>
      </c>
    </row>
    <row r="1684" spans="1:1" x14ac:dyDescent="0.25">
      <c r="A1684" s="20">
        <v>45063</v>
      </c>
    </row>
    <row r="1685" spans="1:1" x14ac:dyDescent="0.25">
      <c r="A1685" s="20">
        <v>45067</v>
      </c>
    </row>
    <row r="1686" spans="1:1" x14ac:dyDescent="0.25">
      <c r="A1686" s="20">
        <v>45069</v>
      </c>
    </row>
    <row r="1687" spans="1:1" x14ac:dyDescent="0.25">
      <c r="A1687" s="20">
        <v>45071</v>
      </c>
    </row>
    <row r="1688" spans="1:1" x14ac:dyDescent="0.25">
      <c r="A1688" s="20">
        <v>45073</v>
      </c>
    </row>
    <row r="1689" spans="1:1" x14ac:dyDescent="0.25">
      <c r="A1689" s="20">
        <v>45075</v>
      </c>
    </row>
    <row r="1690" spans="1:1" x14ac:dyDescent="0.25">
      <c r="A1690" s="20">
        <v>45077</v>
      </c>
    </row>
    <row r="1691" spans="1:1" x14ac:dyDescent="0.25">
      <c r="A1691" s="20">
        <v>45079</v>
      </c>
    </row>
    <row r="1692" spans="1:1" x14ac:dyDescent="0.25">
      <c r="A1692" s="20">
        <v>45083</v>
      </c>
    </row>
    <row r="1693" spans="1:1" x14ac:dyDescent="0.25">
      <c r="A1693" s="20">
        <v>45085</v>
      </c>
    </row>
    <row r="1694" spans="1:1" x14ac:dyDescent="0.25">
      <c r="A1694" s="20">
        <v>45087</v>
      </c>
    </row>
    <row r="1695" spans="1:1" x14ac:dyDescent="0.25">
      <c r="A1695" s="20">
        <v>45089</v>
      </c>
    </row>
    <row r="1696" spans="1:1" x14ac:dyDescent="0.25">
      <c r="A1696" s="20">
        <v>45091</v>
      </c>
    </row>
    <row r="1697" spans="1:1" x14ac:dyDescent="0.25">
      <c r="A1697" s="20">
        <v>46005</v>
      </c>
    </row>
    <row r="1698" spans="1:1" x14ac:dyDescent="0.25">
      <c r="A1698" s="20">
        <v>46007</v>
      </c>
    </row>
    <row r="1699" spans="1:1" x14ac:dyDescent="0.25">
      <c r="A1699" s="20">
        <v>46009</v>
      </c>
    </row>
    <row r="1700" spans="1:1" x14ac:dyDescent="0.25">
      <c r="A1700" s="20">
        <v>46011</v>
      </c>
    </row>
    <row r="1701" spans="1:1" x14ac:dyDescent="0.25">
      <c r="A1701" s="20">
        <v>46013</v>
      </c>
    </row>
    <row r="1702" spans="1:1" x14ac:dyDescent="0.25">
      <c r="A1702" s="20">
        <v>46015</v>
      </c>
    </row>
    <row r="1703" spans="1:1" x14ac:dyDescent="0.25">
      <c r="A1703" s="20">
        <v>46023</v>
      </c>
    </row>
    <row r="1704" spans="1:1" x14ac:dyDescent="0.25">
      <c r="A1704" s="20">
        <v>46027</v>
      </c>
    </row>
    <row r="1705" spans="1:1" x14ac:dyDescent="0.25">
      <c r="A1705" s="20">
        <v>46029</v>
      </c>
    </row>
    <row r="1706" spans="1:1" x14ac:dyDescent="0.25">
      <c r="A1706" s="20">
        <v>46033</v>
      </c>
    </row>
    <row r="1707" spans="1:1" x14ac:dyDescent="0.25">
      <c r="A1707" s="20">
        <v>46035</v>
      </c>
    </row>
    <row r="1708" spans="1:1" x14ac:dyDescent="0.25">
      <c r="A1708" s="20">
        <v>46037</v>
      </c>
    </row>
    <row r="1709" spans="1:1" x14ac:dyDescent="0.25">
      <c r="A1709" s="20">
        <v>46039</v>
      </c>
    </row>
    <row r="1710" spans="1:1" x14ac:dyDescent="0.25">
      <c r="A1710" s="20">
        <v>46041</v>
      </c>
    </row>
    <row r="1711" spans="1:1" x14ac:dyDescent="0.25">
      <c r="A1711" s="20">
        <v>46043</v>
      </c>
    </row>
    <row r="1712" spans="1:1" x14ac:dyDescent="0.25">
      <c r="A1712" s="20">
        <v>46045</v>
      </c>
    </row>
    <row r="1713" spans="1:1" x14ac:dyDescent="0.25">
      <c r="A1713" s="20">
        <v>46047</v>
      </c>
    </row>
    <row r="1714" spans="1:1" x14ac:dyDescent="0.25">
      <c r="A1714" s="20">
        <v>46049</v>
      </c>
    </row>
    <row r="1715" spans="1:1" x14ac:dyDescent="0.25">
      <c r="A1715" s="20">
        <v>46051</v>
      </c>
    </row>
    <row r="1716" spans="1:1" x14ac:dyDescent="0.25">
      <c r="A1716" s="20">
        <v>46053</v>
      </c>
    </row>
    <row r="1717" spans="1:1" x14ac:dyDescent="0.25">
      <c r="A1717" s="20">
        <v>46055</v>
      </c>
    </row>
    <row r="1718" spans="1:1" x14ac:dyDescent="0.25">
      <c r="A1718" s="20">
        <v>46059</v>
      </c>
    </row>
    <row r="1719" spans="1:1" x14ac:dyDescent="0.25">
      <c r="A1719" s="20">
        <v>46065</v>
      </c>
    </row>
    <row r="1720" spans="1:1" x14ac:dyDescent="0.25">
      <c r="A1720" s="20">
        <v>46067</v>
      </c>
    </row>
    <row r="1721" spans="1:1" x14ac:dyDescent="0.25">
      <c r="A1721" s="20">
        <v>46073</v>
      </c>
    </row>
    <row r="1722" spans="1:1" x14ac:dyDescent="0.25">
      <c r="A1722" s="20">
        <v>46077</v>
      </c>
    </row>
    <row r="1723" spans="1:1" x14ac:dyDescent="0.25">
      <c r="A1723" s="20">
        <v>46079</v>
      </c>
    </row>
    <row r="1724" spans="1:1" x14ac:dyDescent="0.25">
      <c r="A1724" s="20">
        <v>46081</v>
      </c>
    </row>
    <row r="1725" spans="1:1" x14ac:dyDescent="0.25">
      <c r="A1725" s="20">
        <v>46083</v>
      </c>
    </row>
    <row r="1726" spans="1:1" x14ac:dyDescent="0.25">
      <c r="A1726" s="20">
        <v>46089</v>
      </c>
    </row>
    <row r="1727" spans="1:1" x14ac:dyDescent="0.25">
      <c r="A1727" s="20">
        <v>46091</v>
      </c>
    </row>
    <row r="1728" spans="1:1" x14ac:dyDescent="0.25">
      <c r="A1728" s="20">
        <v>46093</v>
      </c>
    </row>
    <row r="1729" spans="1:1" x14ac:dyDescent="0.25">
      <c r="A1729" s="20">
        <v>46099</v>
      </c>
    </row>
    <row r="1730" spans="1:1" x14ac:dyDescent="0.25">
      <c r="A1730" s="20">
        <v>46101</v>
      </c>
    </row>
    <row r="1731" spans="1:1" x14ac:dyDescent="0.25">
      <c r="A1731" s="20">
        <v>46102</v>
      </c>
    </row>
    <row r="1732" spans="1:1" x14ac:dyDescent="0.25">
      <c r="A1732" s="20">
        <v>46103</v>
      </c>
    </row>
    <row r="1733" spans="1:1" x14ac:dyDescent="0.25">
      <c r="A1733" s="20">
        <v>46107</v>
      </c>
    </row>
    <row r="1734" spans="1:1" x14ac:dyDescent="0.25">
      <c r="A1734" s="20">
        <v>46109</v>
      </c>
    </row>
    <row r="1735" spans="1:1" x14ac:dyDescent="0.25">
      <c r="A1735" s="20">
        <v>46115</v>
      </c>
    </row>
    <row r="1736" spans="1:1" x14ac:dyDescent="0.25">
      <c r="A1736" s="20">
        <v>46121</v>
      </c>
    </row>
    <row r="1737" spans="1:1" x14ac:dyDescent="0.25">
      <c r="A1737" s="20">
        <v>46123</v>
      </c>
    </row>
    <row r="1738" spans="1:1" x14ac:dyDescent="0.25">
      <c r="A1738" s="20">
        <v>46125</v>
      </c>
    </row>
    <row r="1739" spans="1:1" x14ac:dyDescent="0.25">
      <c r="A1739" s="20">
        <v>46127</v>
      </c>
    </row>
    <row r="1740" spans="1:1" x14ac:dyDescent="0.25">
      <c r="A1740" s="20">
        <v>46129</v>
      </c>
    </row>
    <row r="1741" spans="1:1" x14ac:dyDescent="0.25">
      <c r="A1741" s="20">
        <v>46135</v>
      </c>
    </row>
    <row r="1742" spans="1:1" x14ac:dyDescent="0.25">
      <c r="A1742" s="20">
        <v>47001</v>
      </c>
    </row>
    <row r="1743" spans="1:1" x14ac:dyDescent="0.25">
      <c r="A1743" s="20">
        <v>47003</v>
      </c>
    </row>
    <row r="1744" spans="1:1" x14ac:dyDescent="0.25">
      <c r="A1744" s="20">
        <v>47005</v>
      </c>
    </row>
    <row r="1745" spans="1:1" x14ac:dyDescent="0.25">
      <c r="A1745" s="20">
        <v>47007</v>
      </c>
    </row>
    <row r="1746" spans="1:1" x14ac:dyDescent="0.25">
      <c r="A1746" s="20">
        <v>47009</v>
      </c>
    </row>
    <row r="1747" spans="1:1" x14ac:dyDescent="0.25">
      <c r="A1747" s="20">
        <v>47011</v>
      </c>
    </row>
    <row r="1748" spans="1:1" x14ac:dyDescent="0.25">
      <c r="A1748" s="20">
        <v>47013</v>
      </c>
    </row>
    <row r="1749" spans="1:1" x14ac:dyDescent="0.25">
      <c r="A1749" s="20">
        <v>47015</v>
      </c>
    </row>
    <row r="1750" spans="1:1" x14ac:dyDescent="0.25">
      <c r="A1750" s="20">
        <v>47017</v>
      </c>
    </row>
    <row r="1751" spans="1:1" x14ac:dyDescent="0.25">
      <c r="A1751" s="20">
        <v>47019</v>
      </c>
    </row>
    <row r="1752" spans="1:1" x14ac:dyDescent="0.25">
      <c r="A1752" s="20">
        <v>47021</v>
      </c>
    </row>
    <row r="1753" spans="1:1" x14ac:dyDescent="0.25">
      <c r="A1753" s="20">
        <v>47025</v>
      </c>
    </row>
    <row r="1754" spans="1:1" x14ac:dyDescent="0.25">
      <c r="A1754" s="20">
        <v>47027</v>
      </c>
    </row>
    <row r="1755" spans="1:1" x14ac:dyDescent="0.25">
      <c r="A1755" s="20">
        <v>47029</v>
      </c>
    </row>
    <row r="1756" spans="1:1" x14ac:dyDescent="0.25">
      <c r="A1756" s="20">
        <v>47031</v>
      </c>
    </row>
    <row r="1757" spans="1:1" x14ac:dyDescent="0.25">
      <c r="A1757" s="20">
        <v>47035</v>
      </c>
    </row>
    <row r="1758" spans="1:1" x14ac:dyDescent="0.25">
      <c r="A1758" s="20">
        <v>47037</v>
      </c>
    </row>
    <row r="1759" spans="1:1" x14ac:dyDescent="0.25">
      <c r="A1759" s="20">
        <v>47039</v>
      </c>
    </row>
    <row r="1760" spans="1:1" x14ac:dyDescent="0.25">
      <c r="A1760" s="20">
        <v>47041</v>
      </c>
    </row>
    <row r="1761" spans="1:1" x14ac:dyDescent="0.25">
      <c r="A1761" s="20">
        <v>47043</v>
      </c>
    </row>
    <row r="1762" spans="1:1" x14ac:dyDescent="0.25">
      <c r="A1762" s="20">
        <v>47045</v>
      </c>
    </row>
    <row r="1763" spans="1:1" x14ac:dyDescent="0.25">
      <c r="A1763" s="20">
        <v>47047</v>
      </c>
    </row>
    <row r="1764" spans="1:1" x14ac:dyDescent="0.25">
      <c r="A1764" s="20">
        <v>47049</v>
      </c>
    </row>
    <row r="1765" spans="1:1" x14ac:dyDescent="0.25">
      <c r="A1765" s="20">
        <v>47051</v>
      </c>
    </row>
    <row r="1766" spans="1:1" x14ac:dyDescent="0.25">
      <c r="A1766" s="20">
        <v>47053</v>
      </c>
    </row>
    <row r="1767" spans="1:1" x14ac:dyDescent="0.25">
      <c r="A1767" s="20">
        <v>47055</v>
      </c>
    </row>
    <row r="1768" spans="1:1" x14ac:dyDescent="0.25">
      <c r="A1768" s="20">
        <v>47059</v>
      </c>
    </row>
    <row r="1769" spans="1:1" x14ac:dyDescent="0.25">
      <c r="A1769" s="20">
        <v>47063</v>
      </c>
    </row>
    <row r="1770" spans="1:1" x14ac:dyDescent="0.25">
      <c r="A1770" s="20">
        <v>47065</v>
      </c>
    </row>
    <row r="1771" spans="1:1" x14ac:dyDescent="0.25">
      <c r="A1771" s="20">
        <v>47067</v>
      </c>
    </row>
    <row r="1772" spans="1:1" x14ac:dyDescent="0.25">
      <c r="A1772" s="20">
        <v>47069</v>
      </c>
    </row>
    <row r="1773" spans="1:1" x14ac:dyDescent="0.25">
      <c r="A1773" s="20">
        <v>47071</v>
      </c>
    </row>
    <row r="1774" spans="1:1" x14ac:dyDescent="0.25">
      <c r="A1774" s="20">
        <v>47073</v>
      </c>
    </row>
    <row r="1775" spans="1:1" x14ac:dyDescent="0.25">
      <c r="A1775" s="20">
        <v>47075</v>
      </c>
    </row>
    <row r="1776" spans="1:1" x14ac:dyDescent="0.25">
      <c r="A1776" s="20">
        <v>47077</v>
      </c>
    </row>
    <row r="1777" spans="1:1" x14ac:dyDescent="0.25">
      <c r="A1777" s="20">
        <v>47079</v>
      </c>
    </row>
    <row r="1778" spans="1:1" x14ac:dyDescent="0.25">
      <c r="A1778" s="20">
        <v>47081</v>
      </c>
    </row>
    <row r="1779" spans="1:1" x14ac:dyDescent="0.25">
      <c r="A1779" s="20">
        <v>47083</v>
      </c>
    </row>
    <row r="1780" spans="1:1" x14ac:dyDescent="0.25">
      <c r="A1780" s="20">
        <v>47085</v>
      </c>
    </row>
    <row r="1781" spans="1:1" x14ac:dyDescent="0.25">
      <c r="A1781" s="20">
        <v>47089</v>
      </c>
    </row>
    <row r="1782" spans="1:1" x14ac:dyDescent="0.25">
      <c r="A1782" s="20">
        <v>47091</v>
      </c>
    </row>
    <row r="1783" spans="1:1" x14ac:dyDescent="0.25">
      <c r="A1783" s="20">
        <v>47093</v>
      </c>
    </row>
    <row r="1784" spans="1:1" x14ac:dyDescent="0.25">
      <c r="A1784" s="20">
        <v>47097</v>
      </c>
    </row>
    <row r="1785" spans="1:1" x14ac:dyDescent="0.25">
      <c r="A1785" s="20">
        <v>47099</v>
      </c>
    </row>
    <row r="1786" spans="1:1" x14ac:dyDescent="0.25">
      <c r="A1786" s="20">
        <v>47103</v>
      </c>
    </row>
    <row r="1787" spans="1:1" x14ac:dyDescent="0.25">
      <c r="A1787" s="20">
        <v>47105</v>
      </c>
    </row>
    <row r="1788" spans="1:1" x14ac:dyDescent="0.25">
      <c r="A1788" s="20">
        <v>47107</v>
      </c>
    </row>
    <row r="1789" spans="1:1" x14ac:dyDescent="0.25">
      <c r="A1789" s="20">
        <v>47109</v>
      </c>
    </row>
    <row r="1790" spans="1:1" x14ac:dyDescent="0.25">
      <c r="A1790" s="20">
        <v>47111</v>
      </c>
    </row>
    <row r="1791" spans="1:1" x14ac:dyDescent="0.25">
      <c r="A1791" s="20">
        <v>47113</v>
      </c>
    </row>
    <row r="1792" spans="1:1" x14ac:dyDescent="0.25">
      <c r="A1792" s="20">
        <v>47115</v>
      </c>
    </row>
    <row r="1793" spans="1:1" x14ac:dyDescent="0.25">
      <c r="A1793" s="20">
        <v>47117</v>
      </c>
    </row>
    <row r="1794" spans="1:1" x14ac:dyDescent="0.25">
      <c r="A1794" s="20">
        <v>47119</v>
      </c>
    </row>
    <row r="1795" spans="1:1" x14ac:dyDescent="0.25">
      <c r="A1795" s="20">
        <v>47123</v>
      </c>
    </row>
    <row r="1796" spans="1:1" x14ac:dyDescent="0.25">
      <c r="A1796" s="20">
        <v>47125</v>
      </c>
    </row>
    <row r="1797" spans="1:1" x14ac:dyDescent="0.25">
      <c r="A1797" s="20">
        <v>47131</v>
      </c>
    </row>
    <row r="1798" spans="1:1" x14ac:dyDescent="0.25">
      <c r="A1798" s="20">
        <v>47133</v>
      </c>
    </row>
    <row r="1799" spans="1:1" x14ac:dyDescent="0.25">
      <c r="A1799" s="20">
        <v>47135</v>
      </c>
    </row>
    <row r="1800" spans="1:1" x14ac:dyDescent="0.25">
      <c r="A1800" s="20">
        <v>47139</v>
      </c>
    </row>
    <row r="1801" spans="1:1" x14ac:dyDescent="0.25">
      <c r="A1801" s="20">
        <v>47141</v>
      </c>
    </row>
    <row r="1802" spans="1:1" x14ac:dyDescent="0.25">
      <c r="A1802" s="20">
        <v>47143</v>
      </c>
    </row>
    <row r="1803" spans="1:1" x14ac:dyDescent="0.25">
      <c r="A1803" s="20">
        <v>47145</v>
      </c>
    </row>
    <row r="1804" spans="1:1" x14ac:dyDescent="0.25">
      <c r="A1804" s="20">
        <v>47147</v>
      </c>
    </row>
    <row r="1805" spans="1:1" x14ac:dyDescent="0.25">
      <c r="A1805" s="20">
        <v>47149</v>
      </c>
    </row>
    <row r="1806" spans="1:1" x14ac:dyDescent="0.25">
      <c r="A1806" s="20">
        <v>47151</v>
      </c>
    </row>
    <row r="1807" spans="1:1" x14ac:dyDescent="0.25">
      <c r="A1807" s="20">
        <v>47155</v>
      </c>
    </row>
    <row r="1808" spans="1:1" x14ac:dyDescent="0.25">
      <c r="A1808" s="20">
        <v>47157</v>
      </c>
    </row>
    <row r="1809" spans="1:1" x14ac:dyDescent="0.25">
      <c r="A1809" s="20">
        <v>47159</v>
      </c>
    </row>
    <row r="1810" spans="1:1" x14ac:dyDescent="0.25">
      <c r="A1810" s="20">
        <v>47163</v>
      </c>
    </row>
    <row r="1811" spans="1:1" x14ac:dyDescent="0.25">
      <c r="A1811" s="20">
        <v>47165</v>
      </c>
    </row>
    <row r="1812" spans="1:1" x14ac:dyDescent="0.25">
      <c r="A1812" s="20">
        <v>47167</v>
      </c>
    </row>
    <row r="1813" spans="1:1" x14ac:dyDescent="0.25">
      <c r="A1813" s="20">
        <v>47169</v>
      </c>
    </row>
    <row r="1814" spans="1:1" x14ac:dyDescent="0.25">
      <c r="A1814" s="20">
        <v>47171</v>
      </c>
    </row>
    <row r="1815" spans="1:1" x14ac:dyDescent="0.25">
      <c r="A1815" s="20">
        <v>47177</v>
      </c>
    </row>
    <row r="1816" spans="1:1" x14ac:dyDescent="0.25">
      <c r="A1816" s="20">
        <v>47179</v>
      </c>
    </row>
    <row r="1817" spans="1:1" x14ac:dyDescent="0.25">
      <c r="A1817" s="20">
        <v>47181</v>
      </c>
    </row>
    <row r="1818" spans="1:1" x14ac:dyDescent="0.25">
      <c r="A1818" s="20">
        <v>47183</v>
      </c>
    </row>
    <row r="1819" spans="1:1" x14ac:dyDescent="0.25">
      <c r="A1819" s="20">
        <v>47185</v>
      </c>
    </row>
    <row r="1820" spans="1:1" x14ac:dyDescent="0.25">
      <c r="A1820" s="20">
        <v>47187</v>
      </c>
    </row>
    <row r="1821" spans="1:1" x14ac:dyDescent="0.25">
      <c r="A1821" s="20">
        <v>47189</v>
      </c>
    </row>
    <row r="1822" spans="1:1" x14ac:dyDescent="0.25">
      <c r="A1822" s="20">
        <v>48001</v>
      </c>
    </row>
    <row r="1823" spans="1:1" x14ac:dyDescent="0.25">
      <c r="A1823" s="20">
        <v>48003</v>
      </c>
    </row>
    <row r="1824" spans="1:1" x14ac:dyDescent="0.25">
      <c r="A1824" s="20">
        <v>48005</v>
      </c>
    </row>
    <row r="1825" spans="1:1" x14ac:dyDescent="0.25">
      <c r="A1825" s="20">
        <v>48013</v>
      </c>
    </row>
    <row r="1826" spans="1:1" x14ac:dyDescent="0.25">
      <c r="A1826" s="20">
        <v>48015</v>
      </c>
    </row>
    <row r="1827" spans="1:1" x14ac:dyDescent="0.25">
      <c r="A1827" s="20">
        <v>48017</v>
      </c>
    </row>
    <row r="1828" spans="1:1" x14ac:dyDescent="0.25">
      <c r="A1828" s="20">
        <v>48021</v>
      </c>
    </row>
    <row r="1829" spans="1:1" x14ac:dyDescent="0.25">
      <c r="A1829" s="20">
        <v>48023</v>
      </c>
    </row>
    <row r="1830" spans="1:1" x14ac:dyDescent="0.25">
      <c r="A1830" s="20">
        <v>48025</v>
      </c>
    </row>
    <row r="1831" spans="1:1" x14ac:dyDescent="0.25">
      <c r="A1831" s="20">
        <v>48027</v>
      </c>
    </row>
    <row r="1832" spans="1:1" x14ac:dyDescent="0.25">
      <c r="A1832" s="20">
        <v>48029</v>
      </c>
    </row>
    <row r="1833" spans="1:1" x14ac:dyDescent="0.25">
      <c r="A1833" s="20">
        <v>48035</v>
      </c>
    </row>
    <row r="1834" spans="1:1" x14ac:dyDescent="0.25">
      <c r="A1834" s="20">
        <v>48037</v>
      </c>
    </row>
    <row r="1835" spans="1:1" x14ac:dyDescent="0.25">
      <c r="A1835" s="20">
        <v>48039</v>
      </c>
    </row>
    <row r="1836" spans="1:1" x14ac:dyDescent="0.25">
      <c r="A1836" s="20">
        <v>48041</v>
      </c>
    </row>
    <row r="1837" spans="1:1" x14ac:dyDescent="0.25">
      <c r="A1837" s="20">
        <v>48043</v>
      </c>
    </row>
    <row r="1838" spans="1:1" x14ac:dyDescent="0.25">
      <c r="A1838" s="20">
        <v>48049</v>
      </c>
    </row>
    <row r="1839" spans="1:1" x14ac:dyDescent="0.25">
      <c r="A1839" s="20">
        <v>48051</v>
      </c>
    </row>
    <row r="1840" spans="1:1" x14ac:dyDescent="0.25">
      <c r="A1840" s="20">
        <v>48053</v>
      </c>
    </row>
    <row r="1841" spans="1:1" x14ac:dyDescent="0.25">
      <c r="A1841" s="20">
        <v>48055</v>
      </c>
    </row>
    <row r="1842" spans="1:1" x14ac:dyDescent="0.25">
      <c r="A1842" s="20">
        <v>48057</v>
      </c>
    </row>
    <row r="1843" spans="1:1" x14ac:dyDescent="0.25">
      <c r="A1843" s="20">
        <v>48061</v>
      </c>
    </row>
    <row r="1844" spans="1:1" x14ac:dyDescent="0.25">
      <c r="A1844" s="20">
        <v>48063</v>
      </c>
    </row>
    <row r="1845" spans="1:1" x14ac:dyDescent="0.25">
      <c r="A1845" s="20">
        <v>48067</v>
      </c>
    </row>
    <row r="1846" spans="1:1" x14ac:dyDescent="0.25">
      <c r="A1846" s="20">
        <v>48069</v>
      </c>
    </row>
    <row r="1847" spans="1:1" x14ac:dyDescent="0.25">
      <c r="A1847" s="20">
        <v>48071</v>
      </c>
    </row>
    <row r="1848" spans="1:1" x14ac:dyDescent="0.25">
      <c r="A1848" s="20">
        <v>48073</v>
      </c>
    </row>
    <row r="1849" spans="1:1" x14ac:dyDescent="0.25">
      <c r="A1849" s="20">
        <v>48075</v>
      </c>
    </row>
    <row r="1850" spans="1:1" x14ac:dyDescent="0.25">
      <c r="A1850" s="20">
        <v>48077</v>
      </c>
    </row>
    <row r="1851" spans="1:1" x14ac:dyDescent="0.25">
      <c r="A1851" s="20">
        <v>48079</v>
      </c>
    </row>
    <row r="1852" spans="1:1" x14ac:dyDescent="0.25">
      <c r="A1852" s="20">
        <v>48083</v>
      </c>
    </row>
    <row r="1853" spans="1:1" x14ac:dyDescent="0.25">
      <c r="A1853" s="20">
        <v>48085</v>
      </c>
    </row>
    <row r="1854" spans="1:1" x14ac:dyDescent="0.25">
      <c r="A1854" s="20">
        <v>48087</v>
      </c>
    </row>
    <row r="1855" spans="1:1" x14ac:dyDescent="0.25">
      <c r="A1855" s="20">
        <v>48089</v>
      </c>
    </row>
    <row r="1856" spans="1:1" x14ac:dyDescent="0.25">
      <c r="A1856" s="20">
        <v>48091</v>
      </c>
    </row>
    <row r="1857" spans="1:1" x14ac:dyDescent="0.25">
      <c r="A1857" s="20">
        <v>48093</v>
      </c>
    </row>
    <row r="1858" spans="1:1" x14ac:dyDescent="0.25">
      <c r="A1858" s="20">
        <v>48095</v>
      </c>
    </row>
    <row r="1859" spans="1:1" x14ac:dyDescent="0.25">
      <c r="A1859" s="20">
        <v>48097</v>
      </c>
    </row>
    <row r="1860" spans="1:1" x14ac:dyDescent="0.25">
      <c r="A1860" s="20">
        <v>48099</v>
      </c>
    </row>
    <row r="1861" spans="1:1" x14ac:dyDescent="0.25">
      <c r="A1861" s="20">
        <v>48103</v>
      </c>
    </row>
    <row r="1862" spans="1:1" x14ac:dyDescent="0.25">
      <c r="A1862" s="20">
        <v>48107</v>
      </c>
    </row>
    <row r="1863" spans="1:1" x14ac:dyDescent="0.25">
      <c r="A1863" s="20">
        <v>48109</v>
      </c>
    </row>
    <row r="1864" spans="1:1" x14ac:dyDescent="0.25">
      <c r="A1864" s="20">
        <v>48111</v>
      </c>
    </row>
    <row r="1865" spans="1:1" x14ac:dyDescent="0.25">
      <c r="A1865" s="20">
        <v>48113</v>
      </c>
    </row>
    <row r="1866" spans="1:1" x14ac:dyDescent="0.25">
      <c r="A1866" s="20">
        <v>48115</v>
      </c>
    </row>
    <row r="1867" spans="1:1" x14ac:dyDescent="0.25">
      <c r="A1867" s="20">
        <v>48117</v>
      </c>
    </row>
    <row r="1868" spans="1:1" x14ac:dyDescent="0.25">
      <c r="A1868" s="20">
        <v>48121</v>
      </c>
    </row>
    <row r="1869" spans="1:1" x14ac:dyDescent="0.25">
      <c r="A1869" s="20">
        <v>48123</v>
      </c>
    </row>
    <row r="1870" spans="1:1" x14ac:dyDescent="0.25">
      <c r="A1870" s="20">
        <v>48127</v>
      </c>
    </row>
    <row r="1871" spans="1:1" x14ac:dyDescent="0.25">
      <c r="A1871" s="20">
        <v>48133</v>
      </c>
    </row>
    <row r="1872" spans="1:1" x14ac:dyDescent="0.25">
      <c r="A1872" s="20">
        <v>48135</v>
      </c>
    </row>
    <row r="1873" spans="1:1" x14ac:dyDescent="0.25">
      <c r="A1873" s="20">
        <v>48139</v>
      </c>
    </row>
    <row r="1874" spans="1:1" x14ac:dyDescent="0.25">
      <c r="A1874" s="20">
        <v>48141</v>
      </c>
    </row>
    <row r="1875" spans="1:1" x14ac:dyDescent="0.25">
      <c r="A1875" s="20">
        <v>48143</v>
      </c>
    </row>
    <row r="1876" spans="1:1" x14ac:dyDescent="0.25">
      <c r="A1876" s="20">
        <v>48145</v>
      </c>
    </row>
    <row r="1877" spans="1:1" x14ac:dyDescent="0.25">
      <c r="A1877" s="20">
        <v>48147</v>
      </c>
    </row>
    <row r="1878" spans="1:1" x14ac:dyDescent="0.25">
      <c r="A1878" s="20">
        <v>48149</v>
      </c>
    </row>
    <row r="1879" spans="1:1" x14ac:dyDescent="0.25">
      <c r="A1879" s="20">
        <v>48151</v>
      </c>
    </row>
    <row r="1880" spans="1:1" x14ac:dyDescent="0.25">
      <c r="A1880" s="20">
        <v>48153</v>
      </c>
    </row>
    <row r="1881" spans="1:1" x14ac:dyDescent="0.25">
      <c r="A1881" s="20">
        <v>48157</v>
      </c>
    </row>
    <row r="1882" spans="1:1" x14ac:dyDescent="0.25">
      <c r="A1882" s="20">
        <v>48159</v>
      </c>
    </row>
    <row r="1883" spans="1:1" x14ac:dyDescent="0.25">
      <c r="A1883" s="20">
        <v>48161</v>
      </c>
    </row>
    <row r="1884" spans="1:1" x14ac:dyDescent="0.25">
      <c r="A1884" s="20">
        <v>48163</v>
      </c>
    </row>
    <row r="1885" spans="1:1" x14ac:dyDescent="0.25">
      <c r="A1885" s="20">
        <v>48165</v>
      </c>
    </row>
    <row r="1886" spans="1:1" x14ac:dyDescent="0.25">
      <c r="A1886" s="20">
        <v>48167</v>
      </c>
    </row>
    <row r="1887" spans="1:1" x14ac:dyDescent="0.25">
      <c r="A1887" s="20">
        <v>48171</v>
      </c>
    </row>
    <row r="1888" spans="1:1" x14ac:dyDescent="0.25">
      <c r="A1888" s="20">
        <v>48177</v>
      </c>
    </row>
    <row r="1889" spans="1:1" x14ac:dyDescent="0.25">
      <c r="A1889" s="20">
        <v>48179</v>
      </c>
    </row>
    <row r="1890" spans="1:1" x14ac:dyDescent="0.25">
      <c r="A1890" s="20">
        <v>48181</v>
      </c>
    </row>
    <row r="1891" spans="1:1" x14ac:dyDescent="0.25">
      <c r="A1891" s="20">
        <v>48183</v>
      </c>
    </row>
    <row r="1892" spans="1:1" x14ac:dyDescent="0.25">
      <c r="A1892" s="20">
        <v>48185</v>
      </c>
    </row>
    <row r="1893" spans="1:1" x14ac:dyDescent="0.25">
      <c r="A1893" s="20">
        <v>48187</v>
      </c>
    </row>
    <row r="1894" spans="1:1" x14ac:dyDescent="0.25">
      <c r="A1894" s="20">
        <v>48189</v>
      </c>
    </row>
    <row r="1895" spans="1:1" x14ac:dyDescent="0.25">
      <c r="A1895" s="20">
        <v>48193</v>
      </c>
    </row>
    <row r="1896" spans="1:1" x14ac:dyDescent="0.25">
      <c r="A1896" s="20">
        <v>48195</v>
      </c>
    </row>
    <row r="1897" spans="1:1" x14ac:dyDescent="0.25">
      <c r="A1897" s="20">
        <v>48197</v>
      </c>
    </row>
    <row r="1898" spans="1:1" x14ac:dyDescent="0.25">
      <c r="A1898" s="20">
        <v>48199</v>
      </c>
    </row>
    <row r="1899" spans="1:1" x14ac:dyDescent="0.25">
      <c r="A1899" s="20">
        <v>48201</v>
      </c>
    </row>
    <row r="1900" spans="1:1" x14ac:dyDescent="0.25">
      <c r="A1900" s="20">
        <v>48203</v>
      </c>
    </row>
    <row r="1901" spans="1:1" x14ac:dyDescent="0.25">
      <c r="A1901" s="20">
        <v>48207</v>
      </c>
    </row>
    <row r="1902" spans="1:1" x14ac:dyDescent="0.25">
      <c r="A1902" s="20">
        <v>48209</v>
      </c>
    </row>
    <row r="1903" spans="1:1" x14ac:dyDescent="0.25">
      <c r="A1903" s="20">
        <v>48211</v>
      </c>
    </row>
    <row r="1904" spans="1:1" x14ac:dyDescent="0.25">
      <c r="A1904" s="20">
        <v>48213</v>
      </c>
    </row>
    <row r="1905" spans="1:1" x14ac:dyDescent="0.25">
      <c r="A1905" s="20">
        <v>48215</v>
      </c>
    </row>
    <row r="1906" spans="1:1" x14ac:dyDescent="0.25">
      <c r="A1906" s="20">
        <v>48217</v>
      </c>
    </row>
    <row r="1907" spans="1:1" x14ac:dyDescent="0.25">
      <c r="A1907" s="20">
        <v>48219</v>
      </c>
    </row>
    <row r="1908" spans="1:1" x14ac:dyDescent="0.25">
      <c r="A1908" s="20">
        <v>48221</v>
      </c>
    </row>
    <row r="1909" spans="1:1" x14ac:dyDescent="0.25">
      <c r="A1909" s="20">
        <v>48223</v>
      </c>
    </row>
    <row r="1910" spans="1:1" x14ac:dyDescent="0.25">
      <c r="A1910" s="20">
        <v>48225</v>
      </c>
    </row>
    <row r="1911" spans="1:1" x14ac:dyDescent="0.25">
      <c r="A1911" s="20">
        <v>48227</v>
      </c>
    </row>
    <row r="1912" spans="1:1" x14ac:dyDescent="0.25">
      <c r="A1912" s="20">
        <v>48231</v>
      </c>
    </row>
    <row r="1913" spans="1:1" x14ac:dyDescent="0.25">
      <c r="A1913" s="20">
        <v>48233</v>
      </c>
    </row>
    <row r="1914" spans="1:1" x14ac:dyDescent="0.25">
      <c r="A1914" s="20">
        <v>48237</v>
      </c>
    </row>
    <row r="1915" spans="1:1" x14ac:dyDescent="0.25">
      <c r="A1915" s="20">
        <v>48239</v>
      </c>
    </row>
    <row r="1916" spans="1:1" x14ac:dyDescent="0.25">
      <c r="A1916" s="20">
        <v>48241</v>
      </c>
    </row>
    <row r="1917" spans="1:1" x14ac:dyDescent="0.25">
      <c r="A1917" s="20">
        <v>48245</v>
      </c>
    </row>
    <row r="1918" spans="1:1" x14ac:dyDescent="0.25">
      <c r="A1918" s="20">
        <v>48249</v>
      </c>
    </row>
    <row r="1919" spans="1:1" x14ac:dyDescent="0.25">
      <c r="A1919" s="20">
        <v>48251</v>
      </c>
    </row>
    <row r="1920" spans="1:1" x14ac:dyDescent="0.25">
      <c r="A1920" s="20">
        <v>48253</v>
      </c>
    </row>
    <row r="1921" spans="1:1" x14ac:dyDescent="0.25">
      <c r="A1921" s="20">
        <v>48255</v>
      </c>
    </row>
    <row r="1922" spans="1:1" x14ac:dyDescent="0.25">
      <c r="A1922" s="20">
        <v>48257</v>
      </c>
    </row>
    <row r="1923" spans="1:1" x14ac:dyDescent="0.25">
      <c r="A1923" s="20">
        <v>48265</v>
      </c>
    </row>
    <row r="1924" spans="1:1" x14ac:dyDescent="0.25">
      <c r="A1924" s="20">
        <v>48267</v>
      </c>
    </row>
    <row r="1925" spans="1:1" x14ac:dyDescent="0.25">
      <c r="A1925" s="20">
        <v>48273</v>
      </c>
    </row>
    <row r="1926" spans="1:1" x14ac:dyDescent="0.25">
      <c r="A1926" s="20">
        <v>48275</v>
      </c>
    </row>
    <row r="1927" spans="1:1" x14ac:dyDescent="0.25">
      <c r="A1927" s="20">
        <v>48277</v>
      </c>
    </row>
    <row r="1928" spans="1:1" x14ac:dyDescent="0.25">
      <c r="A1928" s="20">
        <v>48279</v>
      </c>
    </row>
    <row r="1929" spans="1:1" x14ac:dyDescent="0.25">
      <c r="A1929" s="20">
        <v>48281</v>
      </c>
    </row>
    <row r="1930" spans="1:1" x14ac:dyDescent="0.25">
      <c r="A1930" s="20">
        <v>48285</v>
      </c>
    </row>
    <row r="1931" spans="1:1" x14ac:dyDescent="0.25">
      <c r="A1931" s="20">
        <v>48291</v>
      </c>
    </row>
    <row r="1932" spans="1:1" x14ac:dyDescent="0.25">
      <c r="A1932" s="20">
        <v>48293</v>
      </c>
    </row>
    <row r="1933" spans="1:1" x14ac:dyDescent="0.25">
      <c r="A1933" s="20">
        <v>48299</v>
      </c>
    </row>
    <row r="1934" spans="1:1" x14ac:dyDescent="0.25">
      <c r="A1934" s="20">
        <v>48303</v>
      </c>
    </row>
    <row r="1935" spans="1:1" x14ac:dyDescent="0.25">
      <c r="A1935" s="20">
        <v>48305</v>
      </c>
    </row>
    <row r="1936" spans="1:1" x14ac:dyDescent="0.25">
      <c r="A1936" s="20">
        <v>48307</v>
      </c>
    </row>
    <row r="1937" spans="1:1" x14ac:dyDescent="0.25">
      <c r="A1937" s="20">
        <v>48309</v>
      </c>
    </row>
    <row r="1938" spans="1:1" x14ac:dyDescent="0.25">
      <c r="A1938" s="20">
        <v>48313</v>
      </c>
    </row>
    <row r="1939" spans="1:1" x14ac:dyDescent="0.25">
      <c r="A1939" s="20">
        <v>48317</v>
      </c>
    </row>
    <row r="1940" spans="1:1" x14ac:dyDescent="0.25">
      <c r="A1940" s="20">
        <v>48321</v>
      </c>
    </row>
    <row r="1941" spans="1:1" x14ac:dyDescent="0.25">
      <c r="A1941" s="20">
        <v>48323</v>
      </c>
    </row>
    <row r="1942" spans="1:1" x14ac:dyDescent="0.25">
      <c r="A1942" s="20">
        <v>48325</v>
      </c>
    </row>
    <row r="1943" spans="1:1" x14ac:dyDescent="0.25">
      <c r="A1943" s="20">
        <v>48329</v>
      </c>
    </row>
    <row r="1944" spans="1:1" x14ac:dyDescent="0.25">
      <c r="A1944" s="20">
        <v>48331</v>
      </c>
    </row>
    <row r="1945" spans="1:1" x14ac:dyDescent="0.25">
      <c r="A1945" s="20">
        <v>48335</v>
      </c>
    </row>
    <row r="1946" spans="1:1" x14ac:dyDescent="0.25">
      <c r="A1946" s="20">
        <v>48337</v>
      </c>
    </row>
    <row r="1947" spans="1:1" x14ac:dyDescent="0.25">
      <c r="A1947" s="20">
        <v>48339</v>
      </c>
    </row>
    <row r="1948" spans="1:1" x14ac:dyDescent="0.25">
      <c r="A1948" s="20">
        <v>48341</v>
      </c>
    </row>
    <row r="1949" spans="1:1" x14ac:dyDescent="0.25">
      <c r="A1949" s="20">
        <v>48347</v>
      </c>
    </row>
    <row r="1950" spans="1:1" x14ac:dyDescent="0.25">
      <c r="A1950" s="20">
        <v>48349</v>
      </c>
    </row>
    <row r="1951" spans="1:1" x14ac:dyDescent="0.25">
      <c r="A1951" s="20">
        <v>48353</v>
      </c>
    </row>
    <row r="1952" spans="1:1" x14ac:dyDescent="0.25">
      <c r="A1952" s="20">
        <v>48355</v>
      </c>
    </row>
    <row r="1953" spans="1:1" x14ac:dyDescent="0.25">
      <c r="A1953" s="20">
        <v>48357</v>
      </c>
    </row>
    <row r="1954" spans="1:1" x14ac:dyDescent="0.25">
      <c r="A1954" s="20">
        <v>48361</v>
      </c>
    </row>
    <row r="1955" spans="1:1" x14ac:dyDescent="0.25">
      <c r="A1955" s="20">
        <v>48363</v>
      </c>
    </row>
    <row r="1956" spans="1:1" x14ac:dyDescent="0.25">
      <c r="A1956" s="20">
        <v>48365</v>
      </c>
    </row>
    <row r="1957" spans="1:1" x14ac:dyDescent="0.25">
      <c r="A1957" s="20">
        <v>48367</v>
      </c>
    </row>
    <row r="1958" spans="1:1" x14ac:dyDescent="0.25">
      <c r="A1958" s="20">
        <v>48369</v>
      </c>
    </row>
    <row r="1959" spans="1:1" x14ac:dyDescent="0.25">
      <c r="A1959" s="20">
        <v>48371</v>
      </c>
    </row>
    <row r="1960" spans="1:1" x14ac:dyDescent="0.25">
      <c r="A1960" s="20">
        <v>48373</v>
      </c>
    </row>
    <row r="1961" spans="1:1" x14ac:dyDescent="0.25">
      <c r="A1961" s="20">
        <v>48375</v>
      </c>
    </row>
    <row r="1962" spans="1:1" x14ac:dyDescent="0.25">
      <c r="A1962" s="20">
        <v>48381</v>
      </c>
    </row>
    <row r="1963" spans="1:1" x14ac:dyDescent="0.25">
      <c r="A1963" s="20">
        <v>48383</v>
      </c>
    </row>
    <row r="1964" spans="1:1" x14ac:dyDescent="0.25">
      <c r="A1964" s="20">
        <v>48387</v>
      </c>
    </row>
    <row r="1965" spans="1:1" x14ac:dyDescent="0.25">
      <c r="A1965" s="20">
        <v>48389</v>
      </c>
    </row>
    <row r="1966" spans="1:1" x14ac:dyDescent="0.25">
      <c r="A1966" s="20">
        <v>48391</v>
      </c>
    </row>
    <row r="1967" spans="1:1" x14ac:dyDescent="0.25">
      <c r="A1967" s="20">
        <v>48397</v>
      </c>
    </row>
    <row r="1968" spans="1:1" x14ac:dyDescent="0.25">
      <c r="A1968" s="20">
        <v>48399</v>
      </c>
    </row>
    <row r="1969" spans="1:1" x14ac:dyDescent="0.25">
      <c r="A1969" s="20">
        <v>48401</v>
      </c>
    </row>
    <row r="1970" spans="1:1" x14ac:dyDescent="0.25">
      <c r="A1970" s="20">
        <v>48403</v>
      </c>
    </row>
    <row r="1971" spans="1:1" x14ac:dyDescent="0.25">
      <c r="A1971" s="20">
        <v>48405</v>
      </c>
    </row>
    <row r="1972" spans="1:1" x14ac:dyDescent="0.25">
      <c r="A1972" s="20">
        <v>48409</v>
      </c>
    </row>
    <row r="1973" spans="1:1" x14ac:dyDescent="0.25">
      <c r="A1973" s="20">
        <v>48413</v>
      </c>
    </row>
    <row r="1974" spans="1:1" x14ac:dyDescent="0.25">
      <c r="A1974" s="20">
        <v>48415</v>
      </c>
    </row>
    <row r="1975" spans="1:1" x14ac:dyDescent="0.25">
      <c r="A1975" s="20">
        <v>48419</v>
      </c>
    </row>
    <row r="1976" spans="1:1" x14ac:dyDescent="0.25">
      <c r="A1976" s="20">
        <v>48423</v>
      </c>
    </row>
    <row r="1977" spans="1:1" x14ac:dyDescent="0.25">
      <c r="A1977" s="20">
        <v>48425</v>
      </c>
    </row>
    <row r="1978" spans="1:1" x14ac:dyDescent="0.25">
      <c r="A1978" s="20">
        <v>48427</v>
      </c>
    </row>
    <row r="1979" spans="1:1" x14ac:dyDescent="0.25">
      <c r="A1979" s="20">
        <v>48429</v>
      </c>
    </row>
    <row r="1980" spans="1:1" x14ac:dyDescent="0.25">
      <c r="A1980" s="20">
        <v>48433</v>
      </c>
    </row>
    <row r="1981" spans="1:1" x14ac:dyDescent="0.25">
      <c r="A1981" s="20">
        <v>48435</v>
      </c>
    </row>
    <row r="1982" spans="1:1" x14ac:dyDescent="0.25">
      <c r="A1982" s="20">
        <v>48437</v>
      </c>
    </row>
    <row r="1983" spans="1:1" x14ac:dyDescent="0.25">
      <c r="A1983" s="20">
        <v>48439</v>
      </c>
    </row>
    <row r="1984" spans="1:1" x14ac:dyDescent="0.25">
      <c r="A1984" s="20">
        <v>48441</v>
      </c>
    </row>
    <row r="1985" spans="1:1" x14ac:dyDescent="0.25">
      <c r="A1985" s="20">
        <v>48445</v>
      </c>
    </row>
    <row r="1986" spans="1:1" x14ac:dyDescent="0.25">
      <c r="A1986" s="20">
        <v>48447</v>
      </c>
    </row>
    <row r="1987" spans="1:1" x14ac:dyDescent="0.25">
      <c r="A1987" s="20">
        <v>48449</v>
      </c>
    </row>
    <row r="1988" spans="1:1" x14ac:dyDescent="0.25">
      <c r="A1988" s="20">
        <v>48451</v>
      </c>
    </row>
    <row r="1989" spans="1:1" x14ac:dyDescent="0.25">
      <c r="A1989" s="20">
        <v>48453</v>
      </c>
    </row>
    <row r="1990" spans="1:1" x14ac:dyDescent="0.25">
      <c r="A1990" s="20">
        <v>48455</v>
      </c>
    </row>
    <row r="1991" spans="1:1" x14ac:dyDescent="0.25">
      <c r="A1991" s="20">
        <v>48457</v>
      </c>
    </row>
    <row r="1992" spans="1:1" x14ac:dyDescent="0.25">
      <c r="A1992" s="20">
        <v>48459</v>
      </c>
    </row>
    <row r="1993" spans="1:1" x14ac:dyDescent="0.25">
      <c r="A1993" s="20">
        <v>48461</v>
      </c>
    </row>
    <row r="1994" spans="1:1" x14ac:dyDescent="0.25">
      <c r="A1994" s="20">
        <v>48463</v>
      </c>
    </row>
    <row r="1995" spans="1:1" x14ac:dyDescent="0.25">
      <c r="A1995" s="20">
        <v>48465</v>
      </c>
    </row>
    <row r="1996" spans="1:1" x14ac:dyDescent="0.25">
      <c r="A1996" s="20">
        <v>48467</v>
      </c>
    </row>
    <row r="1997" spans="1:1" x14ac:dyDescent="0.25">
      <c r="A1997" s="20">
        <v>48469</v>
      </c>
    </row>
    <row r="1998" spans="1:1" x14ac:dyDescent="0.25">
      <c r="A1998" s="20">
        <v>48471</v>
      </c>
    </row>
    <row r="1999" spans="1:1" x14ac:dyDescent="0.25">
      <c r="A1999" s="20">
        <v>48475</v>
      </c>
    </row>
    <row r="2000" spans="1:1" x14ac:dyDescent="0.25">
      <c r="A2000" s="20">
        <v>48477</v>
      </c>
    </row>
    <row r="2001" spans="1:1" x14ac:dyDescent="0.25">
      <c r="A2001" s="20">
        <v>48479</v>
      </c>
    </row>
    <row r="2002" spans="1:1" x14ac:dyDescent="0.25">
      <c r="A2002" s="20">
        <v>48481</v>
      </c>
    </row>
    <row r="2003" spans="1:1" x14ac:dyDescent="0.25">
      <c r="A2003" s="20">
        <v>48483</v>
      </c>
    </row>
    <row r="2004" spans="1:1" x14ac:dyDescent="0.25">
      <c r="A2004" s="20">
        <v>48485</v>
      </c>
    </row>
    <row r="2005" spans="1:1" x14ac:dyDescent="0.25">
      <c r="A2005" s="20">
        <v>48487</v>
      </c>
    </row>
    <row r="2006" spans="1:1" x14ac:dyDescent="0.25">
      <c r="A2006" s="20">
        <v>48491</v>
      </c>
    </row>
    <row r="2007" spans="1:1" x14ac:dyDescent="0.25">
      <c r="A2007" s="20">
        <v>48493</v>
      </c>
    </row>
    <row r="2008" spans="1:1" x14ac:dyDescent="0.25">
      <c r="A2008" s="20">
        <v>48495</v>
      </c>
    </row>
    <row r="2009" spans="1:1" x14ac:dyDescent="0.25">
      <c r="A2009" s="20">
        <v>48497</v>
      </c>
    </row>
    <row r="2010" spans="1:1" x14ac:dyDescent="0.25">
      <c r="A2010" s="20">
        <v>48499</v>
      </c>
    </row>
    <row r="2011" spans="1:1" x14ac:dyDescent="0.25">
      <c r="A2011" s="20">
        <v>48501</v>
      </c>
    </row>
    <row r="2012" spans="1:1" x14ac:dyDescent="0.25">
      <c r="A2012" s="20">
        <v>48503</v>
      </c>
    </row>
    <row r="2013" spans="1:1" x14ac:dyDescent="0.25">
      <c r="A2013" s="20">
        <v>49001</v>
      </c>
    </row>
    <row r="2014" spans="1:1" x14ac:dyDescent="0.25">
      <c r="A2014" s="20">
        <v>49003</v>
      </c>
    </row>
    <row r="2015" spans="1:1" x14ac:dyDescent="0.25">
      <c r="A2015" s="20">
        <v>49005</v>
      </c>
    </row>
    <row r="2016" spans="1:1" x14ac:dyDescent="0.25">
      <c r="A2016" s="20">
        <v>49007</v>
      </c>
    </row>
    <row r="2017" spans="1:1" x14ac:dyDescent="0.25">
      <c r="A2017" s="20">
        <v>49011</v>
      </c>
    </row>
    <row r="2018" spans="1:1" x14ac:dyDescent="0.25">
      <c r="A2018" s="20">
        <v>49013</v>
      </c>
    </row>
    <row r="2019" spans="1:1" x14ac:dyDescent="0.25">
      <c r="A2019" s="20">
        <v>49017</v>
      </c>
    </row>
    <row r="2020" spans="1:1" x14ac:dyDescent="0.25">
      <c r="A2020" s="20">
        <v>49019</v>
      </c>
    </row>
    <row r="2021" spans="1:1" x14ac:dyDescent="0.25">
      <c r="A2021" s="20">
        <v>49021</v>
      </c>
    </row>
    <row r="2022" spans="1:1" x14ac:dyDescent="0.25">
      <c r="A2022" s="20">
        <v>49023</v>
      </c>
    </row>
    <row r="2023" spans="1:1" x14ac:dyDescent="0.25">
      <c r="A2023" s="20">
        <v>49025</v>
      </c>
    </row>
    <row r="2024" spans="1:1" x14ac:dyDescent="0.25">
      <c r="A2024" s="20">
        <v>49027</v>
      </c>
    </row>
    <row r="2025" spans="1:1" x14ac:dyDescent="0.25">
      <c r="A2025" s="20">
        <v>49035</v>
      </c>
    </row>
    <row r="2026" spans="1:1" x14ac:dyDescent="0.25">
      <c r="A2026" s="20">
        <v>49037</v>
      </c>
    </row>
    <row r="2027" spans="1:1" x14ac:dyDescent="0.25">
      <c r="A2027" s="20">
        <v>49039</v>
      </c>
    </row>
    <row r="2028" spans="1:1" x14ac:dyDescent="0.25">
      <c r="A2028" s="20">
        <v>49041</v>
      </c>
    </row>
    <row r="2029" spans="1:1" x14ac:dyDescent="0.25">
      <c r="A2029" s="20">
        <v>49043</v>
      </c>
    </row>
    <row r="2030" spans="1:1" x14ac:dyDescent="0.25">
      <c r="A2030" s="20">
        <v>49045</v>
      </c>
    </row>
    <row r="2031" spans="1:1" x14ac:dyDescent="0.25">
      <c r="A2031" s="20">
        <v>49047</v>
      </c>
    </row>
    <row r="2032" spans="1:1" x14ac:dyDescent="0.25">
      <c r="A2032" s="20">
        <v>49049</v>
      </c>
    </row>
    <row r="2033" spans="1:1" x14ac:dyDescent="0.25">
      <c r="A2033" s="20">
        <v>49051</v>
      </c>
    </row>
    <row r="2034" spans="1:1" x14ac:dyDescent="0.25">
      <c r="A2034" s="20">
        <v>49053</v>
      </c>
    </row>
    <row r="2035" spans="1:1" x14ac:dyDescent="0.25">
      <c r="A2035" s="20">
        <v>49057</v>
      </c>
    </row>
    <row r="2036" spans="1:1" x14ac:dyDescent="0.25">
      <c r="A2036" s="20">
        <v>50001</v>
      </c>
    </row>
    <row r="2037" spans="1:1" x14ac:dyDescent="0.25">
      <c r="A2037" s="20">
        <v>50003</v>
      </c>
    </row>
    <row r="2038" spans="1:1" x14ac:dyDescent="0.25">
      <c r="A2038" s="20">
        <v>50005</v>
      </c>
    </row>
    <row r="2039" spans="1:1" x14ac:dyDescent="0.25">
      <c r="A2039" s="20">
        <v>50007</v>
      </c>
    </row>
    <row r="2040" spans="1:1" x14ac:dyDescent="0.25">
      <c r="A2040" s="20">
        <v>50011</v>
      </c>
    </row>
    <row r="2041" spans="1:1" x14ac:dyDescent="0.25">
      <c r="A2041" s="20">
        <v>50015</v>
      </c>
    </row>
    <row r="2042" spans="1:1" x14ac:dyDescent="0.25">
      <c r="A2042" s="20">
        <v>50017</v>
      </c>
    </row>
    <row r="2043" spans="1:1" x14ac:dyDescent="0.25">
      <c r="A2043" s="20">
        <v>50019</v>
      </c>
    </row>
    <row r="2044" spans="1:1" x14ac:dyDescent="0.25">
      <c r="A2044" s="20">
        <v>50021</v>
      </c>
    </row>
    <row r="2045" spans="1:1" x14ac:dyDescent="0.25">
      <c r="A2045" s="20">
        <v>50023</v>
      </c>
    </row>
    <row r="2046" spans="1:1" x14ac:dyDescent="0.25">
      <c r="A2046" s="20">
        <v>50025</v>
      </c>
    </row>
    <row r="2047" spans="1:1" x14ac:dyDescent="0.25">
      <c r="A2047" s="20">
        <v>50027</v>
      </c>
    </row>
    <row r="2048" spans="1:1" x14ac:dyDescent="0.25">
      <c r="A2048" s="20">
        <v>51001</v>
      </c>
    </row>
    <row r="2049" spans="1:1" x14ac:dyDescent="0.25">
      <c r="A2049" s="20">
        <v>51003</v>
      </c>
    </row>
    <row r="2050" spans="1:1" x14ac:dyDescent="0.25">
      <c r="A2050" s="20">
        <v>51005</v>
      </c>
    </row>
    <row r="2051" spans="1:1" x14ac:dyDescent="0.25">
      <c r="A2051" s="20">
        <v>51009</v>
      </c>
    </row>
    <row r="2052" spans="1:1" x14ac:dyDescent="0.25">
      <c r="A2052" s="20">
        <v>51013</v>
      </c>
    </row>
    <row r="2053" spans="1:1" x14ac:dyDescent="0.25">
      <c r="A2053" s="20">
        <v>51015</v>
      </c>
    </row>
    <row r="2054" spans="1:1" x14ac:dyDescent="0.25">
      <c r="A2054" s="20">
        <v>51017</v>
      </c>
    </row>
    <row r="2055" spans="1:1" x14ac:dyDescent="0.25">
      <c r="A2055" s="20">
        <v>51019</v>
      </c>
    </row>
    <row r="2056" spans="1:1" x14ac:dyDescent="0.25">
      <c r="A2056" s="20">
        <v>51027</v>
      </c>
    </row>
    <row r="2057" spans="1:1" x14ac:dyDescent="0.25">
      <c r="A2057" s="20">
        <v>51041</v>
      </c>
    </row>
    <row r="2058" spans="1:1" x14ac:dyDescent="0.25">
      <c r="A2058" s="20">
        <v>51047</v>
      </c>
    </row>
    <row r="2059" spans="1:1" x14ac:dyDescent="0.25">
      <c r="A2059" s="20">
        <v>51051</v>
      </c>
    </row>
    <row r="2060" spans="1:1" x14ac:dyDescent="0.25">
      <c r="A2060" s="20">
        <v>51057</v>
      </c>
    </row>
    <row r="2061" spans="1:1" x14ac:dyDescent="0.25">
      <c r="A2061" s="20">
        <v>51059</v>
      </c>
    </row>
    <row r="2062" spans="1:1" x14ac:dyDescent="0.25">
      <c r="A2062" s="20">
        <v>51061</v>
      </c>
    </row>
    <row r="2063" spans="1:1" x14ac:dyDescent="0.25">
      <c r="A2063" s="20">
        <v>51067</v>
      </c>
    </row>
    <row r="2064" spans="1:1" x14ac:dyDescent="0.25">
      <c r="A2064" s="20">
        <v>51071</v>
      </c>
    </row>
    <row r="2065" spans="1:1" x14ac:dyDescent="0.25">
      <c r="A2065" s="20">
        <v>51073</v>
      </c>
    </row>
    <row r="2066" spans="1:1" x14ac:dyDescent="0.25">
      <c r="A2066" s="20">
        <v>51083</v>
      </c>
    </row>
    <row r="2067" spans="1:1" x14ac:dyDescent="0.25">
      <c r="A2067" s="20">
        <v>51085</v>
      </c>
    </row>
    <row r="2068" spans="1:1" x14ac:dyDescent="0.25">
      <c r="A2068" s="20">
        <v>51087</v>
      </c>
    </row>
    <row r="2069" spans="1:1" x14ac:dyDescent="0.25">
      <c r="A2069" s="20">
        <v>51095</v>
      </c>
    </row>
    <row r="2070" spans="1:1" x14ac:dyDescent="0.25">
      <c r="A2070" s="20">
        <v>51103</v>
      </c>
    </row>
    <row r="2071" spans="1:1" x14ac:dyDescent="0.25">
      <c r="A2071" s="20">
        <v>51105</v>
      </c>
    </row>
    <row r="2072" spans="1:1" x14ac:dyDescent="0.25">
      <c r="A2072" s="20">
        <v>51107</v>
      </c>
    </row>
    <row r="2073" spans="1:1" x14ac:dyDescent="0.25">
      <c r="A2073" s="20">
        <v>51117</v>
      </c>
    </row>
    <row r="2074" spans="1:1" x14ac:dyDescent="0.25">
      <c r="A2074" s="20">
        <v>51121</v>
      </c>
    </row>
    <row r="2075" spans="1:1" x14ac:dyDescent="0.25">
      <c r="A2075" s="20">
        <v>51135</v>
      </c>
    </row>
    <row r="2076" spans="1:1" x14ac:dyDescent="0.25">
      <c r="A2076" s="20">
        <v>51139</v>
      </c>
    </row>
    <row r="2077" spans="1:1" x14ac:dyDescent="0.25">
      <c r="A2077" s="20">
        <v>51141</v>
      </c>
    </row>
    <row r="2078" spans="1:1" x14ac:dyDescent="0.25">
      <c r="A2078" s="20">
        <v>51147</v>
      </c>
    </row>
    <row r="2079" spans="1:1" x14ac:dyDescent="0.25">
      <c r="A2079" s="20">
        <v>51153</v>
      </c>
    </row>
    <row r="2080" spans="1:1" x14ac:dyDescent="0.25">
      <c r="A2080" s="20">
        <v>51155</v>
      </c>
    </row>
    <row r="2081" spans="1:1" x14ac:dyDescent="0.25">
      <c r="A2081" s="20">
        <v>51167</v>
      </c>
    </row>
    <row r="2082" spans="1:1" x14ac:dyDescent="0.25">
      <c r="A2082" s="20">
        <v>51171</v>
      </c>
    </row>
    <row r="2083" spans="1:1" x14ac:dyDescent="0.25">
      <c r="A2083" s="20">
        <v>51173</v>
      </c>
    </row>
    <row r="2084" spans="1:1" x14ac:dyDescent="0.25">
      <c r="A2084" s="20">
        <v>51177</v>
      </c>
    </row>
    <row r="2085" spans="1:1" x14ac:dyDescent="0.25">
      <c r="A2085" s="20">
        <v>51179</v>
      </c>
    </row>
    <row r="2086" spans="1:1" x14ac:dyDescent="0.25">
      <c r="A2086" s="20">
        <v>51185</v>
      </c>
    </row>
    <row r="2087" spans="1:1" x14ac:dyDescent="0.25">
      <c r="A2087" s="20">
        <v>51187</v>
      </c>
    </row>
    <row r="2088" spans="1:1" x14ac:dyDescent="0.25">
      <c r="A2088" s="20">
        <v>51191</v>
      </c>
    </row>
    <row r="2089" spans="1:1" x14ac:dyDescent="0.25">
      <c r="A2089" s="20">
        <v>51195</v>
      </c>
    </row>
    <row r="2090" spans="1:1" x14ac:dyDescent="0.25">
      <c r="A2090" s="20">
        <v>51197</v>
      </c>
    </row>
    <row r="2091" spans="1:1" x14ac:dyDescent="0.25">
      <c r="A2091" s="20">
        <v>51510</v>
      </c>
    </row>
    <row r="2092" spans="1:1" x14ac:dyDescent="0.25">
      <c r="A2092" s="20">
        <v>51540</v>
      </c>
    </row>
    <row r="2093" spans="1:1" x14ac:dyDescent="0.25">
      <c r="A2093" s="20">
        <v>51550</v>
      </c>
    </row>
    <row r="2094" spans="1:1" x14ac:dyDescent="0.25">
      <c r="A2094" s="20">
        <v>51590</v>
      </c>
    </row>
    <row r="2095" spans="1:1" x14ac:dyDescent="0.25">
      <c r="A2095" s="20">
        <v>51595</v>
      </c>
    </row>
    <row r="2096" spans="1:1" x14ac:dyDescent="0.25">
      <c r="A2096" s="20">
        <v>51620</v>
      </c>
    </row>
    <row r="2097" spans="1:1" x14ac:dyDescent="0.25">
      <c r="A2097" s="20">
        <v>51630</v>
      </c>
    </row>
    <row r="2098" spans="1:1" x14ac:dyDescent="0.25">
      <c r="A2098" s="20">
        <v>51640</v>
      </c>
    </row>
    <row r="2099" spans="1:1" x14ac:dyDescent="0.25">
      <c r="A2099" s="20">
        <v>51650</v>
      </c>
    </row>
    <row r="2100" spans="1:1" x14ac:dyDescent="0.25">
      <c r="A2100" s="20">
        <v>51660</v>
      </c>
    </row>
    <row r="2101" spans="1:1" x14ac:dyDescent="0.25">
      <c r="A2101" s="20">
        <v>51670</v>
      </c>
    </row>
    <row r="2102" spans="1:1" x14ac:dyDescent="0.25">
      <c r="A2102" s="20">
        <v>51678</v>
      </c>
    </row>
    <row r="2103" spans="1:1" x14ac:dyDescent="0.25">
      <c r="A2103" s="20">
        <v>51680</v>
      </c>
    </row>
    <row r="2104" spans="1:1" x14ac:dyDescent="0.25">
      <c r="A2104" s="20">
        <v>51683</v>
      </c>
    </row>
    <row r="2105" spans="1:1" x14ac:dyDescent="0.25">
      <c r="A2105" s="20">
        <v>51690</v>
      </c>
    </row>
    <row r="2106" spans="1:1" x14ac:dyDescent="0.25">
      <c r="A2106" s="20">
        <v>51700</v>
      </c>
    </row>
    <row r="2107" spans="1:1" x14ac:dyDescent="0.25">
      <c r="A2107" s="20">
        <v>51710</v>
      </c>
    </row>
    <row r="2108" spans="1:1" x14ac:dyDescent="0.25">
      <c r="A2108" s="20">
        <v>51720</v>
      </c>
    </row>
    <row r="2109" spans="1:1" x14ac:dyDescent="0.25">
      <c r="A2109" s="20">
        <v>51730</v>
      </c>
    </row>
    <row r="2110" spans="1:1" x14ac:dyDescent="0.25">
      <c r="A2110" s="20">
        <v>51740</v>
      </c>
    </row>
    <row r="2111" spans="1:1" x14ac:dyDescent="0.25">
      <c r="A2111" s="20">
        <v>51760</v>
      </c>
    </row>
    <row r="2112" spans="1:1" x14ac:dyDescent="0.25">
      <c r="A2112" s="20">
        <v>51770</v>
      </c>
    </row>
    <row r="2113" spans="1:1" x14ac:dyDescent="0.25">
      <c r="A2113" s="20">
        <v>51775</v>
      </c>
    </row>
    <row r="2114" spans="1:1" x14ac:dyDescent="0.25">
      <c r="A2114" s="20">
        <v>51800</v>
      </c>
    </row>
    <row r="2115" spans="1:1" x14ac:dyDescent="0.25">
      <c r="A2115" s="20">
        <v>51810</v>
      </c>
    </row>
    <row r="2116" spans="1:1" x14ac:dyDescent="0.25">
      <c r="A2116" s="20">
        <v>51840</v>
      </c>
    </row>
    <row r="2117" spans="1:1" x14ac:dyDescent="0.25">
      <c r="A2117" s="20">
        <v>53001</v>
      </c>
    </row>
    <row r="2118" spans="1:1" x14ac:dyDescent="0.25">
      <c r="A2118" s="20">
        <v>53003</v>
      </c>
    </row>
    <row r="2119" spans="1:1" x14ac:dyDescent="0.25">
      <c r="A2119" s="20">
        <v>53005</v>
      </c>
    </row>
    <row r="2120" spans="1:1" x14ac:dyDescent="0.25">
      <c r="A2120" s="20">
        <v>53007</v>
      </c>
    </row>
    <row r="2121" spans="1:1" x14ac:dyDescent="0.25">
      <c r="A2121" s="20">
        <v>53009</v>
      </c>
    </row>
    <row r="2122" spans="1:1" x14ac:dyDescent="0.25">
      <c r="A2122" s="20">
        <v>53011</v>
      </c>
    </row>
    <row r="2123" spans="1:1" x14ac:dyDescent="0.25">
      <c r="A2123" s="20">
        <v>53013</v>
      </c>
    </row>
    <row r="2124" spans="1:1" x14ac:dyDescent="0.25">
      <c r="A2124" s="20">
        <v>53015</v>
      </c>
    </row>
    <row r="2125" spans="1:1" x14ac:dyDescent="0.25">
      <c r="A2125" s="20">
        <v>53019</v>
      </c>
    </row>
    <row r="2126" spans="1:1" x14ac:dyDescent="0.25">
      <c r="A2126" s="20">
        <v>53021</v>
      </c>
    </row>
    <row r="2127" spans="1:1" x14ac:dyDescent="0.25">
      <c r="A2127" s="20">
        <v>53023</v>
      </c>
    </row>
    <row r="2128" spans="1:1" x14ac:dyDescent="0.25">
      <c r="A2128" s="20">
        <v>53025</v>
      </c>
    </row>
    <row r="2129" spans="1:1" x14ac:dyDescent="0.25">
      <c r="A2129" s="20">
        <v>53027</v>
      </c>
    </row>
    <row r="2130" spans="1:1" x14ac:dyDescent="0.25">
      <c r="A2130" s="20">
        <v>53029</v>
      </c>
    </row>
    <row r="2131" spans="1:1" x14ac:dyDescent="0.25">
      <c r="A2131" s="20">
        <v>53031</v>
      </c>
    </row>
    <row r="2132" spans="1:1" x14ac:dyDescent="0.25">
      <c r="A2132" s="20">
        <v>53033</v>
      </c>
    </row>
    <row r="2133" spans="1:1" x14ac:dyDescent="0.25">
      <c r="A2133" s="20">
        <v>53035</v>
      </c>
    </row>
    <row r="2134" spans="1:1" x14ac:dyDescent="0.25">
      <c r="A2134" s="20">
        <v>53037</v>
      </c>
    </row>
    <row r="2135" spans="1:1" x14ac:dyDescent="0.25">
      <c r="A2135" s="20">
        <v>53039</v>
      </c>
    </row>
    <row r="2136" spans="1:1" x14ac:dyDescent="0.25">
      <c r="A2136" s="20">
        <v>53041</v>
      </c>
    </row>
    <row r="2137" spans="1:1" x14ac:dyDescent="0.25">
      <c r="A2137" s="20">
        <v>53043</v>
      </c>
    </row>
    <row r="2138" spans="1:1" x14ac:dyDescent="0.25">
      <c r="A2138" s="20">
        <v>53045</v>
      </c>
    </row>
    <row r="2139" spans="1:1" x14ac:dyDescent="0.25">
      <c r="A2139" s="20">
        <v>53047</v>
      </c>
    </row>
    <row r="2140" spans="1:1" x14ac:dyDescent="0.25">
      <c r="A2140" s="20">
        <v>53049</v>
      </c>
    </row>
    <row r="2141" spans="1:1" x14ac:dyDescent="0.25">
      <c r="A2141" s="20">
        <v>53051</v>
      </c>
    </row>
    <row r="2142" spans="1:1" x14ac:dyDescent="0.25">
      <c r="A2142" s="20">
        <v>53053</v>
      </c>
    </row>
    <row r="2143" spans="1:1" x14ac:dyDescent="0.25">
      <c r="A2143" s="20">
        <v>53055</v>
      </c>
    </row>
    <row r="2144" spans="1:1" x14ac:dyDescent="0.25">
      <c r="A2144" s="20">
        <v>53057</v>
      </c>
    </row>
    <row r="2145" spans="1:1" x14ac:dyDescent="0.25">
      <c r="A2145" s="20">
        <v>53061</v>
      </c>
    </row>
    <row r="2146" spans="1:1" x14ac:dyDescent="0.25">
      <c r="A2146" s="20">
        <v>53063</v>
      </c>
    </row>
    <row r="2147" spans="1:1" x14ac:dyDescent="0.25">
      <c r="A2147" s="20">
        <v>53065</v>
      </c>
    </row>
    <row r="2148" spans="1:1" x14ac:dyDescent="0.25">
      <c r="A2148" s="20">
        <v>53067</v>
      </c>
    </row>
    <row r="2149" spans="1:1" x14ac:dyDescent="0.25">
      <c r="A2149" s="20">
        <v>53071</v>
      </c>
    </row>
    <row r="2150" spans="1:1" x14ac:dyDescent="0.25">
      <c r="A2150" s="20">
        <v>53073</v>
      </c>
    </row>
    <row r="2151" spans="1:1" x14ac:dyDescent="0.25">
      <c r="A2151" s="20">
        <v>53075</v>
      </c>
    </row>
    <row r="2152" spans="1:1" x14ac:dyDescent="0.25">
      <c r="A2152" s="20">
        <v>53077</v>
      </c>
    </row>
    <row r="2153" spans="1:1" x14ac:dyDescent="0.25">
      <c r="A2153" s="20">
        <v>54001</v>
      </c>
    </row>
    <row r="2154" spans="1:1" x14ac:dyDescent="0.25">
      <c r="A2154" s="20">
        <v>54003</v>
      </c>
    </row>
    <row r="2155" spans="1:1" x14ac:dyDescent="0.25">
      <c r="A2155" s="20">
        <v>54005</v>
      </c>
    </row>
    <row r="2156" spans="1:1" x14ac:dyDescent="0.25">
      <c r="A2156" s="20">
        <v>54007</v>
      </c>
    </row>
    <row r="2157" spans="1:1" x14ac:dyDescent="0.25">
      <c r="A2157" s="20">
        <v>54011</v>
      </c>
    </row>
    <row r="2158" spans="1:1" x14ac:dyDescent="0.25">
      <c r="A2158" s="20">
        <v>54013</v>
      </c>
    </row>
    <row r="2159" spans="1:1" x14ac:dyDescent="0.25">
      <c r="A2159" s="20">
        <v>54019</v>
      </c>
    </row>
    <row r="2160" spans="1:1" x14ac:dyDescent="0.25">
      <c r="A2160" s="20">
        <v>54023</v>
      </c>
    </row>
    <row r="2161" spans="1:1" x14ac:dyDescent="0.25">
      <c r="A2161" s="20">
        <v>54025</v>
      </c>
    </row>
    <row r="2162" spans="1:1" x14ac:dyDescent="0.25">
      <c r="A2162" s="20">
        <v>54027</v>
      </c>
    </row>
    <row r="2163" spans="1:1" x14ac:dyDescent="0.25">
      <c r="A2163" s="20">
        <v>54029</v>
      </c>
    </row>
    <row r="2164" spans="1:1" x14ac:dyDescent="0.25">
      <c r="A2164" s="20">
        <v>54033</v>
      </c>
    </row>
    <row r="2165" spans="1:1" x14ac:dyDescent="0.25">
      <c r="A2165" s="20">
        <v>54035</v>
      </c>
    </row>
    <row r="2166" spans="1:1" x14ac:dyDescent="0.25">
      <c r="A2166" s="20">
        <v>54037</v>
      </c>
    </row>
    <row r="2167" spans="1:1" x14ac:dyDescent="0.25">
      <c r="A2167" s="20">
        <v>54039</v>
      </c>
    </row>
    <row r="2168" spans="1:1" x14ac:dyDescent="0.25">
      <c r="A2168" s="20">
        <v>54041</v>
      </c>
    </row>
    <row r="2169" spans="1:1" x14ac:dyDescent="0.25">
      <c r="A2169" s="20">
        <v>54045</v>
      </c>
    </row>
    <row r="2170" spans="1:1" x14ac:dyDescent="0.25">
      <c r="A2170" s="20">
        <v>54047</v>
      </c>
    </row>
    <row r="2171" spans="1:1" x14ac:dyDescent="0.25">
      <c r="A2171" s="20">
        <v>54049</v>
      </c>
    </row>
    <row r="2172" spans="1:1" x14ac:dyDescent="0.25">
      <c r="A2172" s="20">
        <v>54051</v>
      </c>
    </row>
    <row r="2173" spans="1:1" x14ac:dyDescent="0.25">
      <c r="A2173" s="20">
        <v>54053</v>
      </c>
    </row>
    <row r="2174" spans="1:1" x14ac:dyDescent="0.25">
      <c r="A2174" s="20">
        <v>54055</v>
      </c>
    </row>
    <row r="2175" spans="1:1" x14ac:dyDescent="0.25">
      <c r="A2175" s="20">
        <v>54057</v>
      </c>
    </row>
    <row r="2176" spans="1:1" x14ac:dyDescent="0.25">
      <c r="A2176" s="20">
        <v>54059</v>
      </c>
    </row>
    <row r="2177" spans="1:1" x14ac:dyDescent="0.25">
      <c r="A2177" s="20">
        <v>54061</v>
      </c>
    </row>
    <row r="2178" spans="1:1" x14ac:dyDescent="0.25">
      <c r="A2178" s="20">
        <v>54065</v>
      </c>
    </row>
    <row r="2179" spans="1:1" x14ac:dyDescent="0.25">
      <c r="A2179" s="20">
        <v>54067</v>
      </c>
    </row>
    <row r="2180" spans="1:1" x14ac:dyDescent="0.25">
      <c r="A2180" s="20">
        <v>54069</v>
      </c>
    </row>
    <row r="2181" spans="1:1" x14ac:dyDescent="0.25">
      <c r="A2181" s="20">
        <v>54075</v>
      </c>
    </row>
    <row r="2182" spans="1:1" x14ac:dyDescent="0.25">
      <c r="A2182" s="20">
        <v>54077</v>
      </c>
    </row>
    <row r="2183" spans="1:1" x14ac:dyDescent="0.25">
      <c r="A2183" s="20">
        <v>54079</v>
      </c>
    </row>
    <row r="2184" spans="1:1" x14ac:dyDescent="0.25">
      <c r="A2184" s="20">
        <v>54081</v>
      </c>
    </row>
    <row r="2185" spans="1:1" x14ac:dyDescent="0.25">
      <c r="A2185" s="20">
        <v>54083</v>
      </c>
    </row>
    <row r="2186" spans="1:1" x14ac:dyDescent="0.25">
      <c r="A2186" s="20">
        <v>54087</v>
      </c>
    </row>
    <row r="2187" spans="1:1" x14ac:dyDescent="0.25">
      <c r="A2187" s="20">
        <v>54089</v>
      </c>
    </row>
    <row r="2188" spans="1:1" x14ac:dyDescent="0.25">
      <c r="A2188" s="20">
        <v>54091</v>
      </c>
    </row>
    <row r="2189" spans="1:1" x14ac:dyDescent="0.25">
      <c r="A2189" s="20">
        <v>54095</v>
      </c>
    </row>
    <row r="2190" spans="1:1" x14ac:dyDescent="0.25">
      <c r="A2190" s="20">
        <v>54097</v>
      </c>
    </row>
    <row r="2191" spans="1:1" x14ac:dyDescent="0.25">
      <c r="A2191" s="20">
        <v>54101</v>
      </c>
    </row>
    <row r="2192" spans="1:1" x14ac:dyDescent="0.25">
      <c r="A2192" s="20">
        <v>54103</v>
      </c>
    </row>
    <row r="2193" spans="1:1" x14ac:dyDescent="0.25">
      <c r="A2193" s="20">
        <v>54107</v>
      </c>
    </row>
    <row r="2194" spans="1:1" x14ac:dyDescent="0.25">
      <c r="A2194" s="20">
        <v>55001</v>
      </c>
    </row>
    <row r="2195" spans="1:1" x14ac:dyDescent="0.25">
      <c r="A2195" s="20">
        <v>55003</v>
      </c>
    </row>
    <row r="2196" spans="1:1" x14ac:dyDescent="0.25">
      <c r="A2196" s="20">
        <v>55005</v>
      </c>
    </row>
    <row r="2197" spans="1:1" x14ac:dyDescent="0.25">
      <c r="A2197" s="20">
        <v>55009</v>
      </c>
    </row>
    <row r="2198" spans="1:1" x14ac:dyDescent="0.25">
      <c r="A2198" s="20">
        <v>55013</v>
      </c>
    </row>
    <row r="2199" spans="1:1" x14ac:dyDescent="0.25">
      <c r="A2199" s="20">
        <v>55015</v>
      </c>
    </row>
    <row r="2200" spans="1:1" x14ac:dyDescent="0.25">
      <c r="A2200" s="20">
        <v>55017</v>
      </c>
    </row>
    <row r="2201" spans="1:1" x14ac:dyDescent="0.25">
      <c r="A2201" s="20">
        <v>55019</v>
      </c>
    </row>
    <row r="2202" spans="1:1" x14ac:dyDescent="0.25">
      <c r="A2202" s="20">
        <v>55021</v>
      </c>
    </row>
    <row r="2203" spans="1:1" x14ac:dyDescent="0.25">
      <c r="A2203" s="20">
        <v>55023</v>
      </c>
    </row>
    <row r="2204" spans="1:1" x14ac:dyDescent="0.25">
      <c r="A2204" s="20">
        <v>55025</v>
      </c>
    </row>
    <row r="2205" spans="1:1" x14ac:dyDescent="0.25">
      <c r="A2205" s="20">
        <v>55027</v>
      </c>
    </row>
    <row r="2206" spans="1:1" x14ac:dyDescent="0.25">
      <c r="A2206" s="20">
        <v>55029</v>
      </c>
    </row>
    <row r="2207" spans="1:1" x14ac:dyDescent="0.25">
      <c r="A2207" s="20">
        <v>55031</v>
      </c>
    </row>
    <row r="2208" spans="1:1" x14ac:dyDescent="0.25">
      <c r="A2208" s="20">
        <v>55033</v>
      </c>
    </row>
    <row r="2209" spans="1:1" x14ac:dyDescent="0.25">
      <c r="A2209" s="20">
        <v>55035</v>
      </c>
    </row>
    <row r="2210" spans="1:1" x14ac:dyDescent="0.25">
      <c r="A2210" s="20">
        <v>55039</v>
      </c>
    </row>
    <row r="2211" spans="1:1" x14ac:dyDescent="0.25">
      <c r="A2211" s="20">
        <v>55043</v>
      </c>
    </row>
    <row r="2212" spans="1:1" x14ac:dyDescent="0.25">
      <c r="A2212" s="20">
        <v>55045</v>
      </c>
    </row>
    <row r="2213" spans="1:1" x14ac:dyDescent="0.25">
      <c r="A2213" s="20">
        <v>55047</v>
      </c>
    </row>
    <row r="2214" spans="1:1" x14ac:dyDescent="0.25">
      <c r="A2214" s="20">
        <v>55049</v>
      </c>
    </row>
    <row r="2215" spans="1:1" x14ac:dyDescent="0.25">
      <c r="A2215" s="20">
        <v>55053</v>
      </c>
    </row>
    <row r="2216" spans="1:1" x14ac:dyDescent="0.25">
      <c r="A2216" s="20">
        <v>55055</v>
      </c>
    </row>
    <row r="2217" spans="1:1" x14ac:dyDescent="0.25">
      <c r="A2217" s="20">
        <v>55057</v>
      </c>
    </row>
    <row r="2218" spans="1:1" x14ac:dyDescent="0.25">
      <c r="A2218" s="20">
        <v>55059</v>
      </c>
    </row>
    <row r="2219" spans="1:1" x14ac:dyDescent="0.25">
      <c r="A2219" s="20">
        <v>55063</v>
      </c>
    </row>
    <row r="2220" spans="1:1" x14ac:dyDescent="0.25">
      <c r="A2220" s="20">
        <v>55065</v>
      </c>
    </row>
    <row r="2221" spans="1:1" x14ac:dyDescent="0.25">
      <c r="A2221" s="20">
        <v>55067</v>
      </c>
    </row>
    <row r="2222" spans="1:1" x14ac:dyDescent="0.25">
      <c r="A2222" s="20">
        <v>55069</v>
      </c>
    </row>
    <row r="2223" spans="1:1" x14ac:dyDescent="0.25">
      <c r="A2223" s="20">
        <v>55071</v>
      </c>
    </row>
    <row r="2224" spans="1:1" x14ac:dyDescent="0.25">
      <c r="A2224" s="20">
        <v>55073</v>
      </c>
    </row>
    <row r="2225" spans="1:1" x14ac:dyDescent="0.25">
      <c r="A2225" s="20">
        <v>55075</v>
      </c>
    </row>
    <row r="2226" spans="1:1" x14ac:dyDescent="0.25">
      <c r="A2226" s="20">
        <v>55079</v>
      </c>
    </row>
    <row r="2227" spans="1:1" x14ac:dyDescent="0.25">
      <c r="A2227" s="20">
        <v>55081</v>
      </c>
    </row>
    <row r="2228" spans="1:1" x14ac:dyDescent="0.25">
      <c r="A2228" s="20">
        <v>55083</v>
      </c>
    </row>
    <row r="2229" spans="1:1" x14ac:dyDescent="0.25">
      <c r="A2229" s="20">
        <v>55085</v>
      </c>
    </row>
    <row r="2230" spans="1:1" x14ac:dyDescent="0.25">
      <c r="A2230" s="20">
        <v>55087</v>
      </c>
    </row>
    <row r="2231" spans="1:1" x14ac:dyDescent="0.25">
      <c r="A2231" s="20">
        <v>55089</v>
      </c>
    </row>
    <row r="2232" spans="1:1" x14ac:dyDescent="0.25">
      <c r="A2232" s="20">
        <v>55091</v>
      </c>
    </row>
    <row r="2233" spans="1:1" x14ac:dyDescent="0.25">
      <c r="A2233" s="20">
        <v>55093</v>
      </c>
    </row>
    <row r="2234" spans="1:1" x14ac:dyDescent="0.25">
      <c r="A2234" s="20">
        <v>55095</v>
      </c>
    </row>
    <row r="2235" spans="1:1" x14ac:dyDescent="0.25">
      <c r="A2235" s="20">
        <v>55097</v>
      </c>
    </row>
    <row r="2236" spans="1:1" x14ac:dyDescent="0.25">
      <c r="A2236" s="20">
        <v>55099</v>
      </c>
    </row>
    <row r="2237" spans="1:1" x14ac:dyDescent="0.25">
      <c r="A2237" s="20">
        <v>55101</v>
      </c>
    </row>
    <row r="2238" spans="1:1" x14ac:dyDescent="0.25">
      <c r="A2238" s="20">
        <v>55103</v>
      </c>
    </row>
    <row r="2239" spans="1:1" x14ac:dyDescent="0.25">
      <c r="A2239" s="20">
        <v>55105</v>
      </c>
    </row>
    <row r="2240" spans="1:1" x14ac:dyDescent="0.25">
      <c r="A2240" s="20">
        <v>55107</v>
      </c>
    </row>
    <row r="2241" spans="1:1" x14ac:dyDescent="0.25">
      <c r="A2241" s="20">
        <v>55109</v>
      </c>
    </row>
    <row r="2242" spans="1:1" x14ac:dyDescent="0.25">
      <c r="A2242" s="20">
        <v>55111</v>
      </c>
    </row>
    <row r="2243" spans="1:1" x14ac:dyDescent="0.25">
      <c r="A2243" s="20">
        <v>55113</v>
      </c>
    </row>
    <row r="2244" spans="1:1" x14ac:dyDescent="0.25">
      <c r="A2244" s="20">
        <v>55115</v>
      </c>
    </row>
    <row r="2245" spans="1:1" x14ac:dyDescent="0.25">
      <c r="A2245" s="20">
        <v>55117</v>
      </c>
    </row>
    <row r="2246" spans="1:1" x14ac:dyDescent="0.25">
      <c r="A2246" s="20">
        <v>55119</v>
      </c>
    </row>
    <row r="2247" spans="1:1" x14ac:dyDescent="0.25">
      <c r="A2247" s="20">
        <v>55121</v>
      </c>
    </row>
    <row r="2248" spans="1:1" x14ac:dyDescent="0.25">
      <c r="A2248" s="20">
        <v>55123</v>
      </c>
    </row>
    <row r="2249" spans="1:1" x14ac:dyDescent="0.25">
      <c r="A2249" s="20">
        <v>55125</v>
      </c>
    </row>
    <row r="2250" spans="1:1" x14ac:dyDescent="0.25">
      <c r="A2250" s="20">
        <v>55127</v>
      </c>
    </row>
    <row r="2251" spans="1:1" x14ac:dyDescent="0.25">
      <c r="A2251" s="20">
        <v>55129</v>
      </c>
    </row>
    <row r="2252" spans="1:1" x14ac:dyDescent="0.25">
      <c r="A2252" s="20">
        <v>55131</v>
      </c>
    </row>
    <row r="2253" spans="1:1" x14ac:dyDescent="0.25">
      <c r="A2253" s="20">
        <v>55133</v>
      </c>
    </row>
    <row r="2254" spans="1:1" x14ac:dyDescent="0.25">
      <c r="A2254" s="20">
        <v>55135</v>
      </c>
    </row>
    <row r="2255" spans="1:1" x14ac:dyDescent="0.25">
      <c r="A2255" s="20">
        <v>55137</v>
      </c>
    </row>
    <row r="2256" spans="1:1" x14ac:dyDescent="0.25">
      <c r="A2256" s="20">
        <v>55139</v>
      </c>
    </row>
    <row r="2257" spans="1:1" x14ac:dyDescent="0.25">
      <c r="A2257" s="20">
        <v>55141</v>
      </c>
    </row>
    <row r="2258" spans="1:1" x14ac:dyDescent="0.25">
      <c r="A2258" s="20">
        <v>56001</v>
      </c>
    </row>
    <row r="2259" spans="1:1" x14ac:dyDescent="0.25">
      <c r="A2259" s="20">
        <v>56003</v>
      </c>
    </row>
    <row r="2260" spans="1:1" x14ac:dyDescent="0.25">
      <c r="A2260" s="20">
        <v>56005</v>
      </c>
    </row>
    <row r="2261" spans="1:1" x14ac:dyDescent="0.25">
      <c r="A2261" s="20">
        <v>56007</v>
      </c>
    </row>
    <row r="2262" spans="1:1" x14ac:dyDescent="0.25">
      <c r="A2262" s="20">
        <v>56009</v>
      </c>
    </row>
    <row r="2263" spans="1:1" x14ac:dyDescent="0.25">
      <c r="A2263" s="20">
        <v>56011</v>
      </c>
    </row>
    <row r="2264" spans="1:1" x14ac:dyDescent="0.25">
      <c r="A2264" s="20">
        <v>56013</v>
      </c>
    </row>
    <row r="2265" spans="1:1" x14ac:dyDescent="0.25">
      <c r="A2265" s="20">
        <v>56015</v>
      </c>
    </row>
    <row r="2266" spans="1:1" x14ac:dyDescent="0.25">
      <c r="A2266" s="20">
        <v>56017</v>
      </c>
    </row>
    <row r="2267" spans="1:1" x14ac:dyDescent="0.25">
      <c r="A2267" s="20">
        <v>56019</v>
      </c>
    </row>
    <row r="2268" spans="1:1" x14ac:dyDescent="0.25">
      <c r="A2268" s="20">
        <v>56021</v>
      </c>
    </row>
    <row r="2269" spans="1:1" x14ac:dyDescent="0.25">
      <c r="A2269" s="20">
        <v>56023</v>
      </c>
    </row>
    <row r="2270" spans="1:1" x14ac:dyDescent="0.25">
      <c r="A2270" s="20">
        <v>56025</v>
      </c>
    </row>
    <row r="2271" spans="1:1" x14ac:dyDescent="0.25">
      <c r="A2271" s="20">
        <v>56027</v>
      </c>
    </row>
    <row r="2272" spans="1:1" x14ac:dyDescent="0.25">
      <c r="A2272" s="20">
        <v>56029</v>
      </c>
    </row>
    <row r="2273" spans="1:1" x14ac:dyDescent="0.25">
      <c r="A2273" s="20">
        <v>56031</v>
      </c>
    </row>
    <row r="2274" spans="1:1" x14ac:dyDescent="0.25">
      <c r="A2274" s="20">
        <v>56033</v>
      </c>
    </row>
    <row r="2275" spans="1:1" x14ac:dyDescent="0.25">
      <c r="A2275" s="20">
        <v>56037</v>
      </c>
    </row>
    <row r="2276" spans="1:1" x14ac:dyDescent="0.25">
      <c r="A2276" s="20">
        <v>56039</v>
      </c>
    </row>
    <row r="2277" spans="1:1" x14ac:dyDescent="0.25">
      <c r="A2277" s="20">
        <v>56041</v>
      </c>
    </row>
    <row r="2278" spans="1:1" x14ac:dyDescent="0.25">
      <c r="A2278" s="20">
        <v>56043</v>
      </c>
    </row>
    <row r="2279" spans="1:1" x14ac:dyDescent="0.25">
      <c r="A2279" s="20">
        <v>56045</v>
      </c>
    </row>
    <row r="2280" spans="1:1" x14ac:dyDescent="0.25">
      <c r="A2280" s="20" t="s">
        <v>2</v>
      </c>
    </row>
    <row r="2281" spans="1:1" x14ac:dyDescent="0.25">
      <c r="A2281" s="20" t="s">
        <v>3</v>
      </c>
    </row>
    <row r="2282" spans="1:1" x14ac:dyDescent="0.25">
      <c r="A2282" s="20" t="s">
        <v>4</v>
      </c>
    </row>
    <row r="2283" spans="1:1" x14ac:dyDescent="0.25">
      <c r="A2283" s="20" t="s">
        <v>5</v>
      </c>
    </row>
    <row r="2284" spans="1:1" x14ac:dyDescent="0.25">
      <c r="A2284" s="20" t="s">
        <v>6</v>
      </c>
    </row>
    <row r="2285" spans="1:1" x14ac:dyDescent="0.25">
      <c r="A2285" s="20" t="s">
        <v>7</v>
      </c>
    </row>
    <row r="2286" spans="1:1" x14ac:dyDescent="0.25">
      <c r="A2286" s="20" t="s">
        <v>8</v>
      </c>
    </row>
    <row r="2287" spans="1:1" x14ac:dyDescent="0.25">
      <c r="A2287" s="20" t="s">
        <v>9</v>
      </c>
    </row>
    <row r="2288" spans="1:1" x14ac:dyDescent="0.25">
      <c r="A2288" s="20" t="s">
        <v>10</v>
      </c>
    </row>
    <row r="2289" spans="1:1" x14ac:dyDescent="0.25">
      <c r="A2289" s="20" t="s">
        <v>11</v>
      </c>
    </row>
    <row r="2290" spans="1:1" x14ac:dyDescent="0.25">
      <c r="A2290" s="20" t="s">
        <v>12</v>
      </c>
    </row>
    <row r="2291" spans="1:1" x14ac:dyDescent="0.25">
      <c r="A2291" s="20" t="s">
        <v>13</v>
      </c>
    </row>
    <row r="2292" spans="1:1" x14ac:dyDescent="0.25">
      <c r="A2292" s="20" t="s">
        <v>14</v>
      </c>
    </row>
    <row r="2293" spans="1:1" x14ac:dyDescent="0.25">
      <c r="A2293" s="20" t="s">
        <v>15</v>
      </c>
    </row>
    <row r="2294" spans="1:1" x14ac:dyDescent="0.25">
      <c r="A2294" s="20" t="s">
        <v>16</v>
      </c>
    </row>
    <row r="2295" spans="1:1" x14ac:dyDescent="0.25">
      <c r="A2295" s="20" t="s">
        <v>17</v>
      </c>
    </row>
    <row r="2296" spans="1:1" x14ac:dyDescent="0.25">
      <c r="A2296" s="20" t="s">
        <v>18</v>
      </c>
    </row>
    <row r="2297" spans="1:1" x14ac:dyDescent="0.25">
      <c r="A2297" s="20" t="s">
        <v>19</v>
      </c>
    </row>
    <row r="2298" spans="1:1" x14ac:dyDescent="0.25">
      <c r="A2298" s="20" t="s">
        <v>20</v>
      </c>
    </row>
    <row r="2299" spans="1:1" x14ac:dyDescent="0.25">
      <c r="A2299" s="20" t="s">
        <v>21</v>
      </c>
    </row>
    <row r="2300" spans="1:1" x14ac:dyDescent="0.25">
      <c r="A2300" s="20" t="s">
        <v>22</v>
      </c>
    </row>
    <row r="2301" spans="1:1" x14ac:dyDescent="0.25">
      <c r="A2301" s="20" t="s">
        <v>23</v>
      </c>
    </row>
    <row r="2302" spans="1:1" x14ac:dyDescent="0.25">
      <c r="A2302" s="20" t="s">
        <v>24</v>
      </c>
    </row>
    <row r="2303" spans="1:1" x14ac:dyDescent="0.25">
      <c r="A2303" s="20" t="s">
        <v>25</v>
      </c>
    </row>
    <row r="2304" spans="1:1" x14ac:dyDescent="0.25">
      <c r="A2304" s="20" t="s">
        <v>26</v>
      </c>
    </row>
    <row r="2305" spans="1:1" x14ac:dyDescent="0.25">
      <c r="A2305" s="20" t="s">
        <v>27</v>
      </c>
    </row>
    <row r="2306" spans="1:1" x14ac:dyDescent="0.25">
      <c r="A2306" s="20" t="s">
        <v>28</v>
      </c>
    </row>
    <row r="2307" spans="1:1" x14ac:dyDescent="0.25">
      <c r="A2307" s="20" t="s">
        <v>29</v>
      </c>
    </row>
    <row r="2308" spans="1:1" x14ac:dyDescent="0.25">
      <c r="A2308" s="20" t="s">
        <v>30</v>
      </c>
    </row>
    <row r="2309" spans="1:1" x14ac:dyDescent="0.25">
      <c r="A2309" s="20" t="s">
        <v>31</v>
      </c>
    </row>
    <row r="2310" spans="1:1" x14ac:dyDescent="0.25">
      <c r="A2310" s="20" t="s">
        <v>32</v>
      </c>
    </row>
    <row r="2311" spans="1:1" x14ac:dyDescent="0.25">
      <c r="A2311" s="20" t="s">
        <v>33</v>
      </c>
    </row>
    <row r="2312" spans="1:1" x14ac:dyDescent="0.25">
      <c r="A2312" s="20" t="s">
        <v>34</v>
      </c>
    </row>
    <row r="2313" spans="1:1" x14ac:dyDescent="0.25">
      <c r="A2313" s="20" t="s">
        <v>35</v>
      </c>
    </row>
    <row r="2314" spans="1:1" x14ac:dyDescent="0.25">
      <c r="A2314" s="20" t="s">
        <v>36</v>
      </c>
    </row>
    <row r="2315" spans="1:1" x14ac:dyDescent="0.25">
      <c r="A2315" s="20" t="s">
        <v>37</v>
      </c>
    </row>
    <row r="2316" spans="1:1" x14ac:dyDescent="0.25">
      <c r="A2316" s="20" t="s">
        <v>38</v>
      </c>
    </row>
    <row r="2317" spans="1:1" x14ac:dyDescent="0.25">
      <c r="A2317" s="20" t="s">
        <v>39</v>
      </c>
    </row>
    <row r="2318" spans="1:1" x14ac:dyDescent="0.25">
      <c r="A2318" s="20" t="s">
        <v>40</v>
      </c>
    </row>
    <row r="2319" spans="1:1" x14ac:dyDescent="0.25">
      <c r="A2319" s="20" t="s">
        <v>41</v>
      </c>
    </row>
    <row r="2320" spans="1:1" x14ac:dyDescent="0.25">
      <c r="A2320" s="20" t="s">
        <v>42</v>
      </c>
    </row>
    <row r="2321" spans="1:1" x14ac:dyDescent="0.25">
      <c r="A2321" s="20" t="s">
        <v>43</v>
      </c>
    </row>
    <row r="2322" spans="1:1" x14ac:dyDescent="0.25">
      <c r="A2322" s="20" t="s">
        <v>44</v>
      </c>
    </row>
    <row r="2323" spans="1:1" x14ac:dyDescent="0.25">
      <c r="A2323" s="20" t="s">
        <v>45</v>
      </c>
    </row>
    <row r="2324" spans="1:1" x14ac:dyDescent="0.25">
      <c r="A2324" s="20" t="s">
        <v>46</v>
      </c>
    </row>
    <row r="2325" spans="1:1" x14ac:dyDescent="0.25">
      <c r="A2325" s="20" t="s">
        <v>47</v>
      </c>
    </row>
    <row r="2326" spans="1:1" x14ac:dyDescent="0.25">
      <c r="A2326" s="20" t="s">
        <v>48</v>
      </c>
    </row>
    <row r="2327" spans="1:1" x14ac:dyDescent="0.25">
      <c r="A2327" s="20" t="s">
        <v>49</v>
      </c>
    </row>
    <row r="2328" spans="1:1" x14ac:dyDescent="0.25">
      <c r="A2328" s="20" t="s">
        <v>50</v>
      </c>
    </row>
    <row r="2329" spans="1:1" x14ac:dyDescent="0.25">
      <c r="A2329" s="20" t="s">
        <v>51</v>
      </c>
    </row>
    <row r="2330" spans="1:1" x14ac:dyDescent="0.25">
      <c r="A2330" s="20" t="s">
        <v>52</v>
      </c>
    </row>
    <row r="2331" spans="1:1" x14ac:dyDescent="0.25">
      <c r="A2331" s="20" t="s">
        <v>53</v>
      </c>
    </row>
    <row r="2332" spans="1:1" x14ac:dyDescent="0.25">
      <c r="A2332" s="20" t="s">
        <v>54</v>
      </c>
    </row>
    <row r="2333" spans="1:1" x14ac:dyDescent="0.25">
      <c r="A2333" s="20" t="s">
        <v>55</v>
      </c>
    </row>
    <row r="2334" spans="1:1" x14ac:dyDescent="0.25">
      <c r="A2334" s="20" t="s">
        <v>56</v>
      </c>
    </row>
    <row r="2335" spans="1:1" x14ac:dyDescent="0.25">
      <c r="A2335" s="20" t="s">
        <v>57</v>
      </c>
    </row>
    <row r="2336" spans="1:1" x14ac:dyDescent="0.25">
      <c r="A2336" s="20" t="s">
        <v>58</v>
      </c>
    </row>
    <row r="2337" spans="1:1" x14ac:dyDescent="0.25">
      <c r="A2337" s="20" t="s">
        <v>59</v>
      </c>
    </row>
    <row r="2338" spans="1:1" x14ac:dyDescent="0.25">
      <c r="A2338" s="20" t="s">
        <v>60</v>
      </c>
    </row>
    <row r="2339" spans="1:1" x14ac:dyDescent="0.25">
      <c r="A2339" s="20" t="s">
        <v>61</v>
      </c>
    </row>
    <row r="2340" spans="1:1" x14ac:dyDescent="0.25">
      <c r="A2340" s="20" t="s">
        <v>62</v>
      </c>
    </row>
    <row r="2341" spans="1:1" x14ac:dyDescent="0.25">
      <c r="A2341" s="20" t="s">
        <v>63</v>
      </c>
    </row>
    <row r="2342" spans="1:1" x14ac:dyDescent="0.25">
      <c r="A2342" s="20" t="s">
        <v>64</v>
      </c>
    </row>
    <row r="2343" spans="1:1" x14ac:dyDescent="0.25">
      <c r="A2343" s="20" t="s">
        <v>65</v>
      </c>
    </row>
    <row r="2344" spans="1:1" x14ac:dyDescent="0.25">
      <c r="A2344" s="20" t="s">
        <v>66</v>
      </c>
    </row>
    <row r="2345" spans="1:1" x14ac:dyDescent="0.25">
      <c r="A2345" s="20" t="s">
        <v>67</v>
      </c>
    </row>
    <row r="2346" spans="1:1" x14ac:dyDescent="0.25">
      <c r="A2346" s="20" t="s">
        <v>68</v>
      </c>
    </row>
    <row r="2347" spans="1:1" x14ac:dyDescent="0.25">
      <c r="A2347" s="20" t="s">
        <v>69</v>
      </c>
    </row>
    <row r="2348" spans="1:1" x14ac:dyDescent="0.25">
      <c r="A2348" s="20" t="s">
        <v>70</v>
      </c>
    </row>
    <row r="2349" spans="1:1" x14ac:dyDescent="0.25">
      <c r="A2349" s="20" t="s">
        <v>71</v>
      </c>
    </row>
    <row r="2350" spans="1:1" x14ac:dyDescent="0.25">
      <c r="A2350" s="20" t="s">
        <v>72</v>
      </c>
    </row>
    <row r="2351" spans="1:1" x14ac:dyDescent="0.25">
      <c r="A2351" s="20" t="s">
        <v>73</v>
      </c>
    </row>
    <row r="2352" spans="1:1" x14ac:dyDescent="0.25">
      <c r="A2352" s="20" t="s">
        <v>74</v>
      </c>
    </row>
    <row r="2353" spans="1:1" x14ac:dyDescent="0.25">
      <c r="A2353" s="20" t="s">
        <v>75</v>
      </c>
    </row>
    <row r="2354" spans="1:1" x14ac:dyDescent="0.25">
      <c r="A2354" s="20" t="s">
        <v>76</v>
      </c>
    </row>
    <row r="2355" spans="1:1" x14ac:dyDescent="0.25">
      <c r="A2355" s="20" t="s">
        <v>77</v>
      </c>
    </row>
    <row r="2356" spans="1:1" x14ac:dyDescent="0.25">
      <c r="A2356" s="20" t="s">
        <v>78</v>
      </c>
    </row>
    <row r="2357" spans="1:1" x14ac:dyDescent="0.25">
      <c r="A2357" s="20" t="s">
        <v>79</v>
      </c>
    </row>
    <row r="2358" spans="1:1" x14ac:dyDescent="0.25">
      <c r="A2358" s="20" t="s">
        <v>80</v>
      </c>
    </row>
    <row r="2359" spans="1:1" x14ac:dyDescent="0.25">
      <c r="A2359" s="20" t="s">
        <v>81</v>
      </c>
    </row>
    <row r="2360" spans="1:1" x14ac:dyDescent="0.25">
      <c r="A2360" s="20" t="s">
        <v>82</v>
      </c>
    </row>
    <row r="2361" spans="1:1" x14ac:dyDescent="0.25">
      <c r="A2361" s="20" t="s">
        <v>83</v>
      </c>
    </row>
    <row r="2362" spans="1:1" x14ac:dyDescent="0.25">
      <c r="A2362" s="20" t="s">
        <v>84</v>
      </c>
    </row>
    <row r="2363" spans="1:1" x14ac:dyDescent="0.25">
      <c r="A2363" s="20" t="s">
        <v>85</v>
      </c>
    </row>
    <row r="2364" spans="1:1" x14ac:dyDescent="0.25">
      <c r="A2364" s="20" t="s">
        <v>86</v>
      </c>
    </row>
    <row r="2365" spans="1:1" x14ac:dyDescent="0.25">
      <c r="A2365" s="20" t="s">
        <v>87</v>
      </c>
    </row>
    <row r="2366" spans="1:1" x14ac:dyDescent="0.25">
      <c r="A2366" s="20" t="s">
        <v>88</v>
      </c>
    </row>
    <row r="2367" spans="1:1" x14ac:dyDescent="0.25">
      <c r="A2367" s="20" t="s">
        <v>89</v>
      </c>
    </row>
    <row r="2368" spans="1:1" x14ac:dyDescent="0.25">
      <c r="A2368" s="20" t="s">
        <v>90</v>
      </c>
    </row>
    <row r="2369" spans="1:1" x14ac:dyDescent="0.25">
      <c r="A2369" s="20" t="s">
        <v>91</v>
      </c>
    </row>
    <row r="2370" spans="1:1" x14ac:dyDescent="0.25">
      <c r="A2370" s="20" t="s">
        <v>92</v>
      </c>
    </row>
    <row r="2371" spans="1:1" x14ac:dyDescent="0.25">
      <c r="A2371" s="20" t="s">
        <v>93</v>
      </c>
    </row>
    <row r="2372" spans="1:1" x14ac:dyDescent="0.25">
      <c r="A2372" s="20" t="s">
        <v>94</v>
      </c>
    </row>
    <row r="2373" spans="1:1" x14ac:dyDescent="0.25">
      <c r="A2373" s="20" t="s">
        <v>95</v>
      </c>
    </row>
    <row r="2374" spans="1:1" x14ac:dyDescent="0.25">
      <c r="A2374" s="20" t="s">
        <v>96</v>
      </c>
    </row>
    <row r="2375" spans="1:1" x14ac:dyDescent="0.25">
      <c r="A2375" s="20" t="s">
        <v>97</v>
      </c>
    </row>
    <row r="2376" spans="1:1" x14ac:dyDescent="0.25">
      <c r="A2376" s="20" t="s">
        <v>98</v>
      </c>
    </row>
    <row r="2377" spans="1:1" x14ac:dyDescent="0.25">
      <c r="A2377" s="20" t="s">
        <v>99</v>
      </c>
    </row>
    <row r="2378" spans="1:1" x14ac:dyDescent="0.25">
      <c r="A2378" s="20" t="s">
        <v>100</v>
      </c>
    </row>
    <row r="2379" spans="1:1" x14ac:dyDescent="0.25">
      <c r="A2379" s="20" t="s">
        <v>101</v>
      </c>
    </row>
    <row r="2380" spans="1:1" x14ac:dyDescent="0.25">
      <c r="A2380" s="20" t="s">
        <v>102</v>
      </c>
    </row>
    <row r="2381" spans="1:1" x14ac:dyDescent="0.25">
      <c r="A2381" s="20" t="s">
        <v>103</v>
      </c>
    </row>
    <row r="2382" spans="1:1" x14ac:dyDescent="0.25">
      <c r="A2382" s="20" t="s">
        <v>104</v>
      </c>
    </row>
    <row r="2383" spans="1:1" x14ac:dyDescent="0.25">
      <c r="A2383" s="20" t="s">
        <v>105</v>
      </c>
    </row>
    <row r="2384" spans="1:1" x14ac:dyDescent="0.25">
      <c r="A2384" s="20" t="s">
        <v>106</v>
      </c>
    </row>
    <row r="2385" spans="1:1" x14ac:dyDescent="0.25">
      <c r="A2385" s="20" t="s">
        <v>107</v>
      </c>
    </row>
    <row r="2386" spans="1:1" x14ac:dyDescent="0.25">
      <c r="A2386" s="20" t="s">
        <v>108</v>
      </c>
    </row>
    <row r="2387" spans="1:1" x14ac:dyDescent="0.25">
      <c r="A2387" s="20" t="s">
        <v>109</v>
      </c>
    </row>
    <row r="2388" spans="1:1" x14ac:dyDescent="0.25">
      <c r="A2388" s="20" t="s">
        <v>110</v>
      </c>
    </row>
    <row r="2389" spans="1:1" x14ac:dyDescent="0.25">
      <c r="A2389" s="20" t="s">
        <v>111</v>
      </c>
    </row>
    <row r="2390" spans="1:1" x14ac:dyDescent="0.25">
      <c r="A2390" s="20" t="s">
        <v>112</v>
      </c>
    </row>
    <row r="2391" spans="1:1" x14ac:dyDescent="0.25">
      <c r="A2391" s="20" t="s">
        <v>113</v>
      </c>
    </row>
    <row r="2392" spans="1:1" x14ac:dyDescent="0.25">
      <c r="A2392" s="20" t="s">
        <v>114</v>
      </c>
    </row>
    <row r="2393" spans="1:1" x14ac:dyDescent="0.25">
      <c r="A2393" s="20" t="s">
        <v>115</v>
      </c>
    </row>
    <row r="2394" spans="1:1" x14ac:dyDescent="0.25">
      <c r="A2394" s="20" t="s">
        <v>116</v>
      </c>
    </row>
    <row r="2395" spans="1:1" x14ac:dyDescent="0.25">
      <c r="A2395" s="20" t="s">
        <v>117</v>
      </c>
    </row>
    <row r="2396" spans="1:1" x14ac:dyDescent="0.25">
      <c r="A2396" s="20" t="s">
        <v>118</v>
      </c>
    </row>
    <row r="2397" spans="1:1" x14ac:dyDescent="0.25">
      <c r="A2397" s="20" t="s">
        <v>119</v>
      </c>
    </row>
    <row r="2398" spans="1:1" x14ac:dyDescent="0.25">
      <c r="A2398" s="20" t="s">
        <v>120</v>
      </c>
    </row>
    <row r="2399" spans="1:1" x14ac:dyDescent="0.25">
      <c r="A2399" s="20" t="s">
        <v>121</v>
      </c>
    </row>
    <row r="2400" spans="1:1" x14ac:dyDescent="0.25">
      <c r="A2400" s="20" t="s">
        <v>122</v>
      </c>
    </row>
    <row r="2401" spans="1:1" x14ac:dyDescent="0.25">
      <c r="A2401" s="20" t="s">
        <v>123</v>
      </c>
    </row>
    <row r="2402" spans="1:1" x14ac:dyDescent="0.25">
      <c r="A2402" s="20" t="s">
        <v>124</v>
      </c>
    </row>
    <row r="2403" spans="1:1" x14ac:dyDescent="0.25">
      <c r="A2403" s="20" t="s">
        <v>125</v>
      </c>
    </row>
    <row r="2404" spans="1:1" x14ac:dyDescent="0.25">
      <c r="A2404" s="20" t="s">
        <v>126</v>
      </c>
    </row>
    <row r="2405" spans="1:1" x14ac:dyDescent="0.25">
      <c r="A2405" s="20" t="s">
        <v>127</v>
      </c>
    </row>
    <row r="2406" spans="1:1" x14ac:dyDescent="0.25">
      <c r="A2406" s="20" t="s">
        <v>128</v>
      </c>
    </row>
    <row r="2407" spans="1:1" x14ac:dyDescent="0.25">
      <c r="A2407" s="20" t="s">
        <v>129</v>
      </c>
    </row>
    <row r="2408" spans="1:1" x14ac:dyDescent="0.25">
      <c r="A2408" s="20" t="s">
        <v>130</v>
      </c>
    </row>
    <row r="2409" spans="1:1" x14ac:dyDescent="0.25">
      <c r="A2409" s="20" t="s">
        <v>131</v>
      </c>
    </row>
    <row r="2410" spans="1:1" x14ac:dyDescent="0.25">
      <c r="A2410" s="20" t="s">
        <v>132</v>
      </c>
    </row>
    <row r="2411" spans="1:1" x14ac:dyDescent="0.25">
      <c r="A2411" s="20" t="s">
        <v>133</v>
      </c>
    </row>
    <row r="2412" spans="1:1" x14ac:dyDescent="0.25">
      <c r="A2412" s="20" t="s">
        <v>134</v>
      </c>
    </row>
    <row r="2413" spans="1:1" x14ac:dyDescent="0.25">
      <c r="A2413" s="20" t="s">
        <v>135</v>
      </c>
    </row>
    <row r="2414" spans="1:1" x14ac:dyDescent="0.25">
      <c r="A2414" s="20" t="s">
        <v>136</v>
      </c>
    </row>
    <row r="2415" spans="1:1" x14ac:dyDescent="0.25">
      <c r="A2415" s="20" t="s">
        <v>137</v>
      </c>
    </row>
    <row r="2416" spans="1:1" x14ac:dyDescent="0.25">
      <c r="A2416" s="20" t="s">
        <v>138</v>
      </c>
    </row>
    <row r="2417" spans="1:1" x14ac:dyDescent="0.25">
      <c r="A2417" s="20" t="s">
        <v>139</v>
      </c>
    </row>
    <row r="2418" spans="1:1" x14ac:dyDescent="0.25">
      <c r="A2418" s="20" t="s">
        <v>140</v>
      </c>
    </row>
    <row r="2419" spans="1:1" x14ac:dyDescent="0.25">
      <c r="A2419" s="20" t="s">
        <v>141</v>
      </c>
    </row>
    <row r="2420" spans="1:1" x14ac:dyDescent="0.25">
      <c r="A2420" s="20" t="s">
        <v>142</v>
      </c>
    </row>
    <row r="2421" spans="1:1" x14ac:dyDescent="0.25">
      <c r="A2421" s="20" t="s">
        <v>143</v>
      </c>
    </row>
    <row r="2422" spans="1:1" x14ac:dyDescent="0.25">
      <c r="A2422" s="20" t="s">
        <v>144</v>
      </c>
    </row>
    <row r="2423" spans="1:1" x14ac:dyDescent="0.25">
      <c r="A2423" s="20" t="s">
        <v>145</v>
      </c>
    </row>
    <row r="2424" spans="1:1" x14ac:dyDescent="0.25">
      <c r="A2424" s="20" t="s">
        <v>146</v>
      </c>
    </row>
    <row r="2425" spans="1:1" x14ac:dyDescent="0.25">
      <c r="A2425" s="20" t="s">
        <v>147</v>
      </c>
    </row>
    <row r="2426" spans="1:1" x14ac:dyDescent="0.25">
      <c r="A2426" s="20" t="s">
        <v>148</v>
      </c>
    </row>
    <row r="2427" spans="1:1" x14ac:dyDescent="0.25">
      <c r="A2427" s="20" t="s">
        <v>149</v>
      </c>
    </row>
    <row r="2428" spans="1:1" x14ac:dyDescent="0.25">
      <c r="A2428" s="20" t="s">
        <v>150</v>
      </c>
    </row>
    <row r="2429" spans="1:1" x14ac:dyDescent="0.25">
      <c r="A2429" s="20" t="s">
        <v>151</v>
      </c>
    </row>
    <row r="2430" spans="1:1" x14ac:dyDescent="0.25">
      <c r="A2430" s="20" t="s">
        <v>152</v>
      </c>
    </row>
    <row r="2431" spans="1:1" x14ac:dyDescent="0.25">
      <c r="A2431" s="20" t="s">
        <v>153</v>
      </c>
    </row>
    <row r="2432" spans="1:1" x14ac:dyDescent="0.25">
      <c r="A2432" s="20" t="s">
        <v>154</v>
      </c>
    </row>
    <row r="2433" spans="1:1" x14ac:dyDescent="0.25">
      <c r="A2433" s="20" t="s">
        <v>155</v>
      </c>
    </row>
    <row r="2434" spans="1:1" x14ac:dyDescent="0.25">
      <c r="A2434" s="20" t="s">
        <v>156</v>
      </c>
    </row>
    <row r="2435" spans="1:1" x14ac:dyDescent="0.25">
      <c r="A2435" s="20" t="s">
        <v>157</v>
      </c>
    </row>
    <row r="2436" spans="1:1" x14ac:dyDescent="0.25">
      <c r="A2436" s="20" t="s">
        <v>158</v>
      </c>
    </row>
    <row r="2437" spans="1:1" x14ac:dyDescent="0.25">
      <c r="A2437" s="20" t="s">
        <v>159</v>
      </c>
    </row>
    <row r="2438" spans="1:1" x14ac:dyDescent="0.25">
      <c r="A2438" s="20" t="s">
        <v>160</v>
      </c>
    </row>
    <row r="2439" spans="1:1" x14ac:dyDescent="0.25">
      <c r="A2439" s="20" t="s">
        <v>161</v>
      </c>
    </row>
    <row r="2440" spans="1:1" x14ac:dyDescent="0.25">
      <c r="A2440" s="20" t="s">
        <v>162</v>
      </c>
    </row>
    <row r="2441" spans="1:1" x14ac:dyDescent="0.25">
      <c r="A2441" s="20" t="s">
        <v>163</v>
      </c>
    </row>
    <row r="2442" spans="1:1" x14ac:dyDescent="0.25">
      <c r="A2442" s="20" t="s">
        <v>164</v>
      </c>
    </row>
    <row r="2443" spans="1:1" x14ac:dyDescent="0.25">
      <c r="A2443" s="20" t="s">
        <v>165</v>
      </c>
    </row>
    <row r="2444" spans="1:1" x14ac:dyDescent="0.25">
      <c r="A2444" s="20" t="s">
        <v>166</v>
      </c>
    </row>
    <row r="2445" spans="1:1" x14ac:dyDescent="0.25">
      <c r="A2445" s="20" t="s">
        <v>167</v>
      </c>
    </row>
    <row r="2446" spans="1:1" x14ac:dyDescent="0.25">
      <c r="A2446" s="20" t="s">
        <v>168</v>
      </c>
    </row>
    <row r="2447" spans="1:1" x14ac:dyDescent="0.25">
      <c r="A2447" s="20" t="s">
        <v>169</v>
      </c>
    </row>
    <row r="2448" spans="1:1" x14ac:dyDescent="0.25">
      <c r="A2448" s="20" t="s">
        <v>170</v>
      </c>
    </row>
    <row r="2449" spans="1:1" x14ac:dyDescent="0.25">
      <c r="A2449" s="20" t="s">
        <v>171</v>
      </c>
    </row>
    <row r="2450" spans="1:1" x14ac:dyDescent="0.25">
      <c r="A2450" s="20" t="s">
        <v>172</v>
      </c>
    </row>
    <row r="2451" spans="1:1" x14ac:dyDescent="0.25">
      <c r="A2451" s="20" t="s">
        <v>173</v>
      </c>
    </row>
    <row r="2452" spans="1:1" x14ac:dyDescent="0.25">
      <c r="A2452" s="20" t="s">
        <v>174</v>
      </c>
    </row>
    <row r="2453" spans="1:1" x14ac:dyDescent="0.25">
      <c r="A2453" s="20" t="s">
        <v>175</v>
      </c>
    </row>
    <row r="2454" spans="1:1" x14ac:dyDescent="0.25">
      <c r="A2454" s="20" t="s">
        <v>176</v>
      </c>
    </row>
    <row r="2455" spans="1:1" x14ac:dyDescent="0.25">
      <c r="A2455" s="20" t="s">
        <v>177</v>
      </c>
    </row>
    <row r="2456" spans="1:1" x14ac:dyDescent="0.25">
      <c r="A2456" s="20" t="s">
        <v>178</v>
      </c>
    </row>
    <row r="2457" spans="1:1" x14ac:dyDescent="0.25">
      <c r="A2457" s="20" t="s">
        <v>179</v>
      </c>
    </row>
    <row r="2458" spans="1:1" x14ac:dyDescent="0.25">
      <c r="A2458" s="20" t="s">
        <v>180</v>
      </c>
    </row>
    <row r="2459" spans="1:1" x14ac:dyDescent="0.25">
      <c r="A2459" s="20" t="s">
        <v>181</v>
      </c>
    </row>
    <row r="2460" spans="1:1" x14ac:dyDescent="0.25">
      <c r="A2460" s="20" t="s">
        <v>182</v>
      </c>
    </row>
    <row r="2461" spans="1:1" x14ac:dyDescent="0.25">
      <c r="A2461" s="20" t="s">
        <v>183</v>
      </c>
    </row>
    <row r="2462" spans="1:1" x14ac:dyDescent="0.25">
      <c r="A2462" s="20" t="s">
        <v>184</v>
      </c>
    </row>
    <row r="2463" spans="1:1" x14ac:dyDescent="0.25">
      <c r="A2463" s="20" t="s">
        <v>185</v>
      </c>
    </row>
    <row r="2464" spans="1:1" x14ac:dyDescent="0.25">
      <c r="A2464" s="20" t="s">
        <v>186</v>
      </c>
    </row>
    <row r="2465" spans="1:1" x14ac:dyDescent="0.25">
      <c r="A2465" s="20" t="s">
        <v>187</v>
      </c>
    </row>
    <row r="2466" spans="1:1" x14ac:dyDescent="0.25">
      <c r="A2466" s="20" t="s">
        <v>188</v>
      </c>
    </row>
    <row r="2467" spans="1:1" x14ac:dyDescent="0.25">
      <c r="A2467" s="20" t="s">
        <v>189</v>
      </c>
    </row>
    <row r="2468" spans="1:1" x14ac:dyDescent="0.25">
      <c r="A2468" s="20" t="s">
        <v>190</v>
      </c>
    </row>
    <row r="2469" spans="1:1" x14ac:dyDescent="0.25">
      <c r="A2469" s="20" t="s">
        <v>191</v>
      </c>
    </row>
    <row r="2470" spans="1:1" x14ac:dyDescent="0.25">
      <c r="A2470" s="20" t="s">
        <v>192</v>
      </c>
    </row>
    <row r="2471" spans="1:1" x14ac:dyDescent="0.25">
      <c r="A2471" s="20" t="s">
        <v>193</v>
      </c>
    </row>
    <row r="2472" spans="1:1" x14ac:dyDescent="0.25">
      <c r="A2472" s="20" t="s">
        <v>194</v>
      </c>
    </row>
    <row r="2473" spans="1:1" x14ac:dyDescent="0.25">
      <c r="A2473" s="20" t="s">
        <v>195</v>
      </c>
    </row>
    <row r="2474" spans="1:1" x14ac:dyDescent="0.25">
      <c r="A2474" s="20" t="s">
        <v>196</v>
      </c>
    </row>
    <row r="2475" spans="1:1" x14ac:dyDescent="0.25">
      <c r="A2475" s="20" t="s">
        <v>197</v>
      </c>
    </row>
    <row r="2476" spans="1:1" x14ac:dyDescent="0.25">
      <c r="A2476" s="20" t="s">
        <v>198</v>
      </c>
    </row>
    <row r="2477" spans="1:1" x14ac:dyDescent="0.25">
      <c r="A2477" s="20" t="s">
        <v>199</v>
      </c>
    </row>
    <row r="2478" spans="1:1" x14ac:dyDescent="0.25">
      <c r="A2478" s="20" t="s">
        <v>200</v>
      </c>
    </row>
    <row r="2479" spans="1:1" x14ac:dyDescent="0.25">
      <c r="A2479" s="20" t="s">
        <v>201</v>
      </c>
    </row>
    <row r="2480" spans="1:1" x14ac:dyDescent="0.25">
      <c r="A2480" s="20" t="s">
        <v>202</v>
      </c>
    </row>
    <row r="2481" spans="1:1" x14ac:dyDescent="0.25">
      <c r="A2481" s="20" t="s">
        <v>203</v>
      </c>
    </row>
    <row r="2482" spans="1:1" x14ac:dyDescent="0.25">
      <c r="A2482" s="20" t="s">
        <v>204</v>
      </c>
    </row>
    <row r="2483" spans="1:1" x14ac:dyDescent="0.25">
      <c r="A2483" s="20" t="s">
        <v>205</v>
      </c>
    </row>
    <row r="2484" spans="1:1" x14ac:dyDescent="0.25">
      <c r="A2484" s="20" t="s">
        <v>206</v>
      </c>
    </row>
    <row r="2485" spans="1:1" x14ac:dyDescent="0.25">
      <c r="A2485" s="20" t="s">
        <v>207</v>
      </c>
    </row>
    <row r="2486" spans="1:1" x14ac:dyDescent="0.25">
      <c r="A2486" s="20" t="s">
        <v>208</v>
      </c>
    </row>
    <row r="2487" spans="1:1" x14ac:dyDescent="0.25">
      <c r="A2487" s="20" t="s">
        <v>209</v>
      </c>
    </row>
    <row r="2488" spans="1:1" x14ac:dyDescent="0.25">
      <c r="A2488" s="20" t="s">
        <v>210</v>
      </c>
    </row>
    <row r="2489" spans="1:1" x14ac:dyDescent="0.25">
      <c r="A2489" s="20" t="s">
        <v>211</v>
      </c>
    </row>
    <row r="2490" spans="1:1" x14ac:dyDescent="0.25">
      <c r="A2490" s="20" t="s">
        <v>212</v>
      </c>
    </row>
    <row r="2491" spans="1:1" x14ac:dyDescent="0.25">
      <c r="A2491" s="20" t="s">
        <v>213</v>
      </c>
    </row>
    <row r="2492" spans="1:1" x14ac:dyDescent="0.25">
      <c r="A2492" s="20" t="s">
        <v>214</v>
      </c>
    </row>
    <row r="2493" spans="1:1" x14ac:dyDescent="0.25">
      <c r="A2493" s="20" t="s">
        <v>215</v>
      </c>
    </row>
    <row r="2494" spans="1:1" x14ac:dyDescent="0.25">
      <c r="A2494" s="20" t="s">
        <v>216</v>
      </c>
    </row>
    <row r="2495" spans="1:1" x14ac:dyDescent="0.25">
      <c r="A2495" s="20" t="s">
        <v>217</v>
      </c>
    </row>
    <row r="2496" spans="1:1" x14ac:dyDescent="0.25">
      <c r="A2496" s="20" t="s">
        <v>218</v>
      </c>
    </row>
    <row r="2497" spans="1:1" x14ac:dyDescent="0.25">
      <c r="A2497" s="20" t="s">
        <v>219</v>
      </c>
    </row>
    <row r="2498" spans="1:1" x14ac:dyDescent="0.25">
      <c r="A2498" s="20" t="s">
        <v>220</v>
      </c>
    </row>
    <row r="2499" spans="1:1" x14ac:dyDescent="0.25">
      <c r="A2499" s="20" t="s">
        <v>221</v>
      </c>
    </row>
    <row r="2500" spans="1:1" x14ac:dyDescent="0.25">
      <c r="A2500" s="20" t="s">
        <v>222</v>
      </c>
    </row>
    <row r="2501" spans="1:1" x14ac:dyDescent="0.25">
      <c r="A2501" s="20" t="s">
        <v>223</v>
      </c>
    </row>
    <row r="2502" spans="1:1" x14ac:dyDescent="0.25">
      <c r="A2502" s="20" t="s">
        <v>224</v>
      </c>
    </row>
    <row r="2503" spans="1:1" x14ac:dyDescent="0.25">
      <c r="A2503" s="20" t="s">
        <v>225</v>
      </c>
    </row>
    <row r="2504" spans="1:1" x14ac:dyDescent="0.25">
      <c r="A2504" s="20" t="s">
        <v>226</v>
      </c>
    </row>
    <row r="2505" spans="1:1" x14ac:dyDescent="0.25">
      <c r="A2505" s="20" t="s">
        <v>227</v>
      </c>
    </row>
    <row r="2506" spans="1:1" x14ac:dyDescent="0.25">
      <c r="A2506" s="20" t="s">
        <v>228</v>
      </c>
    </row>
    <row r="2507" spans="1:1" x14ac:dyDescent="0.25">
      <c r="A2507" s="20" t="s">
        <v>229</v>
      </c>
    </row>
    <row r="2508" spans="1:1" x14ac:dyDescent="0.25">
      <c r="A2508" s="20" t="s">
        <v>230</v>
      </c>
    </row>
    <row r="2509" spans="1:1" x14ac:dyDescent="0.25">
      <c r="A2509" s="20" t="s">
        <v>231</v>
      </c>
    </row>
    <row r="2510" spans="1:1" x14ac:dyDescent="0.25">
      <c r="A2510" s="20" t="s">
        <v>232</v>
      </c>
    </row>
    <row r="2511" spans="1:1" x14ac:dyDescent="0.25">
      <c r="A2511" s="20" t="s">
        <v>233</v>
      </c>
    </row>
    <row r="2512" spans="1:1" x14ac:dyDescent="0.25">
      <c r="A2512" s="20" t="s">
        <v>234</v>
      </c>
    </row>
    <row r="2513" spans="1:1" x14ac:dyDescent="0.25">
      <c r="A2513" s="20" t="s">
        <v>235</v>
      </c>
    </row>
    <row r="2514" spans="1:1" x14ac:dyDescent="0.25">
      <c r="A2514" s="20" t="s">
        <v>236</v>
      </c>
    </row>
    <row r="2515" spans="1:1" x14ac:dyDescent="0.25">
      <c r="A2515" s="20" t="s">
        <v>237</v>
      </c>
    </row>
    <row r="2516" spans="1:1" x14ac:dyDescent="0.25">
      <c r="A2516" s="20" t="s">
        <v>238</v>
      </c>
    </row>
    <row r="2517" spans="1:1" x14ac:dyDescent="0.25">
      <c r="A2517" s="20" t="s">
        <v>239</v>
      </c>
    </row>
    <row r="2518" spans="1:1" x14ac:dyDescent="0.25">
      <c r="A2518" s="20" t="s">
        <v>240</v>
      </c>
    </row>
    <row r="2519" spans="1:1" x14ac:dyDescent="0.25">
      <c r="A2519" s="20" t="s">
        <v>241</v>
      </c>
    </row>
    <row r="2520" spans="1:1" x14ac:dyDescent="0.25">
      <c r="A2520" s="20" t="s">
        <v>242</v>
      </c>
    </row>
    <row r="2521" spans="1:1" x14ac:dyDescent="0.25">
      <c r="A2521" s="20" t="s">
        <v>243</v>
      </c>
    </row>
    <row r="2522" spans="1:1" x14ac:dyDescent="0.25">
      <c r="A2522" s="20" t="s">
        <v>244</v>
      </c>
    </row>
    <row r="2523" spans="1:1" x14ac:dyDescent="0.25">
      <c r="A2523" s="20" t="s">
        <v>245</v>
      </c>
    </row>
    <row r="2524" spans="1:1" x14ac:dyDescent="0.25">
      <c r="A2524" s="20" t="s">
        <v>246</v>
      </c>
    </row>
    <row r="2525" spans="1:1" x14ac:dyDescent="0.25">
      <c r="A2525" s="20" t="s">
        <v>247</v>
      </c>
    </row>
    <row r="2526" spans="1:1" x14ac:dyDescent="0.25">
      <c r="A2526" s="20" t="s">
        <v>248</v>
      </c>
    </row>
    <row r="2527" spans="1:1" x14ac:dyDescent="0.25">
      <c r="A2527" s="20" t="s">
        <v>249</v>
      </c>
    </row>
    <row r="2528" spans="1:1" x14ac:dyDescent="0.25">
      <c r="A2528" s="20" t="s">
        <v>250</v>
      </c>
    </row>
    <row r="2529" spans="1:1" x14ac:dyDescent="0.25">
      <c r="A2529" s="20" t="s">
        <v>251</v>
      </c>
    </row>
    <row r="2530" spans="1:1" x14ac:dyDescent="0.25">
      <c r="A2530" s="20" t="s">
        <v>252</v>
      </c>
    </row>
    <row r="2531" spans="1:1" x14ac:dyDescent="0.25">
      <c r="A2531" s="20" t="s">
        <v>253</v>
      </c>
    </row>
    <row r="2532" spans="1:1" x14ac:dyDescent="0.25">
      <c r="A2532" s="20" t="s">
        <v>254</v>
      </c>
    </row>
    <row r="2533" spans="1:1" x14ac:dyDescent="0.25">
      <c r="A2533" s="20" t="s">
        <v>255</v>
      </c>
    </row>
    <row r="2534" spans="1:1" x14ac:dyDescent="0.25">
      <c r="A2534" s="20" t="s">
        <v>256</v>
      </c>
    </row>
    <row r="2535" spans="1:1" x14ac:dyDescent="0.25">
      <c r="A2535" s="20" t="s">
        <v>257</v>
      </c>
    </row>
    <row r="2536" spans="1:1" x14ac:dyDescent="0.25">
      <c r="A2536" s="20" t="s">
        <v>258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93DA9-10A9-4033-863F-B28EB05A4C5D}">
  <dimension ref="A3:A2536"/>
  <sheetViews>
    <sheetView workbookViewId="0">
      <selection activeCell="A3" sqref="A3"/>
    </sheetView>
  </sheetViews>
  <sheetFormatPr defaultRowHeight="15" x14ac:dyDescent="0.25"/>
  <cols>
    <col min="1" max="1" width="13.140625" bestFit="1" customWidth="1"/>
  </cols>
  <sheetData>
    <row r="3" spans="1:1" x14ac:dyDescent="0.25">
      <c r="A3" s="19" t="s">
        <v>1</v>
      </c>
    </row>
    <row r="4" spans="1:1" x14ac:dyDescent="0.25">
      <c r="A4" s="20">
        <v>10001</v>
      </c>
    </row>
    <row r="5" spans="1:1" x14ac:dyDescent="0.25">
      <c r="A5" s="20">
        <v>10003</v>
      </c>
    </row>
    <row r="6" spans="1:1" x14ac:dyDescent="0.25">
      <c r="A6" s="20">
        <v>10005</v>
      </c>
    </row>
    <row r="7" spans="1:1" x14ac:dyDescent="0.25">
      <c r="A7" s="20">
        <v>11001</v>
      </c>
    </row>
    <row r="8" spans="1:1" x14ac:dyDescent="0.25">
      <c r="A8" s="20">
        <v>12001</v>
      </c>
    </row>
    <row r="9" spans="1:1" x14ac:dyDescent="0.25">
      <c r="A9" s="20">
        <v>12003</v>
      </c>
    </row>
    <row r="10" spans="1:1" x14ac:dyDescent="0.25">
      <c r="A10" s="20">
        <v>12005</v>
      </c>
    </row>
    <row r="11" spans="1:1" x14ac:dyDescent="0.25">
      <c r="A11" s="20">
        <v>12007</v>
      </c>
    </row>
    <row r="12" spans="1:1" x14ac:dyDescent="0.25">
      <c r="A12" s="20">
        <v>12009</v>
      </c>
    </row>
    <row r="13" spans="1:1" x14ac:dyDescent="0.25">
      <c r="A13" s="20">
        <v>12011</v>
      </c>
    </row>
    <row r="14" spans="1:1" x14ac:dyDescent="0.25">
      <c r="A14" s="20">
        <v>12013</v>
      </c>
    </row>
    <row r="15" spans="1:1" x14ac:dyDescent="0.25">
      <c r="A15" s="20">
        <v>12015</v>
      </c>
    </row>
    <row r="16" spans="1:1" x14ac:dyDescent="0.25">
      <c r="A16" s="20">
        <v>12017</v>
      </c>
    </row>
    <row r="17" spans="1:1" x14ac:dyDescent="0.25">
      <c r="A17" s="20">
        <v>12019</v>
      </c>
    </row>
    <row r="18" spans="1:1" x14ac:dyDescent="0.25">
      <c r="A18" s="20">
        <v>12021</v>
      </c>
    </row>
    <row r="19" spans="1:1" x14ac:dyDescent="0.25">
      <c r="A19" s="20">
        <v>12023</v>
      </c>
    </row>
    <row r="20" spans="1:1" x14ac:dyDescent="0.25">
      <c r="A20" s="20">
        <v>12027</v>
      </c>
    </row>
    <row r="21" spans="1:1" x14ac:dyDescent="0.25">
      <c r="A21" s="20">
        <v>12031</v>
      </c>
    </row>
    <row r="22" spans="1:1" x14ac:dyDescent="0.25">
      <c r="A22" s="20">
        <v>12033</v>
      </c>
    </row>
    <row r="23" spans="1:1" x14ac:dyDescent="0.25">
      <c r="A23" s="20">
        <v>12035</v>
      </c>
    </row>
    <row r="24" spans="1:1" x14ac:dyDescent="0.25">
      <c r="A24" s="20">
        <v>12037</v>
      </c>
    </row>
    <row r="25" spans="1:1" x14ac:dyDescent="0.25">
      <c r="A25" s="20">
        <v>12039</v>
      </c>
    </row>
    <row r="26" spans="1:1" x14ac:dyDescent="0.25">
      <c r="A26" s="20">
        <v>12045</v>
      </c>
    </row>
    <row r="27" spans="1:1" x14ac:dyDescent="0.25">
      <c r="A27" s="20">
        <v>12049</v>
      </c>
    </row>
    <row r="28" spans="1:1" x14ac:dyDescent="0.25">
      <c r="A28" s="20">
        <v>12051</v>
      </c>
    </row>
    <row r="29" spans="1:1" x14ac:dyDescent="0.25">
      <c r="A29" s="20">
        <v>12053</v>
      </c>
    </row>
    <row r="30" spans="1:1" x14ac:dyDescent="0.25">
      <c r="A30" s="20">
        <v>12055</v>
      </c>
    </row>
    <row r="31" spans="1:1" x14ac:dyDescent="0.25">
      <c r="A31" s="20">
        <v>12057</v>
      </c>
    </row>
    <row r="32" spans="1:1" x14ac:dyDescent="0.25">
      <c r="A32" s="20">
        <v>12059</v>
      </c>
    </row>
    <row r="33" spans="1:1" x14ac:dyDescent="0.25">
      <c r="A33" s="20">
        <v>12061</v>
      </c>
    </row>
    <row r="34" spans="1:1" x14ac:dyDescent="0.25">
      <c r="A34" s="20">
        <v>12063</v>
      </c>
    </row>
    <row r="35" spans="1:1" x14ac:dyDescent="0.25">
      <c r="A35" s="20">
        <v>12069</v>
      </c>
    </row>
    <row r="36" spans="1:1" x14ac:dyDescent="0.25">
      <c r="A36" s="20">
        <v>12071</v>
      </c>
    </row>
    <row r="37" spans="1:1" x14ac:dyDescent="0.25">
      <c r="A37" s="20">
        <v>12073</v>
      </c>
    </row>
    <row r="38" spans="1:1" x14ac:dyDescent="0.25">
      <c r="A38" s="20">
        <v>12075</v>
      </c>
    </row>
    <row r="39" spans="1:1" x14ac:dyDescent="0.25">
      <c r="A39" s="20">
        <v>12079</v>
      </c>
    </row>
    <row r="40" spans="1:1" x14ac:dyDescent="0.25">
      <c r="A40" s="20">
        <v>12081</v>
      </c>
    </row>
    <row r="41" spans="1:1" x14ac:dyDescent="0.25">
      <c r="A41" s="20">
        <v>12083</v>
      </c>
    </row>
    <row r="42" spans="1:1" x14ac:dyDescent="0.25">
      <c r="A42" s="20">
        <v>12085</v>
      </c>
    </row>
    <row r="43" spans="1:1" x14ac:dyDescent="0.25">
      <c r="A43" s="20">
        <v>12086</v>
      </c>
    </row>
    <row r="44" spans="1:1" x14ac:dyDescent="0.25">
      <c r="A44" s="20">
        <v>12087</v>
      </c>
    </row>
    <row r="45" spans="1:1" x14ac:dyDescent="0.25">
      <c r="A45" s="20">
        <v>12089</v>
      </c>
    </row>
    <row r="46" spans="1:1" x14ac:dyDescent="0.25">
      <c r="A46" s="20">
        <v>12091</v>
      </c>
    </row>
    <row r="47" spans="1:1" x14ac:dyDescent="0.25">
      <c r="A47" s="20">
        <v>12093</v>
      </c>
    </row>
    <row r="48" spans="1:1" x14ac:dyDescent="0.25">
      <c r="A48" s="20">
        <v>12095</v>
      </c>
    </row>
    <row r="49" spans="1:1" x14ac:dyDescent="0.25">
      <c r="A49" s="20">
        <v>12097</v>
      </c>
    </row>
    <row r="50" spans="1:1" x14ac:dyDescent="0.25">
      <c r="A50" s="20">
        <v>12099</v>
      </c>
    </row>
    <row r="51" spans="1:1" x14ac:dyDescent="0.25">
      <c r="A51" s="20">
        <v>12101</v>
      </c>
    </row>
    <row r="52" spans="1:1" x14ac:dyDescent="0.25">
      <c r="A52" s="20">
        <v>12103</v>
      </c>
    </row>
    <row r="53" spans="1:1" x14ac:dyDescent="0.25">
      <c r="A53" s="20">
        <v>12105</v>
      </c>
    </row>
    <row r="54" spans="1:1" x14ac:dyDescent="0.25">
      <c r="A54" s="20">
        <v>12107</v>
      </c>
    </row>
    <row r="55" spans="1:1" x14ac:dyDescent="0.25">
      <c r="A55" s="20">
        <v>12109</v>
      </c>
    </row>
    <row r="56" spans="1:1" x14ac:dyDescent="0.25">
      <c r="A56" s="20">
        <v>12111</v>
      </c>
    </row>
    <row r="57" spans="1:1" x14ac:dyDescent="0.25">
      <c r="A57" s="20">
        <v>12113</v>
      </c>
    </row>
    <row r="58" spans="1:1" x14ac:dyDescent="0.25">
      <c r="A58" s="20">
        <v>12115</v>
      </c>
    </row>
    <row r="59" spans="1:1" x14ac:dyDescent="0.25">
      <c r="A59" s="20">
        <v>12117</v>
      </c>
    </row>
    <row r="60" spans="1:1" x14ac:dyDescent="0.25">
      <c r="A60" s="20">
        <v>12121</v>
      </c>
    </row>
    <row r="61" spans="1:1" x14ac:dyDescent="0.25">
      <c r="A61" s="20">
        <v>12123</v>
      </c>
    </row>
    <row r="62" spans="1:1" x14ac:dyDescent="0.25">
      <c r="A62" s="20">
        <v>12125</v>
      </c>
    </row>
    <row r="63" spans="1:1" x14ac:dyDescent="0.25">
      <c r="A63" s="20">
        <v>12127</v>
      </c>
    </row>
    <row r="64" spans="1:1" x14ac:dyDescent="0.25">
      <c r="A64" s="20">
        <v>12131</v>
      </c>
    </row>
    <row r="65" spans="1:1" x14ac:dyDescent="0.25">
      <c r="A65" s="20">
        <v>12133</v>
      </c>
    </row>
    <row r="66" spans="1:1" x14ac:dyDescent="0.25">
      <c r="A66" s="20">
        <v>13001</v>
      </c>
    </row>
    <row r="67" spans="1:1" x14ac:dyDescent="0.25">
      <c r="A67" s="20">
        <v>13005</v>
      </c>
    </row>
    <row r="68" spans="1:1" x14ac:dyDescent="0.25">
      <c r="A68" s="20">
        <v>13009</v>
      </c>
    </row>
    <row r="69" spans="1:1" x14ac:dyDescent="0.25">
      <c r="A69" s="20">
        <v>13013</v>
      </c>
    </row>
    <row r="70" spans="1:1" x14ac:dyDescent="0.25">
      <c r="A70" s="20">
        <v>13015</v>
      </c>
    </row>
    <row r="71" spans="1:1" x14ac:dyDescent="0.25">
      <c r="A71" s="20">
        <v>13017</v>
      </c>
    </row>
    <row r="72" spans="1:1" x14ac:dyDescent="0.25">
      <c r="A72" s="20">
        <v>13019</v>
      </c>
    </row>
    <row r="73" spans="1:1" x14ac:dyDescent="0.25">
      <c r="A73" s="20">
        <v>13021</v>
      </c>
    </row>
    <row r="74" spans="1:1" x14ac:dyDescent="0.25">
      <c r="A74" s="20">
        <v>13023</v>
      </c>
    </row>
    <row r="75" spans="1:1" x14ac:dyDescent="0.25">
      <c r="A75" s="20">
        <v>13027</v>
      </c>
    </row>
    <row r="76" spans="1:1" x14ac:dyDescent="0.25">
      <c r="A76" s="20">
        <v>13031</v>
      </c>
    </row>
    <row r="77" spans="1:1" x14ac:dyDescent="0.25">
      <c r="A77" s="20">
        <v>13033</v>
      </c>
    </row>
    <row r="78" spans="1:1" x14ac:dyDescent="0.25">
      <c r="A78" s="20">
        <v>13035</v>
      </c>
    </row>
    <row r="79" spans="1:1" x14ac:dyDescent="0.25">
      <c r="A79" s="20">
        <v>13037</v>
      </c>
    </row>
    <row r="80" spans="1:1" x14ac:dyDescent="0.25">
      <c r="A80" s="20">
        <v>13039</v>
      </c>
    </row>
    <row r="81" spans="1:1" x14ac:dyDescent="0.25">
      <c r="A81" s="20">
        <v>13043</v>
      </c>
    </row>
    <row r="82" spans="1:1" x14ac:dyDescent="0.25">
      <c r="A82" s="20">
        <v>13045</v>
      </c>
    </row>
    <row r="83" spans="1:1" x14ac:dyDescent="0.25">
      <c r="A83" s="20">
        <v>13047</v>
      </c>
    </row>
    <row r="84" spans="1:1" x14ac:dyDescent="0.25">
      <c r="A84" s="20">
        <v>13049</v>
      </c>
    </row>
    <row r="85" spans="1:1" x14ac:dyDescent="0.25">
      <c r="A85" s="20">
        <v>13051</v>
      </c>
    </row>
    <row r="86" spans="1:1" x14ac:dyDescent="0.25">
      <c r="A86" s="20">
        <v>13057</v>
      </c>
    </row>
    <row r="87" spans="1:1" x14ac:dyDescent="0.25">
      <c r="A87" s="20">
        <v>13059</v>
      </c>
    </row>
    <row r="88" spans="1:1" x14ac:dyDescent="0.25">
      <c r="A88" s="20">
        <v>13063</v>
      </c>
    </row>
    <row r="89" spans="1:1" x14ac:dyDescent="0.25">
      <c r="A89" s="20">
        <v>13065</v>
      </c>
    </row>
    <row r="90" spans="1:1" x14ac:dyDescent="0.25">
      <c r="A90" s="20">
        <v>13067</v>
      </c>
    </row>
    <row r="91" spans="1:1" x14ac:dyDescent="0.25">
      <c r="A91" s="20">
        <v>13069</v>
      </c>
    </row>
    <row r="92" spans="1:1" x14ac:dyDescent="0.25">
      <c r="A92" s="20">
        <v>13071</v>
      </c>
    </row>
    <row r="93" spans="1:1" x14ac:dyDescent="0.25">
      <c r="A93" s="20">
        <v>13073</v>
      </c>
    </row>
    <row r="94" spans="1:1" x14ac:dyDescent="0.25">
      <c r="A94" s="20">
        <v>13075</v>
      </c>
    </row>
    <row r="95" spans="1:1" x14ac:dyDescent="0.25">
      <c r="A95" s="20">
        <v>13077</v>
      </c>
    </row>
    <row r="96" spans="1:1" x14ac:dyDescent="0.25">
      <c r="A96" s="20">
        <v>13081</v>
      </c>
    </row>
    <row r="97" spans="1:1" x14ac:dyDescent="0.25">
      <c r="A97" s="20">
        <v>13083</v>
      </c>
    </row>
    <row r="98" spans="1:1" x14ac:dyDescent="0.25">
      <c r="A98" s="20">
        <v>13087</v>
      </c>
    </row>
    <row r="99" spans="1:1" x14ac:dyDescent="0.25">
      <c r="A99" s="20">
        <v>13089</v>
      </c>
    </row>
    <row r="100" spans="1:1" x14ac:dyDescent="0.25">
      <c r="A100" s="20">
        <v>13091</v>
      </c>
    </row>
    <row r="101" spans="1:1" x14ac:dyDescent="0.25">
      <c r="A101" s="20">
        <v>13095</v>
      </c>
    </row>
    <row r="102" spans="1:1" x14ac:dyDescent="0.25">
      <c r="A102" s="20">
        <v>13097</v>
      </c>
    </row>
    <row r="103" spans="1:1" x14ac:dyDescent="0.25">
      <c r="A103" s="20">
        <v>13099</v>
      </c>
    </row>
    <row r="104" spans="1:1" x14ac:dyDescent="0.25">
      <c r="A104" s="20">
        <v>13103</v>
      </c>
    </row>
    <row r="105" spans="1:1" x14ac:dyDescent="0.25">
      <c r="A105" s="20">
        <v>13105</v>
      </c>
    </row>
    <row r="106" spans="1:1" x14ac:dyDescent="0.25">
      <c r="A106" s="20">
        <v>13107</v>
      </c>
    </row>
    <row r="107" spans="1:1" x14ac:dyDescent="0.25">
      <c r="A107" s="20">
        <v>13109</v>
      </c>
    </row>
    <row r="108" spans="1:1" x14ac:dyDescent="0.25">
      <c r="A108" s="20">
        <v>13111</v>
      </c>
    </row>
    <row r="109" spans="1:1" x14ac:dyDescent="0.25">
      <c r="A109" s="20">
        <v>13113</v>
      </c>
    </row>
    <row r="110" spans="1:1" x14ac:dyDescent="0.25">
      <c r="A110" s="20">
        <v>13115</v>
      </c>
    </row>
    <row r="111" spans="1:1" x14ac:dyDescent="0.25">
      <c r="A111" s="20">
        <v>13117</v>
      </c>
    </row>
    <row r="112" spans="1:1" x14ac:dyDescent="0.25">
      <c r="A112" s="20">
        <v>13119</v>
      </c>
    </row>
    <row r="113" spans="1:1" x14ac:dyDescent="0.25">
      <c r="A113" s="20">
        <v>13121</v>
      </c>
    </row>
    <row r="114" spans="1:1" x14ac:dyDescent="0.25">
      <c r="A114" s="20">
        <v>13123</v>
      </c>
    </row>
    <row r="115" spans="1:1" x14ac:dyDescent="0.25">
      <c r="A115" s="20">
        <v>13127</v>
      </c>
    </row>
    <row r="116" spans="1:1" x14ac:dyDescent="0.25">
      <c r="A116" s="20">
        <v>13129</v>
      </c>
    </row>
    <row r="117" spans="1:1" x14ac:dyDescent="0.25">
      <c r="A117" s="20">
        <v>13131</v>
      </c>
    </row>
    <row r="118" spans="1:1" x14ac:dyDescent="0.25">
      <c r="A118" s="20">
        <v>13133</v>
      </c>
    </row>
    <row r="119" spans="1:1" x14ac:dyDescent="0.25">
      <c r="A119" s="20">
        <v>13135</v>
      </c>
    </row>
    <row r="120" spans="1:1" x14ac:dyDescent="0.25">
      <c r="A120" s="20">
        <v>13137</v>
      </c>
    </row>
    <row r="121" spans="1:1" x14ac:dyDescent="0.25">
      <c r="A121" s="20">
        <v>13139</v>
      </c>
    </row>
    <row r="122" spans="1:1" x14ac:dyDescent="0.25">
      <c r="A122" s="20">
        <v>13143</v>
      </c>
    </row>
    <row r="123" spans="1:1" x14ac:dyDescent="0.25">
      <c r="A123" s="20">
        <v>13147</v>
      </c>
    </row>
    <row r="124" spans="1:1" x14ac:dyDescent="0.25">
      <c r="A124" s="20">
        <v>13151</v>
      </c>
    </row>
    <row r="125" spans="1:1" x14ac:dyDescent="0.25">
      <c r="A125" s="20">
        <v>13153</v>
      </c>
    </row>
    <row r="126" spans="1:1" x14ac:dyDescent="0.25">
      <c r="A126" s="20">
        <v>13155</v>
      </c>
    </row>
    <row r="127" spans="1:1" x14ac:dyDescent="0.25">
      <c r="A127" s="20">
        <v>13157</v>
      </c>
    </row>
    <row r="128" spans="1:1" x14ac:dyDescent="0.25">
      <c r="A128" s="20">
        <v>13159</v>
      </c>
    </row>
    <row r="129" spans="1:1" x14ac:dyDescent="0.25">
      <c r="A129" s="20">
        <v>13161</v>
      </c>
    </row>
    <row r="130" spans="1:1" x14ac:dyDescent="0.25">
      <c r="A130" s="20">
        <v>13163</v>
      </c>
    </row>
    <row r="131" spans="1:1" x14ac:dyDescent="0.25">
      <c r="A131" s="20">
        <v>13165</v>
      </c>
    </row>
    <row r="132" spans="1:1" x14ac:dyDescent="0.25">
      <c r="A132" s="20">
        <v>13173</v>
      </c>
    </row>
    <row r="133" spans="1:1" x14ac:dyDescent="0.25">
      <c r="A133" s="20">
        <v>13175</v>
      </c>
    </row>
    <row r="134" spans="1:1" x14ac:dyDescent="0.25">
      <c r="A134" s="20">
        <v>13179</v>
      </c>
    </row>
    <row r="135" spans="1:1" x14ac:dyDescent="0.25">
      <c r="A135" s="20">
        <v>13185</v>
      </c>
    </row>
    <row r="136" spans="1:1" x14ac:dyDescent="0.25">
      <c r="A136" s="20">
        <v>13187</v>
      </c>
    </row>
    <row r="137" spans="1:1" x14ac:dyDescent="0.25">
      <c r="A137" s="20">
        <v>13189</v>
      </c>
    </row>
    <row r="138" spans="1:1" x14ac:dyDescent="0.25">
      <c r="A138" s="20">
        <v>13193</v>
      </c>
    </row>
    <row r="139" spans="1:1" x14ac:dyDescent="0.25">
      <c r="A139" s="20">
        <v>13199</v>
      </c>
    </row>
    <row r="140" spans="1:1" x14ac:dyDescent="0.25">
      <c r="A140" s="20">
        <v>13201</v>
      </c>
    </row>
    <row r="141" spans="1:1" x14ac:dyDescent="0.25">
      <c r="A141" s="20">
        <v>13205</v>
      </c>
    </row>
    <row r="142" spans="1:1" x14ac:dyDescent="0.25">
      <c r="A142" s="20">
        <v>13207</v>
      </c>
    </row>
    <row r="143" spans="1:1" x14ac:dyDescent="0.25">
      <c r="A143" s="20">
        <v>13211</v>
      </c>
    </row>
    <row r="144" spans="1:1" x14ac:dyDescent="0.25">
      <c r="A144" s="20">
        <v>13213</v>
      </c>
    </row>
    <row r="145" spans="1:1" x14ac:dyDescent="0.25">
      <c r="A145" s="20">
        <v>13215</v>
      </c>
    </row>
    <row r="146" spans="1:1" x14ac:dyDescent="0.25">
      <c r="A146" s="20">
        <v>13217</v>
      </c>
    </row>
    <row r="147" spans="1:1" x14ac:dyDescent="0.25">
      <c r="A147" s="20">
        <v>13223</v>
      </c>
    </row>
    <row r="148" spans="1:1" x14ac:dyDescent="0.25">
      <c r="A148" s="20">
        <v>13225</v>
      </c>
    </row>
    <row r="149" spans="1:1" x14ac:dyDescent="0.25">
      <c r="A149" s="20">
        <v>13227</v>
      </c>
    </row>
    <row r="150" spans="1:1" x14ac:dyDescent="0.25">
      <c r="A150" s="20">
        <v>13233</v>
      </c>
    </row>
    <row r="151" spans="1:1" x14ac:dyDescent="0.25">
      <c r="A151" s="20">
        <v>13235</v>
      </c>
    </row>
    <row r="152" spans="1:1" x14ac:dyDescent="0.25">
      <c r="A152" s="20">
        <v>13237</v>
      </c>
    </row>
    <row r="153" spans="1:1" x14ac:dyDescent="0.25">
      <c r="A153" s="20">
        <v>13241</v>
      </c>
    </row>
    <row r="154" spans="1:1" x14ac:dyDescent="0.25">
      <c r="A154" s="20">
        <v>13243</v>
      </c>
    </row>
    <row r="155" spans="1:1" x14ac:dyDescent="0.25">
      <c r="A155" s="20">
        <v>13245</v>
      </c>
    </row>
    <row r="156" spans="1:1" x14ac:dyDescent="0.25">
      <c r="A156" s="20">
        <v>13247</v>
      </c>
    </row>
    <row r="157" spans="1:1" x14ac:dyDescent="0.25">
      <c r="A157" s="20">
        <v>13251</v>
      </c>
    </row>
    <row r="158" spans="1:1" x14ac:dyDescent="0.25">
      <c r="A158" s="20">
        <v>13253</v>
      </c>
    </row>
    <row r="159" spans="1:1" x14ac:dyDescent="0.25">
      <c r="A159" s="20">
        <v>13255</v>
      </c>
    </row>
    <row r="160" spans="1:1" x14ac:dyDescent="0.25">
      <c r="A160" s="20">
        <v>13257</v>
      </c>
    </row>
    <row r="161" spans="1:1" x14ac:dyDescent="0.25">
      <c r="A161" s="20">
        <v>13259</v>
      </c>
    </row>
    <row r="162" spans="1:1" x14ac:dyDescent="0.25">
      <c r="A162" s="20">
        <v>13261</v>
      </c>
    </row>
    <row r="163" spans="1:1" x14ac:dyDescent="0.25">
      <c r="A163" s="20">
        <v>13267</v>
      </c>
    </row>
    <row r="164" spans="1:1" x14ac:dyDescent="0.25">
      <c r="A164" s="20">
        <v>13275</v>
      </c>
    </row>
    <row r="165" spans="1:1" x14ac:dyDescent="0.25">
      <c r="A165" s="20">
        <v>13277</v>
      </c>
    </row>
    <row r="166" spans="1:1" x14ac:dyDescent="0.25">
      <c r="A166" s="20">
        <v>13279</v>
      </c>
    </row>
    <row r="167" spans="1:1" x14ac:dyDescent="0.25">
      <c r="A167" s="20">
        <v>13281</v>
      </c>
    </row>
    <row r="168" spans="1:1" x14ac:dyDescent="0.25">
      <c r="A168" s="20">
        <v>13285</v>
      </c>
    </row>
    <row r="169" spans="1:1" x14ac:dyDescent="0.25">
      <c r="A169" s="20">
        <v>13291</v>
      </c>
    </row>
    <row r="170" spans="1:1" x14ac:dyDescent="0.25">
      <c r="A170" s="20">
        <v>13293</v>
      </c>
    </row>
    <row r="171" spans="1:1" x14ac:dyDescent="0.25">
      <c r="A171" s="20">
        <v>13297</v>
      </c>
    </row>
    <row r="172" spans="1:1" x14ac:dyDescent="0.25">
      <c r="A172" s="20">
        <v>13299</v>
      </c>
    </row>
    <row r="173" spans="1:1" x14ac:dyDescent="0.25">
      <c r="A173" s="20">
        <v>13303</v>
      </c>
    </row>
    <row r="174" spans="1:1" x14ac:dyDescent="0.25">
      <c r="A174" s="20">
        <v>13305</v>
      </c>
    </row>
    <row r="175" spans="1:1" x14ac:dyDescent="0.25">
      <c r="A175" s="20">
        <v>13309</v>
      </c>
    </row>
    <row r="176" spans="1:1" x14ac:dyDescent="0.25">
      <c r="A176" s="20">
        <v>13313</v>
      </c>
    </row>
    <row r="177" spans="1:1" x14ac:dyDescent="0.25">
      <c r="A177" s="20">
        <v>13317</v>
      </c>
    </row>
    <row r="178" spans="1:1" x14ac:dyDescent="0.25">
      <c r="A178" s="20">
        <v>13321</v>
      </c>
    </row>
    <row r="179" spans="1:1" x14ac:dyDescent="0.25">
      <c r="A179" s="20">
        <v>15001</v>
      </c>
    </row>
    <row r="180" spans="1:1" x14ac:dyDescent="0.25">
      <c r="A180" s="20">
        <v>15003</v>
      </c>
    </row>
    <row r="181" spans="1:1" x14ac:dyDescent="0.25">
      <c r="A181" s="20">
        <v>15007</v>
      </c>
    </row>
    <row r="182" spans="1:1" x14ac:dyDescent="0.25">
      <c r="A182" s="20">
        <v>15009</v>
      </c>
    </row>
    <row r="183" spans="1:1" x14ac:dyDescent="0.25">
      <c r="A183" s="20">
        <v>16001</v>
      </c>
    </row>
    <row r="184" spans="1:1" x14ac:dyDescent="0.25">
      <c r="A184" s="20">
        <v>16005</v>
      </c>
    </row>
    <row r="185" spans="1:1" x14ac:dyDescent="0.25">
      <c r="A185" s="20">
        <v>16007</v>
      </c>
    </row>
    <row r="186" spans="1:1" x14ac:dyDescent="0.25">
      <c r="A186" s="20">
        <v>16009</v>
      </c>
    </row>
    <row r="187" spans="1:1" x14ac:dyDescent="0.25">
      <c r="A187" s="20">
        <v>16011</v>
      </c>
    </row>
    <row r="188" spans="1:1" x14ac:dyDescent="0.25">
      <c r="A188" s="20">
        <v>16013</v>
      </c>
    </row>
    <row r="189" spans="1:1" x14ac:dyDescent="0.25">
      <c r="A189" s="20">
        <v>16017</v>
      </c>
    </row>
    <row r="190" spans="1:1" x14ac:dyDescent="0.25">
      <c r="A190" s="20">
        <v>16019</v>
      </c>
    </row>
    <row r="191" spans="1:1" x14ac:dyDescent="0.25">
      <c r="A191" s="20">
        <v>16021</v>
      </c>
    </row>
    <row r="192" spans="1:1" x14ac:dyDescent="0.25">
      <c r="A192" s="20">
        <v>16023</v>
      </c>
    </row>
    <row r="193" spans="1:1" x14ac:dyDescent="0.25">
      <c r="A193" s="20">
        <v>16027</v>
      </c>
    </row>
    <row r="194" spans="1:1" x14ac:dyDescent="0.25">
      <c r="A194" s="20">
        <v>16029</v>
      </c>
    </row>
    <row r="195" spans="1:1" x14ac:dyDescent="0.25">
      <c r="A195" s="20">
        <v>16031</v>
      </c>
    </row>
    <row r="196" spans="1:1" x14ac:dyDescent="0.25">
      <c r="A196" s="20">
        <v>16035</v>
      </c>
    </row>
    <row r="197" spans="1:1" x14ac:dyDescent="0.25">
      <c r="A197" s="20">
        <v>16039</v>
      </c>
    </row>
    <row r="198" spans="1:1" x14ac:dyDescent="0.25">
      <c r="A198" s="20">
        <v>16041</v>
      </c>
    </row>
    <row r="199" spans="1:1" x14ac:dyDescent="0.25">
      <c r="A199" s="20">
        <v>16045</v>
      </c>
    </row>
    <row r="200" spans="1:1" x14ac:dyDescent="0.25">
      <c r="A200" s="20">
        <v>16047</v>
      </c>
    </row>
    <row r="201" spans="1:1" x14ac:dyDescent="0.25">
      <c r="A201" s="20">
        <v>16049</v>
      </c>
    </row>
    <row r="202" spans="1:1" x14ac:dyDescent="0.25">
      <c r="A202" s="20">
        <v>16053</v>
      </c>
    </row>
    <row r="203" spans="1:1" x14ac:dyDescent="0.25">
      <c r="A203" s="20">
        <v>16055</v>
      </c>
    </row>
    <row r="204" spans="1:1" x14ac:dyDescent="0.25">
      <c r="A204" s="20">
        <v>16057</v>
      </c>
    </row>
    <row r="205" spans="1:1" x14ac:dyDescent="0.25">
      <c r="A205" s="20">
        <v>16059</v>
      </c>
    </row>
    <row r="206" spans="1:1" x14ac:dyDescent="0.25">
      <c r="A206" s="20">
        <v>16065</v>
      </c>
    </row>
    <row r="207" spans="1:1" x14ac:dyDescent="0.25">
      <c r="A207" s="20">
        <v>16067</v>
      </c>
    </row>
    <row r="208" spans="1:1" x14ac:dyDescent="0.25">
      <c r="A208" s="20">
        <v>16069</v>
      </c>
    </row>
    <row r="209" spans="1:1" x14ac:dyDescent="0.25">
      <c r="A209" s="20">
        <v>16071</v>
      </c>
    </row>
    <row r="210" spans="1:1" x14ac:dyDescent="0.25">
      <c r="A210" s="20">
        <v>16077</v>
      </c>
    </row>
    <row r="211" spans="1:1" x14ac:dyDescent="0.25">
      <c r="A211" s="20">
        <v>16079</v>
      </c>
    </row>
    <row r="212" spans="1:1" x14ac:dyDescent="0.25">
      <c r="A212" s="20">
        <v>16081</v>
      </c>
    </row>
    <row r="213" spans="1:1" x14ac:dyDescent="0.25">
      <c r="A213" s="20">
        <v>16083</v>
      </c>
    </row>
    <row r="214" spans="1:1" x14ac:dyDescent="0.25">
      <c r="A214" s="20">
        <v>16085</v>
      </c>
    </row>
    <row r="215" spans="1:1" x14ac:dyDescent="0.25">
      <c r="A215" s="20">
        <v>16087</v>
      </c>
    </row>
    <row r="216" spans="1:1" x14ac:dyDescent="0.25">
      <c r="A216" s="20">
        <v>17001</v>
      </c>
    </row>
    <row r="217" spans="1:1" x14ac:dyDescent="0.25">
      <c r="A217" s="20">
        <v>17005</v>
      </c>
    </row>
    <row r="218" spans="1:1" x14ac:dyDescent="0.25">
      <c r="A218" s="20">
        <v>17007</v>
      </c>
    </row>
    <row r="219" spans="1:1" x14ac:dyDescent="0.25">
      <c r="A219" s="20">
        <v>17011</v>
      </c>
    </row>
    <row r="220" spans="1:1" x14ac:dyDescent="0.25">
      <c r="A220" s="20">
        <v>17019</v>
      </c>
    </row>
    <row r="221" spans="1:1" x14ac:dyDescent="0.25">
      <c r="A221" s="20">
        <v>17021</v>
      </c>
    </row>
    <row r="222" spans="1:1" x14ac:dyDescent="0.25">
      <c r="A222" s="20">
        <v>17025</v>
      </c>
    </row>
    <row r="223" spans="1:1" x14ac:dyDescent="0.25">
      <c r="A223" s="20">
        <v>17027</v>
      </c>
    </row>
    <row r="224" spans="1:1" x14ac:dyDescent="0.25">
      <c r="A224" s="20">
        <v>17029</v>
      </c>
    </row>
    <row r="225" spans="1:1" x14ac:dyDescent="0.25">
      <c r="A225" s="20">
        <v>17031</v>
      </c>
    </row>
    <row r="226" spans="1:1" x14ac:dyDescent="0.25">
      <c r="A226" s="20">
        <v>17033</v>
      </c>
    </row>
    <row r="227" spans="1:1" x14ac:dyDescent="0.25">
      <c r="A227" s="20">
        <v>17037</v>
      </c>
    </row>
    <row r="228" spans="1:1" x14ac:dyDescent="0.25">
      <c r="A228" s="20">
        <v>17039</v>
      </c>
    </row>
    <row r="229" spans="1:1" x14ac:dyDescent="0.25">
      <c r="A229" s="20">
        <v>17043</v>
      </c>
    </row>
    <row r="230" spans="1:1" x14ac:dyDescent="0.25">
      <c r="A230" s="20">
        <v>17045</v>
      </c>
    </row>
    <row r="231" spans="1:1" x14ac:dyDescent="0.25">
      <c r="A231" s="20">
        <v>17049</v>
      </c>
    </row>
    <row r="232" spans="1:1" x14ac:dyDescent="0.25">
      <c r="A232" s="20">
        <v>17051</v>
      </c>
    </row>
    <row r="233" spans="1:1" x14ac:dyDescent="0.25">
      <c r="A233" s="20">
        <v>17053</v>
      </c>
    </row>
    <row r="234" spans="1:1" x14ac:dyDescent="0.25">
      <c r="A234" s="20">
        <v>17055</v>
      </c>
    </row>
    <row r="235" spans="1:1" x14ac:dyDescent="0.25">
      <c r="A235" s="20">
        <v>17057</v>
      </c>
    </row>
    <row r="236" spans="1:1" x14ac:dyDescent="0.25">
      <c r="A236" s="20">
        <v>17061</v>
      </c>
    </row>
    <row r="237" spans="1:1" x14ac:dyDescent="0.25">
      <c r="A237" s="20">
        <v>17063</v>
      </c>
    </row>
    <row r="238" spans="1:1" x14ac:dyDescent="0.25">
      <c r="A238" s="20">
        <v>17065</v>
      </c>
    </row>
    <row r="239" spans="1:1" x14ac:dyDescent="0.25">
      <c r="A239" s="20">
        <v>17067</v>
      </c>
    </row>
    <row r="240" spans="1:1" x14ac:dyDescent="0.25">
      <c r="A240" s="20">
        <v>17069</v>
      </c>
    </row>
    <row r="241" spans="1:1" x14ac:dyDescent="0.25">
      <c r="A241" s="20">
        <v>17073</v>
      </c>
    </row>
    <row r="242" spans="1:1" x14ac:dyDescent="0.25">
      <c r="A242" s="20">
        <v>17075</v>
      </c>
    </row>
    <row r="243" spans="1:1" x14ac:dyDescent="0.25">
      <c r="A243" s="20">
        <v>17077</v>
      </c>
    </row>
    <row r="244" spans="1:1" x14ac:dyDescent="0.25">
      <c r="A244" s="20">
        <v>17081</v>
      </c>
    </row>
    <row r="245" spans="1:1" x14ac:dyDescent="0.25">
      <c r="A245" s="20">
        <v>17083</v>
      </c>
    </row>
    <row r="246" spans="1:1" x14ac:dyDescent="0.25">
      <c r="A246" s="20">
        <v>17085</v>
      </c>
    </row>
    <row r="247" spans="1:1" x14ac:dyDescent="0.25">
      <c r="A247" s="20">
        <v>17089</v>
      </c>
    </row>
    <row r="248" spans="1:1" x14ac:dyDescent="0.25">
      <c r="A248" s="20">
        <v>17091</v>
      </c>
    </row>
    <row r="249" spans="1:1" x14ac:dyDescent="0.25">
      <c r="A249" s="20">
        <v>17095</v>
      </c>
    </row>
    <row r="250" spans="1:1" x14ac:dyDescent="0.25">
      <c r="A250" s="20">
        <v>17097</v>
      </c>
    </row>
    <row r="251" spans="1:1" x14ac:dyDescent="0.25">
      <c r="A251" s="20">
        <v>17099</v>
      </c>
    </row>
    <row r="252" spans="1:1" x14ac:dyDescent="0.25">
      <c r="A252" s="20">
        <v>17101</v>
      </c>
    </row>
    <row r="253" spans="1:1" x14ac:dyDescent="0.25">
      <c r="A253" s="20">
        <v>17103</v>
      </c>
    </row>
    <row r="254" spans="1:1" x14ac:dyDescent="0.25">
      <c r="A254" s="20">
        <v>17105</v>
      </c>
    </row>
    <row r="255" spans="1:1" x14ac:dyDescent="0.25">
      <c r="A255" s="20">
        <v>17107</v>
      </c>
    </row>
    <row r="256" spans="1:1" x14ac:dyDescent="0.25">
      <c r="A256" s="20">
        <v>17109</v>
      </c>
    </row>
    <row r="257" spans="1:1" x14ac:dyDescent="0.25">
      <c r="A257" s="20">
        <v>17111</v>
      </c>
    </row>
    <row r="258" spans="1:1" x14ac:dyDescent="0.25">
      <c r="A258" s="20">
        <v>17113</v>
      </c>
    </row>
    <row r="259" spans="1:1" x14ac:dyDescent="0.25">
      <c r="A259" s="20">
        <v>17115</v>
      </c>
    </row>
    <row r="260" spans="1:1" x14ac:dyDescent="0.25">
      <c r="A260" s="20">
        <v>17117</v>
      </c>
    </row>
    <row r="261" spans="1:1" x14ac:dyDescent="0.25">
      <c r="A261" s="20">
        <v>17119</v>
      </c>
    </row>
    <row r="262" spans="1:1" x14ac:dyDescent="0.25">
      <c r="A262" s="20">
        <v>17121</v>
      </c>
    </row>
    <row r="263" spans="1:1" x14ac:dyDescent="0.25">
      <c r="A263" s="20">
        <v>17125</v>
      </c>
    </row>
    <row r="264" spans="1:1" x14ac:dyDescent="0.25">
      <c r="A264" s="20">
        <v>17127</v>
      </c>
    </row>
    <row r="265" spans="1:1" x14ac:dyDescent="0.25">
      <c r="A265" s="20">
        <v>17131</v>
      </c>
    </row>
    <row r="266" spans="1:1" x14ac:dyDescent="0.25">
      <c r="A266" s="20">
        <v>17135</v>
      </c>
    </row>
    <row r="267" spans="1:1" x14ac:dyDescent="0.25">
      <c r="A267" s="20">
        <v>17137</v>
      </c>
    </row>
    <row r="268" spans="1:1" x14ac:dyDescent="0.25">
      <c r="A268" s="20">
        <v>17141</v>
      </c>
    </row>
    <row r="269" spans="1:1" x14ac:dyDescent="0.25">
      <c r="A269" s="20">
        <v>17143</v>
      </c>
    </row>
    <row r="270" spans="1:1" x14ac:dyDescent="0.25">
      <c r="A270" s="20">
        <v>17145</v>
      </c>
    </row>
    <row r="271" spans="1:1" x14ac:dyDescent="0.25">
      <c r="A271" s="20">
        <v>17147</v>
      </c>
    </row>
    <row r="272" spans="1:1" x14ac:dyDescent="0.25">
      <c r="A272" s="20">
        <v>17149</v>
      </c>
    </row>
    <row r="273" spans="1:1" x14ac:dyDescent="0.25">
      <c r="A273" s="20">
        <v>17157</v>
      </c>
    </row>
    <row r="274" spans="1:1" x14ac:dyDescent="0.25">
      <c r="A274" s="20">
        <v>17159</v>
      </c>
    </row>
    <row r="275" spans="1:1" x14ac:dyDescent="0.25">
      <c r="A275" s="20">
        <v>17161</v>
      </c>
    </row>
    <row r="276" spans="1:1" x14ac:dyDescent="0.25">
      <c r="A276" s="20">
        <v>17163</v>
      </c>
    </row>
    <row r="277" spans="1:1" x14ac:dyDescent="0.25">
      <c r="A277" s="20">
        <v>17165</v>
      </c>
    </row>
    <row r="278" spans="1:1" x14ac:dyDescent="0.25">
      <c r="A278" s="20">
        <v>17167</v>
      </c>
    </row>
    <row r="279" spans="1:1" x14ac:dyDescent="0.25">
      <c r="A279" s="20">
        <v>17169</v>
      </c>
    </row>
    <row r="280" spans="1:1" x14ac:dyDescent="0.25">
      <c r="A280" s="20">
        <v>17173</v>
      </c>
    </row>
    <row r="281" spans="1:1" x14ac:dyDescent="0.25">
      <c r="A281" s="20">
        <v>17177</v>
      </c>
    </row>
    <row r="282" spans="1:1" x14ac:dyDescent="0.25">
      <c r="A282" s="20">
        <v>17179</v>
      </c>
    </row>
    <row r="283" spans="1:1" x14ac:dyDescent="0.25">
      <c r="A283" s="20">
        <v>17181</v>
      </c>
    </row>
    <row r="284" spans="1:1" x14ac:dyDescent="0.25">
      <c r="A284" s="20">
        <v>17183</v>
      </c>
    </row>
    <row r="285" spans="1:1" x14ac:dyDescent="0.25">
      <c r="A285" s="20">
        <v>17185</v>
      </c>
    </row>
    <row r="286" spans="1:1" x14ac:dyDescent="0.25">
      <c r="A286" s="20">
        <v>17187</v>
      </c>
    </row>
    <row r="287" spans="1:1" x14ac:dyDescent="0.25">
      <c r="A287" s="20">
        <v>17189</v>
      </c>
    </row>
    <row r="288" spans="1:1" x14ac:dyDescent="0.25">
      <c r="A288" s="20">
        <v>17191</v>
      </c>
    </row>
    <row r="289" spans="1:1" x14ac:dyDescent="0.25">
      <c r="A289" s="20">
        <v>17195</v>
      </c>
    </row>
    <row r="290" spans="1:1" x14ac:dyDescent="0.25">
      <c r="A290" s="20">
        <v>17197</v>
      </c>
    </row>
    <row r="291" spans="1:1" x14ac:dyDescent="0.25">
      <c r="A291" s="20">
        <v>17199</v>
      </c>
    </row>
    <row r="292" spans="1:1" x14ac:dyDescent="0.25">
      <c r="A292" s="20">
        <v>17201</v>
      </c>
    </row>
    <row r="293" spans="1:1" x14ac:dyDescent="0.25">
      <c r="A293" s="20">
        <v>17203</v>
      </c>
    </row>
    <row r="294" spans="1:1" x14ac:dyDescent="0.25">
      <c r="A294" s="20">
        <v>18001</v>
      </c>
    </row>
    <row r="295" spans="1:1" x14ac:dyDescent="0.25">
      <c r="A295" s="20">
        <v>18003</v>
      </c>
    </row>
    <row r="296" spans="1:1" x14ac:dyDescent="0.25">
      <c r="A296" s="20">
        <v>18005</v>
      </c>
    </row>
    <row r="297" spans="1:1" x14ac:dyDescent="0.25">
      <c r="A297" s="20">
        <v>18009</v>
      </c>
    </row>
    <row r="298" spans="1:1" x14ac:dyDescent="0.25">
      <c r="A298" s="20">
        <v>18011</v>
      </c>
    </row>
    <row r="299" spans="1:1" x14ac:dyDescent="0.25">
      <c r="A299" s="20">
        <v>18017</v>
      </c>
    </row>
    <row r="300" spans="1:1" x14ac:dyDescent="0.25">
      <c r="A300" s="20">
        <v>18019</v>
      </c>
    </row>
    <row r="301" spans="1:1" x14ac:dyDescent="0.25">
      <c r="A301" s="20">
        <v>18021</v>
      </c>
    </row>
    <row r="302" spans="1:1" x14ac:dyDescent="0.25">
      <c r="A302" s="20">
        <v>18023</v>
      </c>
    </row>
    <row r="303" spans="1:1" x14ac:dyDescent="0.25">
      <c r="A303" s="20">
        <v>18027</v>
      </c>
    </row>
    <row r="304" spans="1:1" x14ac:dyDescent="0.25">
      <c r="A304" s="20">
        <v>18029</v>
      </c>
    </row>
    <row r="305" spans="1:1" x14ac:dyDescent="0.25">
      <c r="A305" s="20">
        <v>18031</v>
      </c>
    </row>
    <row r="306" spans="1:1" x14ac:dyDescent="0.25">
      <c r="A306" s="20">
        <v>18033</v>
      </c>
    </row>
    <row r="307" spans="1:1" x14ac:dyDescent="0.25">
      <c r="A307" s="20">
        <v>18035</v>
      </c>
    </row>
    <row r="308" spans="1:1" x14ac:dyDescent="0.25">
      <c r="A308" s="20">
        <v>18037</v>
      </c>
    </row>
    <row r="309" spans="1:1" x14ac:dyDescent="0.25">
      <c r="A309" s="20">
        <v>18039</v>
      </c>
    </row>
    <row r="310" spans="1:1" x14ac:dyDescent="0.25">
      <c r="A310" s="20">
        <v>18041</v>
      </c>
    </row>
    <row r="311" spans="1:1" x14ac:dyDescent="0.25">
      <c r="A311" s="20">
        <v>18043</v>
      </c>
    </row>
    <row r="312" spans="1:1" x14ac:dyDescent="0.25">
      <c r="A312" s="20">
        <v>18049</v>
      </c>
    </row>
    <row r="313" spans="1:1" x14ac:dyDescent="0.25">
      <c r="A313" s="20">
        <v>18051</v>
      </c>
    </row>
    <row r="314" spans="1:1" x14ac:dyDescent="0.25">
      <c r="A314" s="20">
        <v>18053</v>
      </c>
    </row>
    <row r="315" spans="1:1" x14ac:dyDescent="0.25">
      <c r="A315" s="20">
        <v>18055</v>
      </c>
    </row>
    <row r="316" spans="1:1" x14ac:dyDescent="0.25">
      <c r="A316" s="20">
        <v>18057</v>
      </c>
    </row>
    <row r="317" spans="1:1" x14ac:dyDescent="0.25">
      <c r="A317" s="20">
        <v>18059</v>
      </c>
    </row>
    <row r="318" spans="1:1" x14ac:dyDescent="0.25">
      <c r="A318" s="20">
        <v>18061</v>
      </c>
    </row>
    <row r="319" spans="1:1" x14ac:dyDescent="0.25">
      <c r="A319" s="20">
        <v>18063</v>
      </c>
    </row>
    <row r="320" spans="1:1" x14ac:dyDescent="0.25">
      <c r="A320" s="20">
        <v>18065</v>
      </c>
    </row>
    <row r="321" spans="1:1" x14ac:dyDescent="0.25">
      <c r="A321" s="20">
        <v>18067</v>
      </c>
    </row>
    <row r="322" spans="1:1" x14ac:dyDescent="0.25">
      <c r="A322" s="20">
        <v>18069</v>
      </c>
    </row>
    <row r="323" spans="1:1" x14ac:dyDescent="0.25">
      <c r="A323" s="20">
        <v>18071</v>
      </c>
    </row>
    <row r="324" spans="1:1" x14ac:dyDescent="0.25">
      <c r="A324" s="20">
        <v>18073</v>
      </c>
    </row>
    <row r="325" spans="1:1" x14ac:dyDescent="0.25">
      <c r="A325" s="20">
        <v>18075</v>
      </c>
    </row>
    <row r="326" spans="1:1" x14ac:dyDescent="0.25">
      <c r="A326" s="20">
        <v>18077</v>
      </c>
    </row>
    <row r="327" spans="1:1" x14ac:dyDescent="0.25">
      <c r="A327" s="20">
        <v>18079</v>
      </c>
    </row>
    <row r="328" spans="1:1" x14ac:dyDescent="0.25">
      <c r="A328" s="20">
        <v>18081</v>
      </c>
    </row>
    <row r="329" spans="1:1" x14ac:dyDescent="0.25">
      <c r="A329" s="20">
        <v>18083</v>
      </c>
    </row>
    <row r="330" spans="1:1" x14ac:dyDescent="0.25">
      <c r="A330" s="20">
        <v>18085</v>
      </c>
    </row>
    <row r="331" spans="1:1" x14ac:dyDescent="0.25">
      <c r="A331" s="20">
        <v>18087</v>
      </c>
    </row>
    <row r="332" spans="1:1" x14ac:dyDescent="0.25">
      <c r="A332" s="20">
        <v>18089</v>
      </c>
    </row>
    <row r="333" spans="1:1" x14ac:dyDescent="0.25">
      <c r="A333" s="20">
        <v>18091</v>
      </c>
    </row>
    <row r="334" spans="1:1" x14ac:dyDescent="0.25">
      <c r="A334" s="20">
        <v>18093</v>
      </c>
    </row>
    <row r="335" spans="1:1" x14ac:dyDescent="0.25">
      <c r="A335" s="20">
        <v>18095</v>
      </c>
    </row>
    <row r="336" spans="1:1" x14ac:dyDescent="0.25">
      <c r="A336" s="20">
        <v>18097</v>
      </c>
    </row>
    <row r="337" spans="1:1" x14ac:dyDescent="0.25">
      <c r="A337" s="20">
        <v>18099</v>
      </c>
    </row>
    <row r="338" spans="1:1" x14ac:dyDescent="0.25">
      <c r="A338" s="20">
        <v>18103</v>
      </c>
    </row>
    <row r="339" spans="1:1" x14ac:dyDescent="0.25">
      <c r="A339" s="20">
        <v>18105</v>
      </c>
    </row>
    <row r="340" spans="1:1" x14ac:dyDescent="0.25">
      <c r="A340" s="20">
        <v>18107</v>
      </c>
    </row>
    <row r="341" spans="1:1" x14ac:dyDescent="0.25">
      <c r="A341" s="20">
        <v>18109</v>
      </c>
    </row>
    <row r="342" spans="1:1" x14ac:dyDescent="0.25">
      <c r="A342" s="20">
        <v>18113</v>
      </c>
    </row>
    <row r="343" spans="1:1" x14ac:dyDescent="0.25">
      <c r="A343" s="20">
        <v>18117</v>
      </c>
    </row>
    <row r="344" spans="1:1" x14ac:dyDescent="0.25">
      <c r="A344" s="20">
        <v>18123</v>
      </c>
    </row>
    <row r="345" spans="1:1" x14ac:dyDescent="0.25">
      <c r="A345" s="20">
        <v>18127</v>
      </c>
    </row>
    <row r="346" spans="1:1" x14ac:dyDescent="0.25">
      <c r="A346" s="20">
        <v>18131</v>
      </c>
    </row>
    <row r="347" spans="1:1" x14ac:dyDescent="0.25">
      <c r="A347" s="20">
        <v>18133</v>
      </c>
    </row>
    <row r="348" spans="1:1" x14ac:dyDescent="0.25">
      <c r="A348" s="20">
        <v>18135</v>
      </c>
    </row>
    <row r="349" spans="1:1" x14ac:dyDescent="0.25">
      <c r="A349" s="20">
        <v>18137</v>
      </c>
    </row>
    <row r="350" spans="1:1" x14ac:dyDescent="0.25">
      <c r="A350" s="20">
        <v>18139</v>
      </c>
    </row>
    <row r="351" spans="1:1" x14ac:dyDescent="0.25">
      <c r="A351" s="20">
        <v>18141</v>
      </c>
    </row>
    <row r="352" spans="1:1" x14ac:dyDescent="0.25">
      <c r="A352" s="20">
        <v>18143</v>
      </c>
    </row>
    <row r="353" spans="1:1" x14ac:dyDescent="0.25">
      <c r="A353" s="20">
        <v>18145</v>
      </c>
    </row>
    <row r="354" spans="1:1" x14ac:dyDescent="0.25">
      <c r="A354" s="20">
        <v>18149</v>
      </c>
    </row>
    <row r="355" spans="1:1" x14ac:dyDescent="0.25">
      <c r="A355" s="20">
        <v>18151</v>
      </c>
    </row>
    <row r="356" spans="1:1" x14ac:dyDescent="0.25">
      <c r="A356" s="20">
        <v>18153</v>
      </c>
    </row>
    <row r="357" spans="1:1" x14ac:dyDescent="0.25">
      <c r="A357" s="20">
        <v>18157</v>
      </c>
    </row>
    <row r="358" spans="1:1" x14ac:dyDescent="0.25">
      <c r="A358" s="20">
        <v>18159</v>
      </c>
    </row>
    <row r="359" spans="1:1" x14ac:dyDescent="0.25">
      <c r="A359" s="20">
        <v>18163</v>
      </c>
    </row>
    <row r="360" spans="1:1" x14ac:dyDescent="0.25">
      <c r="A360" s="20">
        <v>18165</v>
      </c>
    </row>
    <row r="361" spans="1:1" x14ac:dyDescent="0.25">
      <c r="A361" s="20">
        <v>18167</v>
      </c>
    </row>
    <row r="362" spans="1:1" x14ac:dyDescent="0.25">
      <c r="A362" s="20">
        <v>18169</v>
      </c>
    </row>
    <row r="363" spans="1:1" x14ac:dyDescent="0.25">
      <c r="A363" s="20">
        <v>18171</v>
      </c>
    </row>
    <row r="364" spans="1:1" x14ac:dyDescent="0.25">
      <c r="A364" s="20">
        <v>18173</v>
      </c>
    </row>
    <row r="365" spans="1:1" x14ac:dyDescent="0.25">
      <c r="A365" s="20">
        <v>18175</v>
      </c>
    </row>
    <row r="366" spans="1:1" x14ac:dyDescent="0.25">
      <c r="A366" s="20">
        <v>18177</v>
      </c>
    </row>
    <row r="367" spans="1:1" x14ac:dyDescent="0.25">
      <c r="A367" s="20">
        <v>18179</v>
      </c>
    </row>
    <row r="368" spans="1:1" x14ac:dyDescent="0.25">
      <c r="A368" s="20">
        <v>18181</v>
      </c>
    </row>
    <row r="369" spans="1:1" x14ac:dyDescent="0.25">
      <c r="A369" s="20">
        <v>18183</v>
      </c>
    </row>
    <row r="370" spans="1:1" x14ac:dyDescent="0.25">
      <c r="A370" s="20">
        <v>19001</v>
      </c>
    </row>
    <row r="371" spans="1:1" x14ac:dyDescent="0.25">
      <c r="A371" s="20">
        <v>19003</v>
      </c>
    </row>
    <row r="372" spans="1:1" x14ac:dyDescent="0.25">
      <c r="A372" s="20">
        <v>19005</v>
      </c>
    </row>
    <row r="373" spans="1:1" x14ac:dyDescent="0.25">
      <c r="A373" s="20">
        <v>19007</v>
      </c>
    </row>
    <row r="374" spans="1:1" x14ac:dyDescent="0.25">
      <c r="A374" s="20">
        <v>19009</v>
      </c>
    </row>
    <row r="375" spans="1:1" x14ac:dyDescent="0.25">
      <c r="A375" s="20">
        <v>19011</v>
      </c>
    </row>
    <row r="376" spans="1:1" x14ac:dyDescent="0.25">
      <c r="A376" s="20">
        <v>19013</v>
      </c>
    </row>
    <row r="377" spans="1:1" x14ac:dyDescent="0.25">
      <c r="A377" s="20">
        <v>19015</v>
      </c>
    </row>
    <row r="378" spans="1:1" x14ac:dyDescent="0.25">
      <c r="A378" s="20">
        <v>19017</v>
      </c>
    </row>
    <row r="379" spans="1:1" x14ac:dyDescent="0.25">
      <c r="A379" s="20">
        <v>19019</v>
      </c>
    </row>
    <row r="380" spans="1:1" x14ac:dyDescent="0.25">
      <c r="A380" s="20">
        <v>19021</v>
      </c>
    </row>
    <row r="381" spans="1:1" x14ac:dyDescent="0.25">
      <c r="A381" s="20">
        <v>19025</v>
      </c>
    </row>
    <row r="382" spans="1:1" x14ac:dyDescent="0.25">
      <c r="A382" s="20">
        <v>19027</v>
      </c>
    </row>
    <row r="383" spans="1:1" x14ac:dyDescent="0.25">
      <c r="A383" s="20">
        <v>19029</v>
      </c>
    </row>
    <row r="384" spans="1:1" x14ac:dyDescent="0.25">
      <c r="A384" s="20">
        <v>19033</v>
      </c>
    </row>
    <row r="385" spans="1:1" x14ac:dyDescent="0.25">
      <c r="A385" s="20">
        <v>19035</v>
      </c>
    </row>
    <row r="386" spans="1:1" x14ac:dyDescent="0.25">
      <c r="A386" s="20">
        <v>19037</v>
      </c>
    </row>
    <row r="387" spans="1:1" x14ac:dyDescent="0.25">
      <c r="A387" s="20">
        <v>19039</v>
      </c>
    </row>
    <row r="388" spans="1:1" x14ac:dyDescent="0.25">
      <c r="A388" s="20">
        <v>19041</v>
      </c>
    </row>
    <row r="389" spans="1:1" x14ac:dyDescent="0.25">
      <c r="A389" s="20">
        <v>19043</v>
      </c>
    </row>
    <row r="390" spans="1:1" x14ac:dyDescent="0.25">
      <c r="A390" s="20">
        <v>19045</v>
      </c>
    </row>
    <row r="391" spans="1:1" x14ac:dyDescent="0.25">
      <c r="A391" s="20">
        <v>19047</v>
      </c>
    </row>
    <row r="392" spans="1:1" x14ac:dyDescent="0.25">
      <c r="A392" s="20">
        <v>19049</v>
      </c>
    </row>
    <row r="393" spans="1:1" x14ac:dyDescent="0.25">
      <c r="A393" s="20">
        <v>19051</v>
      </c>
    </row>
    <row r="394" spans="1:1" x14ac:dyDescent="0.25">
      <c r="A394" s="20">
        <v>19053</v>
      </c>
    </row>
    <row r="395" spans="1:1" x14ac:dyDescent="0.25">
      <c r="A395" s="20">
        <v>19055</v>
      </c>
    </row>
    <row r="396" spans="1:1" x14ac:dyDescent="0.25">
      <c r="A396" s="20">
        <v>19057</v>
      </c>
    </row>
    <row r="397" spans="1:1" x14ac:dyDescent="0.25">
      <c r="A397" s="20">
        <v>19059</v>
      </c>
    </row>
    <row r="398" spans="1:1" x14ac:dyDescent="0.25">
      <c r="A398" s="20">
        <v>19061</v>
      </c>
    </row>
    <row r="399" spans="1:1" x14ac:dyDescent="0.25">
      <c r="A399" s="20">
        <v>19063</v>
      </c>
    </row>
    <row r="400" spans="1:1" x14ac:dyDescent="0.25">
      <c r="A400" s="20">
        <v>19065</v>
      </c>
    </row>
    <row r="401" spans="1:1" x14ac:dyDescent="0.25">
      <c r="A401" s="20">
        <v>19067</v>
      </c>
    </row>
    <row r="402" spans="1:1" x14ac:dyDescent="0.25">
      <c r="A402" s="20">
        <v>19069</v>
      </c>
    </row>
    <row r="403" spans="1:1" x14ac:dyDescent="0.25">
      <c r="A403" s="20">
        <v>19071</v>
      </c>
    </row>
    <row r="404" spans="1:1" x14ac:dyDescent="0.25">
      <c r="A404" s="20">
        <v>19073</v>
      </c>
    </row>
    <row r="405" spans="1:1" x14ac:dyDescent="0.25">
      <c r="A405" s="20">
        <v>19075</v>
      </c>
    </row>
    <row r="406" spans="1:1" x14ac:dyDescent="0.25">
      <c r="A406" s="20">
        <v>19077</v>
      </c>
    </row>
    <row r="407" spans="1:1" x14ac:dyDescent="0.25">
      <c r="A407" s="20">
        <v>19079</v>
      </c>
    </row>
    <row r="408" spans="1:1" x14ac:dyDescent="0.25">
      <c r="A408" s="20">
        <v>19081</v>
      </c>
    </row>
    <row r="409" spans="1:1" x14ac:dyDescent="0.25">
      <c r="A409" s="20">
        <v>19083</v>
      </c>
    </row>
    <row r="410" spans="1:1" x14ac:dyDescent="0.25">
      <c r="A410" s="20">
        <v>19085</v>
      </c>
    </row>
    <row r="411" spans="1:1" x14ac:dyDescent="0.25">
      <c r="A411" s="20">
        <v>19087</v>
      </c>
    </row>
    <row r="412" spans="1:1" x14ac:dyDescent="0.25">
      <c r="A412" s="20">
        <v>19089</v>
      </c>
    </row>
    <row r="413" spans="1:1" x14ac:dyDescent="0.25">
      <c r="A413" s="20">
        <v>19091</v>
      </c>
    </row>
    <row r="414" spans="1:1" x14ac:dyDescent="0.25">
      <c r="A414" s="20">
        <v>19093</v>
      </c>
    </row>
    <row r="415" spans="1:1" x14ac:dyDescent="0.25">
      <c r="A415" s="20">
        <v>19095</v>
      </c>
    </row>
    <row r="416" spans="1:1" x14ac:dyDescent="0.25">
      <c r="A416" s="20">
        <v>19097</v>
      </c>
    </row>
    <row r="417" spans="1:1" x14ac:dyDescent="0.25">
      <c r="A417" s="20">
        <v>19099</v>
      </c>
    </row>
    <row r="418" spans="1:1" x14ac:dyDescent="0.25">
      <c r="A418" s="20">
        <v>19101</v>
      </c>
    </row>
    <row r="419" spans="1:1" x14ac:dyDescent="0.25">
      <c r="A419" s="20">
        <v>19103</v>
      </c>
    </row>
    <row r="420" spans="1:1" x14ac:dyDescent="0.25">
      <c r="A420" s="20">
        <v>19105</v>
      </c>
    </row>
    <row r="421" spans="1:1" x14ac:dyDescent="0.25">
      <c r="A421" s="20">
        <v>19107</v>
      </c>
    </row>
    <row r="422" spans="1:1" x14ac:dyDescent="0.25">
      <c r="A422" s="20">
        <v>19109</v>
      </c>
    </row>
    <row r="423" spans="1:1" x14ac:dyDescent="0.25">
      <c r="A423" s="20">
        <v>19111</v>
      </c>
    </row>
    <row r="424" spans="1:1" x14ac:dyDescent="0.25">
      <c r="A424" s="20">
        <v>19113</v>
      </c>
    </row>
    <row r="425" spans="1:1" x14ac:dyDescent="0.25">
      <c r="A425" s="20">
        <v>19117</v>
      </c>
    </row>
    <row r="426" spans="1:1" x14ac:dyDescent="0.25">
      <c r="A426" s="20">
        <v>19119</v>
      </c>
    </row>
    <row r="427" spans="1:1" x14ac:dyDescent="0.25">
      <c r="A427" s="20">
        <v>19121</v>
      </c>
    </row>
    <row r="428" spans="1:1" x14ac:dyDescent="0.25">
      <c r="A428" s="20">
        <v>19123</v>
      </c>
    </row>
    <row r="429" spans="1:1" x14ac:dyDescent="0.25">
      <c r="A429" s="20">
        <v>19125</v>
      </c>
    </row>
    <row r="430" spans="1:1" x14ac:dyDescent="0.25">
      <c r="A430" s="20">
        <v>19127</v>
      </c>
    </row>
    <row r="431" spans="1:1" x14ac:dyDescent="0.25">
      <c r="A431" s="20">
        <v>19131</v>
      </c>
    </row>
    <row r="432" spans="1:1" x14ac:dyDescent="0.25">
      <c r="A432" s="20">
        <v>19133</v>
      </c>
    </row>
    <row r="433" spans="1:1" x14ac:dyDescent="0.25">
      <c r="A433" s="20">
        <v>19135</v>
      </c>
    </row>
    <row r="434" spans="1:1" x14ac:dyDescent="0.25">
      <c r="A434" s="20">
        <v>19137</v>
      </c>
    </row>
    <row r="435" spans="1:1" x14ac:dyDescent="0.25">
      <c r="A435" s="20">
        <v>19139</v>
      </c>
    </row>
    <row r="436" spans="1:1" x14ac:dyDescent="0.25">
      <c r="A436" s="20">
        <v>19141</v>
      </c>
    </row>
    <row r="437" spans="1:1" x14ac:dyDescent="0.25">
      <c r="A437" s="20">
        <v>19143</v>
      </c>
    </row>
    <row r="438" spans="1:1" x14ac:dyDescent="0.25">
      <c r="A438" s="20">
        <v>19145</v>
      </c>
    </row>
    <row r="439" spans="1:1" x14ac:dyDescent="0.25">
      <c r="A439" s="20">
        <v>19147</v>
      </c>
    </row>
    <row r="440" spans="1:1" x14ac:dyDescent="0.25">
      <c r="A440" s="20">
        <v>19149</v>
      </c>
    </row>
    <row r="441" spans="1:1" x14ac:dyDescent="0.25">
      <c r="A441" s="20">
        <v>19151</v>
      </c>
    </row>
    <row r="442" spans="1:1" x14ac:dyDescent="0.25">
      <c r="A442" s="20">
        <v>19153</v>
      </c>
    </row>
    <row r="443" spans="1:1" x14ac:dyDescent="0.25">
      <c r="A443" s="20">
        <v>19155</v>
      </c>
    </row>
    <row r="444" spans="1:1" x14ac:dyDescent="0.25">
      <c r="A444" s="20">
        <v>19157</v>
      </c>
    </row>
    <row r="445" spans="1:1" x14ac:dyDescent="0.25">
      <c r="A445" s="20">
        <v>19159</v>
      </c>
    </row>
    <row r="446" spans="1:1" x14ac:dyDescent="0.25">
      <c r="A446" s="20">
        <v>19161</v>
      </c>
    </row>
    <row r="447" spans="1:1" x14ac:dyDescent="0.25">
      <c r="A447" s="20">
        <v>19163</v>
      </c>
    </row>
    <row r="448" spans="1:1" x14ac:dyDescent="0.25">
      <c r="A448" s="20">
        <v>19165</v>
      </c>
    </row>
    <row r="449" spans="1:1" x14ac:dyDescent="0.25">
      <c r="A449" s="20">
        <v>19167</v>
      </c>
    </row>
    <row r="450" spans="1:1" x14ac:dyDescent="0.25">
      <c r="A450" s="20">
        <v>19169</v>
      </c>
    </row>
    <row r="451" spans="1:1" x14ac:dyDescent="0.25">
      <c r="A451" s="20">
        <v>19175</v>
      </c>
    </row>
    <row r="452" spans="1:1" x14ac:dyDescent="0.25">
      <c r="A452" s="20">
        <v>19177</v>
      </c>
    </row>
    <row r="453" spans="1:1" x14ac:dyDescent="0.25">
      <c r="A453" s="20">
        <v>19179</v>
      </c>
    </row>
    <row r="454" spans="1:1" x14ac:dyDescent="0.25">
      <c r="A454" s="20">
        <v>19183</v>
      </c>
    </row>
    <row r="455" spans="1:1" x14ac:dyDescent="0.25">
      <c r="A455" s="20">
        <v>19185</v>
      </c>
    </row>
    <row r="456" spans="1:1" x14ac:dyDescent="0.25">
      <c r="A456" s="20">
        <v>19187</v>
      </c>
    </row>
    <row r="457" spans="1:1" x14ac:dyDescent="0.25">
      <c r="A457" s="20">
        <v>19191</v>
      </c>
    </row>
    <row r="458" spans="1:1" x14ac:dyDescent="0.25">
      <c r="A458" s="20">
        <v>19193</v>
      </c>
    </row>
    <row r="459" spans="1:1" x14ac:dyDescent="0.25">
      <c r="A459" s="20">
        <v>19197</v>
      </c>
    </row>
    <row r="460" spans="1:1" x14ac:dyDescent="0.25">
      <c r="A460" s="20">
        <v>20001</v>
      </c>
    </row>
    <row r="461" spans="1:1" x14ac:dyDescent="0.25">
      <c r="A461" s="20">
        <v>20003</v>
      </c>
    </row>
    <row r="462" spans="1:1" x14ac:dyDescent="0.25">
      <c r="A462" s="20">
        <v>20005</v>
      </c>
    </row>
    <row r="463" spans="1:1" x14ac:dyDescent="0.25">
      <c r="A463" s="20">
        <v>20007</v>
      </c>
    </row>
    <row r="464" spans="1:1" x14ac:dyDescent="0.25">
      <c r="A464" s="20">
        <v>20009</v>
      </c>
    </row>
    <row r="465" spans="1:1" x14ac:dyDescent="0.25">
      <c r="A465" s="20">
        <v>20011</v>
      </c>
    </row>
    <row r="466" spans="1:1" x14ac:dyDescent="0.25">
      <c r="A466" s="20">
        <v>20013</v>
      </c>
    </row>
    <row r="467" spans="1:1" x14ac:dyDescent="0.25">
      <c r="A467" s="20">
        <v>20015</v>
      </c>
    </row>
    <row r="468" spans="1:1" x14ac:dyDescent="0.25">
      <c r="A468" s="20">
        <v>20019</v>
      </c>
    </row>
    <row r="469" spans="1:1" x14ac:dyDescent="0.25">
      <c r="A469" s="20">
        <v>20021</v>
      </c>
    </row>
    <row r="470" spans="1:1" x14ac:dyDescent="0.25">
      <c r="A470" s="20">
        <v>20023</v>
      </c>
    </row>
    <row r="471" spans="1:1" x14ac:dyDescent="0.25">
      <c r="A471" s="20">
        <v>20025</v>
      </c>
    </row>
    <row r="472" spans="1:1" x14ac:dyDescent="0.25">
      <c r="A472" s="20">
        <v>20027</v>
      </c>
    </row>
    <row r="473" spans="1:1" x14ac:dyDescent="0.25">
      <c r="A473" s="20">
        <v>20029</v>
      </c>
    </row>
    <row r="474" spans="1:1" x14ac:dyDescent="0.25">
      <c r="A474" s="20">
        <v>20031</v>
      </c>
    </row>
    <row r="475" spans="1:1" x14ac:dyDescent="0.25">
      <c r="A475" s="20">
        <v>20033</v>
      </c>
    </row>
    <row r="476" spans="1:1" x14ac:dyDescent="0.25">
      <c r="A476" s="20">
        <v>20035</v>
      </c>
    </row>
    <row r="477" spans="1:1" x14ac:dyDescent="0.25">
      <c r="A477" s="20">
        <v>20037</v>
      </c>
    </row>
    <row r="478" spans="1:1" x14ac:dyDescent="0.25">
      <c r="A478" s="20">
        <v>20039</v>
      </c>
    </row>
    <row r="479" spans="1:1" x14ac:dyDescent="0.25">
      <c r="A479" s="20">
        <v>20041</v>
      </c>
    </row>
    <row r="480" spans="1:1" x14ac:dyDescent="0.25">
      <c r="A480" s="20">
        <v>20045</v>
      </c>
    </row>
    <row r="481" spans="1:1" x14ac:dyDescent="0.25">
      <c r="A481" s="20">
        <v>20047</v>
      </c>
    </row>
    <row r="482" spans="1:1" x14ac:dyDescent="0.25">
      <c r="A482" s="20">
        <v>20051</v>
      </c>
    </row>
    <row r="483" spans="1:1" x14ac:dyDescent="0.25">
      <c r="A483" s="20">
        <v>20053</v>
      </c>
    </row>
    <row r="484" spans="1:1" x14ac:dyDescent="0.25">
      <c r="A484" s="20">
        <v>20055</v>
      </c>
    </row>
    <row r="485" spans="1:1" x14ac:dyDescent="0.25">
      <c r="A485" s="20">
        <v>20057</v>
      </c>
    </row>
    <row r="486" spans="1:1" x14ac:dyDescent="0.25">
      <c r="A486" s="20">
        <v>20059</v>
      </c>
    </row>
    <row r="487" spans="1:1" x14ac:dyDescent="0.25">
      <c r="A487" s="20">
        <v>20061</v>
      </c>
    </row>
    <row r="488" spans="1:1" x14ac:dyDescent="0.25">
      <c r="A488" s="20">
        <v>20063</v>
      </c>
    </row>
    <row r="489" spans="1:1" x14ac:dyDescent="0.25">
      <c r="A489" s="20">
        <v>20065</v>
      </c>
    </row>
    <row r="490" spans="1:1" x14ac:dyDescent="0.25">
      <c r="A490" s="20">
        <v>20067</v>
      </c>
    </row>
    <row r="491" spans="1:1" x14ac:dyDescent="0.25">
      <c r="A491" s="20">
        <v>20071</v>
      </c>
    </row>
    <row r="492" spans="1:1" x14ac:dyDescent="0.25">
      <c r="A492" s="20">
        <v>20073</v>
      </c>
    </row>
    <row r="493" spans="1:1" x14ac:dyDescent="0.25">
      <c r="A493" s="20">
        <v>20075</v>
      </c>
    </row>
    <row r="494" spans="1:1" x14ac:dyDescent="0.25">
      <c r="A494" s="20">
        <v>20077</v>
      </c>
    </row>
    <row r="495" spans="1:1" x14ac:dyDescent="0.25">
      <c r="A495" s="20">
        <v>20079</v>
      </c>
    </row>
    <row r="496" spans="1:1" x14ac:dyDescent="0.25">
      <c r="A496" s="20">
        <v>20081</v>
      </c>
    </row>
    <row r="497" spans="1:1" x14ac:dyDescent="0.25">
      <c r="A497" s="20">
        <v>20083</v>
      </c>
    </row>
    <row r="498" spans="1:1" x14ac:dyDescent="0.25">
      <c r="A498" s="20">
        <v>20085</v>
      </c>
    </row>
    <row r="499" spans="1:1" x14ac:dyDescent="0.25">
      <c r="A499" s="20">
        <v>20087</v>
      </c>
    </row>
    <row r="500" spans="1:1" x14ac:dyDescent="0.25">
      <c r="A500" s="20">
        <v>20089</v>
      </c>
    </row>
    <row r="501" spans="1:1" x14ac:dyDescent="0.25">
      <c r="A501" s="20">
        <v>20091</v>
      </c>
    </row>
    <row r="502" spans="1:1" x14ac:dyDescent="0.25">
      <c r="A502" s="20">
        <v>20093</v>
      </c>
    </row>
    <row r="503" spans="1:1" x14ac:dyDescent="0.25">
      <c r="A503" s="20">
        <v>20095</v>
      </c>
    </row>
    <row r="504" spans="1:1" x14ac:dyDescent="0.25">
      <c r="A504" s="20">
        <v>20097</v>
      </c>
    </row>
    <row r="505" spans="1:1" x14ac:dyDescent="0.25">
      <c r="A505" s="20">
        <v>20099</v>
      </c>
    </row>
    <row r="506" spans="1:1" x14ac:dyDescent="0.25">
      <c r="A506" s="20">
        <v>20101</v>
      </c>
    </row>
    <row r="507" spans="1:1" x14ac:dyDescent="0.25">
      <c r="A507" s="20">
        <v>20103</v>
      </c>
    </row>
    <row r="508" spans="1:1" x14ac:dyDescent="0.25">
      <c r="A508" s="20">
        <v>20105</v>
      </c>
    </row>
    <row r="509" spans="1:1" x14ac:dyDescent="0.25">
      <c r="A509" s="20">
        <v>20109</v>
      </c>
    </row>
    <row r="510" spans="1:1" x14ac:dyDescent="0.25">
      <c r="A510" s="20">
        <v>20111</v>
      </c>
    </row>
    <row r="511" spans="1:1" x14ac:dyDescent="0.25">
      <c r="A511" s="20">
        <v>20113</v>
      </c>
    </row>
    <row r="512" spans="1:1" x14ac:dyDescent="0.25">
      <c r="A512" s="20">
        <v>20115</v>
      </c>
    </row>
    <row r="513" spans="1:1" x14ac:dyDescent="0.25">
      <c r="A513" s="20">
        <v>20117</v>
      </c>
    </row>
    <row r="514" spans="1:1" x14ac:dyDescent="0.25">
      <c r="A514" s="20">
        <v>20119</v>
      </c>
    </row>
    <row r="515" spans="1:1" x14ac:dyDescent="0.25">
      <c r="A515" s="20">
        <v>20121</v>
      </c>
    </row>
    <row r="516" spans="1:1" x14ac:dyDescent="0.25">
      <c r="A516" s="20">
        <v>20123</v>
      </c>
    </row>
    <row r="517" spans="1:1" x14ac:dyDescent="0.25">
      <c r="A517" s="20">
        <v>20125</v>
      </c>
    </row>
    <row r="518" spans="1:1" x14ac:dyDescent="0.25">
      <c r="A518" s="20">
        <v>20127</v>
      </c>
    </row>
    <row r="519" spans="1:1" x14ac:dyDescent="0.25">
      <c r="A519" s="20">
        <v>20129</v>
      </c>
    </row>
    <row r="520" spans="1:1" x14ac:dyDescent="0.25">
      <c r="A520" s="20">
        <v>20131</v>
      </c>
    </row>
    <row r="521" spans="1:1" x14ac:dyDescent="0.25">
      <c r="A521" s="20">
        <v>20133</v>
      </c>
    </row>
    <row r="522" spans="1:1" x14ac:dyDescent="0.25">
      <c r="A522" s="20">
        <v>20135</v>
      </c>
    </row>
    <row r="523" spans="1:1" x14ac:dyDescent="0.25">
      <c r="A523" s="20">
        <v>20137</v>
      </c>
    </row>
    <row r="524" spans="1:1" x14ac:dyDescent="0.25">
      <c r="A524" s="20">
        <v>20141</v>
      </c>
    </row>
    <row r="525" spans="1:1" x14ac:dyDescent="0.25">
      <c r="A525" s="20">
        <v>20143</v>
      </c>
    </row>
    <row r="526" spans="1:1" x14ac:dyDescent="0.25">
      <c r="A526" s="20">
        <v>20145</v>
      </c>
    </row>
    <row r="527" spans="1:1" x14ac:dyDescent="0.25">
      <c r="A527" s="20">
        <v>20147</v>
      </c>
    </row>
    <row r="528" spans="1:1" x14ac:dyDescent="0.25">
      <c r="A528" s="20">
        <v>20149</v>
      </c>
    </row>
    <row r="529" spans="1:1" x14ac:dyDescent="0.25">
      <c r="A529" s="20">
        <v>20151</v>
      </c>
    </row>
    <row r="530" spans="1:1" x14ac:dyDescent="0.25">
      <c r="A530" s="20">
        <v>20153</v>
      </c>
    </row>
    <row r="531" spans="1:1" x14ac:dyDescent="0.25">
      <c r="A531" s="20">
        <v>20155</v>
      </c>
    </row>
    <row r="532" spans="1:1" x14ac:dyDescent="0.25">
      <c r="A532" s="20">
        <v>20157</v>
      </c>
    </row>
    <row r="533" spans="1:1" x14ac:dyDescent="0.25">
      <c r="A533" s="20">
        <v>20159</v>
      </c>
    </row>
    <row r="534" spans="1:1" x14ac:dyDescent="0.25">
      <c r="A534" s="20">
        <v>20161</v>
      </c>
    </row>
    <row r="535" spans="1:1" x14ac:dyDescent="0.25">
      <c r="A535" s="20">
        <v>20163</v>
      </c>
    </row>
    <row r="536" spans="1:1" x14ac:dyDescent="0.25">
      <c r="A536" s="20">
        <v>20165</v>
      </c>
    </row>
    <row r="537" spans="1:1" x14ac:dyDescent="0.25">
      <c r="A537" s="20">
        <v>20167</v>
      </c>
    </row>
    <row r="538" spans="1:1" x14ac:dyDescent="0.25">
      <c r="A538" s="20">
        <v>20169</v>
      </c>
    </row>
    <row r="539" spans="1:1" x14ac:dyDescent="0.25">
      <c r="A539" s="20">
        <v>20171</v>
      </c>
    </row>
    <row r="540" spans="1:1" x14ac:dyDescent="0.25">
      <c r="A540" s="20">
        <v>20173</v>
      </c>
    </row>
    <row r="541" spans="1:1" x14ac:dyDescent="0.25">
      <c r="A541" s="20">
        <v>20175</v>
      </c>
    </row>
    <row r="542" spans="1:1" x14ac:dyDescent="0.25">
      <c r="A542" s="20">
        <v>20177</v>
      </c>
    </row>
    <row r="543" spans="1:1" x14ac:dyDescent="0.25">
      <c r="A543" s="20">
        <v>20179</v>
      </c>
    </row>
    <row r="544" spans="1:1" x14ac:dyDescent="0.25">
      <c r="A544" s="20">
        <v>20181</v>
      </c>
    </row>
    <row r="545" spans="1:1" x14ac:dyDescent="0.25">
      <c r="A545" s="20">
        <v>20183</v>
      </c>
    </row>
    <row r="546" spans="1:1" x14ac:dyDescent="0.25">
      <c r="A546" s="20">
        <v>20185</v>
      </c>
    </row>
    <row r="547" spans="1:1" x14ac:dyDescent="0.25">
      <c r="A547" s="20">
        <v>20187</v>
      </c>
    </row>
    <row r="548" spans="1:1" x14ac:dyDescent="0.25">
      <c r="A548" s="20">
        <v>20189</v>
      </c>
    </row>
    <row r="549" spans="1:1" x14ac:dyDescent="0.25">
      <c r="A549" s="20">
        <v>20191</v>
      </c>
    </row>
    <row r="550" spans="1:1" x14ac:dyDescent="0.25">
      <c r="A550" s="20">
        <v>20193</v>
      </c>
    </row>
    <row r="551" spans="1:1" x14ac:dyDescent="0.25">
      <c r="A551" s="20">
        <v>20195</v>
      </c>
    </row>
    <row r="552" spans="1:1" x14ac:dyDescent="0.25">
      <c r="A552" s="20">
        <v>20201</v>
      </c>
    </row>
    <row r="553" spans="1:1" x14ac:dyDescent="0.25">
      <c r="A553" s="20">
        <v>20203</v>
      </c>
    </row>
    <row r="554" spans="1:1" x14ac:dyDescent="0.25">
      <c r="A554" s="20">
        <v>20205</v>
      </c>
    </row>
    <row r="555" spans="1:1" x14ac:dyDescent="0.25">
      <c r="A555" s="20">
        <v>20209</v>
      </c>
    </row>
    <row r="556" spans="1:1" x14ac:dyDescent="0.25">
      <c r="A556" s="20">
        <v>21001</v>
      </c>
    </row>
    <row r="557" spans="1:1" x14ac:dyDescent="0.25">
      <c r="A557" s="20">
        <v>21003</v>
      </c>
    </row>
    <row r="558" spans="1:1" x14ac:dyDescent="0.25">
      <c r="A558" s="20">
        <v>21009</v>
      </c>
    </row>
    <row r="559" spans="1:1" x14ac:dyDescent="0.25">
      <c r="A559" s="20">
        <v>21013</v>
      </c>
    </row>
    <row r="560" spans="1:1" x14ac:dyDescent="0.25">
      <c r="A560" s="20">
        <v>21015</v>
      </c>
    </row>
    <row r="561" spans="1:1" x14ac:dyDescent="0.25">
      <c r="A561" s="20">
        <v>21017</v>
      </c>
    </row>
    <row r="562" spans="1:1" x14ac:dyDescent="0.25">
      <c r="A562" s="20">
        <v>21019</v>
      </c>
    </row>
    <row r="563" spans="1:1" x14ac:dyDescent="0.25">
      <c r="A563" s="20">
        <v>21021</v>
      </c>
    </row>
    <row r="564" spans="1:1" x14ac:dyDescent="0.25">
      <c r="A564" s="20">
        <v>21025</v>
      </c>
    </row>
    <row r="565" spans="1:1" x14ac:dyDescent="0.25">
      <c r="A565" s="20">
        <v>21027</v>
      </c>
    </row>
    <row r="566" spans="1:1" x14ac:dyDescent="0.25">
      <c r="A566" s="20">
        <v>21033</v>
      </c>
    </row>
    <row r="567" spans="1:1" x14ac:dyDescent="0.25">
      <c r="A567" s="20">
        <v>21035</v>
      </c>
    </row>
    <row r="568" spans="1:1" x14ac:dyDescent="0.25">
      <c r="A568" s="20">
        <v>21037</v>
      </c>
    </row>
    <row r="569" spans="1:1" x14ac:dyDescent="0.25">
      <c r="A569" s="20">
        <v>21041</v>
      </c>
    </row>
    <row r="570" spans="1:1" x14ac:dyDescent="0.25">
      <c r="A570" s="20">
        <v>21045</v>
      </c>
    </row>
    <row r="571" spans="1:1" x14ac:dyDescent="0.25">
      <c r="A571" s="20">
        <v>21047</v>
      </c>
    </row>
    <row r="572" spans="1:1" x14ac:dyDescent="0.25">
      <c r="A572" s="20">
        <v>21049</v>
      </c>
    </row>
    <row r="573" spans="1:1" x14ac:dyDescent="0.25">
      <c r="A573" s="20">
        <v>21051</v>
      </c>
    </row>
    <row r="574" spans="1:1" x14ac:dyDescent="0.25">
      <c r="A574" s="20">
        <v>21053</v>
      </c>
    </row>
    <row r="575" spans="1:1" x14ac:dyDescent="0.25">
      <c r="A575" s="20">
        <v>21055</v>
      </c>
    </row>
    <row r="576" spans="1:1" x14ac:dyDescent="0.25">
      <c r="A576" s="20">
        <v>21057</v>
      </c>
    </row>
    <row r="577" spans="1:1" x14ac:dyDescent="0.25">
      <c r="A577" s="20">
        <v>21059</v>
      </c>
    </row>
    <row r="578" spans="1:1" x14ac:dyDescent="0.25">
      <c r="A578" s="20">
        <v>21065</v>
      </c>
    </row>
    <row r="579" spans="1:1" x14ac:dyDescent="0.25">
      <c r="A579" s="20">
        <v>21067</v>
      </c>
    </row>
    <row r="580" spans="1:1" x14ac:dyDescent="0.25">
      <c r="A580" s="20">
        <v>21069</v>
      </c>
    </row>
    <row r="581" spans="1:1" x14ac:dyDescent="0.25">
      <c r="A581" s="20">
        <v>21071</v>
      </c>
    </row>
    <row r="582" spans="1:1" x14ac:dyDescent="0.25">
      <c r="A582" s="20">
        <v>21073</v>
      </c>
    </row>
    <row r="583" spans="1:1" x14ac:dyDescent="0.25">
      <c r="A583" s="20">
        <v>21075</v>
      </c>
    </row>
    <row r="584" spans="1:1" x14ac:dyDescent="0.25">
      <c r="A584" s="20">
        <v>21081</v>
      </c>
    </row>
    <row r="585" spans="1:1" x14ac:dyDescent="0.25">
      <c r="A585" s="20">
        <v>21083</v>
      </c>
    </row>
    <row r="586" spans="1:1" x14ac:dyDescent="0.25">
      <c r="A586" s="20">
        <v>21085</v>
      </c>
    </row>
    <row r="587" spans="1:1" x14ac:dyDescent="0.25">
      <c r="A587" s="20">
        <v>21087</v>
      </c>
    </row>
    <row r="588" spans="1:1" x14ac:dyDescent="0.25">
      <c r="A588" s="20">
        <v>21093</v>
      </c>
    </row>
    <row r="589" spans="1:1" x14ac:dyDescent="0.25">
      <c r="A589" s="20">
        <v>21095</v>
      </c>
    </row>
    <row r="590" spans="1:1" x14ac:dyDescent="0.25">
      <c r="A590" s="20">
        <v>21097</v>
      </c>
    </row>
    <row r="591" spans="1:1" x14ac:dyDescent="0.25">
      <c r="A591" s="20">
        <v>21099</v>
      </c>
    </row>
    <row r="592" spans="1:1" x14ac:dyDescent="0.25">
      <c r="A592" s="20">
        <v>21101</v>
      </c>
    </row>
    <row r="593" spans="1:1" x14ac:dyDescent="0.25">
      <c r="A593" s="20">
        <v>21107</v>
      </c>
    </row>
    <row r="594" spans="1:1" x14ac:dyDescent="0.25">
      <c r="A594" s="20">
        <v>21111</v>
      </c>
    </row>
    <row r="595" spans="1:1" x14ac:dyDescent="0.25">
      <c r="A595" s="20">
        <v>21115</v>
      </c>
    </row>
    <row r="596" spans="1:1" x14ac:dyDescent="0.25">
      <c r="A596" s="20">
        <v>21117</v>
      </c>
    </row>
    <row r="597" spans="1:1" x14ac:dyDescent="0.25">
      <c r="A597" s="20">
        <v>21121</v>
      </c>
    </row>
    <row r="598" spans="1:1" x14ac:dyDescent="0.25">
      <c r="A598" s="20">
        <v>21125</v>
      </c>
    </row>
    <row r="599" spans="1:1" x14ac:dyDescent="0.25">
      <c r="A599" s="20">
        <v>21127</v>
      </c>
    </row>
    <row r="600" spans="1:1" x14ac:dyDescent="0.25">
      <c r="A600" s="20">
        <v>21131</v>
      </c>
    </row>
    <row r="601" spans="1:1" x14ac:dyDescent="0.25">
      <c r="A601" s="20">
        <v>21133</v>
      </c>
    </row>
    <row r="602" spans="1:1" x14ac:dyDescent="0.25">
      <c r="A602" s="20">
        <v>21137</v>
      </c>
    </row>
    <row r="603" spans="1:1" x14ac:dyDescent="0.25">
      <c r="A603" s="20">
        <v>21139</v>
      </c>
    </row>
    <row r="604" spans="1:1" x14ac:dyDescent="0.25">
      <c r="A604" s="20">
        <v>21141</v>
      </c>
    </row>
    <row r="605" spans="1:1" x14ac:dyDescent="0.25">
      <c r="A605" s="20">
        <v>21145</v>
      </c>
    </row>
    <row r="606" spans="1:1" x14ac:dyDescent="0.25">
      <c r="A606" s="20">
        <v>21151</v>
      </c>
    </row>
    <row r="607" spans="1:1" x14ac:dyDescent="0.25">
      <c r="A607" s="20">
        <v>21155</v>
      </c>
    </row>
    <row r="608" spans="1:1" x14ac:dyDescent="0.25">
      <c r="A608" s="20">
        <v>21157</v>
      </c>
    </row>
    <row r="609" spans="1:1" x14ac:dyDescent="0.25">
      <c r="A609" s="20">
        <v>21161</v>
      </c>
    </row>
    <row r="610" spans="1:1" x14ac:dyDescent="0.25">
      <c r="A610" s="20">
        <v>21167</v>
      </c>
    </row>
    <row r="611" spans="1:1" x14ac:dyDescent="0.25">
      <c r="A611" s="20">
        <v>21171</v>
      </c>
    </row>
    <row r="612" spans="1:1" x14ac:dyDescent="0.25">
      <c r="A612" s="20">
        <v>21173</v>
      </c>
    </row>
    <row r="613" spans="1:1" x14ac:dyDescent="0.25">
      <c r="A613" s="20">
        <v>21175</v>
      </c>
    </row>
    <row r="614" spans="1:1" x14ac:dyDescent="0.25">
      <c r="A614" s="20">
        <v>21177</v>
      </c>
    </row>
    <row r="615" spans="1:1" x14ac:dyDescent="0.25">
      <c r="A615" s="20">
        <v>21179</v>
      </c>
    </row>
    <row r="616" spans="1:1" x14ac:dyDescent="0.25">
      <c r="A616" s="20">
        <v>21181</v>
      </c>
    </row>
    <row r="617" spans="1:1" x14ac:dyDescent="0.25">
      <c r="A617" s="20">
        <v>21183</v>
      </c>
    </row>
    <row r="618" spans="1:1" x14ac:dyDescent="0.25">
      <c r="A618" s="20">
        <v>21185</v>
      </c>
    </row>
    <row r="619" spans="1:1" x14ac:dyDescent="0.25">
      <c r="A619" s="20">
        <v>21187</v>
      </c>
    </row>
    <row r="620" spans="1:1" x14ac:dyDescent="0.25">
      <c r="A620" s="20">
        <v>21191</v>
      </c>
    </row>
    <row r="621" spans="1:1" x14ac:dyDescent="0.25">
      <c r="A621" s="20">
        <v>21193</v>
      </c>
    </row>
    <row r="622" spans="1:1" x14ac:dyDescent="0.25">
      <c r="A622" s="20">
        <v>21195</v>
      </c>
    </row>
    <row r="623" spans="1:1" x14ac:dyDescent="0.25">
      <c r="A623" s="20">
        <v>21199</v>
      </c>
    </row>
    <row r="624" spans="1:1" x14ac:dyDescent="0.25">
      <c r="A624" s="20">
        <v>21203</v>
      </c>
    </row>
    <row r="625" spans="1:1" x14ac:dyDescent="0.25">
      <c r="A625" s="20">
        <v>21205</v>
      </c>
    </row>
    <row r="626" spans="1:1" x14ac:dyDescent="0.25">
      <c r="A626" s="20">
        <v>21207</v>
      </c>
    </row>
    <row r="627" spans="1:1" x14ac:dyDescent="0.25">
      <c r="A627" s="20">
        <v>21209</v>
      </c>
    </row>
    <row r="628" spans="1:1" x14ac:dyDescent="0.25">
      <c r="A628" s="20">
        <v>21211</v>
      </c>
    </row>
    <row r="629" spans="1:1" x14ac:dyDescent="0.25">
      <c r="A629" s="20">
        <v>21213</v>
      </c>
    </row>
    <row r="630" spans="1:1" x14ac:dyDescent="0.25">
      <c r="A630" s="20">
        <v>21217</v>
      </c>
    </row>
    <row r="631" spans="1:1" x14ac:dyDescent="0.25">
      <c r="A631" s="20">
        <v>21221</v>
      </c>
    </row>
    <row r="632" spans="1:1" x14ac:dyDescent="0.25">
      <c r="A632" s="20">
        <v>21225</v>
      </c>
    </row>
    <row r="633" spans="1:1" x14ac:dyDescent="0.25">
      <c r="A633" s="20">
        <v>21227</v>
      </c>
    </row>
    <row r="634" spans="1:1" x14ac:dyDescent="0.25">
      <c r="A634" s="20">
        <v>21231</v>
      </c>
    </row>
    <row r="635" spans="1:1" x14ac:dyDescent="0.25">
      <c r="A635" s="20">
        <v>21235</v>
      </c>
    </row>
    <row r="636" spans="1:1" x14ac:dyDescent="0.25">
      <c r="A636" s="20">
        <v>21239</v>
      </c>
    </row>
    <row r="637" spans="1:1" x14ac:dyDescent="0.25">
      <c r="A637" s="20">
        <v>22001</v>
      </c>
    </row>
    <row r="638" spans="1:1" x14ac:dyDescent="0.25">
      <c r="A638" s="20">
        <v>22003</v>
      </c>
    </row>
    <row r="639" spans="1:1" x14ac:dyDescent="0.25">
      <c r="A639" s="20">
        <v>22005</v>
      </c>
    </row>
    <row r="640" spans="1:1" x14ac:dyDescent="0.25">
      <c r="A640" s="20">
        <v>22007</v>
      </c>
    </row>
    <row r="641" spans="1:1" x14ac:dyDescent="0.25">
      <c r="A641" s="20">
        <v>22009</v>
      </c>
    </row>
    <row r="642" spans="1:1" x14ac:dyDescent="0.25">
      <c r="A642" s="20">
        <v>22011</v>
      </c>
    </row>
    <row r="643" spans="1:1" x14ac:dyDescent="0.25">
      <c r="A643" s="20">
        <v>22013</v>
      </c>
    </row>
    <row r="644" spans="1:1" x14ac:dyDescent="0.25">
      <c r="A644" s="20">
        <v>22015</v>
      </c>
    </row>
    <row r="645" spans="1:1" x14ac:dyDescent="0.25">
      <c r="A645" s="20">
        <v>22017</v>
      </c>
    </row>
    <row r="646" spans="1:1" x14ac:dyDescent="0.25">
      <c r="A646" s="20">
        <v>22019</v>
      </c>
    </row>
    <row r="647" spans="1:1" x14ac:dyDescent="0.25">
      <c r="A647" s="20">
        <v>22021</v>
      </c>
    </row>
    <row r="648" spans="1:1" x14ac:dyDescent="0.25">
      <c r="A648" s="20">
        <v>22023</v>
      </c>
    </row>
    <row r="649" spans="1:1" x14ac:dyDescent="0.25">
      <c r="A649" s="20">
        <v>22027</v>
      </c>
    </row>
    <row r="650" spans="1:1" x14ac:dyDescent="0.25">
      <c r="A650" s="20">
        <v>22029</v>
      </c>
    </row>
    <row r="651" spans="1:1" x14ac:dyDescent="0.25">
      <c r="A651" s="20">
        <v>22031</v>
      </c>
    </row>
    <row r="652" spans="1:1" x14ac:dyDescent="0.25">
      <c r="A652" s="20">
        <v>22033</v>
      </c>
    </row>
    <row r="653" spans="1:1" x14ac:dyDescent="0.25">
      <c r="A653" s="20">
        <v>22035</v>
      </c>
    </row>
    <row r="654" spans="1:1" x14ac:dyDescent="0.25">
      <c r="A654" s="20">
        <v>22037</v>
      </c>
    </row>
    <row r="655" spans="1:1" x14ac:dyDescent="0.25">
      <c r="A655" s="20">
        <v>22039</v>
      </c>
    </row>
    <row r="656" spans="1:1" x14ac:dyDescent="0.25">
      <c r="A656" s="20">
        <v>22041</v>
      </c>
    </row>
    <row r="657" spans="1:1" x14ac:dyDescent="0.25">
      <c r="A657" s="20">
        <v>22045</v>
      </c>
    </row>
    <row r="658" spans="1:1" x14ac:dyDescent="0.25">
      <c r="A658" s="20">
        <v>22047</v>
      </c>
    </row>
    <row r="659" spans="1:1" x14ac:dyDescent="0.25">
      <c r="A659" s="20">
        <v>22049</v>
      </c>
    </row>
    <row r="660" spans="1:1" x14ac:dyDescent="0.25">
      <c r="A660" s="20">
        <v>22051</v>
      </c>
    </row>
    <row r="661" spans="1:1" x14ac:dyDescent="0.25">
      <c r="A661" s="20">
        <v>22053</v>
      </c>
    </row>
    <row r="662" spans="1:1" x14ac:dyDescent="0.25">
      <c r="A662" s="20">
        <v>22055</v>
      </c>
    </row>
    <row r="663" spans="1:1" x14ac:dyDescent="0.25">
      <c r="A663" s="20">
        <v>22057</v>
      </c>
    </row>
    <row r="664" spans="1:1" x14ac:dyDescent="0.25">
      <c r="A664" s="20">
        <v>22059</v>
      </c>
    </row>
    <row r="665" spans="1:1" x14ac:dyDescent="0.25">
      <c r="A665" s="20">
        <v>22061</v>
      </c>
    </row>
    <row r="666" spans="1:1" x14ac:dyDescent="0.25">
      <c r="A666" s="20">
        <v>22063</v>
      </c>
    </row>
    <row r="667" spans="1:1" x14ac:dyDescent="0.25">
      <c r="A667" s="20">
        <v>22065</v>
      </c>
    </row>
    <row r="668" spans="1:1" x14ac:dyDescent="0.25">
      <c r="A668" s="20">
        <v>22067</v>
      </c>
    </row>
    <row r="669" spans="1:1" x14ac:dyDescent="0.25">
      <c r="A669" s="20">
        <v>22069</v>
      </c>
    </row>
    <row r="670" spans="1:1" x14ac:dyDescent="0.25">
      <c r="A670" s="20">
        <v>22071</v>
      </c>
    </row>
    <row r="671" spans="1:1" x14ac:dyDescent="0.25">
      <c r="A671" s="20">
        <v>22073</v>
      </c>
    </row>
    <row r="672" spans="1:1" x14ac:dyDescent="0.25">
      <c r="A672" s="20">
        <v>22077</v>
      </c>
    </row>
    <row r="673" spans="1:1" x14ac:dyDescent="0.25">
      <c r="A673" s="20">
        <v>22079</v>
      </c>
    </row>
    <row r="674" spans="1:1" x14ac:dyDescent="0.25">
      <c r="A674" s="20">
        <v>22081</v>
      </c>
    </row>
    <row r="675" spans="1:1" x14ac:dyDescent="0.25">
      <c r="A675" s="20">
        <v>22083</v>
      </c>
    </row>
    <row r="676" spans="1:1" x14ac:dyDescent="0.25">
      <c r="A676" s="20">
        <v>22085</v>
      </c>
    </row>
    <row r="677" spans="1:1" x14ac:dyDescent="0.25">
      <c r="A677" s="20">
        <v>22087</v>
      </c>
    </row>
    <row r="678" spans="1:1" x14ac:dyDescent="0.25">
      <c r="A678" s="20">
        <v>22089</v>
      </c>
    </row>
    <row r="679" spans="1:1" x14ac:dyDescent="0.25">
      <c r="A679" s="20">
        <v>22091</v>
      </c>
    </row>
    <row r="680" spans="1:1" x14ac:dyDescent="0.25">
      <c r="A680" s="20">
        <v>22093</v>
      </c>
    </row>
    <row r="681" spans="1:1" x14ac:dyDescent="0.25">
      <c r="A681" s="20">
        <v>22095</v>
      </c>
    </row>
    <row r="682" spans="1:1" x14ac:dyDescent="0.25">
      <c r="A682" s="20">
        <v>22097</v>
      </c>
    </row>
    <row r="683" spans="1:1" x14ac:dyDescent="0.25">
      <c r="A683" s="20">
        <v>22099</v>
      </c>
    </row>
    <row r="684" spans="1:1" x14ac:dyDescent="0.25">
      <c r="A684" s="20">
        <v>22101</v>
      </c>
    </row>
    <row r="685" spans="1:1" x14ac:dyDescent="0.25">
      <c r="A685" s="20">
        <v>22103</v>
      </c>
    </row>
    <row r="686" spans="1:1" x14ac:dyDescent="0.25">
      <c r="A686" s="20">
        <v>22105</v>
      </c>
    </row>
    <row r="687" spans="1:1" x14ac:dyDescent="0.25">
      <c r="A687" s="20">
        <v>22109</v>
      </c>
    </row>
    <row r="688" spans="1:1" x14ac:dyDescent="0.25">
      <c r="A688" s="20">
        <v>22111</v>
      </c>
    </row>
    <row r="689" spans="1:1" x14ac:dyDescent="0.25">
      <c r="A689" s="20">
        <v>22113</v>
      </c>
    </row>
    <row r="690" spans="1:1" x14ac:dyDescent="0.25">
      <c r="A690" s="20">
        <v>22115</v>
      </c>
    </row>
    <row r="691" spans="1:1" x14ac:dyDescent="0.25">
      <c r="A691" s="20">
        <v>22117</v>
      </c>
    </row>
    <row r="692" spans="1:1" x14ac:dyDescent="0.25">
      <c r="A692" s="20">
        <v>22119</v>
      </c>
    </row>
    <row r="693" spans="1:1" x14ac:dyDescent="0.25">
      <c r="A693" s="20">
        <v>22123</v>
      </c>
    </row>
    <row r="694" spans="1:1" x14ac:dyDescent="0.25">
      <c r="A694" s="20">
        <v>22125</v>
      </c>
    </row>
    <row r="695" spans="1:1" x14ac:dyDescent="0.25">
      <c r="A695" s="20">
        <v>22127</v>
      </c>
    </row>
    <row r="696" spans="1:1" x14ac:dyDescent="0.25">
      <c r="A696" s="20">
        <v>23001</v>
      </c>
    </row>
    <row r="697" spans="1:1" x14ac:dyDescent="0.25">
      <c r="A697" s="20">
        <v>23003</v>
      </c>
    </row>
    <row r="698" spans="1:1" x14ac:dyDescent="0.25">
      <c r="A698" s="20">
        <v>23005</v>
      </c>
    </row>
    <row r="699" spans="1:1" x14ac:dyDescent="0.25">
      <c r="A699" s="20">
        <v>23007</v>
      </c>
    </row>
    <row r="700" spans="1:1" x14ac:dyDescent="0.25">
      <c r="A700" s="20">
        <v>23009</v>
      </c>
    </row>
    <row r="701" spans="1:1" x14ac:dyDescent="0.25">
      <c r="A701" s="20">
        <v>23011</v>
      </c>
    </row>
    <row r="702" spans="1:1" x14ac:dyDescent="0.25">
      <c r="A702" s="20">
        <v>23013</v>
      </c>
    </row>
    <row r="703" spans="1:1" x14ac:dyDescent="0.25">
      <c r="A703" s="20">
        <v>23015</v>
      </c>
    </row>
    <row r="704" spans="1:1" x14ac:dyDescent="0.25">
      <c r="A704" s="20">
        <v>23017</v>
      </c>
    </row>
    <row r="705" spans="1:1" x14ac:dyDescent="0.25">
      <c r="A705" s="20">
        <v>23019</v>
      </c>
    </row>
    <row r="706" spans="1:1" x14ac:dyDescent="0.25">
      <c r="A706" s="20">
        <v>23021</v>
      </c>
    </row>
    <row r="707" spans="1:1" x14ac:dyDescent="0.25">
      <c r="A707" s="20">
        <v>23025</v>
      </c>
    </row>
    <row r="708" spans="1:1" x14ac:dyDescent="0.25">
      <c r="A708" s="20">
        <v>23027</v>
      </c>
    </row>
    <row r="709" spans="1:1" x14ac:dyDescent="0.25">
      <c r="A709" s="20">
        <v>23029</v>
      </c>
    </row>
    <row r="710" spans="1:1" x14ac:dyDescent="0.25">
      <c r="A710" s="20">
        <v>23031</v>
      </c>
    </row>
    <row r="711" spans="1:1" x14ac:dyDescent="0.25">
      <c r="A711" s="20">
        <v>24001</v>
      </c>
    </row>
    <row r="712" spans="1:1" x14ac:dyDescent="0.25">
      <c r="A712" s="20">
        <v>24003</v>
      </c>
    </row>
    <row r="713" spans="1:1" x14ac:dyDescent="0.25">
      <c r="A713" s="20">
        <v>24005</v>
      </c>
    </row>
    <row r="714" spans="1:1" x14ac:dyDescent="0.25">
      <c r="A714" s="20">
        <v>24009</v>
      </c>
    </row>
    <row r="715" spans="1:1" x14ac:dyDescent="0.25">
      <c r="A715" s="20">
        <v>24013</v>
      </c>
    </row>
    <row r="716" spans="1:1" x14ac:dyDescent="0.25">
      <c r="A716" s="20">
        <v>24015</v>
      </c>
    </row>
    <row r="717" spans="1:1" x14ac:dyDescent="0.25">
      <c r="A717" s="20">
        <v>24017</v>
      </c>
    </row>
    <row r="718" spans="1:1" x14ac:dyDescent="0.25">
      <c r="A718" s="20">
        <v>24019</v>
      </c>
    </row>
    <row r="719" spans="1:1" x14ac:dyDescent="0.25">
      <c r="A719" s="20">
        <v>24021</v>
      </c>
    </row>
    <row r="720" spans="1:1" x14ac:dyDescent="0.25">
      <c r="A720" s="20">
        <v>24023</v>
      </c>
    </row>
    <row r="721" spans="1:1" x14ac:dyDescent="0.25">
      <c r="A721" s="20">
        <v>24025</v>
      </c>
    </row>
    <row r="722" spans="1:1" x14ac:dyDescent="0.25">
      <c r="A722" s="20">
        <v>24027</v>
      </c>
    </row>
    <row r="723" spans="1:1" x14ac:dyDescent="0.25">
      <c r="A723" s="20">
        <v>24029</v>
      </c>
    </row>
    <row r="724" spans="1:1" x14ac:dyDescent="0.25">
      <c r="A724" s="20">
        <v>24031</v>
      </c>
    </row>
    <row r="725" spans="1:1" x14ac:dyDescent="0.25">
      <c r="A725" s="20">
        <v>24033</v>
      </c>
    </row>
    <row r="726" spans="1:1" x14ac:dyDescent="0.25">
      <c r="A726" s="20">
        <v>24037</v>
      </c>
    </row>
    <row r="727" spans="1:1" x14ac:dyDescent="0.25">
      <c r="A727" s="20">
        <v>24039</v>
      </c>
    </row>
    <row r="728" spans="1:1" x14ac:dyDescent="0.25">
      <c r="A728" s="20">
        <v>24041</v>
      </c>
    </row>
    <row r="729" spans="1:1" x14ac:dyDescent="0.25">
      <c r="A729" s="20">
        <v>24043</v>
      </c>
    </row>
    <row r="730" spans="1:1" x14ac:dyDescent="0.25">
      <c r="A730" s="20">
        <v>24045</v>
      </c>
    </row>
    <row r="731" spans="1:1" x14ac:dyDescent="0.25">
      <c r="A731" s="20">
        <v>24047</v>
      </c>
    </row>
    <row r="732" spans="1:1" x14ac:dyDescent="0.25">
      <c r="A732" s="20">
        <v>24510</v>
      </c>
    </row>
    <row r="733" spans="1:1" x14ac:dyDescent="0.25">
      <c r="A733" s="20">
        <v>25001</v>
      </c>
    </row>
    <row r="734" spans="1:1" x14ac:dyDescent="0.25">
      <c r="A734" s="20">
        <v>25003</v>
      </c>
    </row>
    <row r="735" spans="1:1" x14ac:dyDescent="0.25">
      <c r="A735" s="20">
        <v>25005</v>
      </c>
    </row>
    <row r="736" spans="1:1" x14ac:dyDescent="0.25">
      <c r="A736" s="20">
        <v>25007</v>
      </c>
    </row>
    <row r="737" spans="1:1" x14ac:dyDescent="0.25">
      <c r="A737" s="20">
        <v>25009</v>
      </c>
    </row>
    <row r="738" spans="1:1" x14ac:dyDescent="0.25">
      <c r="A738" s="20">
        <v>25011</v>
      </c>
    </row>
    <row r="739" spans="1:1" x14ac:dyDescent="0.25">
      <c r="A739" s="20">
        <v>25013</v>
      </c>
    </row>
    <row r="740" spans="1:1" x14ac:dyDescent="0.25">
      <c r="A740" s="20">
        <v>25015</v>
      </c>
    </row>
    <row r="741" spans="1:1" x14ac:dyDescent="0.25">
      <c r="A741" s="20">
        <v>25017</v>
      </c>
    </row>
    <row r="742" spans="1:1" x14ac:dyDescent="0.25">
      <c r="A742" s="20">
        <v>25019</v>
      </c>
    </row>
    <row r="743" spans="1:1" x14ac:dyDescent="0.25">
      <c r="A743" s="20">
        <v>25021</v>
      </c>
    </row>
    <row r="744" spans="1:1" x14ac:dyDescent="0.25">
      <c r="A744" s="20">
        <v>25023</v>
      </c>
    </row>
    <row r="745" spans="1:1" x14ac:dyDescent="0.25">
      <c r="A745" s="20">
        <v>25025</v>
      </c>
    </row>
    <row r="746" spans="1:1" x14ac:dyDescent="0.25">
      <c r="A746" s="20">
        <v>25027</v>
      </c>
    </row>
    <row r="747" spans="1:1" x14ac:dyDescent="0.25">
      <c r="A747" s="20">
        <v>26003</v>
      </c>
    </row>
    <row r="748" spans="1:1" x14ac:dyDescent="0.25">
      <c r="A748" s="20">
        <v>26005</v>
      </c>
    </row>
    <row r="749" spans="1:1" x14ac:dyDescent="0.25">
      <c r="A749" s="20">
        <v>26007</v>
      </c>
    </row>
    <row r="750" spans="1:1" x14ac:dyDescent="0.25">
      <c r="A750" s="20">
        <v>26011</v>
      </c>
    </row>
    <row r="751" spans="1:1" x14ac:dyDescent="0.25">
      <c r="A751" s="20">
        <v>26013</v>
      </c>
    </row>
    <row r="752" spans="1:1" x14ac:dyDescent="0.25">
      <c r="A752" s="20">
        <v>26015</v>
      </c>
    </row>
    <row r="753" spans="1:1" x14ac:dyDescent="0.25">
      <c r="A753" s="20">
        <v>26017</v>
      </c>
    </row>
    <row r="754" spans="1:1" x14ac:dyDescent="0.25">
      <c r="A754" s="20">
        <v>26019</v>
      </c>
    </row>
    <row r="755" spans="1:1" x14ac:dyDescent="0.25">
      <c r="A755" s="20">
        <v>26021</v>
      </c>
    </row>
    <row r="756" spans="1:1" x14ac:dyDescent="0.25">
      <c r="A756" s="20">
        <v>26023</v>
      </c>
    </row>
    <row r="757" spans="1:1" x14ac:dyDescent="0.25">
      <c r="A757" s="20">
        <v>26025</v>
      </c>
    </row>
    <row r="758" spans="1:1" x14ac:dyDescent="0.25">
      <c r="A758" s="20">
        <v>26027</v>
      </c>
    </row>
    <row r="759" spans="1:1" x14ac:dyDescent="0.25">
      <c r="A759" s="20">
        <v>26029</v>
      </c>
    </row>
    <row r="760" spans="1:1" x14ac:dyDescent="0.25">
      <c r="A760" s="20">
        <v>26031</v>
      </c>
    </row>
    <row r="761" spans="1:1" x14ac:dyDescent="0.25">
      <c r="A761" s="20">
        <v>26033</v>
      </c>
    </row>
    <row r="762" spans="1:1" x14ac:dyDescent="0.25">
      <c r="A762" s="20">
        <v>26035</v>
      </c>
    </row>
    <row r="763" spans="1:1" x14ac:dyDescent="0.25">
      <c r="A763" s="20">
        <v>26037</v>
      </c>
    </row>
    <row r="764" spans="1:1" x14ac:dyDescent="0.25">
      <c r="A764" s="20">
        <v>26039</v>
      </c>
    </row>
    <row r="765" spans="1:1" x14ac:dyDescent="0.25">
      <c r="A765" s="20">
        <v>26041</v>
      </c>
    </row>
    <row r="766" spans="1:1" x14ac:dyDescent="0.25">
      <c r="A766" s="20">
        <v>26043</v>
      </c>
    </row>
    <row r="767" spans="1:1" x14ac:dyDescent="0.25">
      <c r="A767" s="20">
        <v>26045</v>
      </c>
    </row>
    <row r="768" spans="1:1" x14ac:dyDescent="0.25">
      <c r="A768" s="20">
        <v>26047</v>
      </c>
    </row>
    <row r="769" spans="1:1" x14ac:dyDescent="0.25">
      <c r="A769" s="20">
        <v>26049</v>
      </c>
    </row>
    <row r="770" spans="1:1" x14ac:dyDescent="0.25">
      <c r="A770" s="20">
        <v>26051</v>
      </c>
    </row>
    <row r="771" spans="1:1" x14ac:dyDescent="0.25">
      <c r="A771" s="20">
        <v>26053</v>
      </c>
    </row>
    <row r="772" spans="1:1" x14ac:dyDescent="0.25">
      <c r="A772" s="20">
        <v>26055</v>
      </c>
    </row>
    <row r="773" spans="1:1" x14ac:dyDescent="0.25">
      <c r="A773" s="20">
        <v>26057</v>
      </c>
    </row>
    <row r="774" spans="1:1" x14ac:dyDescent="0.25">
      <c r="A774" s="20">
        <v>26059</v>
      </c>
    </row>
    <row r="775" spans="1:1" x14ac:dyDescent="0.25">
      <c r="A775" s="20">
        <v>26061</v>
      </c>
    </row>
    <row r="776" spans="1:1" x14ac:dyDescent="0.25">
      <c r="A776" s="20">
        <v>26063</v>
      </c>
    </row>
    <row r="777" spans="1:1" x14ac:dyDescent="0.25">
      <c r="A777" s="20">
        <v>26065</v>
      </c>
    </row>
    <row r="778" spans="1:1" x14ac:dyDescent="0.25">
      <c r="A778" s="20">
        <v>26067</v>
      </c>
    </row>
    <row r="779" spans="1:1" x14ac:dyDescent="0.25">
      <c r="A779" s="20">
        <v>26069</v>
      </c>
    </row>
    <row r="780" spans="1:1" x14ac:dyDescent="0.25">
      <c r="A780" s="20">
        <v>26071</v>
      </c>
    </row>
    <row r="781" spans="1:1" x14ac:dyDescent="0.25">
      <c r="A781" s="20">
        <v>26073</v>
      </c>
    </row>
    <row r="782" spans="1:1" x14ac:dyDescent="0.25">
      <c r="A782" s="20">
        <v>26075</v>
      </c>
    </row>
    <row r="783" spans="1:1" x14ac:dyDescent="0.25">
      <c r="A783" s="20">
        <v>26077</v>
      </c>
    </row>
    <row r="784" spans="1:1" x14ac:dyDescent="0.25">
      <c r="A784" s="20">
        <v>26079</v>
      </c>
    </row>
    <row r="785" spans="1:1" x14ac:dyDescent="0.25">
      <c r="A785" s="20">
        <v>26081</v>
      </c>
    </row>
    <row r="786" spans="1:1" x14ac:dyDescent="0.25">
      <c r="A786" s="20">
        <v>26087</v>
      </c>
    </row>
    <row r="787" spans="1:1" x14ac:dyDescent="0.25">
      <c r="A787" s="20">
        <v>26091</v>
      </c>
    </row>
    <row r="788" spans="1:1" x14ac:dyDescent="0.25">
      <c r="A788" s="20">
        <v>26093</v>
      </c>
    </row>
    <row r="789" spans="1:1" x14ac:dyDescent="0.25">
      <c r="A789" s="20">
        <v>26095</v>
      </c>
    </row>
    <row r="790" spans="1:1" x14ac:dyDescent="0.25">
      <c r="A790" s="20">
        <v>26097</v>
      </c>
    </row>
    <row r="791" spans="1:1" x14ac:dyDescent="0.25">
      <c r="A791" s="20">
        <v>26099</v>
      </c>
    </row>
    <row r="792" spans="1:1" x14ac:dyDescent="0.25">
      <c r="A792" s="20">
        <v>26101</v>
      </c>
    </row>
    <row r="793" spans="1:1" x14ac:dyDescent="0.25">
      <c r="A793" s="20">
        <v>26103</v>
      </c>
    </row>
    <row r="794" spans="1:1" x14ac:dyDescent="0.25">
      <c r="A794" s="20">
        <v>26105</v>
      </c>
    </row>
    <row r="795" spans="1:1" x14ac:dyDescent="0.25">
      <c r="A795" s="20">
        <v>26107</v>
      </c>
    </row>
    <row r="796" spans="1:1" x14ac:dyDescent="0.25">
      <c r="A796" s="20">
        <v>26111</v>
      </c>
    </row>
    <row r="797" spans="1:1" x14ac:dyDescent="0.25">
      <c r="A797" s="20">
        <v>26115</v>
      </c>
    </row>
    <row r="798" spans="1:1" x14ac:dyDescent="0.25">
      <c r="A798" s="20">
        <v>26117</v>
      </c>
    </row>
    <row r="799" spans="1:1" x14ac:dyDescent="0.25">
      <c r="A799" s="20">
        <v>26121</v>
      </c>
    </row>
    <row r="800" spans="1:1" x14ac:dyDescent="0.25">
      <c r="A800" s="20">
        <v>26123</v>
      </c>
    </row>
    <row r="801" spans="1:1" x14ac:dyDescent="0.25">
      <c r="A801" s="20">
        <v>26125</v>
      </c>
    </row>
    <row r="802" spans="1:1" x14ac:dyDescent="0.25">
      <c r="A802" s="20">
        <v>26127</v>
      </c>
    </row>
    <row r="803" spans="1:1" x14ac:dyDescent="0.25">
      <c r="A803" s="20">
        <v>26129</v>
      </c>
    </row>
    <row r="804" spans="1:1" x14ac:dyDescent="0.25">
      <c r="A804" s="20">
        <v>26131</v>
      </c>
    </row>
    <row r="805" spans="1:1" x14ac:dyDescent="0.25">
      <c r="A805" s="20">
        <v>26133</v>
      </c>
    </row>
    <row r="806" spans="1:1" x14ac:dyDescent="0.25">
      <c r="A806" s="20">
        <v>26137</v>
      </c>
    </row>
    <row r="807" spans="1:1" x14ac:dyDescent="0.25">
      <c r="A807" s="20">
        <v>26139</v>
      </c>
    </row>
    <row r="808" spans="1:1" x14ac:dyDescent="0.25">
      <c r="A808" s="20">
        <v>26145</v>
      </c>
    </row>
    <row r="809" spans="1:1" x14ac:dyDescent="0.25">
      <c r="A809" s="20">
        <v>26147</v>
      </c>
    </row>
    <row r="810" spans="1:1" x14ac:dyDescent="0.25">
      <c r="A810" s="20">
        <v>26149</v>
      </c>
    </row>
    <row r="811" spans="1:1" x14ac:dyDescent="0.25">
      <c r="A811" s="20">
        <v>26151</v>
      </c>
    </row>
    <row r="812" spans="1:1" x14ac:dyDescent="0.25">
      <c r="A812" s="20">
        <v>26153</v>
      </c>
    </row>
    <row r="813" spans="1:1" x14ac:dyDescent="0.25">
      <c r="A813" s="20">
        <v>26155</v>
      </c>
    </row>
    <row r="814" spans="1:1" x14ac:dyDescent="0.25">
      <c r="A814" s="20">
        <v>26157</v>
      </c>
    </row>
    <row r="815" spans="1:1" x14ac:dyDescent="0.25">
      <c r="A815" s="20">
        <v>26159</v>
      </c>
    </row>
    <row r="816" spans="1:1" x14ac:dyDescent="0.25">
      <c r="A816" s="20">
        <v>26161</v>
      </c>
    </row>
    <row r="817" spans="1:1" x14ac:dyDescent="0.25">
      <c r="A817" s="20">
        <v>26163</v>
      </c>
    </row>
    <row r="818" spans="1:1" x14ac:dyDescent="0.25">
      <c r="A818" s="20">
        <v>26165</v>
      </c>
    </row>
    <row r="819" spans="1:1" x14ac:dyDescent="0.25">
      <c r="A819" s="20">
        <v>27001</v>
      </c>
    </row>
    <row r="820" spans="1:1" x14ac:dyDescent="0.25">
      <c r="A820" s="20">
        <v>27003</v>
      </c>
    </row>
    <row r="821" spans="1:1" x14ac:dyDescent="0.25">
      <c r="A821" s="20">
        <v>27005</v>
      </c>
    </row>
    <row r="822" spans="1:1" x14ac:dyDescent="0.25">
      <c r="A822" s="20">
        <v>27007</v>
      </c>
    </row>
    <row r="823" spans="1:1" x14ac:dyDescent="0.25">
      <c r="A823" s="20">
        <v>27011</v>
      </c>
    </row>
    <row r="824" spans="1:1" x14ac:dyDescent="0.25">
      <c r="A824" s="20">
        <v>27013</v>
      </c>
    </row>
    <row r="825" spans="1:1" x14ac:dyDescent="0.25">
      <c r="A825" s="20">
        <v>27015</v>
      </c>
    </row>
    <row r="826" spans="1:1" x14ac:dyDescent="0.25">
      <c r="A826" s="20">
        <v>27017</v>
      </c>
    </row>
    <row r="827" spans="1:1" x14ac:dyDescent="0.25">
      <c r="A827" s="20">
        <v>27019</v>
      </c>
    </row>
    <row r="828" spans="1:1" x14ac:dyDescent="0.25">
      <c r="A828" s="20">
        <v>27021</v>
      </c>
    </row>
    <row r="829" spans="1:1" x14ac:dyDescent="0.25">
      <c r="A829" s="20">
        <v>27023</v>
      </c>
    </row>
    <row r="830" spans="1:1" x14ac:dyDescent="0.25">
      <c r="A830" s="20">
        <v>27025</v>
      </c>
    </row>
    <row r="831" spans="1:1" x14ac:dyDescent="0.25">
      <c r="A831" s="20">
        <v>27029</v>
      </c>
    </row>
    <row r="832" spans="1:1" x14ac:dyDescent="0.25">
      <c r="A832" s="20">
        <v>27031</v>
      </c>
    </row>
    <row r="833" spans="1:1" x14ac:dyDescent="0.25">
      <c r="A833" s="20">
        <v>27033</v>
      </c>
    </row>
    <row r="834" spans="1:1" x14ac:dyDescent="0.25">
      <c r="A834" s="20">
        <v>27035</v>
      </c>
    </row>
    <row r="835" spans="1:1" x14ac:dyDescent="0.25">
      <c r="A835" s="20">
        <v>27037</v>
      </c>
    </row>
    <row r="836" spans="1:1" x14ac:dyDescent="0.25">
      <c r="A836" s="20">
        <v>27041</v>
      </c>
    </row>
    <row r="837" spans="1:1" x14ac:dyDescent="0.25">
      <c r="A837" s="20">
        <v>27043</v>
      </c>
    </row>
    <row r="838" spans="1:1" x14ac:dyDescent="0.25">
      <c r="A838" s="20">
        <v>27047</v>
      </c>
    </row>
    <row r="839" spans="1:1" x14ac:dyDescent="0.25">
      <c r="A839" s="20">
        <v>27049</v>
      </c>
    </row>
    <row r="840" spans="1:1" x14ac:dyDescent="0.25">
      <c r="A840" s="20">
        <v>27051</v>
      </c>
    </row>
    <row r="841" spans="1:1" x14ac:dyDescent="0.25">
      <c r="A841" s="20">
        <v>27053</v>
      </c>
    </row>
    <row r="842" spans="1:1" x14ac:dyDescent="0.25">
      <c r="A842" s="20">
        <v>27057</v>
      </c>
    </row>
    <row r="843" spans="1:1" x14ac:dyDescent="0.25">
      <c r="A843" s="20">
        <v>27059</v>
      </c>
    </row>
    <row r="844" spans="1:1" x14ac:dyDescent="0.25">
      <c r="A844" s="20">
        <v>27061</v>
      </c>
    </row>
    <row r="845" spans="1:1" x14ac:dyDescent="0.25">
      <c r="A845" s="20">
        <v>27063</v>
      </c>
    </row>
    <row r="846" spans="1:1" x14ac:dyDescent="0.25">
      <c r="A846" s="20">
        <v>27065</v>
      </c>
    </row>
    <row r="847" spans="1:1" x14ac:dyDescent="0.25">
      <c r="A847" s="20">
        <v>27067</v>
      </c>
    </row>
    <row r="848" spans="1:1" x14ac:dyDescent="0.25">
      <c r="A848" s="20">
        <v>27069</v>
      </c>
    </row>
    <row r="849" spans="1:1" x14ac:dyDescent="0.25">
      <c r="A849" s="20">
        <v>27071</v>
      </c>
    </row>
    <row r="850" spans="1:1" x14ac:dyDescent="0.25">
      <c r="A850" s="20">
        <v>27073</v>
      </c>
    </row>
    <row r="851" spans="1:1" x14ac:dyDescent="0.25">
      <c r="A851" s="20">
        <v>27075</v>
      </c>
    </row>
    <row r="852" spans="1:1" x14ac:dyDescent="0.25">
      <c r="A852" s="20">
        <v>27077</v>
      </c>
    </row>
    <row r="853" spans="1:1" x14ac:dyDescent="0.25">
      <c r="A853" s="20">
        <v>27079</v>
      </c>
    </row>
    <row r="854" spans="1:1" x14ac:dyDescent="0.25">
      <c r="A854" s="20">
        <v>27081</v>
      </c>
    </row>
    <row r="855" spans="1:1" x14ac:dyDescent="0.25">
      <c r="A855" s="20">
        <v>27083</v>
      </c>
    </row>
    <row r="856" spans="1:1" x14ac:dyDescent="0.25">
      <c r="A856" s="20">
        <v>27085</v>
      </c>
    </row>
    <row r="857" spans="1:1" x14ac:dyDescent="0.25">
      <c r="A857" s="20">
        <v>27087</v>
      </c>
    </row>
    <row r="858" spans="1:1" x14ac:dyDescent="0.25">
      <c r="A858" s="20">
        <v>27089</v>
      </c>
    </row>
    <row r="859" spans="1:1" x14ac:dyDescent="0.25">
      <c r="A859" s="20">
        <v>27091</v>
      </c>
    </row>
    <row r="860" spans="1:1" x14ac:dyDescent="0.25">
      <c r="A860" s="20">
        <v>27093</v>
      </c>
    </row>
    <row r="861" spans="1:1" x14ac:dyDescent="0.25">
      <c r="A861" s="20">
        <v>27095</v>
      </c>
    </row>
    <row r="862" spans="1:1" x14ac:dyDescent="0.25">
      <c r="A862" s="20">
        <v>27097</v>
      </c>
    </row>
    <row r="863" spans="1:1" x14ac:dyDescent="0.25">
      <c r="A863" s="20">
        <v>27099</v>
      </c>
    </row>
    <row r="864" spans="1:1" x14ac:dyDescent="0.25">
      <c r="A864" s="20">
        <v>27101</v>
      </c>
    </row>
    <row r="865" spans="1:1" x14ac:dyDescent="0.25">
      <c r="A865" s="20">
        <v>27103</v>
      </c>
    </row>
    <row r="866" spans="1:1" x14ac:dyDescent="0.25">
      <c r="A866" s="20">
        <v>27105</v>
      </c>
    </row>
    <row r="867" spans="1:1" x14ac:dyDescent="0.25">
      <c r="A867" s="20">
        <v>27107</v>
      </c>
    </row>
    <row r="868" spans="1:1" x14ac:dyDescent="0.25">
      <c r="A868" s="20">
        <v>27109</v>
      </c>
    </row>
    <row r="869" spans="1:1" x14ac:dyDescent="0.25">
      <c r="A869" s="20">
        <v>27111</v>
      </c>
    </row>
    <row r="870" spans="1:1" x14ac:dyDescent="0.25">
      <c r="A870" s="20">
        <v>27113</v>
      </c>
    </row>
    <row r="871" spans="1:1" x14ac:dyDescent="0.25">
      <c r="A871" s="20">
        <v>27115</v>
      </c>
    </row>
    <row r="872" spans="1:1" x14ac:dyDescent="0.25">
      <c r="A872" s="20">
        <v>27117</v>
      </c>
    </row>
    <row r="873" spans="1:1" x14ac:dyDescent="0.25">
      <c r="A873" s="20">
        <v>27119</v>
      </c>
    </row>
    <row r="874" spans="1:1" x14ac:dyDescent="0.25">
      <c r="A874" s="20">
        <v>27121</v>
      </c>
    </row>
    <row r="875" spans="1:1" x14ac:dyDescent="0.25">
      <c r="A875" s="20">
        <v>27123</v>
      </c>
    </row>
    <row r="876" spans="1:1" x14ac:dyDescent="0.25">
      <c r="A876" s="20">
        <v>27127</v>
      </c>
    </row>
    <row r="877" spans="1:1" x14ac:dyDescent="0.25">
      <c r="A877" s="20">
        <v>27129</v>
      </c>
    </row>
    <row r="878" spans="1:1" x14ac:dyDescent="0.25">
      <c r="A878" s="20">
        <v>27131</v>
      </c>
    </row>
    <row r="879" spans="1:1" x14ac:dyDescent="0.25">
      <c r="A879" s="20">
        <v>27133</v>
      </c>
    </row>
    <row r="880" spans="1:1" x14ac:dyDescent="0.25">
      <c r="A880" s="20">
        <v>27135</v>
      </c>
    </row>
    <row r="881" spans="1:1" x14ac:dyDescent="0.25">
      <c r="A881" s="20">
        <v>27137</v>
      </c>
    </row>
    <row r="882" spans="1:1" x14ac:dyDescent="0.25">
      <c r="A882" s="20">
        <v>27139</v>
      </c>
    </row>
    <row r="883" spans="1:1" x14ac:dyDescent="0.25">
      <c r="A883" s="20">
        <v>27143</v>
      </c>
    </row>
    <row r="884" spans="1:1" x14ac:dyDescent="0.25">
      <c r="A884" s="20">
        <v>27145</v>
      </c>
    </row>
    <row r="885" spans="1:1" x14ac:dyDescent="0.25">
      <c r="A885" s="20">
        <v>27147</v>
      </c>
    </row>
    <row r="886" spans="1:1" x14ac:dyDescent="0.25">
      <c r="A886" s="20">
        <v>27149</v>
      </c>
    </row>
    <row r="887" spans="1:1" x14ac:dyDescent="0.25">
      <c r="A887" s="20">
        <v>27151</v>
      </c>
    </row>
    <row r="888" spans="1:1" x14ac:dyDescent="0.25">
      <c r="A888" s="20">
        <v>27153</v>
      </c>
    </row>
    <row r="889" spans="1:1" x14ac:dyDescent="0.25">
      <c r="A889" s="20">
        <v>27155</v>
      </c>
    </row>
    <row r="890" spans="1:1" x14ac:dyDescent="0.25">
      <c r="A890" s="20">
        <v>27157</v>
      </c>
    </row>
    <row r="891" spans="1:1" x14ac:dyDescent="0.25">
      <c r="A891" s="20">
        <v>27159</v>
      </c>
    </row>
    <row r="892" spans="1:1" x14ac:dyDescent="0.25">
      <c r="A892" s="20">
        <v>27161</v>
      </c>
    </row>
    <row r="893" spans="1:1" x14ac:dyDescent="0.25">
      <c r="A893" s="20">
        <v>27163</v>
      </c>
    </row>
    <row r="894" spans="1:1" x14ac:dyDescent="0.25">
      <c r="A894" s="20">
        <v>27165</v>
      </c>
    </row>
    <row r="895" spans="1:1" x14ac:dyDescent="0.25">
      <c r="A895" s="20">
        <v>27167</v>
      </c>
    </row>
    <row r="896" spans="1:1" x14ac:dyDescent="0.25">
      <c r="A896" s="20">
        <v>27169</v>
      </c>
    </row>
    <row r="897" spans="1:1" x14ac:dyDescent="0.25">
      <c r="A897" s="20">
        <v>27171</v>
      </c>
    </row>
    <row r="898" spans="1:1" x14ac:dyDescent="0.25">
      <c r="A898" s="20">
        <v>27173</v>
      </c>
    </row>
    <row r="899" spans="1:1" x14ac:dyDescent="0.25">
      <c r="A899" s="20">
        <v>28001</v>
      </c>
    </row>
    <row r="900" spans="1:1" x14ac:dyDescent="0.25">
      <c r="A900" s="20">
        <v>28003</v>
      </c>
    </row>
    <row r="901" spans="1:1" x14ac:dyDescent="0.25">
      <c r="A901" s="20">
        <v>28007</v>
      </c>
    </row>
    <row r="902" spans="1:1" x14ac:dyDescent="0.25">
      <c r="A902" s="20">
        <v>28011</v>
      </c>
    </row>
    <row r="903" spans="1:1" x14ac:dyDescent="0.25">
      <c r="A903" s="20">
        <v>28013</v>
      </c>
    </row>
    <row r="904" spans="1:1" x14ac:dyDescent="0.25">
      <c r="A904" s="20">
        <v>28017</v>
      </c>
    </row>
    <row r="905" spans="1:1" x14ac:dyDescent="0.25">
      <c r="A905" s="20">
        <v>28019</v>
      </c>
    </row>
    <row r="906" spans="1:1" x14ac:dyDescent="0.25">
      <c r="A906" s="20">
        <v>28021</v>
      </c>
    </row>
    <row r="907" spans="1:1" x14ac:dyDescent="0.25">
      <c r="A907" s="20">
        <v>28023</v>
      </c>
    </row>
    <row r="908" spans="1:1" x14ac:dyDescent="0.25">
      <c r="A908" s="20">
        <v>28025</v>
      </c>
    </row>
    <row r="909" spans="1:1" x14ac:dyDescent="0.25">
      <c r="A909" s="20">
        <v>28027</v>
      </c>
    </row>
    <row r="910" spans="1:1" x14ac:dyDescent="0.25">
      <c r="A910" s="20">
        <v>28029</v>
      </c>
    </row>
    <row r="911" spans="1:1" x14ac:dyDescent="0.25">
      <c r="A911" s="20">
        <v>28031</v>
      </c>
    </row>
    <row r="912" spans="1:1" x14ac:dyDescent="0.25">
      <c r="A912" s="20">
        <v>28033</v>
      </c>
    </row>
    <row r="913" spans="1:1" x14ac:dyDescent="0.25">
      <c r="A913" s="20">
        <v>28035</v>
      </c>
    </row>
    <row r="914" spans="1:1" x14ac:dyDescent="0.25">
      <c r="A914" s="20">
        <v>28037</v>
      </c>
    </row>
    <row r="915" spans="1:1" x14ac:dyDescent="0.25">
      <c r="A915" s="20">
        <v>28039</v>
      </c>
    </row>
    <row r="916" spans="1:1" x14ac:dyDescent="0.25">
      <c r="A916" s="20">
        <v>28041</v>
      </c>
    </row>
    <row r="917" spans="1:1" x14ac:dyDescent="0.25">
      <c r="A917" s="20">
        <v>28043</v>
      </c>
    </row>
    <row r="918" spans="1:1" x14ac:dyDescent="0.25">
      <c r="A918" s="20">
        <v>28045</v>
      </c>
    </row>
    <row r="919" spans="1:1" x14ac:dyDescent="0.25">
      <c r="A919" s="20">
        <v>28047</v>
      </c>
    </row>
    <row r="920" spans="1:1" x14ac:dyDescent="0.25">
      <c r="A920" s="20">
        <v>28049</v>
      </c>
    </row>
    <row r="921" spans="1:1" x14ac:dyDescent="0.25">
      <c r="A921" s="20">
        <v>28051</v>
      </c>
    </row>
    <row r="922" spans="1:1" x14ac:dyDescent="0.25">
      <c r="A922" s="20">
        <v>28053</v>
      </c>
    </row>
    <row r="923" spans="1:1" x14ac:dyDescent="0.25">
      <c r="A923" s="20">
        <v>28059</v>
      </c>
    </row>
    <row r="924" spans="1:1" x14ac:dyDescent="0.25">
      <c r="A924" s="20">
        <v>28061</v>
      </c>
    </row>
    <row r="925" spans="1:1" x14ac:dyDescent="0.25">
      <c r="A925" s="20">
        <v>28063</v>
      </c>
    </row>
    <row r="926" spans="1:1" x14ac:dyDescent="0.25">
      <c r="A926" s="20">
        <v>28065</v>
      </c>
    </row>
    <row r="927" spans="1:1" x14ac:dyDescent="0.25">
      <c r="A927" s="20">
        <v>28067</v>
      </c>
    </row>
    <row r="928" spans="1:1" x14ac:dyDescent="0.25">
      <c r="A928" s="20">
        <v>28069</v>
      </c>
    </row>
    <row r="929" spans="1:1" x14ac:dyDescent="0.25">
      <c r="A929" s="20">
        <v>28071</v>
      </c>
    </row>
    <row r="930" spans="1:1" x14ac:dyDescent="0.25">
      <c r="A930" s="20">
        <v>28075</v>
      </c>
    </row>
    <row r="931" spans="1:1" x14ac:dyDescent="0.25">
      <c r="A931" s="20">
        <v>28077</v>
      </c>
    </row>
    <row r="932" spans="1:1" x14ac:dyDescent="0.25">
      <c r="A932" s="20">
        <v>28079</v>
      </c>
    </row>
    <row r="933" spans="1:1" x14ac:dyDescent="0.25">
      <c r="A933" s="20">
        <v>28081</v>
      </c>
    </row>
    <row r="934" spans="1:1" x14ac:dyDescent="0.25">
      <c r="A934" s="20">
        <v>28083</v>
      </c>
    </row>
    <row r="935" spans="1:1" x14ac:dyDescent="0.25">
      <c r="A935" s="20">
        <v>28085</v>
      </c>
    </row>
    <row r="936" spans="1:1" x14ac:dyDescent="0.25">
      <c r="A936" s="20">
        <v>28087</v>
      </c>
    </row>
    <row r="937" spans="1:1" x14ac:dyDescent="0.25">
      <c r="A937" s="20">
        <v>28089</v>
      </c>
    </row>
    <row r="938" spans="1:1" x14ac:dyDescent="0.25">
      <c r="A938" s="20">
        <v>28091</v>
      </c>
    </row>
    <row r="939" spans="1:1" x14ac:dyDescent="0.25">
      <c r="A939" s="20">
        <v>28093</v>
      </c>
    </row>
    <row r="940" spans="1:1" x14ac:dyDescent="0.25">
      <c r="A940" s="20">
        <v>28095</v>
      </c>
    </row>
    <row r="941" spans="1:1" x14ac:dyDescent="0.25">
      <c r="A941" s="20">
        <v>28097</v>
      </c>
    </row>
    <row r="942" spans="1:1" x14ac:dyDescent="0.25">
      <c r="A942" s="20">
        <v>28099</v>
      </c>
    </row>
    <row r="943" spans="1:1" x14ac:dyDescent="0.25">
      <c r="A943" s="20">
        <v>28101</v>
      </c>
    </row>
    <row r="944" spans="1:1" x14ac:dyDescent="0.25">
      <c r="A944" s="20">
        <v>28103</v>
      </c>
    </row>
    <row r="945" spans="1:1" x14ac:dyDescent="0.25">
      <c r="A945" s="20">
        <v>28105</v>
      </c>
    </row>
    <row r="946" spans="1:1" x14ac:dyDescent="0.25">
      <c r="A946" s="20">
        <v>28107</v>
      </c>
    </row>
    <row r="947" spans="1:1" x14ac:dyDescent="0.25">
      <c r="A947" s="20">
        <v>28109</v>
      </c>
    </row>
    <row r="948" spans="1:1" x14ac:dyDescent="0.25">
      <c r="A948" s="20">
        <v>28111</v>
      </c>
    </row>
    <row r="949" spans="1:1" x14ac:dyDescent="0.25">
      <c r="A949" s="20">
        <v>28113</v>
      </c>
    </row>
    <row r="950" spans="1:1" x14ac:dyDescent="0.25">
      <c r="A950" s="20">
        <v>28115</v>
      </c>
    </row>
    <row r="951" spans="1:1" x14ac:dyDescent="0.25">
      <c r="A951" s="20">
        <v>28117</v>
      </c>
    </row>
    <row r="952" spans="1:1" x14ac:dyDescent="0.25">
      <c r="A952" s="20">
        <v>28119</v>
      </c>
    </row>
    <row r="953" spans="1:1" x14ac:dyDescent="0.25">
      <c r="A953" s="20">
        <v>28121</v>
      </c>
    </row>
    <row r="954" spans="1:1" x14ac:dyDescent="0.25">
      <c r="A954" s="20">
        <v>28123</v>
      </c>
    </row>
    <row r="955" spans="1:1" x14ac:dyDescent="0.25">
      <c r="A955" s="20">
        <v>28125</v>
      </c>
    </row>
    <row r="956" spans="1:1" x14ac:dyDescent="0.25">
      <c r="A956" s="20">
        <v>28127</v>
      </c>
    </row>
    <row r="957" spans="1:1" x14ac:dyDescent="0.25">
      <c r="A957" s="20">
        <v>28129</v>
      </c>
    </row>
    <row r="958" spans="1:1" x14ac:dyDescent="0.25">
      <c r="A958" s="20">
        <v>28131</v>
      </c>
    </row>
    <row r="959" spans="1:1" x14ac:dyDescent="0.25">
      <c r="A959" s="20">
        <v>28133</v>
      </c>
    </row>
    <row r="960" spans="1:1" x14ac:dyDescent="0.25">
      <c r="A960" s="20">
        <v>28135</v>
      </c>
    </row>
    <row r="961" spans="1:1" x14ac:dyDescent="0.25">
      <c r="A961" s="20">
        <v>28137</v>
      </c>
    </row>
    <row r="962" spans="1:1" x14ac:dyDescent="0.25">
      <c r="A962" s="20">
        <v>28139</v>
      </c>
    </row>
    <row r="963" spans="1:1" x14ac:dyDescent="0.25">
      <c r="A963" s="20">
        <v>28141</v>
      </c>
    </row>
    <row r="964" spans="1:1" x14ac:dyDescent="0.25">
      <c r="A964" s="20">
        <v>28145</v>
      </c>
    </row>
    <row r="965" spans="1:1" x14ac:dyDescent="0.25">
      <c r="A965" s="20">
        <v>28147</v>
      </c>
    </row>
    <row r="966" spans="1:1" x14ac:dyDescent="0.25">
      <c r="A966" s="20">
        <v>28149</v>
      </c>
    </row>
    <row r="967" spans="1:1" x14ac:dyDescent="0.25">
      <c r="A967" s="20">
        <v>28151</v>
      </c>
    </row>
    <row r="968" spans="1:1" x14ac:dyDescent="0.25">
      <c r="A968" s="20">
        <v>28153</v>
      </c>
    </row>
    <row r="969" spans="1:1" x14ac:dyDescent="0.25">
      <c r="A969" s="20">
        <v>28155</v>
      </c>
    </row>
    <row r="970" spans="1:1" x14ac:dyDescent="0.25">
      <c r="A970" s="20">
        <v>28157</v>
      </c>
    </row>
    <row r="971" spans="1:1" x14ac:dyDescent="0.25">
      <c r="A971" s="20">
        <v>28159</v>
      </c>
    </row>
    <row r="972" spans="1:1" x14ac:dyDescent="0.25">
      <c r="A972" s="20">
        <v>28161</v>
      </c>
    </row>
    <row r="973" spans="1:1" x14ac:dyDescent="0.25">
      <c r="A973" s="20">
        <v>28163</v>
      </c>
    </row>
    <row r="974" spans="1:1" x14ac:dyDescent="0.25">
      <c r="A974" s="20">
        <v>29001</v>
      </c>
    </row>
    <row r="975" spans="1:1" x14ac:dyDescent="0.25">
      <c r="A975" s="20">
        <v>29005</v>
      </c>
    </row>
    <row r="976" spans="1:1" x14ac:dyDescent="0.25">
      <c r="A976" s="20">
        <v>29007</v>
      </c>
    </row>
    <row r="977" spans="1:1" x14ac:dyDescent="0.25">
      <c r="A977" s="20">
        <v>29009</v>
      </c>
    </row>
    <row r="978" spans="1:1" x14ac:dyDescent="0.25">
      <c r="A978" s="20">
        <v>29011</v>
      </c>
    </row>
    <row r="979" spans="1:1" x14ac:dyDescent="0.25">
      <c r="A979" s="20">
        <v>29013</v>
      </c>
    </row>
    <row r="980" spans="1:1" x14ac:dyDescent="0.25">
      <c r="A980" s="20">
        <v>29019</v>
      </c>
    </row>
    <row r="981" spans="1:1" x14ac:dyDescent="0.25">
      <c r="A981" s="20">
        <v>29021</v>
      </c>
    </row>
    <row r="982" spans="1:1" x14ac:dyDescent="0.25">
      <c r="A982" s="20">
        <v>29023</v>
      </c>
    </row>
    <row r="983" spans="1:1" x14ac:dyDescent="0.25">
      <c r="A983" s="20">
        <v>29027</v>
      </c>
    </row>
    <row r="984" spans="1:1" x14ac:dyDescent="0.25">
      <c r="A984" s="20">
        <v>29029</v>
      </c>
    </row>
    <row r="985" spans="1:1" x14ac:dyDescent="0.25">
      <c r="A985" s="20">
        <v>29031</v>
      </c>
    </row>
    <row r="986" spans="1:1" x14ac:dyDescent="0.25">
      <c r="A986" s="20">
        <v>29033</v>
      </c>
    </row>
    <row r="987" spans="1:1" x14ac:dyDescent="0.25">
      <c r="A987" s="20">
        <v>29037</v>
      </c>
    </row>
    <row r="988" spans="1:1" x14ac:dyDescent="0.25">
      <c r="A988" s="20">
        <v>29039</v>
      </c>
    </row>
    <row r="989" spans="1:1" x14ac:dyDescent="0.25">
      <c r="A989" s="20">
        <v>29043</v>
      </c>
    </row>
    <row r="990" spans="1:1" x14ac:dyDescent="0.25">
      <c r="A990" s="20">
        <v>29047</v>
      </c>
    </row>
    <row r="991" spans="1:1" x14ac:dyDescent="0.25">
      <c r="A991" s="20">
        <v>29049</v>
      </c>
    </row>
    <row r="992" spans="1:1" x14ac:dyDescent="0.25">
      <c r="A992" s="20">
        <v>29051</v>
      </c>
    </row>
    <row r="993" spans="1:1" x14ac:dyDescent="0.25">
      <c r="A993" s="20">
        <v>29053</v>
      </c>
    </row>
    <row r="994" spans="1:1" x14ac:dyDescent="0.25">
      <c r="A994" s="20">
        <v>29065</v>
      </c>
    </row>
    <row r="995" spans="1:1" x14ac:dyDescent="0.25">
      <c r="A995" s="20">
        <v>29069</v>
      </c>
    </row>
    <row r="996" spans="1:1" x14ac:dyDescent="0.25">
      <c r="A996" s="20">
        <v>29071</v>
      </c>
    </row>
    <row r="997" spans="1:1" x14ac:dyDescent="0.25">
      <c r="A997" s="20">
        <v>29073</v>
      </c>
    </row>
    <row r="998" spans="1:1" x14ac:dyDescent="0.25">
      <c r="A998" s="20">
        <v>29075</v>
      </c>
    </row>
    <row r="999" spans="1:1" x14ac:dyDescent="0.25">
      <c r="A999" s="20">
        <v>29077</v>
      </c>
    </row>
    <row r="1000" spans="1:1" x14ac:dyDescent="0.25">
      <c r="A1000" s="20">
        <v>29079</v>
      </c>
    </row>
    <row r="1001" spans="1:1" x14ac:dyDescent="0.25">
      <c r="A1001" s="20">
        <v>29081</v>
      </c>
    </row>
    <row r="1002" spans="1:1" x14ac:dyDescent="0.25">
      <c r="A1002" s="20">
        <v>29083</v>
      </c>
    </row>
    <row r="1003" spans="1:1" x14ac:dyDescent="0.25">
      <c r="A1003" s="20">
        <v>29091</v>
      </c>
    </row>
    <row r="1004" spans="1:1" x14ac:dyDescent="0.25">
      <c r="A1004" s="20">
        <v>29093</v>
      </c>
    </row>
    <row r="1005" spans="1:1" x14ac:dyDescent="0.25">
      <c r="A1005" s="20">
        <v>29095</v>
      </c>
    </row>
    <row r="1006" spans="1:1" x14ac:dyDescent="0.25">
      <c r="A1006" s="20">
        <v>29097</v>
      </c>
    </row>
    <row r="1007" spans="1:1" x14ac:dyDescent="0.25">
      <c r="A1007" s="20">
        <v>29099</v>
      </c>
    </row>
    <row r="1008" spans="1:1" x14ac:dyDescent="0.25">
      <c r="A1008" s="20">
        <v>29101</v>
      </c>
    </row>
    <row r="1009" spans="1:1" x14ac:dyDescent="0.25">
      <c r="A1009" s="20">
        <v>29105</v>
      </c>
    </row>
    <row r="1010" spans="1:1" x14ac:dyDescent="0.25">
      <c r="A1010" s="20">
        <v>29107</v>
      </c>
    </row>
    <row r="1011" spans="1:1" x14ac:dyDescent="0.25">
      <c r="A1011" s="20">
        <v>29109</v>
      </c>
    </row>
    <row r="1012" spans="1:1" x14ac:dyDescent="0.25">
      <c r="A1012" s="20">
        <v>29113</v>
      </c>
    </row>
    <row r="1013" spans="1:1" x14ac:dyDescent="0.25">
      <c r="A1013" s="20">
        <v>29115</v>
      </c>
    </row>
    <row r="1014" spans="1:1" x14ac:dyDescent="0.25">
      <c r="A1014" s="20">
        <v>29117</v>
      </c>
    </row>
    <row r="1015" spans="1:1" x14ac:dyDescent="0.25">
      <c r="A1015" s="20">
        <v>29121</v>
      </c>
    </row>
    <row r="1016" spans="1:1" x14ac:dyDescent="0.25">
      <c r="A1016" s="20">
        <v>29123</v>
      </c>
    </row>
    <row r="1017" spans="1:1" x14ac:dyDescent="0.25">
      <c r="A1017" s="20">
        <v>29127</v>
      </c>
    </row>
    <row r="1018" spans="1:1" x14ac:dyDescent="0.25">
      <c r="A1018" s="20">
        <v>29145</v>
      </c>
    </row>
    <row r="1019" spans="1:1" x14ac:dyDescent="0.25">
      <c r="A1019" s="20">
        <v>29147</v>
      </c>
    </row>
    <row r="1020" spans="1:1" x14ac:dyDescent="0.25">
      <c r="A1020" s="20">
        <v>29155</v>
      </c>
    </row>
    <row r="1021" spans="1:1" x14ac:dyDescent="0.25">
      <c r="A1021" s="20">
        <v>29157</v>
      </c>
    </row>
    <row r="1022" spans="1:1" x14ac:dyDescent="0.25">
      <c r="A1022" s="20">
        <v>29159</v>
      </c>
    </row>
    <row r="1023" spans="1:1" x14ac:dyDescent="0.25">
      <c r="A1023" s="20">
        <v>29161</v>
      </c>
    </row>
    <row r="1024" spans="1:1" x14ac:dyDescent="0.25">
      <c r="A1024" s="20">
        <v>29163</v>
      </c>
    </row>
    <row r="1025" spans="1:1" x14ac:dyDescent="0.25">
      <c r="A1025" s="20">
        <v>29165</v>
      </c>
    </row>
    <row r="1026" spans="1:1" x14ac:dyDescent="0.25">
      <c r="A1026" s="20">
        <v>29167</v>
      </c>
    </row>
    <row r="1027" spans="1:1" x14ac:dyDescent="0.25">
      <c r="A1027" s="20">
        <v>29171</v>
      </c>
    </row>
    <row r="1028" spans="1:1" x14ac:dyDescent="0.25">
      <c r="A1028" s="20">
        <v>29175</v>
      </c>
    </row>
    <row r="1029" spans="1:1" x14ac:dyDescent="0.25">
      <c r="A1029" s="20">
        <v>29177</v>
      </c>
    </row>
    <row r="1030" spans="1:1" x14ac:dyDescent="0.25">
      <c r="A1030" s="20">
        <v>29179</v>
      </c>
    </row>
    <row r="1031" spans="1:1" x14ac:dyDescent="0.25">
      <c r="A1031" s="20">
        <v>29181</v>
      </c>
    </row>
    <row r="1032" spans="1:1" x14ac:dyDescent="0.25">
      <c r="A1032" s="20">
        <v>29183</v>
      </c>
    </row>
    <row r="1033" spans="1:1" x14ac:dyDescent="0.25">
      <c r="A1033" s="20">
        <v>29185</v>
      </c>
    </row>
    <row r="1034" spans="1:1" x14ac:dyDescent="0.25">
      <c r="A1034" s="20">
        <v>29186</v>
      </c>
    </row>
    <row r="1035" spans="1:1" x14ac:dyDescent="0.25">
      <c r="A1035" s="20">
        <v>29187</v>
      </c>
    </row>
    <row r="1036" spans="1:1" x14ac:dyDescent="0.25">
      <c r="A1036" s="20">
        <v>29189</v>
      </c>
    </row>
    <row r="1037" spans="1:1" x14ac:dyDescent="0.25">
      <c r="A1037" s="20">
        <v>29195</v>
      </c>
    </row>
    <row r="1038" spans="1:1" x14ac:dyDescent="0.25">
      <c r="A1038" s="20">
        <v>29199</v>
      </c>
    </row>
    <row r="1039" spans="1:1" x14ac:dyDescent="0.25">
      <c r="A1039" s="20">
        <v>29201</v>
      </c>
    </row>
    <row r="1040" spans="1:1" x14ac:dyDescent="0.25">
      <c r="A1040" s="20">
        <v>29207</v>
      </c>
    </row>
    <row r="1041" spans="1:1" x14ac:dyDescent="0.25">
      <c r="A1041" s="20">
        <v>29211</v>
      </c>
    </row>
    <row r="1042" spans="1:1" x14ac:dyDescent="0.25">
      <c r="A1042" s="20">
        <v>29213</v>
      </c>
    </row>
    <row r="1043" spans="1:1" x14ac:dyDescent="0.25">
      <c r="A1043" s="20">
        <v>29215</v>
      </c>
    </row>
    <row r="1044" spans="1:1" x14ac:dyDescent="0.25">
      <c r="A1044" s="20">
        <v>29217</v>
      </c>
    </row>
    <row r="1045" spans="1:1" x14ac:dyDescent="0.25">
      <c r="A1045" s="20">
        <v>29221</v>
      </c>
    </row>
    <row r="1046" spans="1:1" x14ac:dyDescent="0.25">
      <c r="A1046" s="20">
        <v>29510</v>
      </c>
    </row>
    <row r="1047" spans="1:1" x14ac:dyDescent="0.25">
      <c r="A1047" s="20">
        <v>30001</v>
      </c>
    </row>
    <row r="1048" spans="1:1" x14ac:dyDescent="0.25">
      <c r="A1048" s="20">
        <v>30003</v>
      </c>
    </row>
    <row r="1049" spans="1:1" x14ac:dyDescent="0.25">
      <c r="A1049" s="20">
        <v>30005</v>
      </c>
    </row>
    <row r="1050" spans="1:1" x14ac:dyDescent="0.25">
      <c r="A1050" s="20">
        <v>30007</v>
      </c>
    </row>
    <row r="1051" spans="1:1" x14ac:dyDescent="0.25">
      <c r="A1051" s="20">
        <v>30009</v>
      </c>
    </row>
    <row r="1052" spans="1:1" x14ac:dyDescent="0.25">
      <c r="A1052" s="20">
        <v>30011</v>
      </c>
    </row>
    <row r="1053" spans="1:1" x14ac:dyDescent="0.25">
      <c r="A1053" s="20">
        <v>30013</v>
      </c>
    </row>
    <row r="1054" spans="1:1" x14ac:dyDescent="0.25">
      <c r="A1054" s="20">
        <v>30015</v>
      </c>
    </row>
    <row r="1055" spans="1:1" x14ac:dyDescent="0.25">
      <c r="A1055" s="20">
        <v>30017</v>
      </c>
    </row>
    <row r="1056" spans="1:1" x14ac:dyDescent="0.25">
      <c r="A1056" s="20">
        <v>30019</v>
      </c>
    </row>
    <row r="1057" spans="1:1" x14ac:dyDescent="0.25">
      <c r="A1057" s="20">
        <v>30021</v>
      </c>
    </row>
    <row r="1058" spans="1:1" x14ac:dyDescent="0.25">
      <c r="A1058" s="20">
        <v>30023</v>
      </c>
    </row>
    <row r="1059" spans="1:1" x14ac:dyDescent="0.25">
      <c r="A1059" s="20">
        <v>30025</v>
      </c>
    </row>
    <row r="1060" spans="1:1" x14ac:dyDescent="0.25">
      <c r="A1060" s="20">
        <v>30027</v>
      </c>
    </row>
    <row r="1061" spans="1:1" x14ac:dyDescent="0.25">
      <c r="A1061" s="20">
        <v>30029</v>
      </c>
    </row>
    <row r="1062" spans="1:1" x14ac:dyDescent="0.25">
      <c r="A1062" s="20">
        <v>30031</v>
      </c>
    </row>
    <row r="1063" spans="1:1" x14ac:dyDescent="0.25">
      <c r="A1063" s="20">
        <v>30033</v>
      </c>
    </row>
    <row r="1064" spans="1:1" x14ac:dyDescent="0.25">
      <c r="A1064" s="20">
        <v>30035</v>
      </c>
    </row>
    <row r="1065" spans="1:1" x14ac:dyDescent="0.25">
      <c r="A1065" s="20">
        <v>30039</v>
      </c>
    </row>
    <row r="1066" spans="1:1" x14ac:dyDescent="0.25">
      <c r="A1066" s="20">
        <v>30041</v>
      </c>
    </row>
    <row r="1067" spans="1:1" x14ac:dyDescent="0.25">
      <c r="A1067" s="20">
        <v>30047</v>
      </c>
    </row>
    <row r="1068" spans="1:1" x14ac:dyDescent="0.25">
      <c r="A1068" s="20">
        <v>30049</v>
      </c>
    </row>
    <row r="1069" spans="1:1" x14ac:dyDescent="0.25">
      <c r="A1069" s="20">
        <v>30051</v>
      </c>
    </row>
    <row r="1070" spans="1:1" x14ac:dyDescent="0.25">
      <c r="A1070" s="20">
        <v>30053</v>
      </c>
    </row>
    <row r="1071" spans="1:1" x14ac:dyDescent="0.25">
      <c r="A1071" s="20">
        <v>30055</v>
      </c>
    </row>
    <row r="1072" spans="1:1" x14ac:dyDescent="0.25">
      <c r="A1072" s="20">
        <v>30057</v>
      </c>
    </row>
    <row r="1073" spans="1:1" x14ac:dyDescent="0.25">
      <c r="A1073" s="20">
        <v>30059</v>
      </c>
    </row>
    <row r="1074" spans="1:1" x14ac:dyDescent="0.25">
      <c r="A1074" s="20">
        <v>30061</v>
      </c>
    </row>
    <row r="1075" spans="1:1" x14ac:dyDescent="0.25">
      <c r="A1075" s="20">
        <v>30063</v>
      </c>
    </row>
    <row r="1076" spans="1:1" x14ac:dyDescent="0.25">
      <c r="A1076" s="20">
        <v>30065</v>
      </c>
    </row>
    <row r="1077" spans="1:1" x14ac:dyDescent="0.25">
      <c r="A1077" s="20">
        <v>30067</v>
      </c>
    </row>
    <row r="1078" spans="1:1" x14ac:dyDescent="0.25">
      <c r="A1078" s="20">
        <v>30071</v>
      </c>
    </row>
    <row r="1079" spans="1:1" x14ac:dyDescent="0.25">
      <c r="A1079" s="20">
        <v>30073</v>
      </c>
    </row>
    <row r="1080" spans="1:1" x14ac:dyDescent="0.25">
      <c r="A1080" s="20">
        <v>30077</v>
      </c>
    </row>
    <row r="1081" spans="1:1" x14ac:dyDescent="0.25">
      <c r="A1081" s="20">
        <v>30079</v>
      </c>
    </row>
    <row r="1082" spans="1:1" x14ac:dyDescent="0.25">
      <c r="A1082" s="20">
        <v>30081</v>
      </c>
    </row>
    <row r="1083" spans="1:1" x14ac:dyDescent="0.25">
      <c r="A1083" s="20">
        <v>30083</v>
      </c>
    </row>
    <row r="1084" spans="1:1" x14ac:dyDescent="0.25">
      <c r="A1084" s="20">
        <v>30085</v>
      </c>
    </row>
    <row r="1085" spans="1:1" x14ac:dyDescent="0.25">
      <c r="A1085" s="20">
        <v>30087</v>
      </c>
    </row>
    <row r="1086" spans="1:1" x14ac:dyDescent="0.25">
      <c r="A1086" s="20">
        <v>30089</v>
      </c>
    </row>
    <row r="1087" spans="1:1" x14ac:dyDescent="0.25">
      <c r="A1087" s="20">
        <v>30091</v>
      </c>
    </row>
    <row r="1088" spans="1:1" x14ac:dyDescent="0.25">
      <c r="A1088" s="20">
        <v>30093</v>
      </c>
    </row>
    <row r="1089" spans="1:1" x14ac:dyDescent="0.25">
      <c r="A1089" s="20">
        <v>30095</v>
      </c>
    </row>
    <row r="1090" spans="1:1" x14ac:dyDescent="0.25">
      <c r="A1090" s="20">
        <v>30097</v>
      </c>
    </row>
    <row r="1091" spans="1:1" x14ac:dyDescent="0.25">
      <c r="A1091" s="20">
        <v>30099</v>
      </c>
    </row>
    <row r="1092" spans="1:1" x14ac:dyDescent="0.25">
      <c r="A1092" s="20">
        <v>30101</v>
      </c>
    </row>
    <row r="1093" spans="1:1" x14ac:dyDescent="0.25">
      <c r="A1093" s="20">
        <v>30105</v>
      </c>
    </row>
    <row r="1094" spans="1:1" x14ac:dyDescent="0.25">
      <c r="A1094" s="20">
        <v>30107</v>
      </c>
    </row>
    <row r="1095" spans="1:1" x14ac:dyDescent="0.25">
      <c r="A1095" s="20">
        <v>30111</v>
      </c>
    </row>
    <row r="1096" spans="1:1" x14ac:dyDescent="0.25">
      <c r="A1096" s="20">
        <v>31001</v>
      </c>
    </row>
    <row r="1097" spans="1:1" x14ac:dyDescent="0.25">
      <c r="A1097" s="20">
        <v>31003</v>
      </c>
    </row>
    <row r="1098" spans="1:1" x14ac:dyDescent="0.25">
      <c r="A1098" s="20">
        <v>31011</v>
      </c>
    </row>
    <row r="1099" spans="1:1" x14ac:dyDescent="0.25">
      <c r="A1099" s="20">
        <v>31013</v>
      </c>
    </row>
    <row r="1100" spans="1:1" x14ac:dyDescent="0.25">
      <c r="A1100" s="20">
        <v>31015</v>
      </c>
    </row>
    <row r="1101" spans="1:1" x14ac:dyDescent="0.25">
      <c r="A1101" s="20">
        <v>31017</v>
      </c>
    </row>
    <row r="1102" spans="1:1" x14ac:dyDescent="0.25">
      <c r="A1102" s="20">
        <v>31019</v>
      </c>
    </row>
    <row r="1103" spans="1:1" x14ac:dyDescent="0.25">
      <c r="A1103" s="20">
        <v>31021</v>
      </c>
    </row>
    <row r="1104" spans="1:1" x14ac:dyDescent="0.25">
      <c r="A1104" s="20">
        <v>31023</v>
      </c>
    </row>
    <row r="1105" spans="1:1" x14ac:dyDescent="0.25">
      <c r="A1105" s="20">
        <v>31029</v>
      </c>
    </row>
    <row r="1106" spans="1:1" x14ac:dyDescent="0.25">
      <c r="A1106" s="20">
        <v>31031</v>
      </c>
    </row>
    <row r="1107" spans="1:1" x14ac:dyDescent="0.25">
      <c r="A1107" s="20">
        <v>31033</v>
      </c>
    </row>
    <row r="1108" spans="1:1" x14ac:dyDescent="0.25">
      <c r="A1108" s="20">
        <v>31037</v>
      </c>
    </row>
    <row r="1109" spans="1:1" x14ac:dyDescent="0.25">
      <c r="A1109" s="20">
        <v>31039</v>
      </c>
    </row>
    <row r="1110" spans="1:1" x14ac:dyDescent="0.25">
      <c r="A1110" s="20">
        <v>31041</v>
      </c>
    </row>
    <row r="1111" spans="1:1" x14ac:dyDescent="0.25">
      <c r="A1111" s="20">
        <v>31045</v>
      </c>
    </row>
    <row r="1112" spans="1:1" x14ac:dyDescent="0.25">
      <c r="A1112" s="20">
        <v>31047</v>
      </c>
    </row>
    <row r="1113" spans="1:1" x14ac:dyDescent="0.25">
      <c r="A1113" s="20">
        <v>31053</v>
      </c>
    </row>
    <row r="1114" spans="1:1" x14ac:dyDescent="0.25">
      <c r="A1114" s="20">
        <v>31055</v>
      </c>
    </row>
    <row r="1115" spans="1:1" x14ac:dyDescent="0.25">
      <c r="A1115" s="20">
        <v>31057</v>
      </c>
    </row>
    <row r="1116" spans="1:1" x14ac:dyDescent="0.25">
      <c r="A1116" s="20">
        <v>31059</v>
      </c>
    </row>
    <row r="1117" spans="1:1" x14ac:dyDescent="0.25">
      <c r="A1117" s="20">
        <v>31061</v>
      </c>
    </row>
    <row r="1118" spans="1:1" x14ac:dyDescent="0.25">
      <c r="A1118" s="20">
        <v>31065</v>
      </c>
    </row>
    <row r="1119" spans="1:1" x14ac:dyDescent="0.25">
      <c r="A1119" s="20">
        <v>31067</v>
      </c>
    </row>
    <row r="1120" spans="1:1" x14ac:dyDescent="0.25">
      <c r="A1120" s="20">
        <v>31069</v>
      </c>
    </row>
    <row r="1121" spans="1:1" x14ac:dyDescent="0.25">
      <c r="A1121" s="20">
        <v>31079</v>
      </c>
    </row>
    <row r="1122" spans="1:1" x14ac:dyDescent="0.25">
      <c r="A1122" s="20">
        <v>31081</v>
      </c>
    </row>
    <row r="1123" spans="1:1" x14ac:dyDescent="0.25">
      <c r="A1123" s="20">
        <v>31083</v>
      </c>
    </row>
    <row r="1124" spans="1:1" x14ac:dyDescent="0.25">
      <c r="A1124" s="20">
        <v>31089</v>
      </c>
    </row>
    <row r="1125" spans="1:1" x14ac:dyDescent="0.25">
      <c r="A1125" s="20">
        <v>31093</v>
      </c>
    </row>
    <row r="1126" spans="1:1" x14ac:dyDescent="0.25">
      <c r="A1126" s="20">
        <v>31095</v>
      </c>
    </row>
    <row r="1127" spans="1:1" x14ac:dyDescent="0.25">
      <c r="A1127" s="20">
        <v>31097</v>
      </c>
    </row>
    <row r="1128" spans="1:1" x14ac:dyDescent="0.25">
      <c r="A1128" s="20">
        <v>31099</v>
      </c>
    </row>
    <row r="1129" spans="1:1" x14ac:dyDescent="0.25">
      <c r="A1129" s="20">
        <v>31101</v>
      </c>
    </row>
    <row r="1130" spans="1:1" x14ac:dyDescent="0.25">
      <c r="A1130" s="20">
        <v>31105</v>
      </c>
    </row>
    <row r="1131" spans="1:1" x14ac:dyDescent="0.25">
      <c r="A1131" s="20">
        <v>31107</v>
      </c>
    </row>
    <row r="1132" spans="1:1" x14ac:dyDescent="0.25">
      <c r="A1132" s="20">
        <v>31109</v>
      </c>
    </row>
    <row r="1133" spans="1:1" x14ac:dyDescent="0.25">
      <c r="A1133" s="20">
        <v>31111</v>
      </c>
    </row>
    <row r="1134" spans="1:1" x14ac:dyDescent="0.25">
      <c r="A1134" s="20">
        <v>31119</v>
      </c>
    </row>
    <row r="1135" spans="1:1" x14ac:dyDescent="0.25">
      <c r="A1135" s="20">
        <v>31121</v>
      </c>
    </row>
    <row r="1136" spans="1:1" x14ac:dyDescent="0.25">
      <c r="A1136" s="20">
        <v>31123</v>
      </c>
    </row>
    <row r="1137" spans="1:1" x14ac:dyDescent="0.25">
      <c r="A1137" s="20">
        <v>31125</v>
      </c>
    </row>
    <row r="1138" spans="1:1" x14ac:dyDescent="0.25">
      <c r="A1138" s="20">
        <v>31127</v>
      </c>
    </row>
    <row r="1139" spans="1:1" x14ac:dyDescent="0.25">
      <c r="A1139" s="20">
        <v>31129</v>
      </c>
    </row>
    <row r="1140" spans="1:1" x14ac:dyDescent="0.25">
      <c r="A1140" s="20">
        <v>31131</v>
      </c>
    </row>
    <row r="1141" spans="1:1" x14ac:dyDescent="0.25">
      <c r="A1141" s="20">
        <v>31133</v>
      </c>
    </row>
    <row r="1142" spans="1:1" x14ac:dyDescent="0.25">
      <c r="A1142" s="20">
        <v>31135</v>
      </c>
    </row>
    <row r="1143" spans="1:1" x14ac:dyDescent="0.25">
      <c r="A1143" s="20">
        <v>31137</v>
      </c>
    </row>
    <row r="1144" spans="1:1" x14ac:dyDescent="0.25">
      <c r="A1144" s="20">
        <v>31139</v>
      </c>
    </row>
    <row r="1145" spans="1:1" x14ac:dyDescent="0.25">
      <c r="A1145" s="20">
        <v>31141</v>
      </c>
    </row>
    <row r="1146" spans="1:1" x14ac:dyDescent="0.25">
      <c r="A1146" s="20">
        <v>31143</v>
      </c>
    </row>
    <row r="1147" spans="1:1" x14ac:dyDescent="0.25">
      <c r="A1147" s="20">
        <v>31145</v>
      </c>
    </row>
    <row r="1148" spans="1:1" x14ac:dyDescent="0.25">
      <c r="A1148" s="20">
        <v>31147</v>
      </c>
    </row>
    <row r="1149" spans="1:1" x14ac:dyDescent="0.25">
      <c r="A1149" s="20">
        <v>31149</v>
      </c>
    </row>
    <row r="1150" spans="1:1" x14ac:dyDescent="0.25">
      <c r="A1150" s="20">
        <v>31151</v>
      </c>
    </row>
    <row r="1151" spans="1:1" x14ac:dyDescent="0.25">
      <c r="A1151" s="20">
        <v>31153</v>
      </c>
    </row>
    <row r="1152" spans="1:1" x14ac:dyDescent="0.25">
      <c r="A1152" s="20">
        <v>31155</v>
      </c>
    </row>
    <row r="1153" spans="1:1" x14ac:dyDescent="0.25">
      <c r="A1153" s="20">
        <v>31157</v>
      </c>
    </row>
    <row r="1154" spans="1:1" x14ac:dyDescent="0.25">
      <c r="A1154" s="20">
        <v>31159</v>
      </c>
    </row>
    <row r="1155" spans="1:1" x14ac:dyDescent="0.25">
      <c r="A1155" s="20">
        <v>31161</v>
      </c>
    </row>
    <row r="1156" spans="1:1" x14ac:dyDescent="0.25">
      <c r="A1156" s="20">
        <v>31169</v>
      </c>
    </row>
    <row r="1157" spans="1:1" x14ac:dyDescent="0.25">
      <c r="A1157" s="20">
        <v>31173</v>
      </c>
    </row>
    <row r="1158" spans="1:1" x14ac:dyDescent="0.25">
      <c r="A1158" s="20">
        <v>31175</v>
      </c>
    </row>
    <row r="1159" spans="1:1" x14ac:dyDescent="0.25">
      <c r="A1159" s="20">
        <v>31177</v>
      </c>
    </row>
    <row r="1160" spans="1:1" x14ac:dyDescent="0.25">
      <c r="A1160" s="20">
        <v>31179</v>
      </c>
    </row>
    <row r="1161" spans="1:1" x14ac:dyDescent="0.25">
      <c r="A1161" s="20">
        <v>31181</v>
      </c>
    </row>
    <row r="1162" spans="1:1" x14ac:dyDescent="0.25">
      <c r="A1162" s="20">
        <v>31185</v>
      </c>
    </row>
    <row r="1163" spans="1:1" x14ac:dyDescent="0.25">
      <c r="A1163" s="20">
        <v>32001</v>
      </c>
    </row>
    <row r="1164" spans="1:1" x14ac:dyDescent="0.25">
      <c r="A1164" s="20">
        <v>32003</v>
      </c>
    </row>
    <row r="1165" spans="1:1" x14ac:dyDescent="0.25">
      <c r="A1165" s="20">
        <v>32005</v>
      </c>
    </row>
    <row r="1166" spans="1:1" x14ac:dyDescent="0.25">
      <c r="A1166" s="20">
        <v>32007</v>
      </c>
    </row>
    <row r="1167" spans="1:1" x14ac:dyDescent="0.25">
      <c r="A1167" s="20">
        <v>32013</v>
      </c>
    </row>
    <row r="1168" spans="1:1" x14ac:dyDescent="0.25">
      <c r="A1168" s="20">
        <v>32015</v>
      </c>
    </row>
    <row r="1169" spans="1:1" x14ac:dyDescent="0.25">
      <c r="A1169" s="20">
        <v>32017</v>
      </c>
    </row>
    <row r="1170" spans="1:1" x14ac:dyDescent="0.25">
      <c r="A1170" s="20">
        <v>32019</v>
      </c>
    </row>
    <row r="1171" spans="1:1" x14ac:dyDescent="0.25">
      <c r="A1171" s="20">
        <v>32021</v>
      </c>
    </row>
    <row r="1172" spans="1:1" x14ac:dyDescent="0.25">
      <c r="A1172" s="20">
        <v>32023</v>
      </c>
    </row>
    <row r="1173" spans="1:1" x14ac:dyDescent="0.25">
      <c r="A1173" s="20">
        <v>32027</v>
      </c>
    </row>
    <row r="1174" spans="1:1" x14ac:dyDescent="0.25">
      <c r="A1174" s="20">
        <v>32031</v>
      </c>
    </row>
    <row r="1175" spans="1:1" x14ac:dyDescent="0.25">
      <c r="A1175" s="20">
        <v>32033</v>
      </c>
    </row>
    <row r="1176" spans="1:1" x14ac:dyDescent="0.25">
      <c r="A1176" s="20">
        <v>32510</v>
      </c>
    </row>
    <row r="1177" spans="1:1" x14ac:dyDescent="0.25">
      <c r="A1177" s="20">
        <v>33001</v>
      </c>
    </row>
    <row r="1178" spans="1:1" x14ac:dyDescent="0.25">
      <c r="A1178" s="20">
        <v>33003</v>
      </c>
    </row>
    <row r="1179" spans="1:1" x14ac:dyDescent="0.25">
      <c r="A1179" s="20">
        <v>33005</v>
      </c>
    </row>
    <row r="1180" spans="1:1" x14ac:dyDescent="0.25">
      <c r="A1180" s="20">
        <v>33007</v>
      </c>
    </row>
    <row r="1181" spans="1:1" x14ac:dyDescent="0.25">
      <c r="A1181" s="20">
        <v>33009</v>
      </c>
    </row>
    <row r="1182" spans="1:1" x14ac:dyDescent="0.25">
      <c r="A1182" s="20">
        <v>33011</v>
      </c>
    </row>
    <row r="1183" spans="1:1" x14ac:dyDescent="0.25">
      <c r="A1183" s="20">
        <v>33013</v>
      </c>
    </row>
    <row r="1184" spans="1:1" x14ac:dyDescent="0.25">
      <c r="A1184" s="20">
        <v>33015</v>
      </c>
    </row>
    <row r="1185" spans="1:1" x14ac:dyDescent="0.25">
      <c r="A1185" s="20">
        <v>33017</v>
      </c>
    </row>
    <row r="1186" spans="1:1" x14ac:dyDescent="0.25">
      <c r="A1186" s="20">
        <v>33019</v>
      </c>
    </row>
    <row r="1187" spans="1:1" x14ac:dyDescent="0.25">
      <c r="A1187" s="20">
        <v>34001</v>
      </c>
    </row>
    <row r="1188" spans="1:1" x14ac:dyDescent="0.25">
      <c r="A1188" s="20">
        <v>34003</v>
      </c>
    </row>
    <row r="1189" spans="1:1" x14ac:dyDescent="0.25">
      <c r="A1189" s="20">
        <v>34005</v>
      </c>
    </row>
    <row r="1190" spans="1:1" x14ac:dyDescent="0.25">
      <c r="A1190" s="20">
        <v>34007</v>
      </c>
    </row>
    <row r="1191" spans="1:1" x14ac:dyDescent="0.25">
      <c r="A1191" s="20">
        <v>34009</v>
      </c>
    </row>
    <row r="1192" spans="1:1" x14ac:dyDescent="0.25">
      <c r="A1192" s="20">
        <v>34011</v>
      </c>
    </row>
    <row r="1193" spans="1:1" x14ac:dyDescent="0.25">
      <c r="A1193" s="20">
        <v>34013</v>
      </c>
    </row>
    <row r="1194" spans="1:1" x14ac:dyDescent="0.25">
      <c r="A1194" s="20">
        <v>34015</v>
      </c>
    </row>
    <row r="1195" spans="1:1" x14ac:dyDescent="0.25">
      <c r="A1195" s="20">
        <v>34017</v>
      </c>
    </row>
    <row r="1196" spans="1:1" x14ac:dyDescent="0.25">
      <c r="A1196" s="20">
        <v>34019</v>
      </c>
    </row>
    <row r="1197" spans="1:1" x14ac:dyDescent="0.25">
      <c r="A1197" s="20">
        <v>34021</v>
      </c>
    </row>
    <row r="1198" spans="1:1" x14ac:dyDescent="0.25">
      <c r="A1198" s="20">
        <v>34023</v>
      </c>
    </row>
    <row r="1199" spans="1:1" x14ac:dyDescent="0.25">
      <c r="A1199" s="20">
        <v>34025</v>
      </c>
    </row>
    <row r="1200" spans="1:1" x14ac:dyDescent="0.25">
      <c r="A1200" s="20">
        <v>34027</v>
      </c>
    </row>
    <row r="1201" spans="1:1" x14ac:dyDescent="0.25">
      <c r="A1201" s="20">
        <v>34029</v>
      </c>
    </row>
    <row r="1202" spans="1:1" x14ac:dyDescent="0.25">
      <c r="A1202" s="20">
        <v>34031</v>
      </c>
    </row>
    <row r="1203" spans="1:1" x14ac:dyDescent="0.25">
      <c r="A1203" s="20">
        <v>34033</v>
      </c>
    </row>
    <row r="1204" spans="1:1" x14ac:dyDescent="0.25">
      <c r="A1204" s="20">
        <v>34035</v>
      </c>
    </row>
    <row r="1205" spans="1:1" x14ac:dyDescent="0.25">
      <c r="A1205" s="20">
        <v>34037</v>
      </c>
    </row>
    <row r="1206" spans="1:1" x14ac:dyDescent="0.25">
      <c r="A1206" s="20">
        <v>34039</v>
      </c>
    </row>
    <row r="1207" spans="1:1" x14ac:dyDescent="0.25">
      <c r="A1207" s="20">
        <v>34041</v>
      </c>
    </row>
    <row r="1208" spans="1:1" x14ac:dyDescent="0.25">
      <c r="A1208" s="20">
        <v>35001</v>
      </c>
    </row>
    <row r="1209" spans="1:1" x14ac:dyDescent="0.25">
      <c r="A1209" s="20">
        <v>35005</v>
      </c>
    </row>
    <row r="1210" spans="1:1" x14ac:dyDescent="0.25">
      <c r="A1210" s="20">
        <v>35006</v>
      </c>
    </row>
    <row r="1211" spans="1:1" x14ac:dyDescent="0.25">
      <c r="A1211" s="20">
        <v>35007</v>
      </c>
    </row>
    <row r="1212" spans="1:1" x14ac:dyDescent="0.25">
      <c r="A1212" s="20">
        <v>35009</v>
      </c>
    </row>
    <row r="1213" spans="1:1" x14ac:dyDescent="0.25">
      <c r="A1213" s="20">
        <v>35013</v>
      </c>
    </row>
    <row r="1214" spans="1:1" x14ac:dyDescent="0.25">
      <c r="A1214" s="20">
        <v>35015</v>
      </c>
    </row>
    <row r="1215" spans="1:1" x14ac:dyDescent="0.25">
      <c r="A1215" s="20">
        <v>35017</v>
      </c>
    </row>
    <row r="1216" spans="1:1" x14ac:dyDescent="0.25">
      <c r="A1216" s="20">
        <v>35019</v>
      </c>
    </row>
    <row r="1217" spans="1:1" x14ac:dyDescent="0.25">
      <c r="A1217" s="20">
        <v>35025</v>
      </c>
    </row>
    <row r="1218" spans="1:1" x14ac:dyDescent="0.25">
      <c r="A1218" s="20">
        <v>35027</v>
      </c>
    </row>
    <row r="1219" spans="1:1" x14ac:dyDescent="0.25">
      <c r="A1219" s="20">
        <v>35028</v>
      </c>
    </row>
    <row r="1220" spans="1:1" x14ac:dyDescent="0.25">
      <c r="A1220" s="20">
        <v>35029</v>
      </c>
    </row>
    <row r="1221" spans="1:1" x14ac:dyDescent="0.25">
      <c r="A1221" s="20">
        <v>35031</v>
      </c>
    </row>
    <row r="1222" spans="1:1" x14ac:dyDescent="0.25">
      <c r="A1222" s="20">
        <v>35035</v>
      </c>
    </row>
    <row r="1223" spans="1:1" x14ac:dyDescent="0.25">
      <c r="A1223" s="20">
        <v>35039</v>
      </c>
    </row>
    <row r="1224" spans="1:1" x14ac:dyDescent="0.25">
      <c r="A1224" s="20">
        <v>35041</v>
      </c>
    </row>
    <row r="1225" spans="1:1" x14ac:dyDescent="0.25">
      <c r="A1225" s="20">
        <v>35043</v>
      </c>
    </row>
    <row r="1226" spans="1:1" x14ac:dyDescent="0.25">
      <c r="A1226" s="20">
        <v>35045</v>
      </c>
    </row>
    <row r="1227" spans="1:1" x14ac:dyDescent="0.25">
      <c r="A1227" s="20">
        <v>35047</v>
      </c>
    </row>
    <row r="1228" spans="1:1" x14ac:dyDescent="0.25">
      <c r="A1228" s="20">
        <v>35049</v>
      </c>
    </row>
    <row r="1229" spans="1:1" x14ac:dyDescent="0.25">
      <c r="A1229" s="20">
        <v>35051</v>
      </c>
    </row>
    <row r="1230" spans="1:1" x14ac:dyDescent="0.25">
      <c r="A1230" s="20">
        <v>35053</v>
      </c>
    </row>
    <row r="1231" spans="1:1" x14ac:dyDescent="0.25">
      <c r="A1231" s="20">
        <v>35055</v>
      </c>
    </row>
    <row r="1232" spans="1:1" x14ac:dyDescent="0.25">
      <c r="A1232" s="20">
        <v>35059</v>
      </c>
    </row>
    <row r="1233" spans="1:1" x14ac:dyDescent="0.25">
      <c r="A1233" s="20">
        <v>36001</v>
      </c>
    </row>
    <row r="1234" spans="1:1" x14ac:dyDescent="0.25">
      <c r="A1234" s="20">
        <v>36003</v>
      </c>
    </row>
    <row r="1235" spans="1:1" x14ac:dyDescent="0.25">
      <c r="A1235" s="20">
        <v>36005</v>
      </c>
    </row>
    <row r="1236" spans="1:1" x14ac:dyDescent="0.25">
      <c r="A1236" s="20">
        <v>36007</v>
      </c>
    </row>
    <row r="1237" spans="1:1" x14ac:dyDescent="0.25">
      <c r="A1237" s="20">
        <v>36009</v>
      </c>
    </row>
    <row r="1238" spans="1:1" x14ac:dyDescent="0.25">
      <c r="A1238" s="20">
        <v>36011</v>
      </c>
    </row>
    <row r="1239" spans="1:1" x14ac:dyDescent="0.25">
      <c r="A1239" s="20">
        <v>36013</v>
      </c>
    </row>
    <row r="1240" spans="1:1" x14ac:dyDescent="0.25">
      <c r="A1240" s="20">
        <v>36015</v>
      </c>
    </row>
    <row r="1241" spans="1:1" x14ac:dyDescent="0.25">
      <c r="A1241" s="20">
        <v>36017</v>
      </c>
    </row>
    <row r="1242" spans="1:1" x14ac:dyDescent="0.25">
      <c r="A1242" s="20">
        <v>36019</v>
      </c>
    </row>
    <row r="1243" spans="1:1" x14ac:dyDescent="0.25">
      <c r="A1243" s="20">
        <v>36021</v>
      </c>
    </row>
    <row r="1244" spans="1:1" x14ac:dyDescent="0.25">
      <c r="A1244" s="20">
        <v>36023</v>
      </c>
    </row>
    <row r="1245" spans="1:1" x14ac:dyDescent="0.25">
      <c r="A1245" s="20">
        <v>36025</v>
      </c>
    </row>
    <row r="1246" spans="1:1" x14ac:dyDescent="0.25">
      <c r="A1246" s="20">
        <v>36027</v>
      </c>
    </row>
    <row r="1247" spans="1:1" x14ac:dyDescent="0.25">
      <c r="A1247" s="20">
        <v>36029</v>
      </c>
    </row>
    <row r="1248" spans="1:1" x14ac:dyDescent="0.25">
      <c r="A1248" s="20">
        <v>36031</v>
      </c>
    </row>
    <row r="1249" spans="1:1" x14ac:dyDescent="0.25">
      <c r="A1249" s="20">
        <v>36033</v>
      </c>
    </row>
    <row r="1250" spans="1:1" x14ac:dyDescent="0.25">
      <c r="A1250" s="20">
        <v>36035</v>
      </c>
    </row>
    <row r="1251" spans="1:1" x14ac:dyDescent="0.25">
      <c r="A1251" s="20">
        <v>36037</v>
      </c>
    </row>
    <row r="1252" spans="1:1" x14ac:dyDescent="0.25">
      <c r="A1252" s="20">
        <v>36043</v>
      </c>
    </row>
    <row r="1253" spans="1:1" x14ac:dyDescent="0.25">
      <c r="A1253" s="20">
        <v>36045</v>
      </c>
    </row>
    <row r="1254" spans="1:1" x14ac:dyDescent="0.25">
      <c r="A1254" s="20">
        <v>36047</v>
      </c>
    </row>
    <row r="1255" spans="1:1" x14ac:dyDescent="0.25">
      <c r="A1255" s="20">
        <v>36049</v>
      </c>
    </row>
    <row r="1256" spans="1:1" x14ac:dyDescent="0.25">
      <c r="A1256" s="20">
        <v>36051</v>
      </c>
    </row>
    <row r="1257" spans="1:1" x14ac:dyDescent="0.25">
      <c r="A1257" s="20">
        <v>36053</v>
      </c>
    </row>
    <row r="1258" spans="1:1" x14ac:dyDescent="0.25">
      <c r="A1258" s="20">
        <v>36055</v>
      </c>
    </row>
    <row r="1259" spans="1:1" x14ac:dyDescent="0.25">
      <c r="A1259" s="20">
        <v>36057</v>
      </c>
    </row>
    <row r="1260" spans="1:1" x14ac:dyDescent="0.25">
      <c r="A1260" s="20">
        <v>36059</v>
      </c>
    </row>
    <row r="1261" spans="1:1" x14ac:dyDescent="0.25">
      <c r="A1261" s="20">
        <v>36061</v>
      </c>
    </row>
    <row r="1262" spans="1:1" x14ac:dyDescent="0.25">
      <c r="A1262" s="20">
        <v>36063</v>
      </c>
    </row>
    <row r="1263" spans="1:1" x14ac:dyDescent="0.25">
      <c r="A1263" s="20">
        <v>36065</v>
      </c>
    </row>
    <row r="1264" spans="1:1" x14ac:dyDescent="0.25">
      <c r="A1264" s="20">
        <v>36067</v>
      </c>
    </row>
    <row r="1265" spans="1:1" x14ac:dyDescent="0.25">
      <c r="A1265" s="20">
        <v>36069</v>
      </c>
    </row>
    <row r="1266" spans="1:1" x14ac:dyDescent="0.25">
      <c r="A1266" s="20">
        <v>36071</v>
      </c>
    </row>
    <row r="1267" spans="1:1" x14ac:dyDescent="0.25">
      <c r="A1267" s="20">
        <v>36073</v>
      </c>
    </row>
    <row r="1268" spans="1:1" x14ac:dyDescent="0.25">
      <c r="A1268" s="20">
        <v>36075</v>
      </c>
    </row>
    <row r="1269" spans="1:1" x14ac:dyDescent="0.25">
      <c r="A1269" s="20">
        <v>36077</v>
      </c>
    </row>
    <row r="1270" spans="1:1" x14ac:dyDescent="0.25">
      <c r="A1270" s="20">
        <v>36079</v>
      </c>
    </row>
    <row r="1271" spans="1:1" x14ac:dyDescent="0.25">
      <c r="A1271" s="20">
        <v>36081</v>
      </c>
    </row>
    <row r="1272" spans="1:1" x14ac:dyDescent="0.25">
      <c r="A1272" s="20">
        <v>36083</v>
      </c>
    </row>
    <row r="1273" spans="1:1" x14ac:dyDescent="0.25">
      <c r="A1273" s="20">
        <v>36085</v>
      </c>
    </row>
    <row r="1274" spans="1:1" x14ac:dyDescent="0.25">
      <c r="A1274" s="20">
        <v>36087</v>
      </c>
    </row>
    <row r="1275" spans="1:1" x14ac:dyDescent="0.25">
      <c r="A1275" s="20">
        <v>36089</v>
      </c>
    </row>
    <row r="1276" spans="1:1" x14ac:dyDescent="0.25">
      <c r="A1276" s="20">
        <v>36091</v>
      </c>
    </row>
    <row r="1277" spans="1:1" x14ac:dyDescent="0.25">
      <c r="A1277" s="20">
        <v>36093</v>
      </c>
    </row>
    <row r="1278" spans="1:1" x14ac:dyDescent="0.25">
      <c r="A1278" s="20">
        <v>36095</v>
      </c>
    </row>
    <row r="1279" spans="1:1" x14ac:dyDescent="0.25">
      <c r="A1279" s="20">
        <v>36097</v>
      </c>
    </row>
    <row r="1280" spans="1:1" x14ac:dyDescent="0.25">
      <c r="A1280" s="20">
        <v>36101</v>
      </c>
    </row>
    <row r="1281" spans="1:1" x14ac:dyDescent="0.25">
      <c r="A1281" s="20">
        <v>36103</v>
      </c>
    </row>
    <row r="1282" spans="1:1" x14ac:dyDescent="0.25">
      <c r="A1282" s="20">
        <v>36105</v>
      </c>
    </row>
    <row r="1283" spans="1:1" x14ac:dyDescent="0.25">
      <c r="A1283" s="20">
        <v>36109</v>
      </c>
    </row>
    <row r="1284" spans="1:1" x14ac:dyDescent="0.25">
      <c r="A1284" s="20">
        <v>36111</v>
      </c>
    </row>
    <row r="1285" spans="1:1" x14ac:dyDescent="0.25">
      <c r="A1285" s="20">
        <v>36113</v>
      </c>
    </row>
    <row r="1286" spans="1:1" x14ac:dyDescent="0.25">
      <c r="A1286" s="20">
        <v>36117</v>
      </c>
    </row>
    <row r="1287" spans="1:1" x14ac:dyDescent="0.25">
      <c r="A1287" s="20">
        <v>36119</v>
      </c>
    </row>
    <row r="1288" spans="1:1" x14ac:dyDescent="0.25">
      <c r="A1288" s="20">
        <v>36121</v>
      </c>
    </row>
    <row r="1289" spans="1:1" x14ac:dyDescent="0.25">
      <c r="A1289" s="20">
        <v>36123</v>
      </c>
    </row>
    <row r="1290" spans="1:1" x14ac:dyDescent="0.25">
      <c r="A1290" s="20">
        <v>37001</v>
      </c>
    </row>
    <row r="1291" spans="1:1" x14ac:dyDescent="0.25">
      <c r="A1291" s="20">
        <v>37005</v>
      </c>
    </row>
    <row r="1292" spans="1:1" x14ac:dyDescent="0.25">
      <c r="A1292" s="20">
        <v>37007</v>
      </c>
    </row>
    <row r="1293" spans="1:1" x14ac:dyDescent="0.25">
      <c r="A1293" s="20">
        <v>37009</v>
      </c>
    </row>
    <row r="1294" spans="1:1" x14ac:dyDescent="0.25">
      <c r="A1294" s="20">
        <v>37011</v>
      </c>
    </row>
    <row r="1295" spans="1:1" x14ac:dyDescent="0.25">
      <c r="A1295" s="20">
        <v>37013</v>
      </c>
    </row>
    <row r="1296" spans="1:1" x14ac:dyDescent="0.25">
      <c r="A1296" s="20">
        <v>37015</v>
      </c>
    </row>
    <row r="1297" spans="1:1" x14ac:dyDescent="0.25">
      <c r="A1297" s="20">
        <v>37017</v>
      </c>
    </row>
    <row r="1298" spans="1:1" x14ac:dyDescent="0.25">
      <c r="A1298" s="20">
        <v>37019</v>
      </c>
    </row>
    <row r="1299" spans="1:1" x14ac:dyDescent="0.25">
      <c r="A1299" s="20">
        <v>37021</v>
      </c>
    </row>
    <row r="1300" spans="1:1" x14ac:dyDescent="0.25">
      <c r="A1300" s="20">
        <v>37023</v>
      </c>
    </row>
    <row r="1301" spans="1:1" x14ac:dyDescent="0.25">
      <c r="A1301" s="20">
        <v>37025</v>
      </c>
    </row>
    <row r="1302" spans="1:1" x14ac:dyDescent="0.25">
      <c r="A1302" s="20">
        <v>37027</v>
      </c>
    </row>
    <row r="1303" spans="1:1" x14ac:dyDescent="0.25">
      <c r="A1303" s="20">
        <v>37031</v>
      </c>
    </row>
    <row r="1304" spans="1:1" x14ac:dyDescent="0.25">
      <c r="A1304" s="20">
        <v>37035</v>
      </c>
    </row>
    <row r="1305" spans="1:1" x14ac:dyDescent="0.25">
      <c r="A1305" s="20">
        <v>37037</v>
      </c>
    </row>
    <row r="1306" spans="1:1" x14ac:dyDescent="0.25">
      <c r="A1306" s="20">
        <v>37039</v>
      </c>
    </row>
    <row r="1307" spans="1:1" x14ac:dyDescent="0.25">
      <c r="A1307" s="20">
        <v>37041</v>
      </c>
    </row>
    <row r="1308" spans="1:1" x14ac:dyDescent="0.25">
      <c r="A1308" s="20">
        <v>37045</v>
      </c>
    </row>
    <row r="1309" spans="1:1" x14ac:dyDescent="0.25">
      <c r="A1309" s="20">
        <v>37047</v>
      </c>
    </row>
    <row r="1310" spans="1:1" x14ac:dyDescent="0.25">
      <c r="A1310" s="20">
        <v>37049</v>
      </c>
    </row>
    <row r="1311" spans="1:1" x14ac:dyDescent="0.25">
      <c r="A1311" s="20">
        <v>37051</v>
      </c>
    </row>
    <row r="1312" spans="1:1" x14ac:dyDescent="0.25">
      <c r="A1312" s="20">
        <v>37055</v>
      </c>
    </row>
    <row r="1313" spans="1:1" x14ac:dyDescent="0.25">
      <c r="A1313" s="20">
        <v>37057</v>
      </c>
    </row>
    <row r="1314" spans="1:1" x14ac:dyDescent="0.25">
      <c r="A1314" s="20">
        <v>37059</v>
      </c>
    </row>
    <row r="1315" spans="1:1" x14ac:dyDescent="0.25">
      <c r="A1315" s="20">
        <v>37061</v>
      </c>
    </row>
    <row r="1316" spans="1:1" x14ac:dyDescent="0.25">
      <c r="A1316" s="20">
        <v>37063</v>
      </c>
    </row>
    <row r="1317" spans="1:1" x14ac:dyDescent="0.25">
      <c r="A1317" s="20">
        <v>37065</v>
      </c>
    </row>
    <row r="1318" spans="1:1" x14ac:dyDescent="0.25">
      <c r="A1318" s="20">
        <v>37067</v>
      </c>
    </row>
    <row r="1319" spans="1:1" x14ac:dyDescent="0.25">
      <c r="A1319" s="20">
        <v>37069</v>
      </c>
    </row>
    <row r="1320" spans="1:1" x14ac:dyDescent="0.25">
      <c r="A1320" s="20">
        <v>37071</v>
      </c>
    </row>
    <row r="1321" spans="1:1" x14ac:dyDescent="0.25">
      <c r="A1321" s="20">
        <v>37077</v>
      </c>
    </row>
    <row r="1322" spans="1:1" x14ac:dyDescent="0.25">
      <c r="A1322" s="20">
        <v>37081</v>
      </c>
    </row>
    <row r="1323" spans="1:1" x14ac:dyDescent="0.25">
      <c r="A1323" s="20">
        <v>37083</v>
      </c>
    </row>
    <row r="1324" spans="1:1" x14ac:dyDescent="0.25">
      <c r="A1324" s="20">
        <v>37085</v>
      </c>
    </row>
    <row r="1325" spans="1:1" x14ac:dyDescent="0.25">
      <c r="A1325" s="20">
        <v>37087</v>
      </c>
    </row>
    <row r="1326" spans="1:1" x14ac:dyDescent="0.25">
      <c r="A1326" s="20">
        <v>37089</v>
      </c>
    </row>
    <row r="1327" spans="1:1" x14ac:dyDescent="0.25">
      <c r="A1327" s="20">
        <v>37091</v>
      </c>
    </row>
    <row r="1328" spans="1:1" x14ac:dyDescent="0.25">
      <c r="A1328" s="20">
        <v>37093</v>
      </c>
    </row>
    <row r="1329" spans="1:1" x14ac:dyDescent="0.25">
      <c r="A1329" s="20">
        <v>37097</v>
      </c>
    </row>
    <row r="1330" spans="1:1" x14ac:dyDescent="0.25">
      <c r="A1330" s="20">
        <v>37099</v>
      </c>
    </row>
    <row r="1331" spans="1:1" x14ac:dyDescent="0.25">
      <c r="A1331" s="20">
        <v>37101</v>
      </c>
    </row>
    <row r="1332" spans="1:1" x14ac:dyDescent="0.25">
      <c r="A1332" s="20">
        <v>37105</v>
      </c>
    </row>
    <row r="1333" spans="1:1" x14ac:dyDescent="0.25">
      <c r="A1333" s="20">
        <v>37107</v>
      </c>
    </row>
    <row r="1334" spans="1:1" x14ac:dyDescent="0.25">
      <c r="A1334" s="20">
        <v>37109</v>
      </c>
    </row>
    <row r="1335" spans="1:1" x14ac:dyDescent="0.25">
      <c r="A1335" s="20">
        <v>37111</v>
      </c>
    </row>
    <row r="1336" spans="1:1" x14ac:dyDescent="0.25">
      <c r="A1336" s="20">
        <v>37113</v>
      </c>
    </row>
    <row r="1337" spans="1:1" x14ac:dyDescent="0.25">
      <c r="A1337" s="20">
        <v>37117</v>
      </c>
    </row>
    <row r="1338" spans="1:1" x14ac:dyDescent="0.25">
      <c r="A1338" s="20">
        <v>37119</v>
      </c>
    </row>
    <row r="1339" spans="1:1" x14ac:dyDescent="0.25">
      <c r="A1339" s="20">
        <v>37121</v>
      </c>
    </row>
    <row r="1340" spans="1:1" x14ac:dyDescent="0.25">
      <c r="A1340" s="20">
        <v>37123</v>
      </c>
    </row>
    <row r="1341" spans="1:1" x14ac:dyDescent="0.25">
      <c r="A1341" s="20">
        <v>37125</v>
      </c>
    </row>
    <row r="1342" spans="1:1" x14ac:dyDescent="0.25">
      <c r="A1342" s="20">
        <v>37127</v>
      </c>
    </row>
    <row r="1343" spans="1:1" x14ac:dyDescent="0.25">
      <c r="A1343" s="20">
        <v>37129</v>
      </c>
    </row>
    <row r="1344" spans="1:1" x14ac:dyDescent="0.25">
      <c r="A1344" s="20">
        <v>37133</v>
      </c>
    </row>
    <row r="1345" spans="1:1" x14ac:dyDescent="0.25">
      <c r="A1345" s="20">
        <v>37135</v>
      </c>
    </row>
    <row r="1346" spans="1:1" x14ac:dyDescent="0.25">
      <c r="A1346" s="20">
        <v>37139</v>
      </c>
    </row>
    <row r="1347" spans="1:1" x14ac:dyDescent="0.25">
      <c r="A1347" s="20">
        <v>37141</v>
      </c>
    </row>
    <row r="1348" spans="1:1" x14ac:dyDescent="0.25">
      <c r="A1348" s="20">
        <v>37145</v>
      </c>
    </row>
    <row r="1349" spans="1:1" x14ac:dyDescent="0.25">
      <c r="A1349" s="20">
        <v>37147</v>
      </c>
    </row>
    <row r="1350" spans="1:1" x14ac:dyDescent="0.25">
      <c r="A1350" s="20">
        <v>37149</v>
      </c>
    </row>
    <row r="1351" spans="1:1" x14ac:dyDescent="0.25">
      <c r="A1351" s="20">
        <v>37151</v>
      </c>
    </row>
    <row r="1352" spans="1:1" x14ac:dyDescent="0.25">
      <c r="A1352" s="20">
        <v>37153</v>
      </c>
    </row>
    <row r="1353" spans="1:1" x14ac:dyDescent="0.25">
      <c r="A1353" s="20">
        <v>37155</v>
      </c>
    </row>
    <row r="1354" spans="1:1" x14ac:dyDescent="0.25">
      <c r="A1354" s="20">
        <v>37157</v>
      </c>
    </row>
    <row r="1355" spans="1:1" x14ac:dyDescent="0.25">
      <c r="A1355" s="20">
        <v>37159</v>
      </c>
    </row>
    <row r="1356" spans="1:1" x14ac:dyDescent="0.25">
      <c r="A1356" s="20">
        <v>37161</v>
      </c>
    </row>
    <row r="1357" spans="1:1" x14ac:dyDescent="0.25">
      <c r="A1357" s="20">
        <v>37163</v>
      </c>
    </row>
    <row r="1358" spans="1:1" x14ac:dyDescent="0.25">
      <c r="A1358" s="20">
        <v>37165</v>
      </c>
    </row>
    <row r="1359" spans="1:1" x14ac:dyDescent="0.25">
      <c r="A1359" s="20">
        <v>37167</v>
      </c>
    </row>
    <row r="1360" spans="1:1" x14ac:dyDescent="0.25">
      <c r="A1360" s="20">
        <v>37169</v>
      </c>
    </row>
    <row r="1361" spans="1:1" x14ac:dyDescent="0.25">
      <c r="A1361" s="20">
        <v>37171</v>
      </c>
    </row>
    <row r="1362" spans="1:1" x14ac:dyDescent="0.25">
      <c r="A1362" s="20">
        <v>37173</v>
      </c>
    </row>
    <row r="1363" spans="1:1" x14ac:dyDescent="0.25">
      <c r="A1363" s="20">
        <v>37175</v>
      </c>
    </row>
    <row r="1364" spans="1:1" x14ac:dyDescent="0.25">
      <c r="A1364" s="20">
        <v>37179</v>
      </c>
    </row>
    <row r="1365" spans="1:1" x14ac:dyDescent="0.25">
      <c r="A1365" s="20">
        <v>37181</v>
      </c>
    </row>
    <row r="1366" spans="1:1" x14ac:dyDescent="0.25">
      <c r="A1366" s="20">
        <v>37183</v>
      </c>
    </row>
    <row r="1367" spans="1:1" x14ac:dyDescent="0.25">
      <c r="A1367" s="20">
        <v>37187</v>
      </c>
    </row>
    <row r="1368" spans="1:1" x14ac:dyDescent="0.25">
      <c r="A1368" s="20">
        <v>37189</v>
      </c>
    </row>
    <row r="1369" spans="1:1" x14ac:dyDescent="0.25">
      <c r="A1369" s="20">
        <v>37191</v>
      </c>
    </row>
    <row r="1370" spans="1:1" x14ac:dyDescent="0.25">
      <c r="A1370" s="20">
        <v>37193</v>
      </c>
    </row>
    <row r="1371" spans="1:1" x14ac:dyDescent="0.25">
      <c r="A1371" s="20">
        <v>37195</v>
      </c>
    </row>
    <row r="1372" spans="1:1" x14ac:dyDescent="0.25">
      <c r="A1372" s="20">
        <v>37197</v>
      </c>
    </row>
    <row r="1373" spans="1:1" x14ac:dyDescent="0.25">
      <c r="A1373" s="20">
        <v>38001</v>
      </c>
    </row>
    <row r="1374" spans="1:1" x14ac:dyDescent="0.25">
      <c r="A1374" s="20">
        <v>38003</v>
      </c>
    </row>
    <row r="1375" spans="1:1" x14ac:dyDescent="0.25">
      <c r="A1375" s="20">
        <v>38009</v>
      </c>
    </row>
    <row r="1376" spans="1:1" x14ac:dyDescent="0.25">
      <c r="A1376" s="20">
        <v>38011</v>
      </c>
    </row>
    <row r="1377" spans="1:1" x14ac:dyDescent="0.25">
      <c r="A1377" s="20">
        <v>38015</v>
      </c>
    </row>
    <row r="1378" spans="1:1" x14ac:dyDescent="0.25">
      <c r="A1378" s="20">
        <v>38017</v>
      </c>
    </row>
    <row r="1379" spans="1:1" x14ac:dyDescent="0.25">
      <c r="A1379" s="20">
        <v>38019</v>
      </c>
    </row>
    <row r="1380" spans="1:1" x14ac:dyDescent="0.25">
      <c r="A1380" s="20">
        <v>38021</v>
      </c>
    </row>
    <row r="1381" spans="1:1" x14ac:dyDescent="0.25">
      <c r="A1381" s="20">
        <v>38023</v>
      </c>
    </row>
    <row r="1382" spans="1:1" x14ac:dyDescent="0.25">
      <c r="A1382" s="20">
        <v>38029</v>
      </c>
    </row>
    <row r="1383" spans="1:1" x14ac:dyDescent="0.25">
      <c r="A1383" s="20">
        <v>38031</v>
      </c>
    </row>
    <row r="1384" spans="1:1" x14ac:dyDescent="0.25">
      <c r="A1384" s="20">
        <v>38035</v>
      </c>
    </row>
    <row r="1385" spans="1:1" x14ac:dyDescent="0.25">
      <c r="A1385" s="20">
        <v>38037</v>
      </c>
    </row>
    <row r="1386" spans="1:1" x14ac:dyDescent="0.25">
      <c r="A1386" s="20">
        <v>38039</v>
      </c>
    </row>
    <row r="1387" spans="1:1" x14ac:dyDescent="0.25">
      <c r="A1387" s="20">
        <v>38051</v>
      </c>
    </row>
    <row r="1388" spans="1:1" x14ac:dyDescent="0.25">
      <c r="A1388" s="20">
        <v>38053</v>
      </c>
    </row>
    <row r="1389" spans="1:1" x14ac:dyDescent="0.25">
      <c r="A1389" s="20">
        <v>38055</v>
      </c>
    </row>
    <row r="1390" spans="1:1" x14ac:dyDescent="0.25">
      <c r="A1390" s="20">
        <v>38057</v>
      </c>
    </row>
    <row r="1391" spans="1:1" x14ac:dyDescent="0.25">
      <c r="A1391" s="20">
        <v>38061</v>
      </c>
    </row>
    <row r="1392" spans="1:1" x14ac:dyDescent="0.25">
      <c r="A1392" s="20">
        <v>38063</v>
      </c>
    </row>
    <row r="1393" spans="1:1" x14ac:dyDescent="0.25">
      <c r="A1393" s="20">
        <v>38067</v>
      </c>
    </row>
    <row r="1394" spans="1:1" x14ac:dyDescent="0.25">
      <c r="A1394" s="20">
        <v>38069</v>
      </c>
    </row>
    <row r="1395" spans="1:1" x14ac:dyDescent="0.25">
      <c r="A1395" s="20">
        <v>38071</v>
      </c>
    </row>
    <row r="1396" spans="1:1" x14ac:dyDescent="0.25">
      <c r="A1396" s="20">
        <v>38073</v>
      </c>
    </row>
    <row r="1397" spans="1:1" x14ac:dyDescent="0.25">
      <c r="A1397" s="20">
        <v>38079</v>
      </c>
    </row>
    <row r="1398" spans="1:1" x14ac:dyDescent="0.25">
      <c r="A1398" s="20">
        <v>38085</v>
      </c>
    </row>
    <row r="1399" spans="1:1" x14ac:dyDescent="0.25">
      <c r="A1399" s="20">
        <v>38089</v>
      </c>
    </row>
    <row r="1400" spans="1:1" x14ac:dyDescent="0.25">
      <c r="A1400" s="20">
        <v>38093</v>
      </c>
    </row>
    <row r="1401" spans="1:1" x14ac:dyDescent="0.25">
      <c r="A1401" s="20">
        <v>38095</v>
      </c>
    </row>
    <row r="1402" spans="1:1" x14ac:dyDescent="0.25">
      <c r="A1402" s="20">
        <v>38097</v>
      </c>
    </row>
    <row r="1403" spans="1:1" x14ac:dyDescent="0.25">
      <c r="A1403" s="20">
        <v>38099</v>
      </c>
    </row>
    <row r="1404" spans="1:1" x14ac:dyDescent="0.25">
      <c r="A1404" s="20">
        <v>38101</v>
      </c>
    </row>
    <row r="1405" spans="1:1" x14ac:dyDescent="0.25">
      <c r="A1405" s="20">
        <v>38103</v>
      </c>
    </row>
    <row r="1406" spans="1:1" x14ac:dyDescent="0.25">
      <c r="A1406" s="20">
        <v>38105</v>
      </c>
    </row>
    <row r="1407" spans="1:1" x14ac:dyDescent="0.25">
      <c r="A1407" s="20">
        <v>39001</v>
      </c>
    </row>
    <row r="1408" spans="1:1" x14ac:dyDescent="0.25">
      <c r="A1408" s="20">
        <v>39003</v>
      </c>
    </row>
    <row r="1409" spans="1:1" x14ac:dyDescent="0.25">
      <c r="A1409" s="20">
        <v>39005</v>
      </c>
    </row>
    <row r="1410" spans="1:1" x14ac:dyDescent="0.25">
      <c r="A1410" s="20">
        <v>39007</v>
      </c>
    </row>
    <row r="1411" spans="1:1" x14ac:dyDescent="0.25">
      <c r="A1411" s="20">
        <v>39009</v>
      </c>
    </row>
    <row r="1412" spans="1:1" x14ac:dyDescent="0.25">
      <c r="A1412" s="20">
        <v>39011</v>
      </c>
    </row>
    <row r="1413" spans="1:1" x14ac:dyDescent="0.25">
      <c r="A1413" s="20">
        <v>39013</v>
      </c>
    </row>
    <row r="1414" spans="1:1" x14ac:dyDescent="0.25">
      <c r="A1414" s="20">
        <v>39015</v>
      </c>
    </row>
    <row r="1415" spans="1:1" x14ac:dyDescent="0.25">
      <c r="A1415" s="20">
        <v>39017</v>
      </c>
    </row>
    <row r="1416" spans="1:1" x14ac:dyDescent="0.25">
      <c r="A1416" s="20">
        <v>39021</v>
      </c>
    </row>
    <row r="1417" spans="1:1" x14ac:dyDescent="0.25">
      <c r="A1417" s="20">
        <v>39023</v>
      </c>
    </row>
    <row r="1418" spans="1:1" x14ac:dyDescent="0.25">
      <c r="A1418" s="20">
        <v>39025</v>
      </c>
    </row>
    <row r="1419" spans="1:1" x14ac:dyDescent="0.25">
      <c r="A1419" s="20">
        <v>39027</v>
      </c>
    </row>
    <row r="1420" spans="1:1" x14ac:dyDescent="0.25">
      <c r="A1420" s="20">
        <v>39029</v>
      </c>
    </row>
    <row r="1421" spans="1:1" x14ac:dyDescent="0.25">
      <c r="A1421" s="20">
        <v>39031</v>
      </c>
    </row>
    <row r="1422" spans="1:1" x14ac:dyDescent="0.25">
      <c r="A1422" s="20">
        <v>39033</v>
      </c>
    </row>
    <row r="1423" spans="1:1" x14ac:dyDescent="0.25">
      <c r="A1423" s="20">
        <v>39035</v>
      </c>
    </row>
    <row r="1424" spans="1:1" x14ac:dyDescent="0.25">
      <c r="A1424" s="20">
        <v>39037</v>
      </c>
    </row>
    <row r="1425" spans="1:1" x14ac:dyDescent="0.25">
      <c r="A1425" s="20">
        <v>39039</v>
      </c>
    </row>
    <row r="1426" spans="1:1" x14ac:dyDescent="0.25">
      <c r="A1426" s="20">
        <v>39041</v>
      </c>
    </row>
    <row r="1427" spans="1:1" x14ac:dyDescent="0.25">
      <c r="A1427" s="20">
        <v>39043</v>
      </c>
    </row>
    <row r="1428" spans="1:1" x14ac:dyDescent="0.25">
      <c r="A1428" s="20">
        <v>39045</v>
      </c>
    </row>
    <row r="1429" spans="1:1" x14ac:dyDescent="0.25">
      <c r="A1429" s="20">
        <v>39047</v>
      </c>
    </row>
    <row r="1430" spans="1:1" x14ac:dyDescent="0.25">
      <c r="A1430" s="20">
        <v>39049</v>
      </c>
    </row>
    <row r="1431" spans="1:1" x14ac:dyDescent="0.25">
      <c r="A1431" s="20">
        <v>39051</v>
      </c>
    </row>
    <row r="1432" spans="1:1" x14ac:dyDescent="0.25">
      <c r="A1432" s="20">
        <v>39053</v>
      </c>
    </row>
    <row r="1433" spans="1:1" x14ac:dyDescent="0.25">
      <c r="A1433" s="20">
        <v>39055</v>
      </c>
    </row>
    <row r="1434" spans="1:1" x14ac:dyDescent="0.25">
      <c r="A1434" s="20">
        <v>39057</v>
      </c>
    </row>
    <row r="1435" spans="1:1" x14ac:dyDescent="0.25">
      <c r="A1435" s="20">
        <v>39059</v>
      </c>
    </row>
    <row r="1436" spans="1:1" x14ac:dyDescent="0.25">
      <c r="A1436" s="20">
        <v>39061</v>
      </c>
    </row>
    <row r="1437" spans="1:1" x14ac:dyDescent="0.25">
      <c r="A1437" s="20">
        <v>39063</v>
      </c>
    </row>
    <row r="1438" spans="1:1" x14ac:dyDescent="0.25">
      <c r="A1438" s="20">
        <v>39065</v>
      </c>
    </row>
    <row r="1439" spans="1:1" x14ac:dyDescent="0.25">
      <c r="A1439" s="20">
        <v>39067</v>
      </c>
    </row>
    <row r="1440" spans="1:1" x14ac:dyDescent="0.25">
      <c r="A1440" s="20">
        <v>39069</v>
      </c>
    </row>
    <row r="1441" spans="1:1" x14ac:dyDescent="0.25">
      <c r="A1441" s="20">
        <v>39071</v>
      </c>
    </row>
    <row r="1442" spans="1:1" x14ac:dyDescent="0.25">
      <c r="A1442" s="20">
        <v>39073</v>
      </c>
    </row>
    <row r="1443" spans="1:1" x14ac:dyDescent="0.25">
      <c r="A1443" s="20">
        <v>39075</v>
      </c>
    </row>
    <row r="1444" spans="1:1" x14ac:dyDescent="0.25">
      <c r="A1444" s="20">
        <v>39077</v>
      </c>
    </row>
    <row r="1445" spans="1:1" x14ac:dyDescent="0.25">
      <c r="A1445" s="20">
        <v>39079</v>
      </c>
    </row>
    <row r="1446" spans="1:1" x14ac:dyDescent="0.25">
      <c r="A1446" s="20">
        <v>39081</v>
      </c>
    </row>
    <row r="1447" spans="1:1" x14ac:dyDescent="0.25">
      <c r="A1447" s="20">
        <v>39083</v>
      </c>
    </row>
    <row r="1448" spans="1:1" x14ac:dyDescent="0.25">
      <c r="A1448" s="20">
        <v>39085</v>
      </c>
    </row>
    <row r="1449" spans="1:1" x14ac:dyDescent="0.25">
      <c r="A1449" s="20">
        <v>39087</v>
      </c>
    </row>
    <row r="1450" spans="1:1" x14ac:dyDescent="0.25">
      <c r="A1450" s="20">
        <v>39089</v>
      </c>
    </row>
    <row r="1451" spans="1:1" x14ac:dyDescent="0.25">
      <c r="A1451" s="20">
        <v>39091</v>
      </c>
    </row>
    <row r="1452" spans="1:1" x14ac:dyDescent="0.25">
      <c r="A1452" s="20">
        <v>39093</v>
      </c>
    </row>
    <row r="1453" spans="1:1" x14ac:dyDescent="0.25">
      <c r="A1453" s="20">
        <v>39095</v>
      </c>
    </row>
    <row r="1454" spans="1:1" x14ac:dyDescent="0.25">
      <c r="A1454" s="20">
        <v>39097</v>
      </c>
    </row>
    <row r="1455" spans="1:1" x14ac:dyDescent="0.25">
      <c r="A1455" s="20">
        <v>39099</v>
      </c>
    </row>
    <row r="1456" spans="1:1" x14ac:dyDescent="0.25">
      <c r="A1456" s="20">
        <v>39101</v>
      </c>
    </row>
    <row r="1457" spans="1:1" x14ac:dyDescent="0.25">
      <c r="A1457" s="20">
        <v>39103</v>
      </c>
    </row>
    <row r="1458" spans="1:1" x14ac:dyDescent="0.25">
      <c r="A1458" s="20">
        <v>39107</v>
      </c>
    </row>
    <row r="1459" spans="1:1" x14ac:dyDescent="0.25">
      <c r="A1459" s="20">
        <v>39109</v>
      </c>
    </row>
    <row r="1460" spans="1:1" x14ac:dyDescent="0.25">
      <c r="A1460" s="20">
        <v>39113</v>
      </c>
    </row>
    <row r="1461" spans="1:1" x14ac:dyDescent="0.25">
      <c r="A1461" s="20">
        <v>39117</v>
      </c>
    </row>
    <row r="1462" spans="1:1" x14ac:dyDescent="0.25">
      <c r="A1462" s="20">
        <v>39119</v>
      </c>
    </row>
    <row r="1463" spans="1:1" x14ac:dyDescent="0.25">
      <c r="A1463" s="20">
        <v>39123</v>
      </c>
    </row>
    <row r="1464" spans="1:1" x14ac:dyDescent="0.25">
      <c r="A1464" s="20">
        <v>39125</v>
      </c>
    </row>
    <row r="1465" spans="1:1" x14ac:dyDescent="0.25">
      <c r="A1465" s="20">
        <v>39129</v>
      </c>
    </row>
    <row r="1466" spans="1:1" x14ac:dyDescent="0.25">
      <c r="A1466" s="20">
        <v>39131</v>
      </c>
    </row>
    <row r="1467" spans="1:1" x14ac:dyDescent="0.25">
      <c r="A1467" s="20">
        <v>39133</v>
      </c>
    </row>
    <row r="1468" spans="1:1" x14ac:dyDescent="0.25">
      <c r="A1468" s="20">
        <v>39139</v>
      </c>
    </row>
    <row r="1469" spans="1:1" x14ac:dyDescent="0.25">
      <c r="A1469" s="20">
        <v>39141</v>
      </c>
    </row>
    <row r="1470" spans="1:1" x14ac:dyDescent="0.25">
      <c r="A1470" s="20">
        <v>39143</v>
      </c>
    </row>
    <row r="1471" spans="1:1" x14ac:dyDescent="0.25">
      <c r="A1471" s="20">
        <v>39145</v>
      </c>
    </row>
    <row r="1472" spans="1:1" x14ac:dyDescent="0.25">
      <c r="A1472" s="20">
        <v>39147</v>
      </c>
    </row>
    <row r="1473" spans="1:1" x14ac:dyDescent="0.25">
      <c r="A1473" s="20">
        <v>39149</v>
      </c>
    </row>
    <row r="1474" spans="1:1" x14ac:dyDescent="0.25">
      <c r="A1474" s="20">
        <v>39151</v>
      </c>
    </row>
    <row r="1475" spans="1:1" x14ac:dyDescent="0.25">
      <c r="A1475" s="20">
        <v>39153</v>
      </c>
    </row>
    <row r="1476" spans="1:1" x14ac:dyDescent="0.25">
      <c r="A1476" s="20">
        <v>39155</v>
      </c>
    </row>
    <row r="1477" spans="1:1" x14ac:dyDescent="0.25">
      <c r="A1477" s="20">
        <v>39157</v>
      </c>
    </row>
    <row r="1478" spans="1:1" x14ac:dyDescent="0.25">
      <c r="A1478" s="20">
        <v>39159</v>
      </c>
    </row>
    <row r="1479" spans="1:1" x14ac:dyDescent="0.25">
      <c r="A1479" s="20">
        <v>39161</v>
      </c>
    </row>
    <row r="1480" spans="1:1" x14ac:dyDescent="0.25">
      <c r="A1480" s="20">
        <v>39165</v>
      </c>
    </row>
    <row r="1481" spans="1:1" x14ac:dyDescent="0.25">
      <c r="A1481" s="20">
        <v>39167</v>
      </c>
    </row>
    <row r="1482" spans="1:1" x14ac:dyDescent="0.25">
      <c r="A1482" s="20">
        <v>39169</v>
      </c>
    </row>
    <row r="1483" spans="1:1" x14ac:dyDescent="0.25">
      <c r="A1483" s="20">
        <v>39171</v>
      </c>
    </row>
    <row r="1484" spans="1:1" x14ac:dyDescent="0.25">
      <c r="A1484" s="20">
        <v>39173</v>
      </c>
    </row>
    <row r="1485" spans="1:1" x14ac:dyDescent="0.25">
      <c r="A1485" s="20">
        <v>39175</v>
      </c>
    </row>
    <row r="1486" spans="1:1" x14ac:dyDescent="0.25">
      <c r="A1486" s="20">
        <v>40001</v>
      </c>
    </row>
    <row r="1487" spans="1:1" x14ac:dyDescent="0.25">
      <c r="A1487" s="20">
        <v>40005</v>
      </c>
    </row>
    <row r="1488" spans="1:1" x14ac:dyDescent="0.25">
      <c r="A1488" s="20">
        <v>40007</v>
      </c>
    </row>
    <row r="1489" spans="1:1" x14ac:dyDescent="0.25">
      <c r="A1489" s="20">
        <v>40009</v>
      </c>
    </row>
    <row r="1490" spans="1:1" x14ac:dyDescent="0.25">
      <c r="A1490" s="20">
        <v>40011</v>
      </c>
    </row>
    <row r="1491" spans="1:1" x14ac:dyDescent="0.25">
      <c r="A1491" s="20">
        <v>40013</v>
      </c>
    </row>
    <row r="1492" spans="1:1" x14ac:dyDescent="0.25">
      <c r="A1492" s="20">
        <v>40015</v>
      </c>
    </row>
    <row r="1493" spans="1:1" x14ac:dyDescent="0.25">
      <c r="A1493" s="20">
        <v>40017</v>
      </c>
    </row>
    <row r="1494" spans="1:1" x14ac:dyDescent="0.25">
      <c r="A1494" s="20">
        <v>40019</v>
      </c>
    </row>
    <row r="1495" spans="1:1" x14ac:dyDescent="0.25">
      <c r="A1495" s="20">
        <v>40021</v>
      </c>
    </row>
    <row r="1496" spans="1:1" x14ac:dyDescent="0.25">
      <c r="A1496" s="20">
        <v>40023</v>
      </c>
    </row>
    <row r="1497" spans="1:1" x14ac:dyDescent="0.25">
      <c r="A1497" s="20">
        <v>40025</v>
      </c>
    </row>
    <row r="1498" spans="1:1" x14ac:dyDescent="0.25">
      <c r="A1498" s="20">
        <v>40027</v>
      </c>
    </row>
    <row r="1499" spans="1:1" x14ac:dyDescent="0.25">
      <c r="A1499" s="20">
        <v>40029</v>
      </c>
    </row>
    <row r="1500" spans="1:1" x14ac:dyDescent="0.25">
      <c r="A1500" s="20">
        <v>40031</v>
      </c>
    </row>
    <row r="1501" spans="1:1" x14ac:dyDescent="0.25">
      <c r="A1501" s="20">
        <v>40035</v>
      </c>
    </row>
    <row r="1502" spans="1:1" x14ac:dyDescent="0.25">
      <c r="A1502" s="20">
        <v>40037</v>
      </c>
    </row>
    <row r="1503" spans="1:1" x14ac:dyDescent="0.25">
      <c r="A1503" s="20">
        <v>40039</v>
      </c>
    </row>
    <row r="1504" spans="1:1" x14ac:dyDescent="0.25">
      <c r="A1504" s="20">
        <v>40041</v>
      </c>
    </row>
    <row r="1505" spans="1:1" x14ac:dyDescent="0.25">
      <c r="A1505" s="20">
        <v>40043</v>
      </c>
    </row>
    <row r="1506" spans="1:1" x14ac:dyDescent="0.25">
      <c r="A1506" s="20">
        <v>40045</v>
      </c>
    </row>
    <row r="1507" spans="1:1" x14ac:dyDescent="0.25">
      <c r="A1507" s="20">
        <v>40047</v>
      </c>
    </row>
    <row r="1508" spans="1:1" x14ac:dyDescent="0.25">
      <c r="A1508" s="20">
        <v>40049</v>
      </c>
    </row>
    <row r="1509" spans="1:1" x14ac:dyDescent="0.25">
      <c r="A1509" s="20">
        <v>40051</v>
      </c>
    </row>
    <row r="1510" spans="1:1" x14ac:dyDescent="0.25">
      <c r="A1510" s="20">
        <v>40055</v>
      </c>
    </row>
    <row r="1511" spans="1:1" x14ac:dyDescent="0.25">
      <c r="A1511" s="20">
        <v>40057</v>
      </c>
    </row>
    <row r="1512" spans="1:1" x14ac:dyDescent="0.25">
      <c r="A1512" s="20">
        <v>40059</v>
      </c>
    </row>
    <row r="1513" spans="1:1" x14ac:dyDescent="0.25">
      <c r="A1513" s="20">
        <v>40061</v>
      </c>
    </row>
    <row r="1514" spans="1:1" x14ac:dyDescent="0.25">
      <c r="A1514" s="20">
        <v>40063</v>
      </c>
    </row>
    <row r="1515" spans="1:1" x14ac:dyDescent="0.25">
      <c r="A1515" s="20">
        <v>40065</v>
      </c>
    </row>
    <row r="1516" spans="1:1" x14ac:dyDescent="0.25">
      <c r="A1516" s="20">
        <v>40067</v>
      </c>
    </row>
    <row r="1517" spans="1:1" x14ac:dyDescent="0.25">
      <c r="A1517" s="20">
        <v>40069</v>
      </c>
    </row>
    <row r="1518" spans="1:1" x14ac:dyDescent="0.25">
      <c r="A1518" s="20">
        <v>40071</v>
      </c>
    </row>
    <row r="1519" spans="1:1" x14ac:dyDescent="0.25">
      <c r="A1519" s="20">
        <v>40073</v>
      </c>
    </row>
    <row r="1520" spans="1:1" x14ac:dyDescent="0.25">
      <c r="A1520" s="20">
        <v>40075</v>
      </c>
    </row>
    <row r="1521" spans="1:1" x14ac:dyDescent="0.25">
      <c r="A1521" s="20">
        <v>40077</v>
      </c>
    </row>
    <row r="1522" spans="1:1" x14ac:dyDescent="0.25">
      <c r="A1522" s="20">
        <v>40079</v>
      </c>
    </row>
    <row r="1523" spans="1:1" x14ac:dyDescent="0.25">
      <c r="A1523" s="20">
        <v>40081</v>
      </c>
    </row>
    <row r="1524" spans="1:1" x14ac:dyDescent="0.25">
      <c r="A1524" s="20">
        <v>40083</v>
      </c>
    </row>
    <row r="1525" spans="1:1" x14ac:dyDescent="0.25">
      <c r="A1525" s="20">
        <v>40085</v>
      </c>
    </row>
    <row r="1526" spans="1:1" x14ac:dyDescent="0.25">
      <c r="A1526" s="20">
        <v>40087</v>
      </c>
    </row>
    <row r="1527" spans="1:1" x14ac:dyDescent="0.25">
      <c r="A1527" s="20">
        <v>40089</v>
      </c>
    </row>
    <row r="1528" spans="1:1" x14ac:dyDescent="0.25">
      <c r="A1528" s="20">
        <v>40091</v>
      </c>
    </row>
    <row r="1529" spans="1:1" x14ac:dyDescent="0.25">
      <c r="A1529" s="20">
        <v>40093</v>
      </c>
    </row>
    <row r="1530" spans="1:1" x14ac:dyDescent="0.25">
      <c r="A1530" s="20">
        <v>40095</v>
      </c>
    </row>
    <row r="1531" spans="1:1" x14ac:dyDescent="0.25">
      <c r="A1531" s="20">
        <v>40097</v>
      </c>
    </row>
    <row r="1532" spans="1:1" x14ac:dyDescent="0.25">
      <c r="A1532" s="20">
        <v>40099</v>
      </c>
    </row>
    <row r="1533" spans="1:1" x14ac:dyDescent="0.25">
      <c r="A1533" s="20">
        <v>40101</v>
      </c>
    </row>
    <row r="1534" spans="1:1" x14ac:dyDescent="0.25">
      <c r="A1534" s="20">
        <v>40103</v>
      </c>
    </row>
    <row r="1535" spans="1:1" x14ac:dyDescent="0.25">
      <c r="A1535" s="20">
        <v>40105</v>
      </c>
    </row>
    <row r="1536" spans="1:1" x14ac:dyDescent="0.25">
      <c r="A1536" s="20">
        <v>40107</v>
      </c>
    </row>
    <row r="1537" spans="1:1" x14ac:dyDescent="0.25">
      <c r="A1537" s="20">
        <v>40109</v>
      </c>
    </row>
    <row r="1538" spans="1:1" x14ac:dyDescent="0.25">
      <c r="A1538" s="20">
        <v>40111</v>
      </c>
    </row>
    <row r="1539" spans="1:1" x14ac:dyDescent="0.25">
      <c r="A1539" s="20">
        <v>40113</v>
      </c>
    </row>
    <row r="1540" spans="1:1" x14ac:dyDescent="0.25">
      <c r="A1540" s="20">
        <v>40115</v>
      </c>
    </row>
    <row r="1541" spans="1:1" x14ac:dyDescent="0.25">
      <c r="A1541" s="20">
        <v>40117</v>
      </c>
    </row>
    <row r="1542" spans="1:1" x14ac:dyDescent="0.25">
      <c r="A1542" s="20">
        <v>40119</v>
      </c>
    </row>
    <row r="1543" spans="1:1" x14ac:dyDescent="0.25">
      <c r="A1543" s="20">
        <v>40121</v>
      </c>
    </row>
    <row r="1544" spans="1:1" x14ac:dyDescent="0.25">
      <c r="A1544" s="20">
        <v>40123</v>
      </c>
    </row>
    <row r="1545" spans="1:1" x14ac:dyDescent="0.25">
      <c r="A1545" s="20">
        <v>40125</v>
      </c>
    </row>
    <row r="1546" spans="1:1" x14ac:dyDescent="0.25">
      <c r="A1546" s="20">
        <v>40127</v>
      </c>
    </row>
    <row r="1547" spans="1:1" x14ac:dyDescent="0.25">
      <c r="A1547" s="20">
        <v>40129</v>
      </c>
    </row>
    <row r="1548" spans="1:1" x14ac:dyDescent="0.25">
      <c r="A1548" s="20">
        <v>40131</v>
      </c>
    </row>
    <row r="1549" spans="1:1" x14ac:dyDescent="0.25">
      <c r="A1549" s="20">
        <v>40133</v>
      </c>
    </row>
    <row r="1550" spans="1:1" x14ac:dyDescent="0.25">
      <c r="A1550" s="20">
        <v>40135</v>
      </c>
    </row>
    <row r="1551" spans="1:1" x14ac:dyDescent="0.25">
      <c r="A1551" s="20">
        <v>40137</v>
      </c>
    </row>
    <row r="1552" spans="1:1" x14ac:dyDescent="0.25">
      <c r="A1552" s="20">
        <v>40139</v>
      </c>
    </row>
    <row r="1553" spans="1:1" x14ac:dyDescent="0.25">
      <c r="A1553" s="20">
        <v>40141</v>
      </c>
    </row>
    <row r="1554" spans="1:1" x14ac:dyDescent="0.25">
      <c r="A1554" s="20">
        <v>40143</v>
      </c>
    </row>
    <row r="1555" spans="1:1" x14ac:dyDescent="0.25">
      <c r="A1555" s="20">
        <v>40145</v>
      </c>
    </row>
    <row r="1556" spans="1:1" x14ac:dyDescent="0.25">
      <c r="A1556" s="20">
        <v>40147</v>
      </c>
    </row>
    <row r="1557" spans="1:1" x14ac:dyDescent="0.25">
      <c r="A1557" s="20">
        <v>40149</v>
      </c>
    </row>
    <row r="1558" spans="1:1" x14ac:dyDescent="0.25">
      <c r="A1558" s="20">
        <v>40151</v>
      </c>
    </row>
    <row r="1559" spans="1:1" x14ac:dyDescent="0.25">
      <c r="A1559" s="20">
        <v>40153</v>
      </c>
    </row>
    <row r="1560" spans="1:1" x14ac:dyDescent="0.25">
      <c r="A1560" s="20">
        <v>41001</v>
      </c>
    </row>
    <row r="1561" spans="1:1" x14ac:dyDescent="0.25">
      <c r="A1561" s="20">
        <v>41003</v>
      </c>
    </row>
    <row r="1562" spans="1:1" x14ac:dyDescent="0.25">
      <c r="A1562" s="20">
        <v>41005</v>
      </c>
    </row>
    <row r="1563" spans="1:1" x14ac:dyDescent="0.25">
      <c r="A1563" s="20">
        <v>41007</v>
      </c>
    </row>
    <row r="1564" spans="1:1" x14ac:dyDescent="0.25">
      <c r="A1564" s="20">
        <v>41011</v>
      </c>
    </row>
    <row r="1565" spans="1:1" x14ac:dyDescent="0.25">
      <c r="A1565" s="20">
        <v>41013</v>
      </c>
    </row>
    <row r="1566" spans="1:1" x14ac:dyDescent="0.25">
      <c r="A1566" s="20">
        <v>41015</v>
      </c>
    </row>
    <row r="1567" spans="1:1" x14ac:dyDescent="0.25">
      <c r="A1567" s="20">
        <v>41017</v>
      </c>
    </row>
    <row r="1568" spans="1:1" x14ac:dyDescent="0.25">
      <c r="A1568" s="20">
        <v>41019</v>
      </c>
    </row>
    <row r="1569" spans="1:1" x14ac:dyDescent="0.25">
      <c r="A1569" s="20">
        <v>41023</v>
      </c>
    </row>
    <row r="1570" spans="1:1" x14ac:dyDescent="0.25">
      <c r="A1570" s="20">
        <v>41025</v>
      </c>
    </row>
    <row r="1571" spans="1:1" x14ac:dyDescent="0.25">
      <c r="A1571" s="20">
        <v>41027</v>
      </c>
    </row>
    <row r="1572" spans="1:1" x14ac:dyDescent="0.25">
      <c r="A1572" s="20">
        <v>41029</v>
      </c>
    </row>
    <row r="1573" spans="1:1" x14ac:dyDescent="0.25">
      <c r="A1573" s="20">
        <v>41031</v>
      </c>
    </row>
    <row r="1574" spans="1:1" x14ac:dyDescent="0.25">
      <c r="A1574" s="20">
        <v>41033</v>
      </c>
    </row>
    <row r="1575" spans="1:1" x14ac:dyDescent="0.25">
      <c r="A1575" s="20">
        <v>41035</v>
      </c>
    </row>
    <row r="1576" spans="1:1" x14ac:dyDescent="0.25">
      <c r="A1576" s="20">
        <v>41037</v>
      </c>
    </row>
    <row r="1577" spans="1:1" x14ac:dyDescent="0.25">
      <c r="A1577" s="20">
        <v>41039</v>
      </c>
    </row>
    <row r="1578" spans="1:1" x14ac:dyDescent="0.25">
      <c r="A1578" s="20">
        <v>41041</v>
      </c>
    </row>
    <row r="1579" spans="1:1" x14ac:dyDescent="0.25">
      <c r="A1579" s="20">
        <v>41043</v>
      </c>
    </row>
    <row r="1580" spans="1:1" x14ac:dyDescent="0.25">
      <c r="A1580" s="20">
        <v>41045</v>
      </c>
    </row>
    <row r="1581" spans="1:1" x14ac:dyDescent="0.25">
      <c r="A1581" s="20">
        <v>41047</v>
      </c>
    </row>
    <row r="1582" spans="1:1" x14ac:dyDescent="0.25">
      <c r="A1582" s="20">
        <v>41049</v>
      </c>
    </row>
    <row r="1583" spans="1:1" x14ac:dyDescent="0.25">
      <c r="A1583" s="20">
        <v>41051</v>
      </c>
    </row>
    <row r="1584" spans="1:1" x14ac:dyDescent="0.25">
      <c r="A1584" s="20">
        <v>41053</v>
      </c>
    </row>
    <row r="1585" spans="1:1" x14ac:dyDescent="0.25">
      <c r="A1585" s="20">
        <v>41057</v>
      </c>
    </row>
    <row r="1586" spans="1:1" x14ac:dyDescent="0.25">
      <c r="A1586" s="20">
        <v>41059</v>
      </c>
    </row>
    <row r="1587" spans="1:1" x14ac:dyDescent="0.25">
      <c r="A1587" s="20">
        <v>41061</v>
      </c>
    </row>
    <row r="1588" spans="1:1" x14ac:dyDescent="0.25">
      <c r="A1588" s="20">
        <v>41063</v>
      </c>
    </row>
    <row r="1589" spans="1:1" x14ac:dyDescent="0.25">
      <c r="A1589" s="20">
        <v>41065</v>
      </c>
    </row>
    <row r="1590" spans="1:1" x14ac:dyDescent="0.25">
      <c r="A1590" s="20">
        <v>41067</v>
      </c>
    </row>
    <row r="1591" spans="1:1" x14ac:dyDescent="0.25">
      <c r="A1591" s="20">
        <v>41071</v>
      </c>
    </row>
    <row r="1592" spans="1:1" x14ac:dyDescent="0.25">
      <c r="A1592" s="20">
        <v>42001</v>
      </c>
    </row>
    <row r="1593" spans="1:1" x14ac:dyDescent="0.25">
      <c r="A1593" s="20">
        <v>42003</v>
      </c>
    </row>
    <row r="1594" spans="1:1" x14ac:dyDescent="0.25">
      <c r="A1594" s="20">
        <v>42005</v>
      </c>
    </row>
    <row r="1595" spans="1:1" x14ac:dyDescent="0.25">
      <c r="A1595" s="20">
        <v>42007</v>
      </c>
    </row>
    <row r="1596" spans="1:1" x14ac:dyDescent="0.25">
      <c r="A1596" s="20">
        <v>42009</v>
      </c>
    </row>
    <row r="1597" spans="1:1" x14ac:dyDescent="0.25">
      <c r="A1597" s="20">
        <v>42011</v>
      </c>
    </row>
    <row r="1598" spans="1:1" x14ac:dyDescent="0.25">
      <c r="A1598" s="20">
        <v>42013</v>
      </c>
    </row>
    <row r="1599" spans="1:1" x14ac:dyDescent="0.25">
      <c r="A1599" s="20">
        <v>42015</v>
      </c>
    </row>
    <row r="1600" spans="1:1" x14ac:dyDescent="0.25">
      <c r="A1600" s="20">
        <v>42017</v>
      </c>
    </row>
    <row r="1601" spans="1:1" x14ac:dyDescent="0.25">
      <c r="A1601" s="20">
        <v>42019</v>
      </c>
    </row>
    <row r="1602" spans="1:1" x14ac:dyDescent="0.25">
      <c r="A1602" s="20">
        <v>42021</v>
      </c>
    </row>
    <row r="1603" spans="1:1" x14ac:dyDescent="0.25">
      <c r="A1603" s="20">
        <v>42025</v>
      </c>
    </row>
    <row r="1604" spans="1:1" x14ac:dyDescent="0.25">
      <c r="A1604" s="20">
        <v>42027</v>
      </c>
    </row>
    <row r="1605" spans="1:1" x14ac:dyDescent="0.25">
      <c r="A1605" s="20">
        <v>42029</v>
      </c>
    </row>
    <row r="1606" spans="1:1" x14ac:dyDescent="0.25">
      <c r="A1606" s="20">
        <v>42031</v>
      </c>
    </row>
    <row r="1607" spans="1:1" x14ac:dyDescent="0.25">
      <c r="A1607" s="20">
        <v>42033</v>
      </c>
    </row>
    <row r="1608" spans="1:1" x14ac:dyDescent="0.25">
      <c r="A1608" s="20">
        <v>42035</v>
      </c>
    </row>
    <row r="1609" spans="1:1" x14ac:dyDescent="0.25">
      <c r="A1609" s="20">
        <v>42037</v>
      </c>
    </row>
    <row r="1610" spans="1:1" x14ac:dyDescent="0.25">
      <c r="A1610" s="20">
        <v>42039</v>
      </c>
    </row>
    <row r="1611" spans="1:1" x14ac:dyDescent="0.25">
      <c r="A1611" s="20">
        <v>42041</v>
      </c>
    </row>
    <row r="1612" spans="1:1" x14ac:dyDescent="0.25">
      <c r="A1612" s="20">
        <v>42043</v>
      </c>
    </row>
    <row r="1613" spans="1:1" x14ac:dyDescent="0.25">
      <c r="A1613" s="20">
        <v>42045</v>
      </c>
    </row>
    <row r="1614" spans="1:1" x14ac:dyDescent="0.25">
      <c r="A1614" s="20">
        <v>42047</v>
      </c>
    </row>
    <row r="1615" spans="1:1" x14ac:dyDescent="0.25">
      <c r="A1615" s="20">
        <v>42049</v>
      </c>
    </row>
    <row r="1616" spans="1:1" x14ac:dyDescent="0.25">
      <c r="A1616" s="20">
        <v>42051</v>
      </c>
    </row>
    <row r="1617" spans="1:1" x14ac:dyDescent="0.25">
      <c r="A1617" s="20">
        <v>42055</v>
      </c>
    </row>
    <row r="1618" spans="1:1" x14ac:dyDescent="0.25">
      <c r="A1618" s="20">
        <v>42057</v>
      </c>
    </row>
    <row r="1619" spans="1:1" x14ac:dyDescent="0.25">
      <c r="A1619" s="20">
        <v>42059</v>
      </c>
    </row>
    <row r="1620" spans="1:1" x14ac:dyDescent="0.25">
      <c r="A1620" s="20">
        <v>42061</v>
      </c>
    </row>
    <row r="1621" spans="1:1" x14ac:dyDescent="0.25">
      <c r="A1621" s="20">
        <v>42063</v>
      </c>
    </row>
    <row r="1622" spans="1:1" x14ac:dyDescent="0.25">
      <c r="A1622" s="20">
        <v>42065</v>
      </c>
    </row>
    <row r="1623" spans="1:1" x14ac:dyDescent="0.25">
      <c r="A1623" s="20">
        <v>42069</v>
      </c>
    </row>
    <row r="1624" spans="1:1" x14ac:dyDescent="0.25">
      <c r="A1624" s="20">
        <v>42071</v>
      </c>
    </row>
    <row r="1625" spans="1:1" x14ac:dyDescent="0.25">
      <c r="A1625" s="20">
        <v>42073</v>
      </c>
    </row>
    <row r="1626" spans="1:1" x14ac:dyDescent="0.25">
      <c r="A1626" s="20">
        <v>42075</v>
      </c>
    </row>
    <row r="1627" spans="1:1" x14ac:dyDescent="0.25">
      <c r="A1627" s="20">
        <v>42077</v>
      </c>
    </row>
    <row r="1628" spans="1:1" x14ac:dyDescent="0.25">
      <c r="A1628" s="20">
        <v>42079</v>
      </c>
    </row>
    <row r="1629" spans="1:1" x14ac:dyDescent="0.25">
      <c r="A1629" s="20">
        <v>42081</v>
      </c>
    </row>
    <row r="1630" spans="1:1" x14ac:dyDescent="0.25">
      <c r="A1630" s="20">
        <v>42083</v>
      </c>
    </row>
    <row r="1631" spans="1:1" x14ac:dyDescent="0.25">
      <c r="A1631" s="20">
        <v>42085</v>
      </c>
    </row>
    <row r="1632" spans="1:1" x14ac:dyDescent="0.25">
      <c r="A1632" s="20">
        <v>42087</v>
      </c>
    </row>
    <row r="1633" spans="1:1" x14ac:dyDescent="0.25">
      <c r="A1633" s="20">
        <v>42089</v>
      </c>
    </row>
    <row r="1634" spans="1:1" x14ac:dyDescent="0.25">
      <c r="A1634" s="20">
        <v>42091</v>
      </c>
    </row>
    <row r="1635" spans="1:1" x14ac:dyDescent="0.25">
      <c r="A1635" s="20">
        <v>42093</v>
      </c>
    </row>
    <row r="1636" spans="1:1" x14ac:dyDescent="0.25">
      <c r="A1636" s="20">
        <v>42095</v>
      </c>
    </row>
    <row r="1637" spans="1:1" x14ac:dyDescent="0.25">
      <c r="A1637" s="20">
        <v>42097</v>
      </c>
    </row>
    <row r="1638" spans="1:1" x14ac:dyDescent="0.25">
      <c r="A1638" s="20">
        <v>42101</v>
      </c>
    </row>
    <row r="1639" spans="1:1" x14ac:dyDescent="0.25">
      <c r="A1639" s="20">
        <v>42105</v>
      </c>
    </row>
    <row r="1640" spans="1:1" x14ac:dyDescent="0.25">
      <c r="A1640" s="20">
        <v>42107</v>
      </c>
    </row>
    <row r="1641" spans="1:1" x14ac:dyDescent="0.25">
      <c r="A1641" s="20">
        <v>42111</v>
      </c>
    </row>
    <row r="1642" spans="1:1" x14ac:dyDescent="0.25">
      <c r="A1642" s="20">
        <v>42115</v>
      </c>
    </row>
    <row r="1643" spans="1:1" x14ac:dyDescent="0.25">
      <c r="A1643" s="20">
        <v>42117</v>
      </c>
    </row>
    <row r="1644" spans="1:1" x14ac:dyDescent="0.25">
      <c r="A1644" s="20">
        <v>42119</v>
      </c>
    </row>
    <row r="1645" spans="1:1" x14ac:dyDescent="0.25">
      <c r="A1645" s="20">
        <v>42121</v>
      </c>
    </row>
    <row r="1646" spans="1:1" x14ac:dyDescent="0.25">
      <c r="A1646" s="20">
        <v>42123</v>
      </c>
    </row>
    <row r="1647" spans="1:1" x14ac:dyDescent="0.25">
      <c r="A1647" s="20">
        <v>42125</v>
      </c>
    </row>
    <row r="1648" spans="1:1" x14ac:dyDescent="0.25">
      <c r="A1648" s="20">
        <v>42127</v>
      </c>
    </row>
    <row r="1649" spans="1:1" x14ac:dyDescent="0.25">
      <c r="A1649" s="20">
        <v>42129</v>
      </c>
    </row>
    <row r="1650" spans="1:1" x14ac:dyDescent="0.25">
      <c r="A1650" s="20">
        <v>42131</v>
      </c>
    </row>
    <row r="1651" spans="1:1" x14ac:dyDescent="0.25">
      <c r="A1651" s="20">
        <v>42133</v>
      </c>
    </row>
    <row r="1652" spans="1:1" x14ac:dyDescent="0.25">
      <c r="A1652" s="20">
        <v>44003</v>
      </c>
    </row>
    <row r="1653" spans="1:1" x14ac:dyDescent="0.25">
      <c r="A1653" s="20">
        <v>44005</v>
      </c>
    </row>
    <row r="1654" spans="1:1" x14ac:dyDescent="0.25">
      <c r="A1654" s="20">
        <v>44007</v>
      </c>
    </row>
    <row r="1655" spans="1:1" x14ac:dyDescent="0.25">
      <c r="A1655" s="20">
        <v>44009</v>
      </c>
    </row>
    <row r="1656" spans="1:1" x14ac:dyDescent="0.25">
      <c r="A1656" s="20">
        <v>45001</v>
      </c>
    </row>
    <row r="1657" spans="1:1" x14ac:dyDescent="0.25">
      <c r="A1657" s="20">
        <v>45003</v>
      </c>
    </row>
    <row r="1658" spans="1:1" x14ac:dyDescent="0.25">
      <c r="A1658" s="20">
        <v>45005</v>
      </c>
    </row>
    <row r="1659" spans="1:1" x14ac:dyDescent="0.25">
      <c r="A1659" s="20">
        <v>45007</v>
      </c>
    </row>
    <row r="1660" spans="1:1" x14ac:dyDescent="0.25">
      <c r="A1660" s="20">
        <v>45009</v>
      </c>
    </row>
    <row r="1661" spans="1:1" x14ac:dyDescent="0.25">
      <c r="A1661" s="20">
        <v>45011</v>
      </c>
    </row>
    <row r="1662" spans="1:1" x14ac:dyDescent="0.25">
      <c r="A1662" s="20">
        <v>45013</v>
      </c>
    </row>
    <row r="1663" spans="1:1" x14ac:dyDescent="0.25">
      <c r="A1663" s="20">
        <v>45019</v>
      </c>
    </row>
    <row r="1664" spans="1:1" x14ac:dyDescent="0.25">
      <c r="A1664" s="20">
        <v>45021</v>
      </c>
    </row>
    <row r="1665" spans="1:1" x14ac:dyDescent="0.25">
      <c r="A1665" s="20">
        <v>45023</v>
      </c>
    </row>
    <row r="1666" spans="1:1" x14ac:dyDescent="0.25">
      <c r="A1666" s="20">
        <v>45025</v>
      </c>
    </row>
    <row r="1667" spans="1:1" x14ac:dyDescent="0.25">
      <c r="A1667" s="20">
        <v>45027</v>
      </c>
    </row>
    <row r="1668" spans="1:1" x14ac:dyDescent="0.25">
      <c r="A1668" s="20">
        <v>45029</v>
      </c>
    </row>
    <row r="1669" spans="1:1" x14ac:dyDescent="0.25">
      <c r="A1669" s="20">
        <v>45031</v>
      </c>
    </row>
    <row r="1670" spans="1:1" x14ac:dyDescent="0.25">
      <c r="A1670" s="20">
        <v>45033</v>
      </c>
    </row>
    <row r="1671" spans="1:1" x14ac:dyDescent="0.25">
      <c r="A1671" s="20">
        <v>45035</v>
      </c>
    </row>
    <row r="1672" spans="1:1" x14ac:dyDescent="0.25">
      <c r="A1672" s="20">
        <v>45037</v>
      </c>
    </row>
    <row r="1673" spans="1:1" x14ac:dyDescent="0.25">
      <c r="A1673" s="20">
        <v>45039</v>
      </c>
    </row>
    <row r="1674" spans="1:1" x14ac:dyDescent="0.25">
      <c r="A1674" s="20">
        <v>45041</v>
      </c>
    </row>
    <row r="1675" spans="1:1" x14ac:dyDescent="0.25">
      <c r="A1675" s="20">
        <v>45043</v>
      </c>
    </row>
    <row r="1676" spans="1:1" x14ac:dyDescent="0.25">
      <c r="A1676" s="20">
        <v>45045</v>
      </c>
    </row>
    <row r="1677" spans="1:1" x14ac:dyDescent="0.25">
      <c r="A1677" s="20">
        <v>45047</v>
      </c>
    </row>
    <row r="1678" spans="1:1" x14ac:dyDescent="0.25">
      <c r="A1678" s="20">
        <v>45049</v>
      </c>
    </row>
    <row r="1679" spans="1:1" x14ac:dyDescent="0.25">
      <c r="A1679" s="20">
        <v>45051</v>
      </c>
    </row>
    <row r="1680" spans="1:1" x14ac:dyDescent="0.25">
      <c r="A1680" s="20">
        <v>45053</v>
      </c>
    </row>
    <row r="1681" spans="1:1" x14ac:dyDescent="0.25">
      <c r="A1681" s="20">
        <v>45055</v>
      </c>
    </row>
    <row r="1682" spans="1:1" x14ac:dyDescent="0.25">
      <c r="A1682" s="20">
        <v>45057</v>
      </c>
    </row>
    <row r="1683" spans="1:1" x14ac:dyDescent="0.25">
      <c r="A1683" s="20">
        <v>45059</v>
      </c>
    </row>
    <row r="1684" spans="1:1" x14ac:dyDescent="0.25">
      <c r="A1684" s="20">
        <v>45063</v>
      </c>
    </row>
    <row r="1685" spans="1:1" x14ac:dyDescent="0.25">
      <c r="A1685" s="20">
        <v>45067</v>
      </c>
    </row>
    <row r="1686" spans="1:1" x14ac:dyDescent="0.25">
      <c r="A1686" s="20">
        <v>45069</v>
      </c>
    </row>
    <row r="1687" spans="1:1" x14ac:dyDescent="0.25">
      <c r="A1687" s="20">
        <v>45071</v>
      </c>
    </row>
    <row r="1688" spans="1:1" x14ac:dyDescent="0.25">
      <c r="A1688" s="20">
        <v>45073</v>
      </c>
    </row>
    <row r="1689" spans="1:1" x14ac:dyDescent="0.25">
      <c r="A1689" s="20">
        <v>45075</v>
      </c>
    </row>
    <row r="1690" spans="1:1" x14ac:dyDescent="0.25">
      <c r="A1690" s="20">
        <v>45077</v>
      </c>
    </row>
    <row r="1691" spans="1:1" x14ac:dyDescent="0.25">
      <c r="A1691" s="20">
        <v>45079</v>
      </c>
    </row>
    <row r="1692" spans="1:1" x14ac:dyDescent="0.25">
      <c r="A1692" s="20">
        <v>45083</v>
      </c>
    </row>
    <row r="1693" spans="1:1" x14ac:dyDescent="0.25">
      <c r="A1693" s="20">
        <v>45085</v>
      </c>
    </row>
    <row r="1694" spans="1:1" x14ac:dyDescent="0.25">
      <c r="A1694" s="20">
        <v>45087</v>
      </c>
    </row>
    <row r="1695" spans="1:1" x14ac:dyDescent="0.25">
      <c r="A1695" s="20">
        <v>45089</v>
      </c>
    </row>
    <row r="1696" spans="1:1" x14ac:dyDescent="0.25">
      <c r="A1696" s="20">
        <v>45091</v>
      </c>
    </row>
    <row r="1697" spans="1:1" x14ac:dyDescent="0.25">
      <c r="A1697" s="20">
        <v>46005</v>
      </c>
    </row>
    <row r="1698" spans="1:1" x14ac:dyDescent="0.25">
      <c r="A1698" s="20">
        <v>46007</v>
      </c>
    </row>
    <row r="1699" spans="1:1" x14ac:dyDescent="0.25">
      <c r="A1699" s="20">
        <v>46009</v>
      </c>
    </row>
    <row r="1700" spans="1:1" x14ac:dyDescent="0.25">
      <c r="A1700" s="20">
        <v>46011</v>
      </c>
    </row>
    <row r="1701" spans="1:1" x14ac:dyDescent="0.25">
      <c r="A1701" s="20">
        <v>46013</v>
      </c>
    </row>
    <row r="1702" spans="1:1" x14ac:dyDescent="0.25">
      <c r="A1702" s="20">
        <v>46015</v>
      </c>
    </row>
    <row r="1703" spans="1:1" x14ac:dyDescent="0.25">
      <c r="A1703" s="20">
        <v>46023</v>
      </c>
    </row>
    <row r="1704" spans="1:1" x14ac:dyDescent="0.25">
      <c r="A1704" s="20">
        <v>46027</v>
      </c>
    </row>
    <row r="1705" spans="1:1" x14ac:dyDescent="0.25">
      <c r="A1705" s="20">
        <v>46029</v>
      </c>
    </row>
    <row r="1706" spans="1:1" x14ac:dyDescent="0.25">
      <c r="A1706" s="20">
        <v>46033</v>
      </c>
    </row>
    <row r="1707" spans="1:1" x14ac:dyDescent="0.25">
      <c r="A1707" s="20">
        <v>46035</v>
      </c>
    </row>
    <row r="1708" spans="1:1" x14ac:dyDescent="0.25">
      <c r="A1708" s="20">
        <v>46037</v>
      </c>
    </row>
    <row r="1709" spans="1:1" x14ac:dyDescent="0.25">
      <c r="A1709" s="20">
        <v>46039</v>
      </c>
    </row>
    <row r="1710" spans="1:1" x14ac:dyDescent="0.25">
      <c r="A1710" s="20">
        <v>46041</v>
      </c>
    </row>
    <row r="1711" spans="1:1" x14ac:dyDescent="0.25">
      <c r="A1711" s="20">
        <v>46043</v>
      </c>
    </row>
    <row r="1712" spans="1:1" x14ac:dyDescent="0.25">
      <c r="A1712" s="20">
        <v>46045</v>
      </c>
    </row>
    <row r="1713" spans="1:1" x14ac:dyDescent="0.25">
      <c r="A1713" s="20">
        <v>46047</v>
      </c>
    </row>
    <row r="1714" spans="1:1" x14ac:dyDescent="0.25">
      <c r="A1714" s="20">
        <v>46049</v>
      </c>
    </row>
    <row r="1715" spans="1:1" x14ac:dyDescent="0.25">
      <c r="A1715" s="20">
        <v>46051</v>
      </c>
    </row>
    <row r="1716" spans="1:1" x14ac:dyDescent="0.25">
      <c r="A1716" s="20">
        <v>46053</v>
      </c>
    </row>
    <row r="1717" spans="1:1" x14ac:dyDescent="0.25">
      <c r="A1717" s="20">
        <v>46055</v>
      </c>
    </row>
    <row r="1718" spans="1:1" x14ac:dyDescent="0.25">
      <c r="A1718" s="20">
        <v>46059</v>
      </c>
    </row>
    <row r="1719" spans="1:1" x14ac:dyDescent="0.25">
      <c r="A1719" s="20">
        <v>46065</v>
      </c>
    </row>
    <row r="1720" spans="1:1" x14ac:dyDescent="0.25">
      <c r="A1720" s="20">
        <v>46067</v>
      </c>
    </row>
    <row r="1721" spans="1:1" x14ac:dyDescent="0.25">
      <c r="A1721" s="20">
        <v>46073</v>
      </c>
    </row>
    <row r="1722" spans="1:1" x14ac:dyDescent="0.25">
      <c r="A1722" s="20">
        <v>46077</v>
      </c>
    </row>
    <row r="1723" spans="1:1" x14ac:dyDescent="0.25">
      <c r="A1723" s="20">
        <v>46079</v>
      </c>
    </row>
    <row r="1724" spans="1:1" x14ac:dyDescent="0.25">
      <c r="A1724" s="20">
        <v>46081</v>
      </c>
    </row>
    <row r="1725" spans="1:1" x14ac:dyDescent="0.25">
      <c r="A1725" s="20">
        <v>46083</v>
      </c>
    </row>
    <row r="1726" spans="1:1" x14ac:dyDescent="0.25">
      <c r="A1726" s="20">
        <v>46089</v>
      </c>
    </row>
    <row r="1727" spans="1:1" x14ac:dyDescent="0.25">
      <c r="A1727" s="20">
        <v>46091</v>
      </c>
    </row>
    <row r="1728" spans="1:1" x14ac:dyDescent="0.25">
      <c r="A1728" s="20">
        <v>46093</v>
      </c>
    </row>
    <row r="1729" spans="1:1" x14ac:dyDescent="0.25">
      <c r="A1729" s="20">
        <v>46099</v>
      </c>
    </row>
    <row r="1730" spans="1:1" x14ac:dyDescent="0.25">
      <c r="A1730" s="20">
        <v>46101</v>
      </c>
    </row>
    <row r="1731" spans="1:1" x14ac:dyDescent="0.25">
      <c r="A1731" s="20">
        <v>46102</v>
      </c>
    </row>
    <row r="1732" spans="1:1" x14ac:dyDescent="0.25">
      <c r="A1732" s="20">
        <v>46103</v>
      </c>
    </row>
    <row r="1733" spans="1:1" x14ac:dyDescent="0.25">
      <c r="A1733" s="20">
        <v>46107</v>
      </c>
    </row>
    <row r="1734" spans="1:1" x14ac:dyDescent="0.25">
      <c r="A1734" s="20">
        <v>46109</v>
      </c>
    </row>
    <row r="1735" spans="1:1" x14ac:dyDescent="0.25">
      <c r="A1735" s="20">
        <v>46115</v>
      </c>
    </row>
    <row r="1736" spans="1:1" x14ac:dyDescent="0.25">
      <c r="A1736" s="20">
        <v>46121</v>
      </c>
    </row>
    <row r="1737" spans="1:1" x14ac:dyDescent="0.25">
      <c r="A1737" s="20">
        <v>46123</v>
      </c>
    </row>
    <row r="1738" spans="1:1" x14ac:dyDescent="0.25">
      <c r="A1738" s="20">
        <v>46125</v>
      </c>
    </row>
    <row r="1739" spans="1:1" x14ac:dyDescent="0.25">
      <c r="A1739" s="20">
        <v>46127</v>
      </c>
    </row>
    <row r="1740" spans="1:1" x14ac:dyDescent="0.25">
      <c r="A1740" s="20">
        <v>46129</v>
      </c>
    </row>
    <row r="1741" spans="1:1" x14ac:dyDescent="0.25">
      <c r="A1741" s="20">
        <v>46135</v>
      </c>
    </row>
    <row r="1742" spans="1:1" x14ac:dyDescent="0.25">
      <c r="A1742" s="20">
        <v>47001</v>
      </c>
    </row>
    <row r="1743" spans="1:1" x14ac:dyDescent="0.25">
      <c r="A1743" s="20">
        <v>47003</v>
      </c>
    </row>
    <row r="1744" spans="1:1" x14ac:dyDescent="0.25">
      <c r="A1744" s="20">
        <v>47005</v>
      </c>
    </row>
    <row r="1745" spans="1:1" x14ac:dyDescent="0.25">
      <c r="A1745" s="20">
        <v>47007</v>
      </c>
    </row>
    <row r="1746" spans="1:1" x14ac:dyDescent="0.25">
      <c r="A1746" s="20">
        <v>47009</v>
      </c>
    </row>
    <row r="1747" spans="1:1" x14ac:dyDescent="0.25">
      <c r="A1747" s="20">
        <v>47011</v>
      </c>
    </row>
    <row r="1748" spans="1:1" x14ac:dyDescent="0.25">
      <c r="A1748" s="20">
        <v>47013</v>
      </c>
    </row>
    <row r="1749" spans="1:1" x14ac:dyDescent="0.25">
      <c r="A1749" s="20">
        <v>47015</v>
      </c>
    </row>
    <row r="1750" spans="1:1" x14ac:dyDescent="0.25">
      <c r="A1750" s="20">
        <v>47017</v>
      </c>
    </row>
    <row r="1751" spans="1:1" x14ac:dyDescent="0.25">
      <c r="A1751" s="20">
        <v>47019</v>
      </c>
    </row>
    <row r="1752" spans="1:1" x14ac:dyDescent="0.25">
      <c r="A1752" s="20">
        <v>47021</v>
      </c>
    </row>
    <row r="1753" spans="1:1" x14ac:dyDescent="0.25">
      <c r="A1753" s="20">
        <v>47025</v>
      </c>
    </row>
    <row r="1754" spans="1:1" x14ac:dyDescent="0.25">
      <c r="A1754" s="20">
        <v>47027</v>
      </c>
    </row>
    <row r="1755" spans="1:1" x14ac:dyDescent="0.25">
      <c r="A1755" s="20">
        <v>47029</v>
      </c>
    </row>
    <row r="1756" spans="1:1" x14ac:dyDescent="0.25">
      <c r="A1756" s="20">
        <v>47031</v>
      </c>
    </row>
    <row r="1757" spans="1:1" x14ac:dyDescent="0.25">
      <c r="A1757" s="20">
        <v>47035</v>
      </c>
    </row>
    <row r="1758" spans="1:1" x14ac:dyDescent="0.25">
      <c r="A1758" s="20">
        <v>47037</v>
      </c>
    </row>
    <row r="1759" spans="1:1" x14ac:dyDescent="0.25">
      <c r="A1759" s="20">
        <v>47039</v>
      </c>
    </row>
    <row r="1760" spans="1:1" x14ac:dyDescent="0.25">
      <c r="A1760" s="20">
        <v>47041</v>
      </c>
    </row>
    <row r="1761" spans="1:1" x14ac:dyDescent="0.25">
      <c r="A1761" s="20">
        <v>47043</v>
      </c>
    </row>
    <row r="1762" spans="1:1" x14ac:dyDescent="0.25">
      <c r="A1762" s="20">
        <v>47045</v>
      </c>
    </row>
    <row r="1763" spans="1:1" x14ac:dyDescent="0.25">
      <c r="A1763" s="20">
        <v>47047</v>
      </c>
    </row>
    <row r="1764" spans="1:1" x14ac:dyDescent="0.25">
      <c r="A1764" s="20">
        <v>47049</v>
      </c>
    </row>
    <row r="1765" spans="1:1" x14ac:dyDescent="0.25">
      <c r="A1765" s="20">
        <v>47051</v>
      </c>
    </row>
    <row r="1766" spans="1:1" x14ac:dyDescent="0.25">
      <c r="A1766" s="20">
        <v>47053</v>
      </c>
    </row>
    <row r="1767" spans="1:1" x14ac:dyDescent="0.25">
      <c r="A1767" s="20">
        <v>47055</v>
      </c>
    </row>
    <row r="1768" spans="1:1" x14ac:dyDescent="0.25">
      <c r="A1768" s="20">
        <v>47059</v>
      </c>
    </row>
    <row r="1769" spans="1:1" x14ac:dyDescent="0.25">
      <c r="A1769" s="20">
        <v>47063</v>
      </c>
    </row>
    <row r="1770" spans="1:1" x14ac:dyDescent="0.25">
      <c r="A1770" s="20">
        <v>47065</v>
      </c>
    </row>
    <row r="1771" spans="1:1" x14ac:dyDescent="0.25">
      <c r="A1771" s="20">
        <v>47067</v>
      </c>
    </row>
    <row r="1772" spans="1:1" x14ac:dyDescent="0.25">
      <c r="A1772" s="20">
        <v>47069</v>
      </c>
    </row>
    <row r="1773" spans="1:1" x14ac:dyDescent="0.25">
      <c r="A1773" s="20">
        <v>47071</v>
      </c>
    </row>
    <row r="1774" spans="1:1" x14ac:dyDescent="0.25">
      <c r="A1774" s="20">
        <v>47073</v>
      </c>
    </row>
    <row r="1775" spans="1:1" x14ac:dyDescent="0.25">
      <c r="A1775" s="20">
        <v>47075</v>
      </c>
    </row>
    <row r="1776" spans="1:1" x14ac:dyDescent="0.25">
      <c r="A1776" s="20">
        <v>47077</v>
      </c>
    </row>
    <row r="1777" spans="1:1" x14ac:dyDescent="0.25">
      <c r="A1777" s="20">
        <v>47079</v>
      </c>
    </row>
    <row r="1778" spans="1:1" x14ac:dyDescent="0.25">
      <c r="A1778" s="20">
        <v>47081</v>
      </c>
    </row>
    <row r="1779" spans="1:1" x14ac:dyDescent="0.25">
      <c r="A1779" s="20">
        <v>47083</v>
      </c>
    </row>
    <row r="1780" spans="1:1" x14ac:dyDescent="0.25">
      <c r="A1780" s="20">
        <v>47085</v>
      </c>
    </row>
    <row r="1781" spans="1:1" x14ac:dyDescent="0.25">
      <c r="A1781" s="20">
        <v>47089</v>
      </c>
    </row>
    <row r="1782" spans="1:1" x14ac:dyDescent="0.25">
      <c r="A1782" s="20">
        <v>47091</v>
      </c>
    </row>
    <row r="1783" spans="1:1" x14ac:dyDescent="0.25">
      <c r="A1783" s="20">
        <v>47093</v>
      </c>
    </row>
    <row r="1784" spans="1:1" x14ac:dyDescent="0.25">
      <c r="A1784" s="20">
        <v>47097</v>
      </c>
    </row>
    <row r="1785" spans="1:1" x14ac:dyDescent="0.25">
      <c r="A1785" s="20">
        <v>47099</v>
      </c>
    </row>
    <row r="1786" spans="1:1" x14ac:dyDescent="0.25">
      <c r="A1786" s="20">
        <v>47103</v>
      </c>
    </row>
    <row r="1787" spans="1:1" x14ac:dyDescent="0.25">
      <c r="A1787" s="20">
        <v>47105</v>
      </c>
    </row>
    <row r="1788" spans="1:1" x14ac:dyDescent="0.25">
      <c r="A1788" s="20">
        <v>47107</v>
      </c>
    </row>
    <row r="1789" spans="1:1" x14ac:dyDescent="0.25">
      <c r="A1789" s="20">
        <v>47109</v>
      </c>
    </row>
    <row r="1790" spans="1:1" x14ac:dyDescent="0.25">
      <c r="A1790" s="20">
        <v>47111</v>
      </c>
    </row>
    <row r="1791" spans="1:1" x14ac:dyDescent="0.25">
      <c r="A1791" s="20">
        <v>47113</v>
      </c>
    </row>
    <row r="1792" spans="1:1" x14ac:dyDescent="0.25">
      <c r="A1792" s="20">
        <v>47115</v>
      </c>
    </row>
    <row r="1793" spans="1:1" x14ac:dyDescent="0.25">
      <c r="A1793" s="20">
        <v>47117</v>
      </c>
    </row>
    <row r="1794" spans="1:1" x14ac:dyDescent="0.25">
      <c r="A1794" s="20">
        <v>47119</v>
      </c>
    </row>
    <row r="1795" spans="1:1" x14ac:dyDescent="0.25">
      <c r="A1795" s="20">
        <v>47123</v>
      </c>
    </row>
    <row r="1796" spans="1:1" x14ac:dyDescent="0.25">
      <c r="A1796" s="20">
        <v>47125</v>
      </c>
    </row>
    <row r="1797" spans="1:1" x14ac:dyDescent="0.25">
      <c r="A1797" s="20">
        <v>47131</v>
      </c>
    </row>
    <row r="1798" spans="1:1" x14ac:dyDescent="0.25">
      <c r="A1798" s="20">
        <v>47133</v>
      </c>
    </row>
    <row r="1799" spans="1:1" x14ac:dyDescent="0.25">
      <c r="A1799" s="20">
        <v>47135</v>
      </c>
    </row>
    <row r="1800" spans="1:1" x14ac:dyDescent="0.25">
      <c r="A1800" s="20">
        <v>47139</v>
      </c>
    </row>
    <row r="1801" spans="1:1" x14ac:dyDescent="0.25">
      <c r="A1801" s="20">
        <v>47141</v>
      </c>
    </row>
    <row r="1802" spans="1:1" x14ac:dyDescent="0.25">
      <c r="A1802" s="20">
        <v>47143</v>
      </c>
    </row>
    <row r="1803" spans="1:1" x14ac:dyDescent="0.25">
      <c r="A1803" s="20">
        <v>47145</v>
      </c>
    </row>
    <row r="1804" spans="1:1" x14ac:dyDescent="0.25">
      <c r="A1804" s="20">
        <v>47147</v>
      </c>
    </row>
    <row r="1805" spans="1:1" x14ac:dyDescent="0.25">
      <c r="A1805" s="20">
        <v>47149</v>
      </c>
    </row>
    <row r="1806" spans="1:1" x14ac:dyDescent="0.25">
      <c r="A1806" s="20">
        <v>47151</v>
      </c>
    </row>
    <row r="1807" spans="1:1" x14ac:dyDescent="0.25">
      <c r="A1807" s="20">
        <v>47155</v>
      </c>
    </row>
    <row r="1808" spans="1:1" x14ac:dyDescent="0.25">
      <c r="A1808" s="20">
        <v>47157</v>
      </c>
    </row>
    <row r="1809" spans="1:1" x14ac:dyDescent="0.25">
      <c r="A1809" s="20">
        <v>47159</v>
      </c>
    </row>
    <row r="1810" spans="1:1" x14ac:dyDescent="0.25">
      <c r="A1810" s="20">
        <v>47163</v>
      </c>
    </row>
    <row r="1811" spans="1:1" x14ac:dyDescent="0.25">
      <c r="A1811" s="20">
        <v>47165</v>
      </c>
    </row>
    <row r="1812" spans="1:1" x14ac:dyDescent="0.25">
      <c r="A1812" s="20">
        <v>47167</v>
      </c>
    </row>
    <row r="1813" spans="1:1" x14ac:dyDescent="0.25">
      <c r="A1813" s="20">
        <v>47169</v>
      </c>
    </row>
    <row r="1814" spans="1:1" x14ac:dyDescent="0.25">
      <c r="A1814" s="20">
        <v>47171</v>
      </c>
    </row>
    <row r="1815" spans="1:1" x14ac:dyDescent="0.25">
      <c r="A1815" s="20">
        <v>47177</v>
      </c>
    </row>
    <row r="1816" spans="1:1" x14ac:dyDescent="0.25">
      <c r="A1816" s="20">
        <v>47179</v>
      </c>
    </row>
    <row r="1817" spans="1:1" x14ac:dyDescent="0.25">
      <c r="A1817" s="20">
        <v>47181</v>
      </c>
    </row>
    <row r="1818" spans="1:1" x14ac:dyDescent="0.25">
      <c r="A1818" s="20">
        <v>47183</v>
      </c>
    </row>
    <row r="1819" spans="1:1" x14ac:dyDescent="0.25">
      <c r="A1819" s="20">
        <v>47185</v>
      </c>
    </row>
    <row r="1820" spans="1:1" x14ac:dyDescent="0.25">
      <c r="A1820" s="20">
        <v>47187</v>
      </c>
    </row>
    <row r="1821" spans="1:1" x14ac:dyDescent="0.25">
      <c r="A1821" s="20">
        <v>47189</v>
      </c>
    </row>
    <row r="1822" spans="1:1" x14ac:dyDescent="0.25">
      <c r="A1822" s="20">
        <v>48001</v>
      </c>
    </row>
    <row r="1823" spans="1:1" x14ac:dyDescent="0.25">
      <c r="A1823" s="20">
        <v>48003</v>
      </c>
    </row>
    <row r="1824" spans="1:1" x14ac:dyDescent="0.25">
      <c r="A1824" s="20">
        <v>48005</v>
      </c>
    </row>
    <row r="1825" spans="1:1" x14ac:dyDescent="0.25">
      <c r="A1825" s="20">
        <v>48013</v>
      </c>
    </row>
    <row r="1826" spans="1:1" x14ac:dyDescent="0.25">
      <c r="A1826" s="20">
        <v>48015</v>
      </c>
    </row>
    <row r="1827" spans="1:1" x14ac:dyDescent="0.25">
      <c r="A1827" s="20">
        <v>48017</v>
      </c>
    </row>
    <row r="1828" spans="1:1" x14ac:dyDescent="0.25">
      <c r="A1828" s="20">
        <v>48021</v>
      </c>
    </row>
    <row r="1829" spans="1:1" x14ac:dyDescent="0.25">
      <c r="A1829" s="20">
        <v>48023</v>
      </c>
    </row>
    <row r="1830" spans="1:1" x14ac:dyDescent="0.25">
      <c r="A1830" s="20">
        <v>48025</v>
      </c>
    </row>
    <row r="1831" spans="1:1" x14ac:dyDescent="0.25">
      <c r="A1831" s="20">
        <v>48027</v>
      </c>
    </row>
    <row r="1832" spans="1:1" x14ac:dyDescent="0.25">
      <c r="A1832" s="20">
        <v>48029</v>
      </c>
    </row>
    <row r="1833" spans="1:1" x14ac:dyDescent="0.25">
      <c r="A1833" s="20">
        <v>48035</v>
      </c>
    </row>
    <row r="1834" spans="1:1" x14ac:dyDescent="0.25">
      <c r="A1834" s="20">
        <v>48037</v>
      </c>
    </row>
    <row r="1835" spans="1:1" x14ac:dyDescent="0.25">
      <c r="A1835" s="20">
        <v>48039</v>
      </c>
    </row>
    <row r="1836" spans="1:1" x14ac:dyDescent="0.25">
      <c r="A1836" s="20">
        <v>48041</v>
      </c>
    </row>
    <row r="1837" spans="1:1" x14ac:dyDescent="0.25">
      <c r="A1837" s="20">
        <v>48043</v>
      </c>
    </row>
    <row r="1838" spans="1:1" x14ac:dyDescent="0.25">
      <c r="A1838" s="20">
        <v>48049</v>
      </c>
    </row>
    <row r="1839" spans="1:1" x14ac:dyDescent="0.25">
      <c r="A1839" s="20">
        <v>48051</v>
      </c>
    </row>
    <row r="1840" spans="1:1" x14ac:dyDescent="0.25">
      <c r="A1840" s="20">
        <v>48053</v>
      </c>
    </row>
    <row r="1841" spans="1:1" x14ac:dyDescent="0.25">
      <c r="A1841" s="20">
        <v>48055</v>
      </c>
    </row>
    <row r="1842" spans="1:1" x14ac:dyDescent="0.25">
      <c r="A1842" s="20">
        <v>48057</v>
      </c>
    </row>
    <row r="1843" spans="1:1" x14ac:dyDescent="0.25">
      <c r="A1843" s="20">
        <v>48061</v>
      </c>
    </row>
    <row r="1844" spans="1:1" x14ac:dyDescent="0.25">
      <c r="A1844" s="20">
        <v>48063</v>
      </c>
    </row>
    <row r="1845" spans="1:1" x14ac:dyDescent="0.25">
      <c r="A1845" s="20">
        <v>48067</v>
      </c>
    </row>
    <row r="1846" spans="1:1" x14ac:dyDescent="0.25">
      <c r="A1846" s="20">
        <v>48069</v>
      </c>
    </row>
    <row r="1847" spans="1:1" x14ac:dyDescent="0.25">
      <c r="A1847" s="20">
        <v>48071</v>
      </c>
    </row>
    <row r="1848" spans="1:1" x14ac:dyDescent="0.25">
      <c r="A1848" s="20">
        <v>48073</v>
      </c>
    </row>
    <row r="1849" spans="1:1" x14ac:dyDescent="0.25">
      <c r="A1849" s="20">
        <v>48075</v>
      </c>
    </row>
    <row r="1850" spans="1:1" x14ac:dyDescent="0.25">
      <c r="A1850" s="20">
        <v>48077</v>
      </c>
    </row>
    <row r="1851" spans="1:1" x14ac:dyDescent="0.25">
      <c r="A1851" s="20">
        <v>48079</v>
      </c>
    </row>
    <row r="1852" spans="1:1" x14ac:dyDescent="0.25">
      <c r="A1852" s="20">
        <v>48083</v>
      </c>
    </row>
    <row r="1853" spans="1:1" x14ac:dyDescent="0.25">
      <c r="A1853" s="20">
        <v>48085</v>
      </c>
    </row>
    <row r="1854" spans="1:1" x14ac:dyDescent="0.25">
      <c r="A1854" s="20">
        <v>48087</v>
      </c>
    </row>
    <row r="1855" spans="1:1" x14ac:dyDescent="0.25">
      <c r="A1855" s="20">
        <v>48089</v>
      </c>
    </row>
    <row r="1856" spans="1:1" x14ac:dyDescent="0.25">
      <c r="A1856" s="20">
        <v>48091</v>
      </c>
    </row>
    <row r="1857" spans="1:1" x14ac:dyDescent="0.25">
      <c r="A1857" s="20">
        <v>48093</v>
      </c>
    </row>
    <row r="1858" spans="1:1" x14ac:dyDescent="0.25">
      <c r="A1858" s="20">
        <v>48095</v>
      </c>
    </row>
    <row r="1859" spans="1:1" x14ac:dyDescent="0.25">
      <c r="A1859" s="20">
        <v>48097</v>
      </c>
    </row>
    <row r="1860" spans="1:1" x14ac:dyDescent="0.25">
      <c r="A1860" s="20">
        <v>48099</v>
      </c>
    </row>
    <row r="1861" spans="1:1" x14ac:dyDescent="0.25">
      <c r="A1861" s="20">
        <v>48103</v>
      </c>
    </row>
    <row r="1862" spans="1:1" x14ac:dyDescent="0.25">
      <c r="A1862" s="20">
        <v>48107</v>
      </c>
    </row>
    <row r="1863" spans="1:1" x14ac:dyDescent="0.25">
      <c r="A1863" s="20">
        <v>48109</v>
      </c>
    </row>
    <row r="1864" spans="1:1" x14ac:dyDescent="0.25">
      <c r="A1864" s="20">
        <v>48111</v>
      </c>
    </row>
    <row r="1865" spans="1:1" x14ac:dyDescent="0.25">
      <c r="A1865" s="20">
        <v>48113</v>
      </c>
    </row>
    <row r="1866" spans="1:1" x14ac:dyDescent="0.25">
      <c r="A1866" s="20">
        <v>48115</v>
      </c>
    </row>
    <row r="1867" spans="1:1" x14ac:dyDescent="0.25">
      <c r="A1867" s="20">
        <v>48117</v>
      </c>
    </row>
    <row r="1868" spans="1:1" x14ac:dyDescent="0.25">
      <c r="A1868" s="20">
        <v>48121</v>
      </c>
    </row>
    <row r="1869" spans="1:1" x14ac:dyDescent="0.25">
      <c r="A1869" s="20">
        <v>48123</v>
      </c>
    </row>
    <row r="1870" spans="1:1" x14ac:dyDescent="0.25">
      <c r="A1870" s="20">
        <v>48127</v>
      </c>
    </row>
    <row r="1871" spans="1:1" x14ac:dyDescent="0.25">
      <c r="A1871" s="20">
        <v>48133</v>
      </c>
    </row>
    <row r="1872" spans="1:1" x14ac:dyDescent="0.25">
      <c r="A1872" s="20">
        <v>48135</v>
      </c>
    </row>
    <row r="1873" spans="1:1" x14ac:dyDescent="0.25">
      <c r="A1873" s="20">
        <v>48139</v>
      </c>
    </row>
    <row r="1874" spans="1:1" x14ac:dyDescent="0.25">
      <c r="A1874" s="20">
        <v>48141</v>
      </c>
    </row>
    <row r="1875" spans="1:1" x14ac:dyDescent="0.25">
      <c r="A1875" s="20">
        <v>48143</v>
      </c>
    </row>
    <row r="1876" spans="1:1" x14ac:dyDescent="0.25">
      <c r="A1876" s="20">
        <v>48145</v>
      </c>
    </row>
    <row r="1877" spans="1:1" x14ac:dyDescent="0.25">
      <c r="A1877" s="20">
        <v>48147</v>
      </c>
    </row>
    <row r="1878" spans="1:1" x14ac:dyDescent="0.25">
      <c r="A1878" s="20">
        <v>48149</v>
      </c>
    </row>
    <row r="1879" spans="1:1" x14ac:dyDescent="0.25">
      <c r="A1879" s="20">
        <v>48151</v>
      </c>
    </row>
    <row r="1880" spans="1:1" x14ac:dyDescent="0.25">
      <c r="A1880" s="20">
        <v>48153</v>
      </c>
    </row>
    <row r="1881" spans="1:1" x14ac:dyDescent="0.25">
      <c r="A1881" s="20">
        <v>48157</v>
      </c>
    </row>
    <row r="1882" spans="1:1" x14ac:dyDescent="0.25">
      <c r="A1882" s="20">
        <v>48159</v>
      </c>
    </row>
    <row r="1883" spans="1:1" x14ac:dyDescent="0.25">
      <c r="A1883" s="20">
        <v>48161</v>
      </c>
    </row>
    <row r="1884" spans="1:1" x14ac:dyDescent="0.25">
      <c r="A1884" s="20">
        <v>48163</v>
      </c>
    </row>
    <row r="1885" spans="1:1" x14ac:dyDescent="0.25">
      <c r="A1885" s="20">
        <v>48165</v>
      </c>
    </row>
    <row r="1886" spans="1:1" x14ac:dyDescent="0.25">
      <c r="A1886" s="20">
        <v>48167</v>
      </c>
    </row>
    <row r="1887" spans="1:1" x14ac:dyDescent="0.25">
      <c r="A1887" s="20">
        <v>48171</v>
      </c>
    </row>
    <row r="1888" spans="1:1" x14ac:dyDescent="0.25">
      <c r="A1888" s="20">
        <v>48177</v>
      </c>
    </row>
    <row r="1889" spans="1:1" x14ac:dyDescent="0.25">
      <c r="A1889" s="20">
        <v>48179</v>
      </c>
    </row>
    <row r="1890" spans="1:1" x14ac:dyDescent="0.25">
      <c r="A1890" s="20">
        <v>48181</v>
      </c>
    </row>
    <row r="1891" spans="1:1" x14ac:dyDescent="0.25">
      <c r="A1891" s="20">
        <v>48183</v>
      </c>
    </row>
    <row r="1892" spans="1:1" x14ac:dyDescent="0.25">
      <c r="A1892" s="20">
        <v>48185</v>
      </c>
    </row>
    <row r="1893" spans="1:1" x14ac:dyDescent="0.25">
      <c r="A1893" s="20">
        <v>48187</v>
      </c>
    </row>
    <row r="1894" spans="1:1" x14ac:dyDescent="0.25">
      <c r="A1894" s="20">
        <v>48189</v>
      </c>
    </row>
    <row r="1895" spans="1:1" x14ac:dyDescent="0.25">
      <c r="A1895" s="20">
        <v>48193</v>
      </c>
    </row>
    <row r="1896" spans="1:1" x14ac:dyDescent="0.25">
      <c r="A1896" s="20">
        <v>48195</v>
      </c>
    </row>
    <row r="1897" spans="1:1" x14ac:dyDescent="0.25">
      <c r="A1897" s="20">
        <v>48197</v>
      </c>
    </row>
    <row r="1898" spans="1:1" x14ac:dyDescent="0.25">
      <c r="A1898" s="20">
        <v>48199</v>
      </c>
    </row>
    <row r="1899" spans="1:1" x14ac:dyDescent="0.25">
      <c r="A1899" s="20">
        <v>48201</v>
      </c>
    </row>
    <row r="1900" spans="1:1" x14ac:dyDescent="0.25">
      <c r="A1900" s="20">
        <v>48203</v>
      </c>
    </row>
    <row r="1901" spans="1:1" x14ac:dyDescent="0.25">
      <c r="A1901" s="20">
        <v>48207</v>
      </c>
    </row>
    <row r="1902" spans="1:1" x14ac:dyDescent="0.25">
      <c r="A1902" s="20">
        <v>48209</v>
      </c>
    </row>
    <row r="1903" spans="1:1" x14ac:dyDescent="0.25">
      <c r="A1903" s="20">
        <v>48211</v>
      </c>
    </row>
    <row r="1904" spans="1:1" x14ac:dyDescent="0.25">
      <c r="A1904" s="20">
        <v>48213</v>
      </c>
    </row>
    <row r="1905" spans="1:1" x14ac:dyDescent="0.25">
      <c r="A1905" s="20">
        <v>48215</v>
      </c>
    </row>
    <row r="1906" spans="1:1" x14ac:dyDescent="0.25">
      <c r="A1906" s="20">
        <v>48217</v>
      </c>
    </row>
    <row r="1907" spans="1:1" x14ac:dyDescent="0.25">
      <c r="A1907" s="20">
        <v>48219</v>
      </c>
    </row>
    <row r="1908" spans="1:1" x14ac:dyDescent="0.25">
      <c r="A1908" s="20">
        <v>48221</v>
      </c>
    </row>
    <row r="1909" spans="1:1" x14ac:dyDescent="0.25">
      <c r="A1909" s="20">
        <v>48223</v>
      </c>
    </row>
    <row r="1910" spans="1:1" x14ac:dyDescent="0.25">
      <c r="A1910" s="20">
        <v>48225</v>
      </c>
    </row>
    <row r="1911" spans="1:1" x14ac:dyDescent="0.25">
      <c r="A1911" s="20">
        <v>48227</v>
      </c>
    </row>
    <row r="1912" spans="1:1" x14ac:dyDescent="0.25">
      <c r="A1912" s="20">
        <v>48231</v>
      </c>
    </row>
    <row r="1913" spans="1:1" x14ac:dyDescent="0.25">
      <c r="A1913" s="20">
        <v>48233</v>
      </c>
    </row>
    <row r="1914" spans="1:1" x14ac:dyDescent="0.25">
      <c r="A1914" s="20">
        <v>48237</v>
      </c>
    </row>
    <row r="1915" spans="1:1" x14ac:dyDescent="0.25">
      <c r="A1915" s="20">
        <v>48239</v>
      </c>
    </row>
    <row r="1916" spans="1:1" x14ac:dyDescent="0.25">
      <c r="A1916" s="20">
        <v>48241</v>
      </c>
    </row>
    <row r="1917" spans="1:1" x14ac:dyDescent="0.25">
      <c r="A1917" s="20">
        <v>48245</v>
      </c>
    </row>
    <row r="1918" spans="1:1" x14ac:dyDescent="0.25">
      <c r="A1918" s="20">
        <v>48249</v>
      </c>
    </row>
    <row r="1919" spans="1:1" x14ac:dyDescent="0.25">
      <c r="A1919" s="20">
        <v>48251</v>
      </c>
    </row>
    <row r="1920" spans="1:1" x14ac:dyDescent="0.25">
      <c r="A1920" s="20">
        <v>48253</v>
      </c>
    </row>
    <row r="1921" spans="1:1" x14ac:dyDescent="0.25">
      <c r="A1921" s="20">
        <v>48255</v>
      </c>
    </row>
    <row r="1922" spans="1:1" x14ac:dyDescent="0.25">
      <c r="A1922" s="20">
        <v>48257</v>
      </c>
    </row>
    <row r="1923" spans="1:1" x14ac:dyDescent="0.25">
      <c r="A1923" s="20">
        <v>48265</v>
      </c>
    </row>
    <row r="1924" spans="1:1" x14ac:dyDescent="0.25">
      <c r="A1924" s="20">
        <v>48267</v>
      </c>
    </row>
    <row r="1925" spans="1:1" x14ac:dyDescent="0.25">
      <c r="A1925" s="20">
        <v>48273</v>
      </c>
    </row>
    <row r="1926" spans="1:1" x14ac:dyDescent="0.25">
      <c r="A1926" s="20">
        <v>48275</v>
      </c>
    </row>
    <row r="1927" spans="1:1" x14ac:dyDescent="0.25">
      <c r="A1927" s="20">
        <v>48277</v>
      </c>
    </row>
    <row r="1928" spans="1:1" x14ac:dyDescent="0.25">
      <c r="A1928" s="20">
        <v>48279</v>
      </c>
    </row>
    <row r="1929" spans="1:1" x14ac:dyDescent="0.25">
      <c r="A1929" s="20">
        <v>48281</v>
      </c>
    </row>
    <row r="1930" spans="1:1" x14ac:dyDescent="0.25">
      <c r="A1930" s="20">
        <v>48285</v>
      </c>
    </row>
    <row r="1931" spans="1:1" x14ac:dyDescent="0.25">
      <c r="A1931" s="20">
        <v>48291</v>
      </c>
    </row>
    <row r="1932" spans="1:1" x14ac:dyDescent="0.25">
      <c r="A1932" s="20">
        <v>48293</v>
      </c>
    </row>
    <row r="1933" spans="1:1" x14ac:dyDescent="0.25">
      <c r="A1933" s="20">
        <v>48299</v>
      </c>
    </row>
    <row r="1934" spans="1:1" x14ac:dyDescent="0.25">
      <c r="A1934" s="20">
        <v>48303</v>
      </c>
    </row>
    <row r="1935" spans="1:1" x14ac:dyDescent="0.25">
      <c r="A1935" s="20">
        <v>48305</v>
      </c>
    </row>
    <row r="1936" spans="1:1" x14ac:dyDescent="0.25">
      <c r="A1936" s="20">
        <v>48307</v>
      </c>
    </row>
    <row r="1937" spans="1:1" x14ac:dyDescent="0.25">
      <c r="A1937" s="20">
        <v>48309</v>
      </c>
    </row>
    <row r="1938" spans="1:1" x14ac:dyDescent="0.25">
      <c r="A1938" s="20">
        <v>48313</v>
      </c>
    </row>
    <row r="1939" spans="1:1" x14ac:dyDescent="0.25">
      <c r="A1939" s="20">
        <v>48317</v>
      </c>
    </row>
    <row r="1940" spans="1:1" x14ac:dyDescent="0.25">
      <c r="A1940" s="20">
        <v>48321</v>
      </c>
    </row>
    <row r="1941" spans="1:1" x14ac:dyDescent="0.25">
      <c r="A1941" s="20">
        <v>48323</v>
      </c>
    </row>
    <row r="1942" spans="1:1" x14ac:dyDescent="0.25">
      <c r="A1942" s="20">
        <v>48325</v>
      </c>
    </row>
    <row r="1943" spans="1:1" x14ac:dyDescent="0.25">
      <c r="A1943" s="20">
        <v>48329</v>
      </c>
    </row>
    <row r="1944" spans="1:1" x14ac:dyDescent="0.25">
      <c r="A1944" s="20">
        <v>48331</v>
      </c>
    </row>
    <row r="1945" spans="1:1" x14ac:dyDescent="0.25">
      <c r="A1945" s="20">
        <v>48335</v>
      </c>
    </row>
    <row r="1946" spans="1:1" x14ac:dyDescent="0.25">
      <c r="A1946" s="20">
        <v>48337</v>
      </c>
    </row>
    <row r="1947" spans="1:1" x14ac:dyDescent="0.25">
      <c r="A1947" s="20">
        <v>48339</v>
      </c>
    </row>
    <row r="1948" spans="1:1" x14ac:dyDescent="0.25">
      <c r="A1948" s="20">
        <v>48341</v>
      </c>
    </row>
    <row r="1949" spans="1:1" x14ac:dyDescent="0.25">
      <c r="A1949" s="20">
        <v>48347</v>
      </c>
    </row>
    <row r="1950" spans="1:1" x14ac:dyDescent="0.25">
      <c r="A1950" s="20">
        <v>48349</v>
      </c>
    </row>
    <row r="1951" spans="1:1" x14ac:dyDescent="0.25">
      <c r="A1951" s="20">
        <v>48353</v>
      </c>
    </row>
    <row r="1952" spans="1:1" x14ac:dyDescent="0.25">
      <c r="A1952" s="20">
        <v>48355</v>
      </c>
    </row>
    <row r="1953" spans="1:1" x14ac:dyDescent="0.25">
      <c r="A1953" s="20">
        <v>48357</v>
      </c>
    </row>
    <row r="1954" spans="1:1" x14ac:dyDescent="0.25">
      <c r="A1954" s="20">
        <v>48361</v>
      </c>
    </row>
    <row r="1955" spans="1:1" x14ac:dyDescent="0.25">
      <c r="A1955" s="20">
        <v>48363</v>
      </c>
    </row>
    <row r="1956" spans="1:1" x14ac:dyDescent="0.25">
      <c r="A1956" s="20">
        <v>48365</v>
      </c>
    </row>
    <row r="1957" spans="1:1" x14ac:dyDescent="0.25">
      <c r="A1957" s="20">
        <v>48367</v>
      </c>
    </row>
    <row r="1958" spans="1:1" x14ac:dyDescent="0.25">
      <c r="A1958" s="20">
        <v>48369</v>
      </c>
    </row>
    <row r="1959" spans="1:1" x14ac:dyDescent="0.25">
      <c r="A1959" s="20">
        <v>48371</v>
      </c>
    </row>
    <row r="1960" spans="1:1" x14ac:dyDescent="0.25">
      <c r="A1960" s="20">
        <v>48373</v>
      </c>
    </row>
    <row r="1961" spans="1:1" x14ac:dyDescent="0.25">
      <c r="A1961" s="20">
        <v>48375</v>
      </c>
    </row>
    <row r="1962" spans="1:1" x14ac:dyDescent="0.25">
      <c r="A1962" s="20">
        <v>48381</v>
      </c>
    </row>
    <row r="1963" spans="1:1" x14ac:dyDescent="0.25">
      <c r="A1963" s="20">
        <v>48383</v>
      </c>
    </row>
    <row r="1964" spans="1:1" x14ac:dyDescent="0.25">
      <c r="A1964" s="20">
        <v>48387</v>
      </c>
    </row>
    <row r="1965" spans="1:1" x14ac:dyDescent="0.25">
      <c r="A1965" s="20">
        <v>48389</v>
      </c>
    </row>
    <row r="1966" spans="1:1" x14ac:dyDescent="0.25">
      <c r="A1966" s="20">
        <v>48391</v>
      </c>
    </row>
    <row r="1967" spans="1:1" x14ac:dyDescent="0.25">
      <c r="A1967" s="20">
        <v>48397</v>
      </c>
    </row>
    <row r="1968" spans="1:1" x14ac:dyDescent="0.25">
      <c r="A1968" s="20">
        <v>48399</v>
      </c>
    </row>
    <row r="1969" spans="1:1" x14ac:dyDescent="0.25">
      <c r="A1969" s="20">
        <v>48401</v>
      </c>
    </row>
    <row r="1970" spans="1:1" x14ac:dyDescent="0.25">
      <c r="A1970" s="20">
        <v>48403</v>
      </c>
    </row>
    <row r="1971" spans="1:1" x14ac:dyDescent="0.25">
      <c r="A1971" s="20">
        <v>48405</v>
      </c>
    </row>
    <row r="1972" spans="1:1" x14ac:dyDescent="0.25">
      <c r="A1972" s="20">
        <v>48409</v>
      </c>
    </row>
    <row r="1973" spans="1:1" x14ac:dyDescent="0.25">
      <c r="A1973" s="20">
        <v>48413</v>
      </c>
    </row>
    <row r="1974" spans="1:1" x14ac:dyDescent="0.25">
      <c r="A1974" s="20">
        <v>48415</v>
      </c>
    </row>
    <row r="1975" spans="1:1" x14ac:dyDescent="0.25">
      <c r="A1975" s="20">
        <v>48419</v>
      </c>
    </row>
    <row r="1976" spans="1:1" x14ac:dyDescent="0.25">
      <c r="A1976" s="20">
        <v>48423</v>
      </c>
    </row>
    <row r="1977" spans="1:1" x14ac:dyDescent="0.25">
      <c r="A1977" s="20">
        <v>48425</v>
      </c>
    </row>
    <row r="1978" spans="1:1" x14ac:dyDescent="0.25">
      <c r="A1978" s="20">
        <v>48427</v>
      </c>
    </row>
    <row r="1979" spans="1:1" x14ac:dyDescent="0.25">
      <c r="A1979" s="20">
        <v>48429</v>
      </c>
    </row>
    <row r="1980" spans="1:1" x14ac:dyDescent="0.25">
      <c r="A1980" s="20">
        <v>48433</v>
      </c>
    </row>
    <row r="1981" spans="1:1" x14ac:dyDescent="0.25">
      <c r="A1981" s="20">
        <v>48435</v>
      </c>
    </row>
    <row r="1982" spans="1:1" x14ac:dyDescent="0.25">
      <c r="A1982" s="20">
        <v>48437</v>
      </c>
    </row>
    <row r="1983" spans="1:1" x14ac:dyDescent="0.25">
      <c r="A1983" s="20">
        <v>48439</v>
      </c>
    </row>
    <row r="1984" spans="1:1" x14ac:dyDescent="0.25">
      <c r="A1984" s="20">
        <v>48441</v>
      </c>
    </row>
    <row r="1985" spans="1:1" x14ac:dyDescent="0.25">
      <c r="A1985" s="20">
        <v>48445</v>
      </c>
    </row>
    <row r="1986" spans="1:1" x14ac:dyDescent="0.25">
      <c r="A1986" s="20">
        <v>48447</v>
      </c>
    </row>
    <row r="1987" spans="1:1" x14ac:dyDescent="0.25">
      <c r="A1987" s="20">
        <v>48449</v>
      </c>
    </row>
    <row r="1988" spans="1:1" x14ac:dyDescent="0.25">
      <c r="A1988" s="20">
        <v>48451</v>
      </c>
    </row>
    <row r="1989" spans="1:1" x14ac:dyDescent="0.25">
      <c r="A1989" s="20">
        <v>48453</v>
      </c>
    </row>
    <row r="1990" spans="1:1" x14ac:dyDescent="0.25">
      <c r="A1990" s="20">
        <v>48455</v>
      </c>
    </row>
    <row r="1991" spans="1:1" x14ac:dyDescent="0.25">
      <c r="A1991" s="20">
        <v>48457</v>
      </c>
    </row>
    <row r="1992" spans="1:1" x14ac:dyDescent="0.25">
      <c r="A1992" s="20">
        <v>48459</v>
      </c>
    </row>
    <row r="1993" spans="1:1" x14ac:dyDescent="0.25">
      <c r="A1993" s="20">
        <v>48461</v>
      </c>
    </row>
    <row r="1994" spans="1:1" x14ac:dyDescent="0.25">
      <c r="A1994" s="20">
        <v>48463</v>
      </c>
    </row>
    <row r="1995" spans="1:1" x14ac:dyDescent="0.25">
      <c r="A1995" s="20">
        <v>48465</v>
      </c>
    </row>
    <row r="1996" spans="1:1" x14ac:dyDescent="0.25">
      <c r="A1996" s="20">
        <v>48467</v>
      </c>
    </row>
    <row r="1997" spans="1:1" x14ac:dyDescent="0.25">
      <c r="A1997" s="20">
        <v>48469</v>
      </c>
    </row>
    <row r="1998" spans="1:1" x14ac:dyDescent="0.25">
      <c r="A1998" s="20">
        <v>48471</v>
      </c>
    </row>
    <row r="1999" spans="1:1" x14ac:dyDescent="0.25">
      <c r="A1999" s="20">
        <v>48475</v>
      </c>
    </row>
    <row r="2000" spans="1:1" x14ac:dyDescent="0.25">
      <c r="A2000" s="20">
        <v>48477</v>
      </c>
    </row>
    <row r="2001" spans="1:1" x14ac:dyDescent="0.25">
      <c r="A2001" s="20">
        <v>48479</v>
      </c>
    </row>
    <row r="2002" spans="1:1" x14ac:dyDescent="0.25">
      <c r="A2002" s="20">
        <v>48481</v>
      </c>
    </row>
    <row r="2003" spans="1:1" x14ac:dyDescent="0.25">
      <c r="A2003" s="20">
        <v>48483</v>
      </c>
    </row>
    <row r="2004" spans="1:1" x14ac:dyDescent="0.25">
      <c r="A2004" s="20">
        <v>48485</v>
      </c>
    </row>
    <row r="2005" spans="1:1" x14ac:dyDescent="0.25">
      <c r="A2005" s="20">
        <v>48487</v>
      </c>
    </row>
    <row r="2006" spans="1:1" x14ac:dyDescent="0.25">
      <c r="A2006" s="20">
        <v>48491</v>
      </c>
    </row>
    <row r="2007" spans="1:1" x14ac:dyDescent="0.25">
      <c r="A2007" s="20">
        <v>48493</v>
      </c>
    </row>
    <row r="2008" spans="1:1" x14ac:dyDescent="0.25">
      <c r="A2008" s="20">
        <v>48495</v>
      </c>
    </row>
    <row r="2009" spans="1:1" x14ac:dyDescent="0.25">
      <c r="A2009" s="20">
        <v>48497</v>
      </c>
    </row>
    <row r="2010" spans="1:1" x14ac:dyDescent="0.25">
      <c r="A2010" s="20">
        <v>48499</v>
      </c>
    </row>
    <row r="2011" spans="1:1" x14ac:dyDescent="0.25">
      <c r="A2011" s="20">
        <v>48501</v>
      </c>
    </row>
    <row r="2012" spans="1:1" x14ac:dyDescent="0.25">
      <c r="A2012" s="20">
        <v>48503</v>
      </c>
    </row>
    <row r="2013" spans="1:1" x14ac:dyDescent="0.25">
      <c r="A2013" s="20">
        <v>49001</v>
      </c>
    </row>
    <row r="2014" spans="1:1" x14ac:dyDescent="0.25">
      <c r="A2014" s="20">
        <v>49003</v>
      </c>
    </row>
    <row r="2015" spans="1:1" x14ac:dyDescent="0.25">
      <c r="A2015" s="20">
        <v>49005</v>
      </c>
    </row>
    <row r="2016" spans="1:1" x14ac:dyDescent="0.25">
      <c r="A2016" s="20">
        <v>49007</v>
      </c>
    </row>
    <row r="2017" spans="1:1" x14ac:dyDescent="0.25">
      <c r="A2017" s="20">
        <v>49011</v>
      </c>
    </row>
    <row r="2018" spans="1:1" x14ac:dyDescent="0.25">
      <c r="A2018" s="20">
        <v>49013</v>
      </c>
    </row>
    <row r="2019" spans="1:1" x14ac:dyDescent="0.25">
      <c r="A2019" s="20">
        <v>49017</v>
      </c>
    </row>
    <row r="2020" spans="1:1" x14ac:dyDescent="0.25">
      <c r="A2020" s="20">
        <v>49019</v>
      </c>
    </row>
    <row r="2021" spans="1:1" x14ac:dyDescent="0.25">
      <c r="A2021" s="20">
        <v>49021</v>
      </c>
    </row>
    <row r="2022" spans="1:1" x14ac:dyDescent="0.25">
      <c r="A2022" s="20">
        <v>49023</v>
      </c>
    </row>
    <row r="2023" spans="1:1" x14ac:dyDescent="0.25">
      <c r="A2023" s="20">
        <v>49025</v>
      </c>
    </row>
    <row r="2024" spans="1:1" x14ac:dyDescent="0.25">
      <c r="A2024" s="20">
        <v>49027</v>
      </c>
    </row>
    <row r="2025" spans="1:1" x14ac:dyDescent="0.25">
      <c r="A2025" s="20">
        <v>49035</v>
      </c>
    </row>
    <row r="2026" spans="1:1" x14ac:dyDescent="0.25">
      <c r="A2026" s="20">
        <v>49037</v>
      </c>
    </row>
    <row r="2027" spans="1:1" x14ac:dyDescent="0.25">
      <c r="A2027" s="20">
        <v>49039</v>
      </c>
    </row>
    <row r="2028" spans="1:1" x14ac:dyDescent="0.25">
      <c r="A2028" s="20">
        <v>49041</v>
      </c>
    </row>
    <row r="2029" spans="1:1" x14ac:dyDescent="0.25">
      <c r="A2029" s="20">
        <v>49043</v>
      </c>
    </row>
    <row r="2030" spans="1:1" x14ac:dyDescent="0.25">
      <c r="A2030" s="20">
        <v>49045</v>
      </c>
    </row>
    <row r="2031" spans="1:1" x14ac:dyDescent="0.25">
      <c r="A2031" s="20">
        <v>49047</v>
      </c>
    </row>
    <row r="2032" spans="1:1" x14ac:dyDescent="0.25">
      <c r="A2032" s="20">
        <v>49049</v>
      </c>
    </row>
    <row r="2033" spans="1:1" x14ac:dyDescent="0.25">
      <c r="A2033" s="20">
        <v>49051</v>
      </c>
    </row>
    <row r="2034" spans="1:1" x14ac:dyDescent="0.25">
      <c r="A2034" s="20">
        <v>49053</v>
      </c>
    </row>
    <row r="2035" spans="1:1" x14ac:dyDescent="0.25">
      <c r="A2035" s="20">
        <v>49057</v>
      </c>
    </row>
    <row r="2036" spans="1:1" x14ac:dyDescent="0.25">
      <c r="A2036" s="20">
        <v>50001</v>
      </c>
    </row>
    <row r="2037" spans="1:1" x14ac:dyDescent="0.25">
      <c r="A2037" s="20">
        <v>50003</v>
      </c>
    </row>
    <row r="2038" spans="1:1" x14ac:dyDescent="0.25">
      <c r="A2038" s="20">
        <v>50005</v>
      </c>
    </row>
    <row r="2039" spans="1:1" x14ac:dyDescent="0.25">
      <c r="A2039" s="20">
        <v>50007</v>
      </c>
    </row>
    <row r="2040" spans="1:1" x14ac:dyDescent="0.25">
      <c r="A2040" s="20">
        <v>50011</v>
      </c>
    </row>
    <row r="2041" spans="1:1" x14ac:dyDescent="0.25">
      <c r="A2041" s="20">
        <v>50015</v>
      </c>
    </row>
    <row r="2042" spans="1:1" x14ac:dyDescent="0.25">
      <c r="A2042" s="20">
        <v>50017</v>
      </c>
    </row>
    <row r="2043" spans="1:1" x14ac:dyDescent="0.25">
      <c r="A2043" s="20">
        <v>50019</v>
      </c>
    </row>
    <row r="2044" spans="1:1" x14ac:dyDescent="0.25">
      <c r="A2044" s="20">
        <v>50021</v>
      </c>
    </row>
    <row r="2045" spans="1:1" x14ac:dyDescent="0.25">
      <c r="A2045" s="20">
        <v>50023</v>
      </c>
    </row>
    <row r="2046" spans="1:1" x14ac:dyDescent="0.25">
      <c r="A2046" s="20">
        <v>50025</v>
      </c>
    </row>
    <row r="2047" spans="1:1" x14ac:dyDescent="0.25">
      <c r="A2047" s="20">
        <v>50027</v>
      </c>
    </row>
    <row r="2048" spans="1:1" x14ac:dyDescent="0.25">
      <c r="A2048" s="20">
        <v>51001</v>
      </c>
    </row>
    <row r="2049" spans="1:1" x14ac:dyDescent="0.25">
      <c r="A2049" s="20">
        <v>51003</v>
      </c>
    </row>
    <row r="2050" spans="1:1" x14ac:dyDescent="0.25">
      <c r="A2050" s="20">
        <v>51005</v>
      </c>
    </row>
    <row r="2051" spans="1:1" x14ac:dyDescent="0.25">
      <c r="A2051" s="20">
        <v>51009</v>
      </c>
    </row>
    <row r="2052" spans="1:1" x14ac:dyDescent="0.25">
      <c r="A2052" s="20">
        <v>51013</v>
      </c>
    </row>
    <row r="2053" spans="1:1" x14ac:dyDescent="0.25">
      <c r="A2053" s="20">
        <v>51015</v>
      </c>
    </row>
    <row r="2054" spans="1:1" x14ac:dyDescent="0.25">
      <c r="A2054" s="20">
        <v>51017</v>
      </c>
    </row>
    <row r="2055" spans="1:1" x14ac:dyDescent="0.25">
      <c r="A2055" s="20">
        <v>51019</v>
      </c>
    </row>
    <row r="2056" spans="1:1" x14ac:dyDescent="0.25">
      <c r="A2056" s="20">
        <v>51027</v>
      </c>
    </row>
    <row r="2057" spans="1:1" x14ac:dyDescent="0.25">
      <c r="A2057" s="20">
        <v>51041</v>
      </c>
    </row>
    <row r="2058" spans="1:1" x14ac:dyDescent="0.25">
      <c r="A2058" s="20">
        <v>51047</v>
      </c>
    </row>
    <row r="2059" spans="1:1" x14ac:dyDescent="0.25">
      <c r="A2059" s="20">
        <v>51051</v>
      </c>
    </row>
    <row r="2060" spans="1:1" x14ac:dyDescent="0.25">
      <c r="A2060" s="20">
        <v>51057</v>
      </c>
    </row>
    <row r="2061" spans="1:1" x14ac:dyDescent="0.25">
      <c r="A2061" s="20">
        <v>51059</v>
      </c>
    </row>
    <row r="2062" spans="1:1" x14ac:dyDescent="0.25">
      <c r="A2062" s="20">
        <v>51061</v>
      </c>
    </row>
    <row r="2063" spans="1:1" x14ac:dyDescent="0.25">
      <c r="A2063" s="20">
        <v>51067</v>
      </c>
    </row>
    <row r="2064" spans="1:1" x14ac:dyDescent="0.25">
      <c r="A2064" s="20">
        <v>51071</v>
      </c>
    </row>
    <row r="2065" spans="1:1" x14ac:dyDescent="0.25">
      <c r="A2065" s="20">
        <v>51073</v>
      </c>
    </row>
    <row r="2066" spans="1:1" x14ac:dyDescent="0.25">
      <c r="A2066" s="20">
        <v>51083</v>
      </c>
    </row>
    <row r="2067" spans="1:1" x14ac:dyDescent="0.25">
      <c r="A2067" s="20">
        <v>51085</v>
      </c>
    </row>
    <row r="2068" spans="1:1" x14ac:dyDescent="0.25">
      <c r="A2068" s="20">
        <v>51087</v>
      </c>
    </row>
    <row r="2069" spans="1:1" x14ac:dyDescent="0.25">
      <c r="A2069" s="20">
        <v>51095</v>
      </c>
    </row>
    <row r="2070" spans="1:1" x14ac:dyDescent="0.25">
      <c r="A2070" s="20">
        <v>51103</v>
      </c>
    </row>
    <row r="2071" spans="1:1" x14ac:dyDescent="0.25">
      <c r="A2071" s="20">
        <v>51105</v>
      </c>
    </row>
    <row r="2072" spans="1:1" x14ac:dyDescent="0.25">
      <c r="A2072" s="20">
        <v>51107</v>
      </c>
    </row>
    <row r="2073" spans="1:1" x14ac:dyDescent="0.25">
      <c r="A2073" s="20">
        <v>51117</v>
      </c>
    </row>
    <row r="2074" spans="1:1" x14ac:dyDescent="0.25">
      <c r="A2074" s="20">
        <v>51121</v>
      </c>
    </row>
    <row r="2075" spans="1:1" x14ac:dyDescent="0.25">
      <c r="A2075" s="20">
        <v>51135</v>
      </c>
    </row>
    <row r="2076" spans="1:1" x14ac:dyDescent="0.25">
      <c r="A2076" s="20">
        <v>51139</v>
      </c>
    </row>
    <row r="2077" spans="1:1" x14ac:dyDescent="0.25">
      <c r="A2077" s="20">
        <v>51141</v>
      </c>
    </row>
    <row r="2078" spans="1:1" x14ac:dyDescent="0.25">
      <c r="A2078" s="20">
        <v>51147</v>
      </c>
    </row>
    <row r="2079" spans="1:1" x14ac:dyDescent="0.25">
      <c r="A2079" s="20">
        <v>51153</v>
      </c>
    </row>
    <row r="2080" spans="1:1" x14ac:dyDescent="0.25">
      <c r="A2080" s="20">
        <v>51155</v>
      </c>
    </row>
    <row r="2081" spans="1:1" x14ac:dyDescent="0.25">
      <c r="A2081" s="20">
        <v>51167</v>
      </c>
    </row>
    <row r="2082" spans="1:1" x14ac:dyDescent="0.25">
      <c r="A2082" s="20">
        <v>51171</v>
      </c>
    </row>
    <row r="2083" spans="1:1" x14ac:dyDescent="0.25">
      <c r="A2083" s="20">
        <v>51173</v>
      </c>
    </row>
    <row r="2084" spans="1:1" x14ac:dyDescent="0.25">
      <c r="A2084" s="20">
        <v>51177</v>
      </c>
    </row>
    <row r="2085" spans="1:1" x14ac:dyDescent="0.25">
      <c r="A2085" s="20">
        <v>51179</v>
      </c>
    </row>
    <row r="2086" spans="1:1" x14ac:dyDescent="0.25">
      <c r="A2086" s="20">
        <v>51185</v>
      </c>
    </row>
    <row r="2087" spans="1:1" x14ac:dyDescent="0.25">
      <c r="A2087" s="20">
        <v>51187</v>
      </c>
    </row>
    <row r="2088" spans="1:1" x14ac:dyDescent="0.25">
      <c r="A2088" s="20">
        <v>51191</v>
      </c>
    </row>
    <row r="2089" spans="1:1" x14ac:dyDescent="0.25">
      <c r="A2089" s="20">
        <v>51195</v>
      </c>
    </row>
    <row r="2090" spans="1:1" x14ac:dyDescent="0.25">
      <c r="A2090" s="20">
        <v>51197</v>
      </c>
    </row>
    <row r="2091" spans="1:1" x14ac:dyDescent="0.25">
      <c r="A2091" s="20">
        <v>51510</v>
      </c>
    </row>
    <row r="2092" spans="1:1" x14ac:dyDescent="0.25">
      <c r="A2092" s="20">
        <v>51540</v>
      </c>
    </row>
    <row r="2093" spans="1:1" x14ac:dyDescent="0.25">
      <c r="A2093" s="20">
        <v>51550</v>
      </c>
    </row>
    <row r="2094" spans="1:1" x14ac:dyDescent="0.25">
      <c r="A2094" s="20">
        <v>51590</v>
      </c>
    </row>
    <row r="2095" spans="1:1" x14ac:dyDescent="0.25">
      <c r="A2095" s="20">
        <v>51595</v>
      </c>
    </row>
    <row r="2096" spans="1:1" x14ac:dyDescent="0.25">
      <c r="A2096" s="20">
        <v>51620</v>
      </c>
    </row>
    <row r="2097" spans="1:1" x14ac:dyDescent="0.25">
      <c r="A2097" s="20">
        <v>51630</v>
      </c>
    </row>
    <row r="2098" spans="1:1" x14ac:dyDescent="0.25">
      <c r="A2098" s="20">
        <v>51640</v>
      </c>
    </row>
    <row r="2099" spans="1:1" x14ac:dyDescent="0.25">
      <c r="A2099" s="20">
        <v>51650</v>
      </c>
    </row>
    <row r="2100" spans="1:1" x14ac:dyDescent="0.25">
      <c r="A2100" s="20">
        <v>51660</v>
      </c>
    </row>
    <row r="2101" spans="1:1" x14ac:dyDescent="0.25">
      <c r="A2101" s="20">
        <v>51670</v>
      </c>
    </row>
    <row r="2102" spans="1:1" x14ac:dyDescent="0.25">
      <c r="A2102" s="20">
        <v>51678</v>
      </c>
    </row>
    <row r="2103" spans="1:1" x14ac:dyDescent="0.25">
      <c r="A2103" s="20">
        <v>51680</v>
      </c>
    </row>
    <row r="2104" spans="1:1" x14ac:dyDescent="0.25">
      <c r="A2104" s="20">
        <v>51683</v>
      </c>
    </row>
    <row r="2105" spans="1:1" x14ac:dyDescent="0.25">
      <c r="A2105" s="20">
        <v>51690</v>
      </c>
    </row>
    <row r="2106" spans="1:1" x14ac:dyDescent="0.25">
      <c r="A2106" s="20">
        <v>51700</v>
      </c>
    </row>
    <row r="2107" spans="1:1" x14ac:dyDescent="0.25">
      <c r="A2107" s="20">
        <v>51710</v>
      </c>
    </row>
    <row r="2108" spans="1:1" x14ac:dyDescent="0.25">
      <c r="A2108" s="20">
        <v>51720</v>
      </c>
    </row>
    <row r="2109" spans="1:1" x14ac:dyDescent="0.25">
      <c r="A2109" s="20">
        <v>51730</v>
      </c>
    </row>
    <row r="2110" spans="1:1" x14ac:dyDescent="0.25">
      <c r="A2110" s="20">
        <v>51740</v>
      </c>
    </row>
    <row r="2111" spans="1:1" x14ac:dyDescent="0.25">
      <c r="A2111" s="20">
        <v>51760</v>
      </c>
    </row>
    <row r="2112" spans="1:1" x14ac:dyDescent="0.25">
      <c r="A2112" s="20">
        <v>51770</v>
      </c>
    </row>
    <row r="2113" spans="1:1" x14ac:dyDescent="0.25">
      <c r="A2113" s="20">
        <v>51775</v>
      </c>
    </row>
    <row r="2114" spans="1:1" x14ac:dyDescent="0.25">
      <c r="A2114" s="20">
        <v>51800</v>
      </c>
    </row>
    <row r="2115" spans="1:1" x14ac:dyDescent="0.25">
      <c r="A2115" s="20">
        <v>51810</v>
      </c>
    </row>
    <row r="2116" spans="1:1" x14ac:dyDescent="0.25">
      <c r="A2116" s="20">
        <v>51840</v>
      </c>
    </row>
    <row r="2117" spans="1:1" x14ac:dyDescent="0.25">
      <c r="A2117" s="20">
        <v>53001</v>
      </c>
    </row>
    <row r="2118" spans="1:1" x14ac:dyDescent="0.25">
      <c r="A2118" s="20">
        <v>53003</v>
      </c>
    </row>
    <row r="2119" spans="1:1" x14ac:dyDescent="0.25">
      <c r="A2119" s="20">
        <v>53005</v>
      </c>
    </row>
    <row r="2120" spans="1:1" x14ac:dyDescent="0.25">
      <c r="A2120" s="20">
        <v>53007</v>
      </c>
    </row>
    <row r="2121" spans="1:1" x14ac:dyDescent="0.25">
      <c r="A2121" s="20">
        <v>53009</v>
      </c>
    </row>
    <row r="2122" spans="1:1" x14ac:dyDescent="0.25">
      <c r="A2122" s="20">
        <v>53011</v>
      </c>
    </row>
    <row r="2123" spans="1:1" x14ac:dyDescent="0.25">
      <c r="A2123" s="20">
        <v>53013</v>
      </c>
    </row>
    <row r="2124" spans="1:1" x14ac:dyDescent="0.25">
      <c r="A2124" s="20">
        <v>53015</v>
      </c>
    </row>
    <row r="2125" spans="1:1" x14ac:dyDescent="0.25">
      <c r="A2125" s="20">
        <v>53019</v>
      </c>
    </row>
    <row r="2126" spans="1:1" x14ac:dyDescent="0.25">
      <c r="A2126" s="20">
        <v>53021</v>
      </c>
    </row>
    <row r="2127" spans="1:1" x14ac:dyDescent="0.25">
      <c r="A2127" s="20">
        <v>53023</v>
      </c>
    </row>
    <row r="2128" spans="1:1" x14ac:dyDescent="0.25">
      <c r="A2128" s="20">
        <v>53025</v>
      </c>
    </row>
    <row r="2129" spans="1:1" x14ac:dyDescent="0.25">
      <c r="A2129" s="20">
        <v>53027</v>
      </c>
    </row>
    <row r="2130" spans="1:1" x14ac:dyDescent="0.25">
      <c r="A2130" s="20">
        <v>53029</v>
      </c>
    </row>
    <row r="2131" spans="1:1" x14ac:dyDescent="0.25">
      <c r="A2131" s="20">
        <v>53031</v>
      </c>
    </row>
    <row r="2132" spans="1:1" x14ac:dyDescent="0.25">
      <c r="A2132" s="20">
        <v>53033</v>
      </c>
    </row>
    <row r="2133" spans="1:1" x14ac:dyDescent="0.25">
      <c r="A2133" s="20">
        <v>53035</v>
      </c>
    </row>
    <row r="2134" spans="1:1" x14ac:dyDescent="0.25">
      <c r="A2134" s="20">
        <v>53037</v>
      </c>
    </row>
    <row r="2135" spans="1:1" x14ac:dyDescent="0.25">
      <c r="A2135" s="20">
        <v>53039</v>
      </c>
    </row>
    <row r="2136" spans="1:1" x14ac:dyDescent="0.25">
      <c r="A2136" s="20">
        <v>53041</v>
      </c>
    </row>
    <row r="2137" spans="1:1" x14ac:dyDescent="0.25">
      <c r="A2137" s="20">
        <v>53043</v>
      </c>
    </row>
    <row r="2138" spans="1:1" x14ac:dyDescent="0.25">
      <c r="A2138" s="20">
        <v>53045</v>
      </c>
    </row>
    <row r="2139" spans="1:1" x14ac:dyDescent="0.25">
      <c r="A2139" s="20">
        <v>53047</v>
      </c>
    </row>
    <row r="2140" spans="1:1" x14ac:dyDescent="0.25">
      <c r="A2140" s="20">
        <v>53049</v>
      </c>
    </row>
    <row r="2141" spans="1:1" x14ac:dyDescent="0.25">
      <c r="A2141" s="20">
        <v>53051</v>
      </c>
    </row>
    <row r="2142" spans="1:1" x14ac:dyDescent="0.25">
      <c r="A2142" s="20">
        <v>53053</v>
      </c>
    </row>
    <row r="2143" spans="1:1" x14ac:dyDescent="0.25">
      <c r="A2143" s="20">
        <v>53055</v>
      </c>
    </row>
    <row r="2144" spans="1:1" x14ac:dyDescent="0.25">
      <c r="A2144" s="20">
        <v>53057</v>
      </c>
    </row>
    <row r="2145" spans="1:1" x14ac:dyDescent="0.25">
      <c r="A2145" s="20">
        <v>53061</v>
      </c>
    </row>
    <row r="2146" spans="1:1" x14ac:dyDescent="0.25">
      <c r="A2146" s="20">
        <v>53063</v>
      </c>
    </row>
    <row r="2147" spans="1:1" x14ac:dyDescent="0.25">
      <c r="A2147" s="20">
        <v>53065</v>
      </c>
    </row>
    <row r="2148" spans="1:1" x14ac:dyDescent="0.25">
      <c r="A2148" s="20">
        <v>53067</v>
      </c>
    </row>
    <row r="2149" spans="1:1" x14ac:dyDescent="0.25">
      <c r="A2149" s="20">
        <v>53071</v>
      </c>
    </row>
    <row r="2150" spans="1:1" x14ac:dyDescent="0.25">
      <c r="A2150" s="20">
        <v>53073</v>
      </c>
    </row>
    <row r="2151" spans="1:1" x14ac:dyDescent="0.25">
      <c r="A2151" s="20">
        <v>53075</v>
      </c>
    </row>
    <row r="2152" spans="1:1" x14ac:dyDescent="0.25">
      <c r="A2152" s="20">
        <v>53077</v>
      </c>
    </row>
    <row r="2153" spans="1:1" x14ac:dyDescent="0.25">
      <c r="A2153" s="20">
        <v>54001</v>
      </c>
    </row>
    <row r="2154" spans="1:1" x14ac:dyDescent="0.25">
      <c r="A2154" s="20">
        <v>54003</v>
      </c>
    </row>
    <row r="2155" spans="1:1" x14ac:dyDescent="0.25">
      <c r="A2155" s="20">
        <v>54005</v>
      </c>
    </row>
    <row r="2156" spans="1:1" x14ac:dyDescent="0.25">
      <c r="A2156" s="20">
        <v>54007</v>
      </c>
    </row>
    <row r="2157" spans="1:1" x14ac:dyDescent="0.25">
      <c r="A2157" s="20">
        <v>54011</v>
      </c>
    </row>
    <row r="2158" spans="1:1" x14ac:dyDescent="0.25">
      <c r="A2158" s="20">
        <v>54013</v>
      </c>
    </row>
    <row r="2159" spans="1:1" x14ac:dyDescent="0.25">
      <c r="A2159" s="20">
        <v>54019</v>
      </c>
    </row>
    <row r="2160" spans="1:1" x14ac:dyDescent="0.25">
      <c r="A2160" s="20">
        <v>54023</v>
      </c>
    </row>
    <row r="2161" spans="1:1" x14ac:dyDescent="0.25">
      <c r="A2161" s="20">
        <v>54025</v>
      </c>
    </row>
    <row r="2162" spans="1:1" x14ac:dyDescent="0.25">
      <c r="A2162" s="20">
        <v>54027</v>
      </c>
    </row>
    <row r="2163" spans="1:1" x14ac:dyDescent="0.25">
      <c r="A2163" s="20">
        <v>54029</v>
      </c>
    </row>
    <row r="2164" spans="1:1" x14ac:dyDescent="0.25">
      <c r="A2164" s="20">
        <v>54033</v>
      </c>
    </row>
    <row r="2165" spans="1:1" x14ac:dyDescent="0.25">
      <c r="A2165" s="20">
        <v>54035</v>
      </c>
    </row>
    <row r="2166" spans="1:1" x14ac:dyDescent="0.25">
      <c r="A2166" s="20">
        <v>54037</v>
      </c>
    </row>
    <row r="2167" spans="1:1" x14ac:dyDescent="0.25">
      <c r="A2167" s="20">
        <v>54039</v>
      </c>
    </row>
    <row r="2168" spans="1:1" x14ac:dyDescent="0.25">
      <c r="A2168" s="20">
        <v>54041</v>
      </c>
    </row>
    <row r="2169" spans="1:1" x14ac:dyDescent="0.25">
      <c r="A2169" s="20">
        <v>54045</v>
      </c>
    </row>
    <row r="2170" spans="1:1" x14ac:dyDescent="0.25">
      <c r="A2170" s="20">
        <v>54047</v>
      </c>
    </row>
    <row r="2171" spans="1:1" x14ac:dyDescent="0.25">
      <c r="A2171" s="20">
        <v>54049</v>
      </c>
    </row>
    <row r="2172" spans="1:1" x14ac:dyDescent="0.25">
      <c r="A2172" s="20">
        <v>54051</v>
      </c>
    </row>
    <row r="2173" spans="1:1" x14ac:dyDescent="0.25">
      <c r="A2173" s="20">
        <v>54053</v>
      </c>
    </row>
    <row r="2174" spans="1:1" x14ac:dyDescent="0.25">
      <c r="A2174" s="20">
        <v>54055</v>
      </c>
    </row>
    <row r="2175" spans="1:1" x14ac:dyDescent="0.25">
      <c r="A2175" s="20">
        <v>54057</v>
      </c>
    </row>
    <row r="2176" spans="1:1" x14ac:dyDescent="0.25">
      <c r="A2176" s="20">
        <v>54059</v>
      </c>
    </row>
    <row r="2177" spans="1:1" x14ac:dyDescent="0.25">
      <c r="A2177" s="20">
        <v>54061</v>
      </c>
    </row>
    <row r="2178" spans="1:1" x14ac:dyDescent="0.25">
      <c r="A2178" s="20">
        <v>54065</v>
      </c>
    </row>
    <row r="2179" spans="1:1" x14ac:dyDescent="0.25">
      <c r="A2179" s="20">
        <v>54067</v>
      </c>
    </row>
    <row r="2180" spans="1:1" x14ac:dyDescent="0.25">
      <c r="A2180" s="20">
        <v>54069</v>
      </c>
    </row>
    <row r="2181" spans="1:1" x14ac:dyDescent="0.25">
      <c r="A2181" s="20">
        <v>54075</v>
      </c>
    </row>
    <row r="2182" spans="1:1" x14ac:dyDescent="0.25">
      <c r="A2182" s="20">
        <v>54077</v>
      </c>
    </row>
    <row r="2183" spans="1:1" x14ac:dyDescent="0.25">
      <c r="A2183" s="20">
        <v>54079</v>
      </c>
    </row>
    <row r="2184" spans="1:1" x14ac:dyDescent="0.25">
      <c r="A2184" s="20">
        <v>54081</v>
      </c>
    </row>
    <row r="2185" spans="1:1" x14ac:dyDescent="0.25">
      <c r="A2185" s="20">
        <v>54083</v>
      </c>
    </row>
    <row r="2186" spans="1:1" x14ac:dyDescent="0.25">
      <c r="A2186" s="20">
        <v>54087</v>
      </c>
    </row>
    <row r="2187" spans="1:1" x14ac:dyDescent="0.25">
      <c r="A2187" s="20">
        <v>54089</v>
      </c>
    </row>
    <row r="2188" spans="1:1" x14ac:dyDescent="0.25">
      <c r="A2188" s="20">
        <v>54091</v>
      </c>
    </row>
    <row r="2189" spans="1:1" x14ac:dyDescent="0.25">
      <c r="A2189" s="20">
        <v>54095</v>
      </c>
    </row>
    <row r="2190" spans="1:1" x14ac:dyDescent="0.25">
      <c r="A2190" s="20">
        <v>54097</v>
      </c>
    </row>
    <row r="2191" spans="1:1" x14ac:dyDescent="0.25">
      <c r="A2191" s="20">
        <v>54101</v>
      </c>
    </row>
    <row r="2192" spans="1:1" x14ac:dyDescent="0.25">
      <c r="A2192" s="20">
        <v>54103</v>
      </c>
    </row>
    <row r="2193" spans="1:1" x14ac:dyDescent="0.25">
      <c r="A2193" s="20">
        <v>54107</v>
      </c>
    </row>
    <row r="2194" spans="1:1" x14ac:dyDescent="0.25">
      <c r="A2194" s="20">
        <v>55001</v>
      </c>
    </row>
    <row r="2195" spans="1:1" x14ac:dyDescent="0.25">
      <c r="A2195" s="20">
        <v>55003</v>
      </c>
    </row>
    <row r="2196" spans="1:1" x14ac:dyDescent="0.25">
      <c r="A2196" s="20">
        <v>55005</v>
      </c>
    </row>
    <row r="2197" spans="1:1" x14ac:dyDescent="0.25">
      <c r="A2197" s="20">
        <v>55009</v>
      </c>
    </row>
    <row r="2198" spans="1:1" x14ac:dyDescent="0.25">
      <c r="A2198" s="20">
        <v>55013</v>
      </c>
    </row>
    <row r="2199" spans="1:1" x14ac:dyDescent="0.25">
      <c r="A2199" s="20">
        <v>55015</v>
      </c>
    </row>
    <row r="2200" spans="1:1" x14ac:dyDescent="0.25">
      <c r="A2200" s="20">
        <v>55017</v>
      </c>
    </row>
    <row r="2201" spans="1:1" x14ac:dyDescent="0.25">
      <c r="A2201" s="20">
        <v>55019</v>
      </c>
    </row>
    <row r="2202" spans="1:1" x14ac:dyDescent="0.25">
      <c r="A2202" s="20">
        <v>55021</v>
      </c>
    </row>
    <row r="2203" spans="1:1" x14ac:dyDescent="0.25">
      <c r="A2203" s="20">
        <v>55023</v>
      </c>
    </row>
    <row r="2204" spans="1:1" x14ac:dyDescent="0.25">
      <c r="A2204" s="20">
        <v>55025</v>
      </c>
    </row>
    <row r="2205" spans="1:1" x14ac:dyDescent="0.25">
      <c r="A2205" s="20">
        <v>55027</v>
      </c>
    </row>
    <row r="2206" spans="1:1" x14ac:dyDescent="0.25">
      <c r="A2206" s="20">
        <v>55029</v>
      </c>
    </row>
    <row r="2207" spans="1:1" x14ac:dyDescent="0.25">
      <c r="A2207" s="20">
        <v>55031</v>
      </c>
    </row>
    <row r="2208" spans="1:1" x14ac:dyDescent="0.25">
      <c r="A2208" s="20">
        <v>55033</v>
      </c>
    </row>
    <row r="2209" spans="1:1" x14ac:dyDescent="0.25">
      <c r="A2209" s="20">
        <v>55035</v>
      </c>
    </row>
    <row r="2210" spans="1:1" x14ac:dyDescent="0.25">
      <c r="A2210" s="20">
        <v>55039</v>
      </c>
    </row>
    <row r="2211" spans="1:1" x14ac:dyDescent="0.25">
      <c r="A2211" s="20">
        <v>55043</v>
      </c>
    </row>
    <row r="2212" spans="1:1" x14ac:dyDescent="0.25">
      <c r="A2212" s="20">
        <v>55045</v>
      </c>
    </row>
    <row r="2213" spans="1:1" x14ac:dyDescent="0.25">
      <c r="A2213" s="20">
        <v>55047</v>
      </c>
    </row>
    <row r="2214" spans="1:1" x14ac:dyDescent="0.25">
      <c r="A2214" s="20">
        <v>55049</v>
      </c>
    </row>
    <row r="2215" spans="1:1" x14ac:dyDescent="0.25">
      <c r="A2215" s="20">
        <v>55053</v>
      </c>
    </row>
    <row r="2216" spans="1:1" x14ac:dyDescent="0.25">
      <c r="A2216" s="20">
        <v>55055</v>
      </c>
    </row>
    <row r="2217" spans="1:1" x14ac:dyDescent="0.25">
      <c r="A2217" s="20">
        <v>55057</v>
      </c>
    </row>
    <row r="2218" spans="1:1" x14ac:dyDescent="0.25">
      <c r="A2218" s="20">
        <v>55059</v>
      </c>
    </row>
    <row r="2219" spans="1:1" x14ac:dyDescent="0.25">
      <c r="A2219" s="20">
        <v>55063</v>
      </c>
    </row>
    <row r="2220" spans="1:1" x14ac:dyDescent="0.25">
      <c r="A2220" s="20">
        <v>55065</v>
      </c>
    </row>
    <row r="2221" spans="1:1" x14ac:dyDescent="0.25">
      <c r="A2221" s="20">
        <v>55067</v>
      </c>
    </row>
    <row r="2222" spans="1:1" x14ac:dyDescent="0.25">
      <c r="A2222" s="20">
        <v>55069</v>
      </c>
    </row>
    <row r="2223" spans="1:1" x14ac:dyDescent="0.25">
      <c r="A2223" s="20">
        <v>55071</v>
      </c>
    </row>
    <row r="2224" spans="1:1" x14ac:dyDescent="0.25">
      <c r="A2224" s="20">
        <v>55073</v>
      </c>
    </row>
    <row r="2225" spans="1:1" x14ac:dyDescent="0.25">
      <c r="A2225" s="20">
        <v>55075</v>
      </c>
    </row>
    <row r="2226" spans="1:1" x14ac:dyDescent="0.25">
      <c r="A2226" s="20">
        <v>55079</v>
      </c>
    </row>
    <row r="2227" spans="1:1" x14ac:dyDescent="0.25">
      <c r="A2227" s="20">
        <v>55081</v>
      </c>
    </row>
    <row r="2228" spans="1:1" x14ac:dyDescent="0.25">
      <c r="A2228" s="20">
        <v>55083</v>
      </c>
    </row>
    <row r="2229" spans="1:1" x14ac:dyDescent="0.25">
      <c r="A2229" s="20">
        <v>55085</v>
      </c>
    </row>
    <row r="2230" spans="1:1" x14ac:dyDescent="0.25">
      <c r="A2230" s="20">
        <v>55087</v>
      </c>
    </row>
    <row r="2231" spans="1:1" x14ac:dyDescent="0.25">
      <c r="A2231" s="20">
        <v>55089</v>
      </c>
    </row>
    <row r="2232" spans="1:1" x14ac:dyDescent="0.25">
      <c r="A2232" s="20">
        <v>55091</v>
      </c>
    </row>
    <row r="2233" spans="1:1" x14ac:dyDescent="0.25">
      <c r="A2233" s="20">
        <v>55093</v>
      </c>
    </row>
    <row r="2234" spans="1:1" x14ac:dyDescent="0.25">
      <c r="A2234" s="20">
        <v>55095</v>
      </c>
    </row>
    <row r="2235" spans="1:1" x14ac:dyDescent="0.25">
      <c r="A2235" s="20">
        <v>55097</v>
      </c>
    </row>
    <row r="2236" spans="1:1" x14ac:dyDescent="0.25">
      <c r="A2236" s="20">
        <v>55099</v>
      </c>
    </row>
    <row r="2237" spans="1:1" x14ac:dyDescent="0.25">
      <c r="A2237" s="20">
        <v>55101</v>
      </c>
    </row>
    <row r="2238" spans="1:1" x14ac:dyDescent="0.25">
      <c r="A2238" s="20">
        <v>55103</v>
      </c>
    </row>
    <row r="2239" spans="1:1" x14ac:dyDescent="0.25">
      <c r="A2239" s="20">
        <v>55105</v>
      </c>
    </row>
    <row r="2240" spans="1:1" x14ac:dyDescent="0.25">
      <c r="A2240" s="20">
        <v>55107</v>
      </c>
    </row>
    <row r="2241" spans="1:1" x14ac:dyDescent="0.25">
      <c r="A2241" s="20">
        <v>55109</v>
      </c>
    </row>
    <row r="2242" spans="1:1" x14ac:dyDescent="0.25">
      <c r="A2242" s="20">
        <v>55111</v>
      </c>
    </row>
    <row r="2243" spans="1:1" x14ac:dyDescent="0.25">
      <c r="A2243" s="20">
        <v>55113</v>
      </c>
    </row>
    <row r="2244" spans="1:1" x14ac:dyDescent="0.25">
      <c r="A2244" s="20">
        <v>55115</v>
      </c>
    </row>
    <row r="2245" spans="1:1" x14ac:dyDescent="0.25">
      <c r="A2245" s="20">
        <v>55117</v>
      </c>
    </row>
    <row r="2246" spans="1:1" x14ac:dyDescent="0.25">
      <c r="A2246" s="20">
        <v>55119</v>
      </c>
    </row>
    <row r="2247" spans="1:1" x14ac:dyDescent="0.25">
      <c r="A2247" s="20">
        <v>55121</v>
      </c>
    </row>
    <row r="2248" spans="1:1" x14ac:dyDescent="0.25">
      <c r="A2248" s="20">
        <v>55123</v>
      </c>
    </row>
    <row r="2249" spans="1:1" x14ac:dyDescent="0.25">
      <c r="A2249" s="20">
        <v>55125</v>
      </c>
    </row>
    <row r="2250" spans="1:1" x14ac:dyDescent="0.25">
      <c r="A2250" s="20">
        <v>55127</v>
      </c>
    </row>
    <row r="2251" spans="1:1" x14ac:dyDescent="0.25">
      <c r="A2251" s="20">
        <v>55129</v>
      </c>
    </row>
    <row r="2252" spans="1:1" x14ac:dyDescent="0.25">
      <c r="A2252" s="20">
        <v>55131</v>
      </c>
    </row>
    <row r="2253" spans="1:1" x14ac:dyDescent="0.25">
      <c r="A2253" s="20">
        <v>55133</v>
      </c>
    </row>
    <row r="2254" spans="1:1" x14ac:dyDescent="0.25">
      <c r="A2254" s="20">
        <v>55135</v>
      </c>
    </row>
    <row r="2255" spans="1:1" x14ac:dyDescent="0.25">
      <c r="A2255" s="20">
        <v>55137</v>
      </c>
    </row>
    <row r="2256" spans="1:1" x14ac:dyDescent="0.25">
      <c r="A2256" s="20">
        <v>55139</v>
      </c>
    </row>
    <row r="2257" spans="1:1" x14ac:dyDescent="0.25">
      <c r="A2257" s="20">
        <v>55141</v>
      </c>
    </row>
    <row r="2258" spans="1:1" x14ac:dyDescent="0.25">
      <c r="A2258" s="20">
        <v>56001</v>
      </c>
    </row>
    <row r="2259" spans="1:1" x14ac:dyDescent="0.25">
      <c r="A2259" s="20">
        <v>56003</v>
      </c>
    </row>
    <row r="2260" spans="1:1" x14ac:dyDescent="0.25">
      <c r="A2260" s="20">
        <v>56005</v>
      </c>
    </row>
    <row r="2261" spans="1:1" x14ac:dyDescent="0.25">
      <c r="A2261" s="20">
        <v>56007</v>
      </c>
    </row>
    <row r="2262" spans="1:1" x14ac:dyDescent="0.25">
      <c r="A2262" s="20">
        <v>56009</v>
      </c>
    </row>
    <row r="2263" spans="1:1" x14ac:dyDescent="0.25">
      <c r="A2263" s="20">
        <v>56011</v>
      </c>
    </row>
    <row r="2264" spans="1:1" x14ac:dyDescent="0.25">
      <c r="A2264" s="20">
        <v>56013</v>
      </c>
    </row>
    <row r="2265" spans="1:1" x14ac:dyDescent="0.25">
      <c r="A2265" s="20">
        <v>56015</v>
      </c>
    </row>
    <row r="2266" spans="1:1" x14ac:dyDescent="0.25">
      <c r="A2266" s="20">
        <v>56017</v>
      </c>
    </row>
    <row r="2267" spans="1:1" x14ac:dyDescent="0.25">
      <c r="A2267" s="20">
        <v>56019</v>
      </c>
    </row>
    <row r="2268" spans="1:1" x14ac:dyDescent="0.25">
      <c r="A2268" s="20">
        <v>56021</v>
      </c>
    </row>
    <row r="2269" spans="1:1" x14ac:dyDescent="0.25">
      <c r="A2269" s="20">
        <v>56023</v>
      </c>
    </row>
    <row r="2270" spans="1:1" x14ac:dyDescent="0.25">
      <c r="A2270" s="20">
        <v>56025</v>
      </c>
    </row>
    <row r="2271" spans="1:1" x14ac:dyDescent="0.25">
      <c r="A2271" s="20">
        <v>56027</v>
      </c>
    </row>
    <row r="2272" spans="1:1" x14ac:dyDescent="0.25">
      <c r="A2272" s="20">
        <v>56029</v>
      </c>
    </row>
    <row r="2273" spans="1:1" x14ac:dyDescent="0.25">
      <c r="A2273" s="20">
        <v>56031</v>
      </c>
    </row>
    <row r="2274" spans="1:1" x14ac:dyDescent="0.25">
      <c r="A2274" s="20">
        <v>56033</v>
      </c>
    </row>
    <row r="2275" spans="1:1" x14ac:dyDescent="0.25">
      <c r="A2275" s="20">
        <v>56037</v>
      </c>
    </row>
    <row r="2276" spans="1:1" x14ac:dyDescent="0.25">
      <c r="A2276" s="20">
        <v>56039</v>
      </c>
    </row>
    <row r="2277" spans="1:1" x14ac:dyDescent="0.25">
      <c r="A2277" s="20">
        <v>56041</v>
      </c>
    </row>
    <row r="2278" spans="1:1" x14ac:dyDescent="0.25">
      <c r="A2278" s="20">
        <v>56043</v>
      </c>
    </row>
    <row r="2279" spans="1:1" x14ac:dyDescent="0.25">
      <c r="A2279" s="20">
        <v>56045</v>
      </c>
    </row>
    <row r="2280" spans="1:1" x14ac:dyDescent="0.25">
      <c r="A2280" s="20" t="s">
        <v>2</v>
      </c>
    </row>
    <row r="2281" spans="1:1" x14ac:dyDescent="0.25">
      <c r="A2281" s="20" t="s">
        <v>3</v>
      </c>
    </row>
    <row r="2282" spans="1:1" x14ac:dyDescent="0.25">
      <c r="A2282" s="20" t="s">
        <v>4</v>
      </c>
    </row>
    <row r="2283" spans="1:1" x14ac:dyDescent="0.25">
      <c r="A2283" s="20" t="s">
        <v>5</v>
      </c>
    </row>
    <row r="2284" spans="1:1" x14ac:dyDescent="0.25">
      <c r="A2284" s="20" t="s">
        <v>6</v>
      </c>
    </row>
    <row r="2285" spans="1:1" x14ac:dyDescent="0.25">
      <c r="A2285" s="20" t="s">
        <v>7</v>
      </c>
    </row>
    <row r="2286" spans="1:1" x14ac:dyDescent="0.25">
      <c r="A2286" s="20" t="s">
        <v>8</v>
      </c>
    </row>
    <row r="2287" spans="1:1" x14ac:dyDescent="0.25">
      <c r="A2287" s="20" t="s">
        <v>9</v>
      </c>
    </row>
    <row r="2288" spans="1:1" x14ac:dyDescent="0.25">
      <c r="A2288" s="20" t="s">
        <v>10</v>
      </c>
    </row>
    <row r="2289" spans="1:1" x14ac:dyDescent="0.25">
      <c r="A2289" s="20" t="s">
        <v>11</v>
      </c>
    </row>
    <row r="2290" spans="1:1" x14ac:dyDescent="0.25">
      <c r="A2290" s="20" t="s">
        <v>12</v>
      </c>
    </row>
    <row r="2291" spans="1:1" x14ac:dyDescent="0.25">
      <c r="A2291" s="20" t="s">
        <v>13</v>
      </c>
    </row>
    <row r="2292" spans="1:1" x14ac:dyDescent="0.25">
      <c r="A2292" s="20" t="s">
        <v>14</v>
      </c>
    </row>
    <row r="2293" spans="1:1" x14ac:dyDescent="0.25">
      <c r="A2293" s="20" t="s">
        <v>15</v>
      </c>
    </row>
    <row r="2294" spans="1:1" x14ac:dyDescent="0.25">
      <c r="A2294" s="20" t="s">
        <v>16</v>
      </c>
    </row>
    <row r="2295" spans="1:1" x14ac:dyDescent="0.25">
      <c r="A2295" s="20" t="s">
        <v>17</v>
      </c>
    </row>
    <row r="2296" spans="1:1" x14ac:dyDescent="0.25">
      <c r="A2296" s="20" t="s">
        <v>18</v>
      </c>
    </row>
    <row r="2297" spans="1:1" x14ac:dyDescent="0.25">
      <c r="A2297" s="20" t="s">
        <v>19</v>
      </c>
    </row>
    <row r="2298" spans="1:1" x14ac:dyDescent="0.25">
      <c r="A2298" s="20" t="s">
        <v>20</v>
      </c>
    </row>
    <row r="2299" spans="1:1" x14ac:dyDescent="0.25">
      <c r="A2299" s="20" t="s">
        <v>21</v>
      </c>
    </row>
    <row r="2300" spans="1:1" x14ac:dyDescent="0.25">
      <c r="A2300" s="20" t="s">
        <v>22</v>
      </c>
    </row>
    <row r="2301" spans="1:1" x14ac:dyDescent="0.25">
      <c r="A2301" s="20" t="s">
        <v>23</v>
      </c>
    </row>
    <row r="2302" spans="1:1" x14ac:dyDescent="0.25">
      <c r="A2302" s="20" t="s">
        <v>24</v>
      </c>
    </row>
    <row r="2303" spans="1:1" x14ac:dyDescent="0.25">
      <c r="A2303" s="20" t="s">
        <v>25</v>
      </c>
    </row>
    <row r="2304" spans="1:1" x14ac:dyDescent="0.25">
      <c r="A2304" s="20" t="s">
        <v>26</v>
      </c>
    </row>
    <row r="2305" spans="1:1" x14ac:dyDescent="0.25">
      <c r="A2305" s="20" t="s">
        <v>27</v>
      </c>
    </row>
    <row r="2306" spans="1:1" x14ac:dyDescent="0.25">
      <c r="A2306" s="20" t="s">
        <v>28</v>
      </c>
    </row>
    <row r="2307" spans="1:1" x14ac:dyDescent="0.25">
      <c r="A2307" s="20" t="s">
        <v>29</v>
      </c>
    </row>
    <row r="2308" spans="1:1" x14ac:dyDescent="0.25">
      <c r="A2308" s="20" t="s">
        <v>30</v>
      </c>
    </row>
    <row r="2309" spans="1:1" x14ac:dyDescent="0.25">
      <c r="A2309" s="20" t="s">
        <v>31</v>
      </c>
    </row>
    <row r="2310" spans="1:1" x14ac:dyDescent="0.25">
      <c r="A2310" s="20" t="s">
        <v>32</v>
      </c>
    </row>
    <row r="2311" spans="1:1" x14ac:dyDescent="0.25">
      <c r="A2311" s="20" t="s">
        <v>33</v>
      </c>
    </row>
    <row r="2312" spans="1:1" x14ac:dyDescent="0.25">
      <c r="A2312" s="20" t="s">
        <v>34</v>
      </c>
    </row>
    <row r="2313" spans="1:1" x14ac:dyDescent="0.25">
      <c r="A2313" s="20" t="s">
        <v>35</v>
      </c>
    </row>
    <row r="2314" spans="1:1" x14ac:dyDescent="0.25">
      <c r="A2314" s="20" t="s">
        <v>36</v>
      </c>
    </row>
    <row r="2315" spans="1:1" x14ac:dyDescent="0.25">
      <c r="A2315" s="20" t="s">
        <v>37</v>
      </c>
    </row>
    <row r="2316" spans="1:1" x14ac:dyDescent="0.25">
      <c r="A2316" s="20" t="s">
        <v>38</v>
      </c>
    </row>
    <row r="2317" spans="1:1" x14ac:dyDescent="0.25">
      <c r="A2317" s="20" t="s">
        <v>39</v>
      </c>
    </row>
    <row r="2318" spans="1:1" x14ac:dyDescent="0.25">
      <c r="A2318" s="20" t="s">
        <v>40</v>
      </c>
    </row>
    <row r="2319" spans="1:1" x14ac:dyDescent="0.25">
      <c r="A2319" s="20" t="s">
        <v>41</v>
      </c>
    </row>
    <row r="2320" spans="1:1" x14ac:dyDescent="0.25">
      <c r="A2320" s="20" t="s">
        <v>42</v>
      </c>
    </row>
    <row r="2321" spans="1:1" x14ac:dyDescent="0.25">
      <c r="A2321" s="20" t="s">
        <v>43</v>
      </c>
    </row>
    <row r="2322" spans="1:1" x14ac:dyDescent="0.25">
      <c r="A2322" s="20" t="s">
        <v>44</v>
      </c>
    </row>
    <row r="2323" spans="1:1" x14ac:dyDescent="0.25">
      <c r="A2323" s="20" t="s">
        <v>45</v>
      </c>
    </row>
    <row r="2324" spans="1:1" x14ac:dyDescent="0.25">
      <c r="A2324" s="20" t="s">
        <v>46</v>
      </c>
    </row>
    <row r="2325" spans="1:1" x14ac:dyDescent="0.25">
      <c r="A2325" s="20" t="s">
        <v>47</v>
      </c>
    </row>
    <row r="2326" spans="1:1" x14ac:dyDescent="0.25">
      <c r="A2326" s="20" t="s">
        <v>48</v>
      </c>
    </row>
    <row r="2327" spans="1:1" x14ac:dyDescent="0.25">
      <c r="A2327" s="20" t="s">
        <v>49</v>
      </c>
    </row>
    <row r="2328" spans="1:1" x14ac:dyDescent="0.25">
      <c r="A2328" s="20" t="s">
        <v>50</v>
      </c>
    </row>
    <row r="2329" spans="1:1" x14ac:dyDescent="0.25">
      <c r="A2329" s="20" t="s">
        <v>51</v>
      </c>
    </row>
    <row r="2330" spans="1:1" x14ac:dyDescent="0.25">
      <c r="A2330" s="20" t="s">
        <v>52</v>
      </c>
    </row>
    <row r="2331" spans="1:1" x14ac:dyDescent="0.25">
      <c r="A2331" s="20" t="s">
        <v>53</v>
      </c>
    </row>
    <row r="2332" spans="1:1" x14ac:dyDescent="0.25">
      <c r="A2332" s="20" t="s">
        <v>54</v>
      </c>
    </row>
    <row r="2333" spans="1:1" x14ac:dyDescent="0.25">
      <c r="A2333" s="20" t="s">
        <v>55</v>
      </c>
    </row>
    <row r="2334" spans="1:1" x14ac:dyDescent="0.25">
      <c r="A2334" s="20" t="s">
        <v>56</v>
      </c>
    </row>
    <row r="2335" spans="1:1" x14ac:dyDescent="0.25">
      <c r="A2335" s="20" t="s">
        <v>57</v>
      </c>
    </row>
    <row r="2336" spans="1:1" x14ac:dyDescent="0.25">
      <c r="A2336" s="20" t="s">
        <v>58</v>
      </c>
    </row>
    <row r="2337" spans="1:1" x14ac:dyDescent="0.25">
      <c r="A2337" s="20" t="s">
        <v>59</v>
      </c>
    </row>
    <row r="2338" spans="1:1" x14ac:dyDescent="0.25">
      <c r="A2338" s="20" t="s">
        <v>60</v>
      </c>
    </row>
    <row r="2339" spans="1:1" x14ac:dyDescent="0.25">
      <c r="A2339" s="20" t="s">
        <v>61</v>
      </c>
    </row>
    <row r="2340" spans="1:1" x14ac:dyDescent="0.25">
      <c r="A2340" s="20" t="s">
        <v>62</v>
      </c>
    </row>
    <row r="2341" spans="1:1" x14ac:dyDescent="0.25">
      <c r="A2341" s="20" t="s">
        <v>63</v>
      </c>
    </row>
    <row r="2342" spans="1:1" x14ac:dyDescent="0.25">
      <c r="A2342" s="20" t="s">
        <v>64</v>
      </c>
    </row>
    <row r="2343" spans="1:1" x14ac:dyDescent="0.25">
      <c r="A2343" s="20" t="s">
        <v>65</v>
      </c>
    </row>
    <row r="2344" spans="1:1" x14ac:dyDescent="0.25">
      <c r="A2344" s="20" t="s">
        <v>66</v>
      </c>
    </row>
    <row r="2345" spans="1:1" x14ac:dyDescent="0.25">
      <c r="A2345" s="20" t="s">
        <v>67</v>
      </c>
    </row>
    <row r="2346" spans="1:1" x14ac:dyDescent="0.25">
      <c r="A2346" s="20" t="s">
        <v>68</v>
      </c>
    </row>
    <row r="2347" spans="1:1" x14ac:dyDescent="0.25">
      <c r="A2347" s="20" t="s">
        <v>69</v>
      </c>
    </row>
    <row r="2348" spans="1:1" x14ac:dyDescent="0.25">
      <c r="A2348" s="20" t="s">
        <v>70</v>
      </c>
    </row>
    <row r="2349" spans="1:1" x14ac:dyDescent="0.25">
      <c r="A2349" s="20" t="s">
        <v>71</v>
      </c>
    </row>
    <row r="2350" spans="1:1" x14ac:dyDescent="0.25">
      <c r="A2350" s="20" t="s">
        <v>72</v>
      </c>
    </row>
    <row r="2351" spans="1:1" x14ac:dyDescent="0.25">
      <c r="A2351" s="20" t="s">
        <v>73</v>
      </c>
    </row>
    <row r="2352" spans="1:1" x14ac:dyDescent="0.25">
      <c r="A2352" s="20" t="s">
        <v>74</v>
      </c>
    </row>
    <row r="2353" spans="1:1" x14ac:dyDescent="0.25">
      <c r="A2353" s="20" t="s">
        <v>75</v>
      </c>
    </row>
    <row r="2354" spans="1:1" x14ac:dyDescent="0.25">
      <c r="A2354" s="20" t="s">
        <v>76</v>
      </c>
    </row>
    <row r="2355" spans="1:1" x14ac:dyDescent="0.25">
      <c r="A2355" s="20" t="s">
        <v>77</v>
      </c>
    </row>
    <row r="2356" spans="1:1" x14ac:dyDescent="0.25">
      <c r="A2356" s="20" t="s">
        <v>78</v>
      </c>
    </row>
    <row r="2357" spans="1:1" x14ac:dyDescent="0.25">
      <c r="A2357" s="20" t="s">
        <v>79</v>
      </c>
    </row>
    <row r="2358" spans="1:1" x14ac:dyDescent="0.25">
      <c r="A2358" s="20" t="s">
        <v>80</v>
      </c>
    </row>
    <row r="2359" spans="1:1" x14ac:dyDescent="0.25">
      <c r="A2359" s="20" t="s">
        <v>81</v>
      </c>
    </row>
    <row r="2360" spans="1:1" x14ac:dyDescent="0.25">
      <c r="A2360" s="20" t="s">
        <v>82</v>
      </c>
    </row>
    <row r="2361" spans="1:1" x14ac:dyDescent="0.25">
      <c r="A2361" s="20" t="s">
        <v>83</v>
      </c>
    </row>
    <row r="2362" spans="1:1" x14ac:dyDescent="0.25">
      <c r="A2362" s="20" t="s">
        <v>84</v>
      </c>
    </row>
    <row r="2363" spans="1:1" x14ac:dyDescent="0.25">
      <c r="A2363" s="20" t="s">
        <v>85</v>
      </c>
    </row>
    <row r="2364" spans="1:1" x14ac:dyDescent="0.25">
      <c r="A2364" s="20" t="s">
        <v>86</v>
      </c>
    </row>
    <row r="2365" spans="1:1" x14ac:dyDescent="0.25">
      <c r="A2365" s="20" t="s">
        <v>87</v>
      </c>
    </row>
    <row r="2366" spans="1:1" x14ac:dyDescent="0.25">
      <c r="A2366" s="20" t="s">
        <v>88</v>
      </c>
    </row>
    <row r="2367" spans="1:1" x14ac:dyDescent="0.25">
      <c r="A2367" s="20" t="s">
        <v>89</v>
      </c>
    </row>
    <row r="2368" spans="1:1" x14ac:dyDescent="0.25">
      <c r="A2368" s="20" t="s">
        <v>90</v>
      </c>
    </row>
    <row r="2369" spans="1:1" x14ac:dyDescent="0.25">
      <c r="A2369" s="20" t="s">
        <v>91</v>
      </c>
    </row>
    <row r="2370" spans="1:1" x14ac:dyDescent="0.25">
      <c r="A2370" s="20" t="s">
        <v>92</v>
      </c>
    </row>
    <row r="2371" spans="1:1" x14ac:dyDescent="0.25">
      <c r="A2371" s="20" t="s">
        <v>93</v>
      </c>
    </row>
    <row r="2372" spans="1:1" x14ac:dyDescent="0.25">
      <c r="A2372" s="20" t="s">
        <v>94</v>
      </c>
    </row>
    <row r="2373" spans="1:1" x14ac:dyDescent="0.25">
      <c r="A2373" s="20" t="s">
        <v>95</v>
      </c>
    </row>
    <row r="2374" spans="1:1" x14ac:dyDescent="0.25">
      <c r="A2374" s="20" t="s">
        <v>96</v>
      </c>
    </row>
    <row r="2375" spans="1:1" x14ac:dyDescent="0.25">
      <c r="A2375" s="20" t="s">
        <v>97</v>
      </c>
    </row>
    <row r="2376" spans="1:1" x14ac:dyDescent="0.25">
      <c r="A2376" s="20" t="s">
        <v>98</v>
      </c>
    </row>
    <row r="2377" spans="1:1" x14ac:dyDescent="0.25">
      <c r="A2377" s="20" t="s">
        <v>99</v>
      </c>
    </row>
    <row r="2378" spans="1:1" x14ac:dyDescent="0.25">
      <c r="A2378" s="20" t="s">
        <v>100</v>
      </c>
    </row>
    <row r="2379" spans="1:1" x14ac:dyDescent="0.25">
      <c r="A2379" s="20" t="s">
        <v>101</v>
      </c>
    </row>
    <row r="2380" spans="1:1" x14ac:dyDescent="0.25">
      <c r="A2380" s="20" t="s">
        <v>102</v>
      </c>
    </row>
    <row r="2381" spans="1:1" x14ac:dyDescent="0.25">
      <c r="A2381" s="20" t="s">
        <v>103</v>
      </c>
    </row>
    <row r="2382" spans="1:1" x14ac:dyDescent="0.25">
      <c r="A2382" s="20" t="s">
        <v>104</v>
      </c>
    </row>
    <row r="2383" spans="1:1" x14ac:dyDescent="0.25">
      <c r="A2383" s="20" t="s">
        <v>105</v>
      </c>
    </row>
    <row r="2384" spans="1:1" x14ac:dyDescent="0.25">
      <c r="A2384" s="20" t="s">
        <v>106</v>
      </c>
    </row>
    <row r="2385" spans="1:1" x14ac:dyDescent="0.25">
      <c r="A2385" s="20" t="s">
        <v>107</v>
      </c>
    </row>
    <row r="2386" spans="1:1" x14ac:dyDescent="0.25">
      <c r="A2386" s="20" t="s">
        <v>108</v>
      </c>
    </row>
    <row r="2387" spans="1:1" x14ac:dyDescent="0.25">
      <c r="A2387" s="20" t="s">
        <v>109</v>
      </c>
    </row>
    <row r="2388" spans="1:1" x14ac:dyDescent="0.25">
      <c r="A2388" s="20" t="s">
        <v>110</v>
      </c>
    </row>
    <row r="2389" spans="1:1" x14ac:dyDescent="0.25">
      <c r="A2389" s="20" t="s">
        <v>111</v>
      </c>
    </row>
    <row r="2390" spans="1:1" x14ac:dyDescent="0.25">
      <c r="A2390" s="20" t="s">
        <v>112</v>
      </c>
    </row>
    <row r="2391" spans="1:1" x14ac:dyDescent="0.25">
      <c r="A2391" s="20" t="s">
        <v>113</v>
      </c>
    </row>
    <row r="2392" spans="1:1" x14ac:dyDescent="0.25">
      <c r="A2392" s="20" t="s">
        <v>114</v>
      </c>
    </row>
    <row r="2393" spans="1:1" x14ac:dyDescent="0.25">
      <c r="A2393" s="20" t="s">
        <v>115</v>
      </c>
    </row>
    <row r="2394" spans="1:1" x14ac:dyDescent="0.25">
      <c r="A2394" s="20" t="s">
        <v>116</v>
      </c>
    </row>
    <row r="2395" spans="1:1" x14ac:dyDescent="0.25">
      <c r="A2395" s="20" t="s">
        <v>117</v>
      </c>
    </row>
    <row r="2396" spans="1:1" x14ac:dyDescent="0.25">
      <c r="A2396" s="20" t="s">
        <v>118</v>
      </c>
    </row>
    <row r="2397" spans="1:1" x14ac:dyDescent="0.25">
      <c r="A2397" s="20" t="s">
        <v>119</v>
      </c>
    </row>
    <row r="2398" spans="1:1" x14ac:dyDescent="0.25">
      <c r="A2398" s="20" t="s">
        <v>120</v>
      </c>
    </row>
    <row r="2399" spans="1:1" x14ac:dyDescent="0.25">
      <c r="A2399" s="20" t="s">
        <v>121</v>
      </c>
    </row>
    <row r="2400" spans="1:1" x14ac:dyDescent="0.25">
      <c r="A2400" s="20" t="s">
        <v>122</v>
      </c>
    </row>
    <row r="2401" spans="1:1" x14ac:dyDescent="0.25">
      <c r="A2401" s="20" t="s">
        <v>123</v>
      </c>
    </row>
    <row r="2402" spans="1:1" x14ac:dyDescent="0.25">
      <c r="A2402" s="20" t="s">
        <v>124</v>
      </c>
    </row>
    <row r="2403" spans="1:1" x14ac:dyDescent="0.25">
      <c r="A2403" s="20" t="s">
        <v>125</v>
      </c>
    </row>
    <row r="2404" spans="1:1" x14ac:dyDescent="0.25">
      <c r="A2404" s="20" t="s">
        <v>126</v>
      </c>
    </row>
    <row r="2405" spans="1:1" x14ac:dyDescent="0.25">
      <c r="A2405" s="20" t="s">
        <v>127</v>
      </c>
    </row>
    <row r="2406" spans="1:1" x14ac:dyDescent="0.25">
      <c r="A2406" s="20" t="s">
        <v>128</v>
      </c>
    </row>
    <row r="2407" spans="1:1" x14ac:dyDescent="0.25">
      <c r="A2407" s="20" t="s">
        <v>129</v>
      </c>
    </row>
    <row r="2408" spans="1:1" x14ac:dyDescent="0.25">
      <c r="A2408" s="20" t="s">
        <v>130</v>
      </c>
    </row>
    <row r="2409" spans="1:1" x14ac:dyDescent="0.25">
      <c r="A2409" s="20" t="s">
        <v>131</v>
      </c>
    </row>
    <row r="2410" spans="1:1" x14ac:dyDescent="0.25">
      <c r="A2410" s="20" t="s">
        <v>132</v>
      </c>
    </row>
    <row r="2411" spans="1:1" x14ac:dyDescent="0.25">
      <c r="A2411" s="20" t="s">
        <v>133</v>
      </c>
    </row>
    <row r="2412" spans="1:1" x14ac:dyDescent="0.25">
      <c r="A2412" s="20" t="s">
        <v>134</v>
      </c>
    </row>
    <row r="2413" spans="1:1" x14ac:dyDescent="0.25">
      <c r="A2413" s="20" t="s">
        <v>135</v>
      </c>
    </row>
    <row r="2414" spans="1:1" x14ac:dyDescent="0.25">
      <c r="A2414" s="20" t="s">
        <v>136</v>
      </c>
    </row>
    <row r="2415" spans="1:1" x14ac:dyDescent="0.25">
      <c r="A2415" s="20" t="s">
        <v>137</v>
      </c>
    </row>
    <row r="2416" spans="1:1" x14ac:dyDescent="0.25">
      <c r="A2416" s="20" t="s">
        <v>138</v>
      </c>
    </row>
    <row r="2417" spans="1:1" x14ac:dyDescent="0.25">
      <c r="A2417" s="20" t="s">
        <v>139</v>
      </c>
    </row>
    <row r="2418" spans="1:1" x14ac:dyDescent="0.25">
      <c r="A2418" s="20" t="s">
        <v>140</v>
      </c>
    </row>
    <row r="2419" spans="1:1" x14ac:dyDescent="0.25">
      <c r="A2419" s="20" t="s">
        <v>141</v>
      </c>
    </row>
    <row r="2420" spans="1:1" x14ac:dyDescent="0.25">
      <c r="A2420" s="20" t="s">
        <v>142</v>
      </c>
    </row>
    <row r="2421" spans="1:1" x14ac:dyDescent="0.25">
      <c r="A2421" s="20" t="s">
        <v>143</v>
      </c>
    </row>
    <row r="2422" spans="1:1" x14ac:dyDescent="0.25">
      <c r="A2422" s="20" t="s">
        <v>144</v>
      </c>
    </row>
    <row r="2423" spans="1:1" x14ac:dyDescent="0.25">
      <c r="A2423" s="20" t="s">
        <v>145</v>
      </c>
    </row>
    <row r="2424" spans="1:1" x14ac:dyDescent="0.25">
      <c r="A2424" s="20" t="s">
        <v>146</v>
      </c>
    </row>
    <row r="2425" spans="1:1" x14ac:dyDescent="0.25">
      <c r="A2425" s="20" t="s">
        <v>147</v>
      </c>
    </row>
    <row r="2426" spans="1:1" x14ac:dyDescent="0.25">
      <c r="A2426" s="20" t="s">
        <v>148</v>
      </c>
    </row>
    <row r="2427" spans="1:1" x14ac:dyDescent="0.25">
      <c r="A2427" s="20" t="s">
        <v>149</v>
      </c>
    </row>
    <row r="2428" spans="1:1" x14ac:dyDescent="0.25">
      <c r="A2428" s="20" t="s">
        <v>150</v>
      </c>
    </row>
    <row r="2429" spans="1:1" x14ac:dyDescent="0.25">
      <c r="A2429" s="20" t="s">
        <v>151</v>
      </c>
    </row>
    <row r="2430" spans="1:1" x14ac:dyDescent="0.25">
      <c r="A2430" s="20" t="s">
        <v>152</v>
      </c>
    </row>
    <row r="2431" spans="1:1" x14ac:dyDescent="0.25">
      <c r="A2431" s="20" t="s">
        <v>153</v>
      </c>
    </row>
    <row r="2432" spans="1:1" x14ac:dyDescent="0.25">
      <c r="A2432" s="20" t="s">
        <v>154</v>
      </c>
    </row>
    <row r="2433" spans="1:1" x14ac:dyDescent="0.25">
      <c r="A2433" s="20" t="s">
        <v>155</v>
      </c>
    </row>
    <row r="2434" spans="1:1" x14ac:dyDescent="0.25">
      <c r="A2434" s="20" t="s">
        <v>156</v>
      </c>
    </row>
    <row r="2435" spans="1:1" x14ac:dyDescent="0.25">
      <c r="A2435" s="20" t="s">
        <v>157</v>
      </c>
    </row>
    <row r="2436" spans="1:1" x14ac:dyDescent="0.25">
      <c r="A2436" s="20" t="s">
        <v>158</v>
      </c>
    </row>
    <row r="2437" spans="1:1" x14ac:dyDescent="0.25">
      <c r="A2437" s="20" t="s">
        <v>159</v>
      </c>
    </row>
    <row r="2438" spans="1:1" x14ac:dyDescent="0.25">
      <c r="A2438" s="20" t="s">
        <v>160</v>
      </c>
    </row>
    <row r="2439" spans="1:1" x14ac:dyDescent="0.25">
      <c r="A2439" s="20" t="s">
        <v>161</v>
      </c>
    </row>
    <row r="2440" spans="1:1" x14ac:dyDescent="0.25">
      <c r="A2440" s="20" t="s">
        <v>162</v>
      </c>
    </row>
    <row r="2441" spans="1:1" x14ac:dyDescent="0.25">
      <c r="A2441" s="20" t="s">
        <v>163</v>
      </c>
    </row>
    <row r="2442" spans="1:1" x14ac:dyDescent="0.25">
      <c r="A2442" s="20" t="s">
        <v>164</v>
      </c>
    </row>
    <row r="2443" spans="1:1" x14ac:dyDescent="0.25">
      <c r="A2443" s="20" t="s">
        <v>165</v>
      </c>
    </row>
    <row r="2444" spans="1:1" x14ac:dyDescent="0.25">
      <c r="A2444" s="20" t="s">
        <v>166</v>
      </c>
    </row>
    <row r="2445" spans="1:1" x14ac:dyDescent="0.25">
      <c r="A2445" s="20" t="s">
        <v>167</v>
      </c>
    </row>
    <row r="2446" spans="1:1" x14ac:dyDescent="0.25">
      <c r="A2446" s="20" t="s">
        <v>168</v>
      </c>
    </row>
    <row r="2447" spans="1:1" x14ac:dyDescent="0.25">
      <c r="A2447" s="20" t="s">
        <v>169</v>
      </c>
    </row>
    <row r="2448" spans="1:1" x14ac:dyDescent="0.25">
      <c r="A2448" s="20" t="s">
        <v>170</v>
      </c>
    </row>
    <row r="2449" spans="1:1" x14ac:dyDescent="0.25">
      <c r="A2449" s="20" t="s">
        <v>171</v>
      </c>
    </row>
    <row r="2450" spans="1:1" x14ac:dyDescent="0.25">
      <c r="A2450" s="20" t="s">
        <v>172</v>
      </c>
    </row>
    <row r="2451" spans="1:1" x14ac:dyDescent="0.25">
      <c r="A2451" s="20" t="s">
        <v>173</v>
      </c>
    </row>
    <row r="2452" spans="1:1" x14ac:dyDescent="0.25">
      <c r="A2452" s="20" t="s">
        <v>174</v>
      </c>
    </row>
    <row r="2453" spans="1:1" x14ac:dyDescent="0.25">
      <c r="A2453" s="20" t="s">
        <v>175</v>
      </c>
    </row>
    <row r="2454" spans="1:1" x14ac:dyDescent="0.25">
      <c r="A2454" s="20" t="s">
        <v>176</v>
      </c>
    </row>
    <row r="2455" spans="1:1" x14ac:dyDescent="0.25">
      <c r="A2455" s="20" t="s">
        <v>177</v>
      </c>
    </row>
    <row r="2456" spans="1:1" x14ac:dyDescent="0.25">
      <c r="A2456" s="20" t="s">
        <v>178</v>
      </c>
    </row>
    <row r="2457" spans="1:1" x14ac:dyDescent="0.25">
      <c r="A2457" s="20" t="s">
        <v>179</v>
      </c>
    </row>
    <row r="2458" spans="1:1" x14ac:dyDescent="0.25">
      <c r="A2458" s="20" t="s">
        <v>180</v>
      </c>
    </row>
    <row r="2459" spans="1:1" x14ac:dyDescent="0.25">
      <c r="A2459" s="20" t="s">
        <v>181</v>
      </c>
    </row>
    <row r="2460" spans="1:1" x14ac:dyDescent="0.25">
      <c r="A2460" s="20" t="s">
        <v>182</v>
      </c>
    </row>
    <row r="2461" spans="1:1" x14ac:dyDescent="0.25">
      <c r="A2461" s="20" t="s">
        <v>183</v>
      </c>
    </row>
    <row r="2462" spans="1:1" x14ac:dyDescent="0.25">
      <c r="A2462" s="20" t="s">
        <v>184</v>
      </c>
    </row>
    <row r="2463" spans="1:1" x14ac:dyDescent="0.25">
      <c r="A2463" s="20" t="s">
        <v>185</v>
      </c>
    </row>
    <row r="2464" spans="1:1" x14ac:dyDescent="0.25">
      <c r="A2464" s="20" t="s">
        <v>186</v>
      </c>
    </row>
    <row r="2465" spans="1:1" x14ac:dyDescent="0.25">
      <c r="A2465" s="20" t="s">
        <v>187</v>
      </c>
    </row>
    <row r="2466" spans="1:1" x14ac:dyDescent="0.25">
      <c r="A2466" s="20" t="s">
        <v>188</v>
      </c>
    </row>
    <row r="2467" spans="1:1" x14ac:dyDescent="0.25">
      <c r="A2467" s="20" t="s">
        <v>189</v>
      </c>
    </row>
    <row r="2468" spans="1:1" x14ac:dyDescent="0.25">
      <c r="A2468" s="20" t="s">
        <v>190</v>
      </c>
    </row>
    <row r="2469" spans="1:1" x14ac:dyDescent="0.25">
      <c r="A2469" s="20" t="s">
        <v>191</v>
      </c>
    </row>
    <row r="2470" spans="1:1" x14ac:dyDescent="0.25">
      <c r="A2470" s="20" t="s">
        <v>192</v>
      </c>
    </row>
    <row r="2471" spans="1:1" x14ac:dyDescent="0.25">
      <c r="A2471" s="20" t="s">
        <v>193</v>
      </c>
    </row>
    <row r="2472" spans="1:1" x14ac:dyDescent="0.25">
      <c r="A2472" s="20" t="s">
        <v>194</v>
      </c>
    </row>
    <row r="2473" spans="1:1" x14ac:dyDescent="0.25">
      <c r="A2473" s="20" t="s">
        <v>195</v>
      </c>
    </row>
    <row r="2474" spans="1:1" x14ac:dyDescent="0.25">
      <c r="A2474" s="20" t="s">
        <v>196</v>
      </c>
    </row>
    <row r="2475" spans="1:1" x14ac:dyDescent="0.25">
      <c r="A2475" s="20" t="s">
        <v>197</v>
      </c>
    </row>
    <row r="2476" spans="1:1" x14ac:dyDescent="0.25">
      <c r="A2476" s="20" t="s">
        <v>198</v>
      </c>
    </row>
    <row r="2477" spans="1:1" x14ac:dyDescent="0.25">
      <c r="A2477" s="20" t="s">
        <v>199</v>
      </c>
    </row>
    <row r="2478" spans="1:1" x14ac:dyDescent="0.25">
      <c r="A2478" s="20" t="s">
        <v>200</v>
      </c>
    </row>
    <row r="2479" spans="1:1" x14ac:dyDescent="0.25">
      <c r="A2479" s="20" t="s">
        <v>201</v>
      </c>
    </row>
    <row r="2480" spans="1:1" x14ac:dyDescent="0.25">
      <c r="A2480" s="20" t="s">
        <v>202</v>
      </c>
    </row>
    <row r="2481" spans="1:1" x14ac:dyDescent="0.25">
      <c r="A2481" s="20" t="s">
        <v>203</v>
      </c>
    </row>
    <row r="2482" spans="1:1" x14ac:dyDescent="0.25">
      <c r="A2482" s="20" t="s">
        <v>204</v>
      </c>
    </row>
    <row r="2483" spans="1:1" x14ac:dyDescent="0.25">
      <c r="A2483" s="20" t="s">
        <v>205</v>
      </c>
    </row>
    <row r="2484" spans="1:1" x14ac:dyDescent="0.25">
      <c r="A2484" s="20" t="s">
        <v>206</v>
      </c>
    </row>
    <row r="2485" spans="1:1" x14ac:dyDescent="0.25">
      <c r="A2485" s="20" t="s">
        <v>207</v>
      </c>
    </row>
    <row r="2486" spans="1:1" x14ac:dyDescent="0.25">
      <c r="A2486" s="20" t="s">
        <v>208</v>
      </c>
    </row>
    <row r="2487" spans="1:1" x14ac:dyDescent="0.25">
      <c r="A2487" s="20" t="s">
        <v>209</v>
      </c>
    </row>
    <row r="2488" spans="1:1" x14ac:dyDescent="0.25">
      <c r="A2488" s="20" t="s">
        <v>210</v>
      </c>
    </row>
    <row r="2489" spans="1:1" x14ac:dyDescent="0.25">
      <c r="A2489" s="20" t="s">
        <v>211</v>
      </c>
    </row>
    <row r="2490" spans="1:1" x14ac:dyDescent="0.25">
      <c r="A2490" s="20" t="s">
        <v>212</v>
      </c>
    </row>
    <row r="2491" spans="1:1" x14ac:dyDescent="0.25">
      <c r="A2491" s="20" t="s">
        <v>213</v>
      </c>
    </row>
    <row r="2492" spans="1:1" x14ac:dyDescent="0.25">
      <c r="A2492" s="20" t="s">
        <v>214</v>
      </c>
    </row>
    <row r="2493" spans="1:1" x14ac:dyDescent="0.25">
      <c r="A2493" s="20" t="s">
        <v>215</v>
      </c>
    </row>
    <row r="2494" spans="1:1" x14ac:dyDescent="0.25">
      <c r="A2494" s="20" t="s">
        <v>216</v>
      </c>
    </row>
    <row r="2495" spans="1:1" x14ac:dyDescent="0.25">
      <c r="A2495" s="20" t="s">
        <v>217</v>
      </c>
    </row>
    <row r="2496" spans="1:1" x14ac:dyDescent="0.25">
      <c r="A2496" s="20" t="s">
        <v>218</v>
      </c>
    </row>
    <row r="2497" spans="1:1" x14ac:dyDescent="0.25">
      <c r="A2497" s="20" t="s">
        <v>219</v>
      </c>
    </row>
    <row r="2498" spans="1:1" x14ac:dyDescent="0.25">
      <c r="A2498" s="20" t="s">
        <v>220</v>
      </c>
    </row>
    <row r="2499" spans="1:1" x14ac:dyDescent="0.25">
      <c r="A2499" s="20" t="s">
        <v>221</v>
      </c>
    </row>
    <row r="2500" spans="1:1" x14ac:dyDescent="0.25">
      <c r="A2500" s="20" t="s">
        <v>222</v>
      </c>
    </row>
    <row r="2501" spans="1:1" x14ac:dyDescent="0.25">
      <c r="A2501" s="20" t="s">
        <v>223</v>
      </c>
    </row>
    <row r="2502" spans="1:1" x14ac:dyDescent="0.25">
      <c r="A2502" s="20" t="s">
        <v>224</v>
      </c>
    </row>
    <row r="2503" spans="1:1" x14ac:dyDescent="0.25">
      <c r="A2503" s="20" t="s">
        <v>225</v>
      </c>
    </row>
    <row r="2504" spans="1:1" x14ac:dyDescent="0.25">
      <c r="A2504" s="20" t="s">
        <v>226</v>
      </c>
    </row>
    <row r="2505" spans="1:1" x14ac:dyDescent="0.25">
      <c r="A2505" s="20" t="s">
        <v>227</v>
      </c>
    </row>
    <row r="2506" spans="1:1" x14ac:dyDescent="0.25">
      <c r="A2506" s="20" t="s">
        <v>228</v>
      </c>
    </row>
    <row r="2507" spans="1:1" x14ac:dyDescent="0.25">
      <c r="A2507" s="20" t="s">
        <v>229</v>
      </c>
    </row>
    <row r="2508" spans="1:1" x14ac:dyDescent="0.25">
      <c r="A2508" s="20" t="s">
        <v>230</v>
      </c>
    </row>
    <row r="2509" spans="1:1" x14ac:dyDescent="0.25">
      <c r="A2509" s="20" t="s">
        <v>231</v>
      </c>
    </row>
    <row r="2510" spans="1:1" x14ac:dyDescent="0.25">
      <c r="A2510" s="20" t="s">
        <v>232</v>
      </c>
    </row>
    <row r="2511" spans="1:1" x14ac:dyDescent="0.25">
      <c r="A2511" s="20" t="s">
        <v>233</v>
      </c>
    </row>
    <row r="2512" spans="1:1" x14ac:dyDescent="0.25">
      <c r="A2512" s="20" t="s">
        <v>234</v>
      </c>
    </row>
    <row r="2513" spans="1:1" x14ac:dyDescent="0.25">
      <c r="A2513" s="20" t="s">
        <v>235</v>
      </c>
    </row>
    <row r="2514" spans="1:1" x14ac:dyDescent="0.25">
      <c r="A2514" s="20" t="s">
        <v>236</v>
      </c>
    </row>
    <row r="2515" spans="1:1" x14ac:dyDescent="0.25">
      <c r="A2515" s="20" t="s">
        <v>237</v>
      </c>
    </row>
    <row r="2516" spans="1:1" x14ac:dyDescent="0.25">
      <c r="A2516" s="20" t="s">
        <v>238</v>
      </c>
    </row>
    <row r="2517" spans="1:1" x14ac:dyDescent="0.25">
      <c r="A2517" s="20" t="s">
        <v>239</v>
      </c>
    </row>
    <row r="2518" spans="1:1" x14ac:dyDescent="0.25">
      <c r="A2518" s="20" t="s">
        <v>240</v>
      </c>
    </row>
    <row r="2519" spans="1:1" x14ac:dyDescent="0.25">
      <c r="A2519" s="20" t="s">
        <v>241</v>
      </c>
    </row>
    <row r="2520" spans="1:1" x14ac:dyDescent="0.25">
      <c r="A2520" s="20" t="s">
        <v>242</v>
      </c>
    </row>
    <row r="2521" spans="1:1" x14ac:dyDescent="0.25">
      <c r="A2521" s="20" t="s">
        <v>243</v>
      </c>
    </row>
    <row r="2522" spans="1:1" x14ac:dyDescent="0.25">
      <c r="A2522" s="20" t="s">
        <v>244</v>
      </c>
    </row>
    <row r="2523" spans="1:1" x14ac:dyDescent="0.25">
      <c r="A2523" s="20" t="s">
        <v>245</v>
      </c>
    </row>
    <row r="2524" spans="1:1" x14ac:dyDescent="0.25">
      <c r="A2524" s="20" t="s">
        <v>246</v>
      </c>
    </row>
    <row r="2525" spans="1:1" x14ac:dyDescent="0.25">
      <c r="A2525" s="20" t="s">
        <v>247</v>
      </c>
    </row>
    <row r="2526" spans="1:1" x14ac:dyDescent="0.25">
      <c r="A2526" s="20" t="s">
        <v>248</v>
      </c>
    </row>
    <row r="2527" spans="1:1" x14ac:dyDescent="0.25">
      <c r="A2527" s="20" t="s">
        <v>249</v>
      </c>
    </row>
    <row r="2528" spans="1:1" x14ac:dyDescent="0.25">
      <c r="A2528" s="20" t="s">
        <v>250</v>
      </c>
    </row>
    <row r="2529" spans="1:1" x14ac:dyDescent="0.25">
      <c r="A2529" s="20" t="s">
        <v>251</v>
      </c>
    </row>
    <row r="2530" spans="1:1" x14ac:dyDescent="0.25">
      <c r="A2530" s="20" t="s">
        <v>252</v>
      </c>
    </row>
    <row r="2531" spans="1:1" x14ac:dyDescent="0.25">
      <c r="A2531" s="20" t="s">
        <v>253</v>
      </c>
    </row>
    <row r="2532" spans="1:1" x14ac:dyDescent="0.25">
      <c r="A2532" s="20" t="s">
        <v>254</v>
      </c>
    </row>
    <row r="2533" spans="1:1" x14ac:dyDescent="0.25">
      <c r="A2533" s="20" t="s">
        <v>255</v>
      </c>
    </row>
    <row r="2534" spans="1:1" x14ac:dyDescent="0.25">
      <c r="A2534" s="20" t="s">
        <v>256</v>
      </c>
    </row>
    <row r="2535" spans="1:1" x14ac:dyDescent="0.25">
      <c r="A2535" s="20" t="s">
        <v>257</v>
      </c>
    </row>
    <row r="2536" spans="1:1" x14ac:dyDescent="0.25">
      <c r="A2536" s="20" t="s">
        <v>258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9AEEBF-0FCA-4B9D-8E37-691FB2070713}">
  <dimension ref="A3:C20"/>
  <sheetViews>
    <sheetView workbookViewId="0">
      <selection activeCell="A3" sqref="A3"/>
    </sheetView>
  </sheetViews>
  <sheetFormatPr defaultRowHeight="15" x14ac:dyDescent="0.25"/>
  <sheetData>
    <row r="3" spans="1:3" x14ac:dyDescent="0.25">
      <c r="A3" s="10"/>
      <c r="B3" s="11"/>
      <c r="C3" s="12"/>
    </row>
    <row r="4" spans="1:3" x14ac:dyDescent="0.25">
      <c r="A4" s="13"/>
      <c r="B4" s="14"/>
      <c r="C4" s="15"/>
    </row>
    <row r="5" spans="1:3" x14ac:dyDescent="0.25">
      <c r="A5" s="13"/>
      <c r="B5" s="14"/>
      <c r="C5" s="15"/>
    </row>
    <row r="6" spans="1:3" x14ac:dyDescent="0.25">
      <c r="A6" s="13"/>
      <c r="B6" s="14"/>
      <c r="C6" s="15"/>
    </row>
    <row r="7" spans="1:3" x14ac:dyDescent="0.25">
      <c r="A7" s="13"/>
      <c r="B7" s="14"/>
      <c r="C7" s="15"/>
    </row>
    <row r="8" spans="1:3" x14ac:dyDescent="0.25">
      <c r="A8" s="13"/>
      <c r="B8" s="14"/>
      <c r="C8" s="15"/>
    </row>
    <row r="9" spans="1:3" x14ac:dyDescent="0.25">
      <c r="A9" s="13"/>
      <c r="B9" s="14"/>
      <c r="C9" s="15"/>
    </row>
    <row r="10" spans="1:3" x14ac:dyDescent="0.25">
      <c r="A10" s="13"/>
      <c r="B10" s="14"/>
      <c r="C10" s="15"/>
    </row>
    <row r="11" spans="1:3" x14ac:dyDescent="0.25">
      <c r="A11" s="13"/>
      <c r="B11" s="14"/>
      <c r="C11" s="15"/>
    </row>
    <row r="12" spans="1:3" x14ac:dyDescent="0.25">
      <c r="A12" s="13"/>
      <c r="B12" s="14"/>
      <c r="C12" s="15"/>
    </row>
    <row r="13" spans="1:3" x14ac:dyDescent="0.25">
      <c r="A13" s="13"/>
      <c r="B13" s="14"/>
      <c r="C13" s="15"/>
    </row>
    <row r="14" spans="1:3" x14ac:dyDescent="0.25">
      <c r="A14" s="13"/>
      <c r="B14" s="14"/>
      <c r="C14" s="15"/>
    </row>
    <row r="15" spans="1:3" x14ac:dyDescent="0.25">
      <c r="A15" s="13"/>
      <c r="B15" s="14"/>
      <c r="C15" s="15"/>
    </row>
    <row r="16" spans="1:3" x14ac:dyDescent="0.25">
      <c r="A16" s="13"/>
      <c r="B16" s="14"/>
      <c r="C16" s="15"/>
    </row>
    <row r="17" spans="1:3" x14ac:dyDescent="0.25">
      <c r="A17" s="13"/>
      <c r="B17" s="14"/>
      <c r="C17" s="15"/>
    </row>
    <row r="18" spans="1:3" x14ac:dyDescent="0.25">
      <c r="A18" s="13"/>
      <c r="B18" s="14"/>
      <c r="C18" s="15"/>
    </row>
    <row r="19" spans="1:3" x14ac:dyDescent="0.25">
      <c r="A19" s="13"/>
      <c r="B19" s="14"/>
      <c r="C19" s="15"/>
    </row>
    <row r="20" spans="1:3" x14ac:dyDescent="0.25">
      <c r="A20" s="16"/>
      <c r="B20" s="17"/>
      <c r="C20" s="1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5695"/>
  <sheetViews>
    <sheetView tabSelected="1" workbookViewId="0">
      <selection activeCell="B7" sqref="B7"/>
    </sheetView>
  </sheetViews>
  <sheetFormatPr defaultRowHeight="14.25" customHeight="1" x14ac:dyDescent="0.25"/>
  <cols>
    <col min="1" max="1" width="16.5703125" bestFit="1" customWidth="1"/>
    <col min="2" max="2" width="24.7109375" customWidth="1"/>
    <col min="3" max="3" width="20.140625" bestFit="1" customWidth="1"/>
    <col min="4" max="4" width="21.5703125" bestFit="1" customWidth="1"/>
    <col min="5" max="5" width="23.140625" bestFit="1" customWidth="1"/>
    <col min="6" max="6" width="15.85546875" bestFit="1" customWidth="1"/>
    <col min="7" max="7" width="4.85546875" bestFit="1" customWidth="1"/>
    <col min="8" max="8" width="16" bestFit="1" customWidth="1"/>
    <col min="9" max="9" width="14.42578125" bestFit="1" customWidth="1"/>
    <col min="10" max="10" width="14.28515625" bestFit="1" customWidth="1"/>
  </cols>
  <sheetData>
    <row r="1" spans="1:10" ht="14.25" customHeight="1" x14ac:dyDescent="0.25">
      <c r="A1" t="s">
        <v>259</v>
      </c>
      <c r="B1" t="s">
        <v>259</v>
      </c>
      <c r="C1" t="s">
        <v>264</v>
      </c>
      <c r="D1" t="s">
        <v>265</v>
      </c>
      <c r="E1" t="s">
        <v>267</v>
      </c>
      <c r="F1" t="s">
        <v>268</v>
      </c>
      <c r="G1" t="s">
        <v>261</v>
      </c>
      <c r="H1" t="s">
        <v>262</v>
      </c>
      <c r="I1" t="s">
        <v>266</v>
      </c>
      <c r="J1" t="s">
        <v>263</v>
      </c>
    </row>
    <row r="2" spans="1:10" ht="14.25" customHeight="1" x14ac:dyDescent="0.25">
      <c r="A2" s="21" t="str">
        <f>"01009"</f>
        <v>01009</v>
      </c>
      <c r="B2" s="21" t="s">
        <v>269</v>
      </c>
      <c r="C2">
        <v>12.5</v>
      </c>
      <c r="D2">
        <v>4</v>
      </c>
      <c r="E2">
        <v>59</v>
      </c>
      <c r="F2">
        <v>25</v>
      </c>
      <c r="G2">
        <v>6</v>
      </c>
      <c r="H2">
        <v>25</v>
      </c>
      <c r="I2">
        <v>1.1000000000000001</v>
      </c>
      <c r="J2">
        <v>835</v>
      </c>
    </row>
    <row r="3" spans="1:10" ht="14.25" customHeight="1" x14ac:dyDescent="0.25">
      <c r="A3" s="21" t="str">
        <f>"01023"</f>
        <v>01023</v>
      </c>
      <c r="B3" s="21"/>
      <c r="C3">
        <v>5.9</v>
      </c>
      <c r="D3">
        <v>3</v>
      </c>
      <c r="E3">
        <v>10</v>
      </c>
      <c r="F3">
        <v>25</v>
      </c>
      <c r="H3">
        <v>25</v>
      </c>
      <c r="I3">
        <v>0.91</v>
      </c>
      <c r="J3">
        <v>68</v>
      </c>
    </row>
    <row r="4" spans="1:10" ht="14.25" customHeight="1" x14ac:dyDescent="0.25">
      <c r="A4" s="21" t="str">
        <f>"01059"</f>
        <v>01059</v>
      </c>
      <c r="B4" s="21"/>
      <c r="C4">
        <v>6.7</v>
      </c>
      <c r="D4">
        <v>1.7</v>
      </c>
      <c r="E4">
        <v>25</v>
      </c>
      <c r="F4">
        <v>25</v>
      </c>
      <c r="H4">
        <v>25</v>
      </c>
      <c r="I4">
        <v>0.86</v>
      </c>
      <c r="J4">
        <v>393</v>
      </c>
    </row>
    <row r="5" spans="1:10" ht="14.25" customHeight="1" x14ac:dyDescent="0.25">
      <c r="A5" s="21" t="str">
        <f>"01111"</f>
        <v>01111</v>
      </c>
      <c r="B5" s="21"/>
      <c r="C5">
        <v>3.4</v>
      </c>
      <c r="D5">
        <v>1.8</v>
      </c>
      <c r="E5">
        <v>23</v>
      </c>
      <c r="F5">
        <v>15</v>
      </c>
      <c r="H5">
        <v>15</v>
      </c>
      <c r="I5">
        <v>0.84</v>
      </c>
      <c r="J5">
        <v>254</v>
      </c>
    </row>
    <row r="6" spans="1:10" ht="14.25" customHeight="1" x14ac:dyDescent="0.25">
      <c r="A6" s="21" t="str">
        <f>"01111"</f>
        <v>01111</v>
      </c>
      <c r="B6" s="21"/>
      <c r="C6">
        <v>11.7</v>
      </c>
      <c r="D6">
        <v>0.3</v>
      </c>
      <c r="J6">
        <v>875</v>
      </c>
    </row>
    <row r="7" spans="1:10" ht="14.25" customHeight="1" x14ac:dyDescent="0.25">
      <c r="A7" s="21" t="str">
        <f>"01129"</f>
        <v>01129</v>
      </c>
      <c r="B7" s="21"/>
      <c r="C7">
        <v>6.5</v>
      </c>
      <c r="D7">
        <v>3.2</v>
      </c>
      <c r="E7">
        <v>17</v>
      </c>
      <c r="F7">
        <v>15</v>
      </c>
      <c r="H7">
        <v>15</v>
      </c>
      <c r="I7">
        <v>1.1200000000000001</v>
      </c>
      <c r="J7">
        <v>286</v>
      </c>
    </row>
    <row r="8" spans="1:10" ht="14.25" customHeight="1" x14ac:dyDescent="0.25">
      <c r="A8" s="21" t="str">
        <f>"02070"</f>
        <v>02070</v>
      </c>
      <c r="B8" s="21"/>
      <c r="C8">
        <v>2.4</v>
      </c>
      <c r="D8">
        <v>3.1</v>
      </c>
      <c r="E8">
        <v>24</v>
      </c>
      <c r="F8">
        <v>16</v>
      </c>
      <c r="H8">
        <v>16</v>
      </c>
      <c r="I8">
        <v>1</v>
      </c>
      <c r="J8">
        <v>221</v>
      </c>
    </row>
    <row r="9" spans="1:10" ht="14.25" customHeight="1" x14ac:dyDescent="0.25">
      <c r="A9" s="21" t="str">
        <f>"02122"</f>
        <v>02122</v>
      </c>
      <c r="B9" s="21"/>
      <c r="C9">
        <v>1.3</v>
      </c>
      <c r="D9">
        <v>2.5</v>
      </c>
      <c r="E9">
        <v>14</v>
      </c>
      <c r="F9">
        <v>6</v>
      </c>
      <c r="H9">
        <v>6</v>
      </c>
      <c r="I9">
        <v>1.01</v>
      </c>
      <c r="J9">
        <v>94</v>
      </c>
    </row>
    <row r="10" spans="1:10" ht="14.25" customHeight="1" x14ac:dyDescent="0.25">
      <c r="A10" s="21" t="str">
        <f>"02122"</f>
        <v>02122</v>
      </c>
      <c r="B10" s="21"/>
      <c r="C10">
        <v>7.9</v>
      </c>
      <c r="D10">
        <v>3.2</v>
      </c>
      <c r="E10">
        <v>67</v>
      </c>
      <c r="F10">
        <v>21</v>
      </c>
      <c r="H10">
        <v>21</v>
      </c>
      <c r="I10">
        <v>1.29</v>
      </c>
      <c r="J10">
        <v>785</v>
      </c>
    </row>
    <row r="11" spans="1:10" ht="14.25" customHeight="1" x14ac:dyDescent="0.25">
      <c r="A11" s="21" t="str">
        <f>"02130"</f>
        <v>02130</v>
      </c>
      <c r="B11" s="21"/>
      <c r="C11">
        <v>9.6</v>
      </c>
      <c r="D11">
        <v>2.8</v>
      </c>
      <c r="E11">
        <v>110</v>
      </c>
      <c r="F11">
        <v>25</v>
      </c>
      <c r="G11">
        <v>4</v>
      </c>
      <c r="H11">
        <v>25</v>
      </c>
      <c r="I11">
        <v>1.24</v>
      </c>
      <c r="J11" s="1">
        <v>1257</v>
      </c>
    </row>
    <row r="12" spans="1:10" ht="14.25" customHeight="1" x14ac:dyDescent="0.25">
      <c r="A12" s="21" t="str">
        <f>"02150"</f>
        <v>02150</v>
      </c>
      <c r="B12" s="21"/>
      <c r="C12">
        <v>4.8</v>
      </c>
      <c r="D12">
        <v>2.6</v>
      </c>
      <c r="E12">
        <v>40</v>
      </c>
      <c r="F12">
        <v>24</v>
      </c>
      <c r="H12">
        <v>24</v>
      </c>
      <c r="I12">
        <v>1.1399999999999999</v>
      </c>
      <c r="J12">
        <v>521</v>
      </c>
    </row>
    <row r="13" spans="1:10" ht="14.25" customHeight="1" x14ac:dyDescent="0.25">
      <c r="A13" s="21" t="str">
        <f>"02180"</f>
        <v>02180</v>
      </c>
      <c r="B13" s="21"/>
      <c r="C13">
        <v>7.2</v>
      </c>
      <c r="D13">
        <v>2.8</v>
      </c>
      <c r="E13">
        <v>56</v>
      </c>
      <c r="F13">
        <v>18</v>
      </c>
      <c r="H13">
        <v>18</v>
      </c>
      <c r="I13">
        <v>0.93</v>
      </c>
      <c r="J13">
        <v>734</v>
      </c>
    </row>
    <row r="14" spans="1:10" ht="14.25" customHeight="1" x14ac:dyDescent="0.25">
      <c r="A14" s="21" t="str">
        <f>"02185"</f>
        <v>02185</v>
      </c>
      <c r="B14" s="21"/>
      <c r="C14">
        <v>2.5</v>
      </c>
      <c r="D14">
        <v>2.8</v>
      </c>
      <c r="E14">
        <v>33</v>
      </c>
      <c r="F14">
        <v>14</v>
      </c>
      <c r="H14">
        <v>14</v>
      </c>
      <c r="I14">
        <v>1.1399999999999999</v>
      </c>
      <c r="J14">
        <v>246</v>
      </c>
    </row>
    <row r="15" spans="1:10" ht="14.25" customHeight="1" x14ac:dyDescent="0.25">
      <c r="A15" s="21" t="str">
        <f>"02188"</f>
        <v>02188</v>
      </c>
      <c r="B15" s="21"/>
      <c r="C15">
        <v>4.0999999999999996</v>
      </c>
      <c r="D15">
        <v>3</v>
      </c>
      <c r="E15">
        <v>46</v>
      </c>
      <c r="F15">
        <v>17</v>
      </c>
      <c r="H15">
        <v>17</v>
      </c>
      <c r="I15">
        <v>0.97</v>
      </c>
      <c r="J15">
        <v>492</v>
      </c>
    </row>
    <row r="16" spans="1:10" ht="14.25" customHeight="1" x14ac:dyDescent="0.25">
      <c r="A16" s="21" t="str">
        <f>"02195"</f>
        <v>02195</v>
      </c>
      <c r="B16" s="21"/>
      <c r="C16">
        <v>3.2</v>
      </c>
      <c r="D16">
        <v>2.9</v>
      </c>
      <c r="E16">
        <v>7</v>
      </c>
      <c r="F16">
        <v>12</v>
      </c>
      <c r="H16">
        <v>12</v>
      </c>
      <c r="I16">
        <v>0.91</v>
      </c>
      <c r="J16">
        <v>101</v>
      </c>
    </row>
    <row r="17" spans="1:10" ht="14.25" customHeight="1" x14ac:dyDescent="0.25">
      <c r="A17" s="21" t="str">
        <f>"02220"</f>
        <v>02220</v>
      </c>
      <c r="B17" s="21"/>
      <c r="C17">
        <v>4.7</v>
      </c>
      <c r="D17">
        <v>2.2000000000000002</v>
      </c>
      <c r="I17">
        <v>0.94</v>
      </c>
      <c r="J17">
        <v>208</v>
      </c>
    </row>
    <row r="18" spans="1:10" ht="14.25" customHeight="1" x14ac:dyDescent="0.25">
      <c r="A18" s="21" t="str">
        <f>"02220"</f>
        <v>02220</v>
      </c>
      <c r="B18" s="21"/>
      <c r="C18">
        <v>9.1</v>
      </c>
      <c r="D18">
        <v>3.1</v>
      </c>
      <c r="E18">
        <v>120</v>
      </c>
      <c r="F18">
        <v>27</v>
      </c>
      <c r="H18">
        <v>27</v>
      </c>
      <c r="I18">
        <v>1.29</v>
      </c>
      <c r="J18">
        <v>499</v>
      </c>
    </row>
    <row r="19" spans="1:10" ht="14.25" customHeight="1" x14ac:dyDescent="0.25">
      <c r="A19" s="21" t="str">
        <f>"02261"</f>
        <v>02261</v>
      </c>
      <c r="B19" s="21"/>
      <c r="C19">
        <v>2.5</v>
      </c>
      <c r="D19">
        <v>2.4</v>
      </c>
      <c r="E19">
        <v>10</v>
      </c>
      <c r="F19">
        <v>11</v>
      </c>
      <c r="H19">
        <v>11</v>
      </c>
      <c r="I19">
        <v>1.1200000000000001</v>
      </c>
      <c r="J19">
        <v>148</v>
      </c>
    </row>
    <row r="20" spans="1:10" ht="14.25" customHeight="1" x14ac:dyDescent="0.25">
      <c r="A20" s="21" t="str">
        <f>"02261"</f>
        <v>02261</v>
      </c>
      <c r="B20" s="21"/>
      <c r="C20">
        <v>2.8</v>
      </c>
      <c r="D20">
        <v>2.7</v>
      </c>
      <c r="E20">
        <v>10</v>
      </c>
      <c r="F20">
        <v>13</v>
      </c>
      <c r="H20">
        <v>13</v>
      </c>
      <c r="I20">
        <v>1.1000000000000001</v>
      </c>
      <c r="J20">
        <v>45</v>
      </c>
    </row>
    <row r="21" spans="1:10" ht="14.25" customHeight="1" x14ac:dyDescent="0.25">
      <c r="A21" s="21" t="str">
        <f>"02275"</f>
        <v>02275</v>
      </c>
      <c r="B21" s="21"/>
      <c r="C21">
        <v>2.2999999999999998</v>
      </c>
      <c r="D21">
        <v>2.9</v>
      </c>
      <c r="E21">
        <v>9</v>
      </c>
      <c r="F21">
        <v>8</v>
      </c>
      <c r="H21">
        <v>8</v>
      </c>
      <c r="I21">
        <v>0.95</v>
      </c>
      <c r="J21">
        <v>126</v>
      </c>
    </row>
    <row r="22" spans="1:10" ht="14.25" customHeight="1" x14ac:dyDescent="0.25">
      <c r="A22" s="21" t="str">
        <f>"04001"</f>
        <v>04001</v>
      </c>
      <c r="B22" s="21"/>
      <c r="C22">
        <v>5</v>
      </c>
      <c r="D22">
        <v>0</v>
      </c>
      <c r="E22">
        <v>37</v>
      </c>
      <c r="F22">
        <v>21</v>
      </c>
      <c r="H22">
        <v>21</v>
      </c>
      <c r="I22">
        <v>0.98</v>
      </c>
      <c r="J22">
        <v>184</v>
      </c>
    </row>
    <row r="23" spans="1:10" ht="14.25" customHeight="1" x14ac:dyDescent="0.25">
      <c r="A23" s="21" t="str">
        <f>"04001"</f>
        <v>04001</v>
      </c>
      <c r="B23" s="21"/>
      <c r="C23">
        <v>2.6</v>
      </c>
      <c r="D23">
        <v>2.7</v>
      </c>
      <c r="E23">
        <v>30</v>
      </c>
      <c r="F23">
        <v>25</v>
      </c>
      <c r="H23">
        <v>25</v>
      </c>
      <c r="I23">
        <v>0.83</v>
      </c>
      <c r="J23">
        <v>244</v>
      </c>
    </row>
    <row r="24" spans="1:10" ht="14.25" customHeight="1" x14ac:dyDescent="0.25">
      <c r="A24" s="21" t="str">
        <f>"04003"</f>
        <v>04003</v>
      </c>
      <c r="B24" s="21"/>
      <c r="C24">
        <v>4.2</v>
      </c>
      <c r="D24">
        <v>3</v>
      </c>
      <c r="E24">
        <v>69</v>
      </c>
      <c r="F24">
        <v>14</v>
      </c>
      <c r="H24">
        <v>14</v>
      </c>
      <c r="I24">
        <v>0.86</v>
      </c>
      <c r="J24">
        <v>271</v>
      </c>
    </row>
    <row r="25" spans="1:10" ht="14.25" customHeight="1" x14ac:dyDescent="0.25">
      <c r="A25" s="21" t="str">
        <f>"04003"</f>
        <v>04003</v>
      </c>
      <c r="B25" s="21"/>
      <c r="C25">
        <v>4</v>
      </c>
      <c r="D25">
        <v>2.5</v>
      </c>
      <c r="E25">
        <v>60</v>
      </c>
      <c r="F25">
        <v>22</v>
      </c>
      <c r="H25">
        <v>22</v>
      </c>
      <c r="I25">
        <v>0.99</v>
      </c>
      <c r="J25">
        <v>209</v>
      </c>
    </row>
    <row r="26" spans="1:10" ht="14.25" customHeight="1" x14ac:dyDescent="0.25">
      <c r="A26" s="21" t="str">
        <f>"04003"</f>
        <v>04003</v>
      </c>
      <c r="B26" s="21"/>
      <c r="C26">
        <v>2.2000000000000002</v>
      </c>
      <c r="D26">
        <v>2.6</v>
      </c>
      <c r="E26">
        <v>32</v>
      </c>
      <c r="F26">
        <v>24</v>
      </c>
      <c r="H26">
        <v>24</v>
      </c>
      <c r="I26">
        <v>1.08</v>
      </c>
      <c r="J26">
        <v>184</v>
      </c>
    </row>
    <row r="27" spans="1:10" ht="14.25" customHeight="1" x14ac:dyDescent="0.25">
      <c r="A27" s="21" t="str">
        <f>"04003"</f>
        <v>04003</v>
      </c>
      <c r="B27" s="21"/>
      <c r="C27">
        <v>1.9</v>
      </c>
      <c r="D27">
        <v>2.4</v>
      </c>
      <c r="J27">
        <v>256</v>
      </c>
    </row>
    <row r="28" spans="1:10" ht="14.25" customHeight="1" x14ac:dyDescent="0.25">
      <c r="A28" s="21" t="str">
        <f>"04005"</f>
        <v>04005</v>
      </c>
      <c r="B28" s="21"/>
      <c r="C28">
        <v>2.5</v>
      </c>
      <c r="D28">
        <v>2.2999999999999998</v>
      </c>
      <c r="E28">
        <v>35</v>
      </c>
      <c r="F28">
        <v>25</v>
      </c>
      <c r="H28">
        <v>25</v>
      </c>
      <c r="I28">
        <v>1.1499999999999999</v>
      </c>
      <c r="J28">
        <v>377</v>
      </c>
    </row>
    <row r="29" spans="1:10" ht="14.25" customHeight="1" x14ac:dyDescent="0.25">
      <c r="A29" s="21" t="str">
        <f>"04007"</f>
        <v>04007</v>
      </c>
      <c r="B29" s="21"/>
      <c r="C29">
        <v>14</v>
      </c>
      <c r="D29">
        <v>2.8</v>
      </c>
      <c r="E29">
        <v>153</v>
      </c>
      <c r="F29">
        <v>25</v>
      </c>
      <c r="G29">
        <v>4</v>
      </c>
      <c r="H29">
        <v>25</v>
      </c>
      <c r="I29">
        <v>1.27</v>
      </c>
      <c r="J29" s="1">
        <v>1588</v>
      </c>
    </row>
    <row r="30" spans="1:10" ht="14.25" customHeight="1" x14ac:dyDescent="0.25">
      <c r="A30" s="21" t="str">
        <f>"04007"</f>
        <v>04007</v>
      </c>
      <c r="B30" s="21"/>
      <c r="C30">
        <v>9.8000000000000007</v>
      </c>
      <c r="D30">
        <v>1.2</v>
      </c>
      <c r="E30">
        <v>103</v>
      </c>
      <c r="F30">
        <v>25</v>
      </c>
      <c r="G30">
        <v>4</v>
      </c>
      <c r="H30">
        <v>25</v>
      </c>
      <c r="I30">
        <v>1.34</v>
      </c>
      <c r="J30" s="1">
        <v>1327</v>
      </c>
    </row>
    <row r="31" spans="1:10" ht="14.25" customHeight="1" x14ac:dyDescent="0.25">
      <c r="A31" s="21" t="str">
        <f>"04012"</f>
        <v>04012</v>
      </c>
      <c r="B31" s="21"/>
      <c r="C31">
        <v>8.9</v>
      </c>
      <c r="D31">
        <v>3.7</v>
      </c>
      <c r="E31">
        <v>53</v>
      </c>
      <c r="F31">
        <v>25</v>
      </c>
      <c r="G31">
        <v>3</v>
      </c>
      <c r="H31">
        <v>25</v>
      </c>
      <c r="I31">
        <v>1.29</v>
      </c>
      <c r="J31">
        <v>711</v>
      </c>
    </row>
    <row r="32" spans="1:10" ht="14.25" customHeight="1" x14ac:dyDescent="0.25">
      <c r="A32" s="21" t="str">
        <f>"04012"</f>
        <v>04012</v>
      </c>
      <c r="B32" s="21"/>
      <c r="C32">
        <v>2.5</v>
      </c>
      <c r="D32">
        <v>4.4000000000000004</v>
      </c>
      <c r="E32">
        <v>15</v>
      </c>
      <c r="F32">
        <v>20</v>
      </c>
      <c r="H32">
        <v>17</v>
      </c>
      <c r="I32">
        <v>0.95</v>
      </c>
      <c r="J32">
        <v>41</v>
      </c>
    </row>
    <row r="33" spans="1:10" ht="14.25" customHeight="1" x14ac:dyDescent="0.25">
      <c r="A33" s="21" t="str">
        <f>"04013"</f>
        <v>04013</v>
      </c>
      <c r="B33" s="21"/>
      <c r="C33">
        <v>3</v>
      </c>
      <c r="D33">
        <v>2.4</v>
      </c>
      <c r="E33">
        <v>79</v>
      </c>
      <c r="F33">
        <v>19</v>
      </c>
      <c r="H33">
        <v>19</v>
      </c>
      <c r="I33">
        <v>1.3</v>
      </c>
      <c r="J33">
        <v>327</v>
      </c>
    </row>
    <row r="34" spans="1:10" ht="14.25" customHeight="1" x14ac:dyDescent="0.25">
      <c r="A34" s="21" t="str">
        <f>"04017"</f>
        <v>04017</v>
      </c>
      <c r="B34" s="21"/>
      <c r="C34">
        <v>1.4</v>
      </c>
      <c r="D34">
        <v>2.1</v>
      </c>
      <c r="E34">
        <v>17</v>
      </c>
      <c r="F34">
        <v>6</v>
      </c>
      <c r="H34">
        <v>6</v>
      </c>
      <c r="I34">
        <v>0.88</v>
      </c>
      <c r="J34">
        <v>248</v>
      </c>
    </row>
    <row r="35" spans="1:10" ht="14.25" customHeight="1" x14ac:dyDescent="0.25">
      <c r="A35" s="21" t="str">
        <f>"04017"</f>
        <v>04017</v>
      </c>
      <c r="B35" s="21"/>
      <c r="C35">
        <v>8.1</v>
      </c>
      <c r="D35">
        <v>3.7</v>
      </c>
      <c r="E35">
        <v>50</v>
      </c>
      <c r="F35">
        <v>25</v>
      </c>
      <c r="H35">
        <v>25</v>
      </c>
      <c r="I35">
        <v>1.1299999999999999</v>
      </c>
      <c r="J35">
        <v>916</v>
      </c>
    </row>
    <row r="36" spans="1:10" ht="14.25" customHeight="1" x14ac:dyDescent="0.25">
      <c r="A36" s="21" t="str">
        <f>"04021"</f>
        <v>04021</v>
      </c>
      <c r="B36" s="21"/>
      <c r="C36">
        <v>0.6</v>
      </c>
      <c r="D36">
        <v>2.1</v>
      </c>
      <c r="E36">
        <v>134</v>
      </c>
      <c r="F36">
        <v>12</v>
      </c>
      <c r="H36">
        <v>12</v>
      </c>
      <c r="I36">
        <v>0.8</v>
      </c>
      <c r="J36">
        <v>101</v>
      </c>
    </row>
    <row r="37" spans="1:10" ht="14.25" customHeight="1" x14ac:dyDescent="0.25">
      <c r="A37" s="21" t="str">
        <f>"04021"</f>
        <v>04021</v>
      </c>
      <c r="B37" s="21"/>
      <c r="C37">
        <v>3.1</v>
      </c>
      <c r="D37">
        <v>0.9</v>
      </c>
      <c r="J37">
        <v>526</v>
      </c>
    </row>
    <row r="38" spans="1:10" ht="14.25" customHeight="1" x14ac:dyDescent="0.25">
      <c r="A38" s="21" t="str">
        <f>"04023"</f>
        <v>04023</v>
      </c>
      <c r="B38" s="21"/>
      <c r="C38">
        <v>6.9</v>
      </c>
      <c r="D38">
        <v>2.2000000000000002</v>
      </c>
      <c r="E38">
        <v>56</v>
      </c>
      <c r="F38">
        <v>25</v>
      </c>
      <c r="H38">
        <v>25</v>
      </c>
      <c r="I38">
        <v>0.89</v>
      </c>
      <c r="J38" s="1">
        <v>1148</v>
      </c>
    </row>
    <row r="39" spans="1:10" ht="14.25" customHeight="1" x14ac:dyDescent="0.25">
      <c r="A39" s="21" t="str">
        <f>"05001"</f>
        <v>05001</v>
      </c>
      <c r="B39" s="21"/>
      <c r="C39">
        <v>2.2999999999999998</v>
      </c>
      <c r="D39">
        <v>4.8</v>
      </c>
      <c r="E39">
        <v>6</v>
      </c>
      <c r="F39">
        <v>25</v>
      </c>
      <c r="H39">
        <v>25</v>
      </c>
      <c r="I39">
        <v>0.91</v>
      </c>
      <c r="J39">
        <v>192</v>
      </c>
    </row>
    <row r="40" spans="1:10" ht="14.25" customHeight="1" x14ac:dyDescent="0.25">
      <c r="A40" s="21" t="str">
        <f>"05003"</f>
        <v>05003</v>
      </c>
      <c r="B40" s="21"/>
      <c r="C40">
        <v>10.1</v>
      </c>
      <c r="D40">
        <v>3.7</v>
      </c>
      <c r="E40">
        <v>47</v>
      </c>
      <c r="F40">
        <v>25</v>
      </c>
      <c r="G40">
        <v>6</v>
      </c>
      <c r="H40">
        <v>25</v>
      </c>
      <c r="I40">
        <v>1.18</v>
      </c>
      <c r="J40">
        <v>816</v>
      </c>
    </row>
    <row r="41" spans="1:10" ht="14.25" customHeight="1" x14ac:dyDescent="0.25">
      <c r="A41" s="21" t="str">
        <f>"05007"</f>
        <v>05007</v>
      </c>
      <c r="B41" s="21"/>
      <c r="C41">
        <v>20.3</v>
      </c>
      <c r="D41">
        <v>3.8</v>
      </c>
      <c r="E41">
        <v>100</v>
      </c>
      <c r="F41">
        <v>25</v>
      </c>
      <c r="H41">
        <v>25</v>
      </c>
      <c r="I41">
        <v>0.95</v>
      </c>
      <c r="J41">
        <v>415</v>
      </c>
    </row>
    <row r="42" spans="1:10" ht="14.25" customHeight="1" x14ac:dyDescent="0.25">
      <c r="A42" s="21" t="str">
        <f>"05011"</f>
        <v>05011</v>
      </c>
      <c r="B42" s="21"/>
      <c r="C42">
        <v>5.7</v>
      </c>
      <c r="D42">
        <v>3</v>
      </c>
      <c r="E42">
        <v>28</v>
      </c>
      <c r="F42">
        <v>25</v>
      </c>
      <c r="H42">
        <v>25</v>
      </c>
      <c r="I42">
        <v>1.05</v>
      </c>
      <c r="J42">
        <v>542</v>
      </c>
    </row>
    <row r="43" spans="1:10" ht="14.25" customHeight="1" x14ac:dyDescent="0.25">
      <c r="A43" s="21" t="str">
        <f>"05015"</f>
        <v>05015</v>
      </c>
      <c r="B43" s="21"/>
      <c r="C43">
        <v>3.8</v>
      </c>
      <c r="D43">
        <v>2.7</v>
      </c>
      <c r="E43">
        <v>30</v>
      </c>
      <c r="F43">
        <v>25</v>
      </c>
      <c r="H43">
        <v>25</v>
      </c>
      <c r="I43">
        <v>1.01</v>
      </c>
      <c r="J43">
        <v>357</v>
      </c>
    </row>
    <row r="44" spans="1:10" ht="14.25" customHeight="1" x14ac:dyDescent="0.25">
      <c r="A44" s="21" t="str">
        <f>"05015"</f>
        <v>05015</v>
      </c>
      <c r="B44" s="21"/>
      <c r="C44">
        <v>4.9000000000000004</v>
      </c>
      <c r="D44">
        <v>4.4000000000000004</v>
      </c>
      <c r="E44">
        <v>10</v>
      </c>
      <c r="F44">
        <v>15</v>
      </c>
      <c r="H44">
        <v>15</v>
      </c>
      <c r="I44">
        <v>0.87</v>
      </c>
      <c r="J44">
        <v>199</v>
      </c>
    </row>
    <row r="45" spans="1:10" ht="14.25" customHeight="1" x14ac:dyDescent="0.25">
      <c r="A45" s="21" t="str">
        <f>"05017"</f>
        <v>05017</v>
      </c>
      <c r="B45" s="21"/>
      <c r="C45">
        <v>9.1999999999999993</v>
      </c>
      <c r="D45">
        <v>3.5</v>
      </c>
      <c r="E45">
        <v>22</v>
      </c>
      <c r="F45">
        <v>25</v>
      </c>
      <c r="H45">
        <v>25</v>
      </c>
      <c r="I45">
        <v>0.97</v>
      </c>
      <c r="J45">
        <v>510</v>
      </c>
    </row>
    <row r="46" spans="1:10" ht="14.25" customHeight="1" x14ac:dyDescent="0.25">
      <c r="A46" s="21" t="str">
        <f>"05019"</f>
        <v>05019</v>
      </c>
      <c r="B46" s="21"/>
      <c r="C46">
        <v>10.9</v>
      </c>
      <c r="D46">
        <v>2.5</v>
      </c>
      <c r="E46">
        <v>34</v>
      </c>
      <c r="F46">
        <v>25</v>
      </c>
      <c r="H46">
        <v>25</v>
      </c>
      <c r="I46">
        <v>1.1499999999999999</v>
      </c>
      <c r="J46" s="1">
        <v>1028</v>
      </c>
    </row>
    <row r="47" spans="1:10" ht="14.25" customHeight="1" x14ac:dyDescent="0.25">
      <c r="A47" s="21" t="str">
        <f>"05021"</f>
        <v>05021</v>
      </c>
      <c r="B47" s="21"/>
      <c r="C47">
        <v>12.4</v>
      </c>
      <c r="D47">
        <v>2.1</v>
      </c>
      <c r="E47">
        <v>24</v>
      </c>
      <c r="F47">
        <v>25</v>
      </c>
      <c r="H47">
        <v>25</v>
      </c>
      <c r="I47">
        <v>0.95</v>
      </c>
      <c r="J47">
        <v>729</v>
      </c>
    </row>
    <row r="48" spans="1:10" ht="14.25" customHeight="1" x14ac:dyDescent="0.25">
      <c r="A48" s="21" t="str">
        <f>"05023"</f>
        <v>05023</v>
      </c>
      <c r="B48" s="21"/>
      <c r="C48">
        <v>9</v>
      </c>
      <c r="D48">
        <v>3</v>
      </c>
      <c r="E48">
        <v>32</v>
      </c>
      <c r="F48">
        <v>25</v>
      </c>
      <c r="H48">
        <v>25</v>
      </c>
      <c r="I48">
        <v>1.32</v>
      </c>
      <c r="J48">
        <v>733</v>
      </c>
    </row>
    <row r="49" spans="1:10" ht="14.25" customHeight="1" x14ac:dyDescent="0.25">
      <c r="A49" s="21" t="str">
        <f>"05029"</f>
        <v>05029</v>
      </c>
      <c r="B49" s="21"/>
      <c r="C49">
        <v>7.9</v>
      </c>
      <c r="D49">
        <v>4.2</v>
      </c>
      <c r="E49">
        <v>32</v>
      </c>
      <c r="F49">
        <v>25</v>
      </c>
      <c r="H49">
        <v>25</v>
      </c>
      <c r="I49">
        <v>1.29</v>
      </c>
      <c r="J49">
        <v>636</v>
      </c>
    </row>
    <row r="50" spans="1:10" ht="14.25" customHeight="1" x14ac:dyDescent="0.25">
      <c r="A50" s="21" t="str">
        <f>"05037"</f>
        <v>05037</v>
      </c>
      <c r="B50" s="21"/>
      <c r="C50">
        <v>8.5</v>
      </c>
      <c r="D50">
        <v>3.9</v>
      </c>
      <c r="E50">
        <v>16</v>
      </c>
      <c r="F50">
        <v>15</v>
      </c>
      <c r="H50">
        <v>15</v>
      </c>
      <c r="I50">
        <v>0.91</v>
      </c>
      <c r="J50">
        <v>567</v>
      </c>
    </row>
    <row r="51" spans="1:10" ht="14.25" customHeight="1" x14ac:dyDescent="0.25">
      <c r="A51" s="21" t="str">
        <f>"05039"</f>
        <v>05039</v>
      </c>
      <c r="B51" s="21"/>
      <c r="C51">
        <v>2</v>
      </c>
      <c r="D51">
        <v>2.9</v>
      </c>
      <c r="E51">
        <v>9</v>
      </c>
      <c r="F51">
        <v>22</v>
      </c>
      <c r="H51">
        <v>22</v>
      </c>
      <c r="I51">
        <v>0.85</v>
      </c>
      <c r="J51">
        <v>144</v>
      </c>
    </row>
    <row r="52" spans="1:10" ht="14.25" customHeight="1" x14ac:dyDescent="0.25">
      <c r="A52" s="21" t="str">
        <f>"05041"</f>
        <v>05041</v>
      </c>
      <c r="B52" s="21"/>
      <c r="C52">
        <v>4.3</v>
      </c>
      <c r="D52">
        <v>3.9</v>
      </c>
      <c r="E52">
        <v>8</v>
      </c>
      <c r="F52">
        <v>25</v>
      </c>
      <c r="H52">
        <v>25</v>
      </c>
      <c r="I52">
        <v>0.88</v>
      </c>
      <c r="J52">
        <v>273</v>
      </c>
    </row>
    <row r="53" spans="1:10" ht="14.25" customHeight="1" x14ac:dyDescent="0.25">
      <c r="A53" s="21" t="str">
        <f>"05041"</f>
        <v>05041</v>
      </c>
      <c r="B53" s="21"/>
      <c r="C53">
        <v>8.5</v>
      </c>
      <c r="D53">
        <v>3.3</v>
      </c>
      <c r="E53">
        <v>12</v>
      </c>
      <c r="F53">
        <v>25</v>
      </c>
      <c r="H53">
        <v>25</v>
      </c>
      <c r="I53">
        <v>0.89</v>
      </c>
      <c r="J53">
        <v>844</v>
      </c>
    </row>
    <row r="54" spans="1:10" ht="14.25" customHeight="1" x14ac:dyDescent="0.25">
      <c r="A54" s="21" t="str">
        <f>"05047"</f>
        <v>05047</v>
      </c>
      <c r="B54" s="21"/>
      <c r="C54">
        <v>2.7</v>
      </c>
      <c r="D54">
        <v>2.5</v>
      </c>
      <c r="E54">
        <v>17</v>
      </c>
      <c r="F54">
        <v>25</v>
      </c>
      <c r="H54">
        <v>25</v>
      </c>
      <c r="I54">
        <v>1.01</v>
      </c>
      <c r="J54">
        <v>225</v>
      </c>
    </row>
    <row r="55" spans="1:10" ht="14.25" customHeight="1" x14ac:dyDescent="0.25">
      <c r="A55" s="21" t="str">
        <f>"05049"</f>
        <v>05049</v>
      </c>
      <c r="B55" s="21"/>
      <c r="C55">
        <v>10.3</v>
      </c>
      <c r="D55">
        <v>3.4</v>
      </c>
      <c r="E55">
        <v>15</v>
      </c>
      <c r="F55">
        <v>25</v>
      </c>
      <c r="H55">
        <v>25</v>
      </c>
      <c r="I55">
        <v>0.9</v>
      </c>
      <c r="J55">
        <v>549</v>
      </c>
    </row>
    <row r="56" spans="1:10" ht="14.25" customHeight="1" x14ac:dyDescent="0.25">
      <c r="A56" s="21" t="str">
        <f>"05061"</f>
        <v>05061</v>
      </c>
      <c r="B56" s="21"/>
      <c r="C56">
        <v>7.3</v>
      </c>
      <c r="D56">
        <v>3.3</v>
      </c>
      <c r="E56">
        <v>57</v>
      </c>
      <c r="F56">
        <v>25</v>
      </c>
      <c r="H56">
        <v>20</v>
      </c>
      <c r="I56">
        <v>1.01</v>
      </c>
      <c r="J56">
        <v>559</v>
      </c>
    </row>
    <row r="57" spans="1:10" ht="14.25" customHeight="1" x14ac:dyDescent="0.25">
      <c r="A57" s="21" t="str">
        <f>"05065"</f>
        <v>05065</v>
      </c>
      <c r="B57" s="21"/>
      <c r="C57">
        <v>4.5999999999999996</v>
      </c>
      <c r="D57">
        <v>5.7</v>
      </c>
      <c r="E57">
        <v>18</v>
      </c>
      <c r="F57">
        <v>25</v>
      </c>
      <c r="H57">
        <v>25</v>
      </c>
      <c r="I57">
        <v>0.83</v>
      </c>
      <c r="J57">
        <v>298</v>
      </c>
    </row>
    <row r="58" spans="1:10" ht="14.25" customHeight="1" x14ac:dyDescent="0.25">
      <c r="A58" s="21" t="str">
        <f>"05075"</f>
        <v>05075</v>
      </c>
      <c r="B58" s="21"/>
      <c r="C58">
        <v>7.6</v>
      </c>
      <c r="D58">
        <v>22.6</v>
      </c>
      <c r="E58">
        <v>25</v>
      </c>
      <c r="F58">
        <v>25</v>
      </c>
      <c r="H58">
        <v>25</v>
      </c>
      <c r="I58">
        <v>0.94</v>
      </c>
      <c r="J58">
        <v>334</v>
      </c>
    </row>
    <row r="59" spans="1:10" ht="14.25" customHeight="1" x14ac:dyDescent="0.25">
      <c r="A59" s="21" t="str">
        <f>"05081"</f>
        <v>05081</v>
      </c>
      <c r="B59" s="21"/>
      <c r="C59">
        <v>2.7</v>
      </c>
      <c r="D59">
        <v>2.4</v>
      </c>
      <c r="E59">
        <v>19</v>
      </c>
      <c r="F59">
        <v>25</v>
      </c>
      <c r="H59">
        <v>25</v>
      </c>
      <c r="I59">
        <v>0.96</v>
      </c>
      <c r="J59">
        <v>137</v>
      </c>
    </row>
    <row r="60" spans="1:10" ht="14.25" customHeight="1" x14ac:dyDescent="0.25">
      <c r="A60" s="21" t="str">
        <f>"05083"</f>
        <v>05083</v>
      </c>
      <c r="B60" s="21"/>
      <c r="C60">
        <v>3.1</v>
      </c>
      <c r="D60">
        <v>3.1</v>
      </c>
      <c r="E60">
        <v>11</v>
      </c>
      <c r="F60">
        <v>16</v>
      </c>
      <c r="H60">
        <v>16</v>
      </c>
      <c r="I60">
        <v>1.1000000000000001</v>
      </c>
      <c r="J60">
        <v>159</v>
      </c>
    </row>
    <row r="61" spans="1:10" ht="14.25" customHeight="1" x14ac:dyDescent="0.25">
      <c r="A61" s="21" t="str">
        <f>"05083"</f>
        <v>05083</v>
      </c>
      <c r="B61" s="21"/>
      <c r="C61">
        <v>3.8</v>
      </c>
      <c r="D61">
        <v>2.8</v>
      </c>
      <c r="E61">
        <v>12</v>
      </c>
      <c r="F61">
        <v>24</v>
      </c>
      <c r="H61">
        <v>24</v>
      </c>
      <c r="I61">
        <v>1.1000000000000001</v>
      </c>
      <c r="J61">
        <v>259</v>
      </c>
    </row>
    <row r="62" spans="1:10" ht="14.25" customHeight="1" x14ac:dyDescent="0.25">
      <c r="A62" s="21" t="str">
        <f>"05093"</f>
        <v>05093</v>
      </c>
      <c r="B62" s="21"/>
      <c r="C62">
        <v>4.0999999999999996</v>
      </c>
      <c r="D62">
        <v>2.9</v>
      </c>
      <c r="E62">
        <v>11</v>
      </c>
      <c r="F62">
        <v>25</v>
      </c>
      <c r="H62">
        <v>25</v>
      </c>
      <c r="I62">
        <v>0.98</v>
      </c>
      <c r="J62">
        <v>364</v>
      </c>
    </row>
    <row r="63" spans="1:10" ht="14.25" customHeight="1" x14ac:dyDescent="0.25">
      <c r="A63" s="21" t="str">
        <f>"05127"</f>
        <v>05127</v>
      </c>
      <c r="B63" s="21"/>
      <c r="C63">
        <v>3.2</v>
      </c>
      <c r="D63">
        <v>2.9</v>
      </c>
      <c r="E63">
        <v>14</v>
      </c>
      <c r="F63">
        <v>24</v>
      </c>
      <c r="H63">
        <v>24</v>
      </c>
      <c r="I63">
        <v>1.06</v>
      </c>
      <c r="J63">
        <v>225</v>
      </c>
    </row>
    <row r="64" spans="1:10" ht="14.25" customHeight="1" x14ac:dyDescent="0.25">
      <c r="A64" s="21" t="str">
        <f>"05133"</f>
        <v>05133</v>
      </c>
      <c r="B64" s="21"/>
      <c r="C64">
        <v>4</v>
      </c>
      <c r="D64">
        <v>3.6</v>
      </c>
      <c r="I64">
        <v>0.88</v>
      </c>
      <c r="J64">
        <v>320</v>
      </c>
    </row>
    <row r="65" spans="1:10" ht="14.25" customHeight="1" x14ac:dyDescent="0.25">
      <c r="A65" s="21" t="str">
        <f>"05137"</f>
        <v>05137</v>
      </c>
      <c r="B65" s="21"/>
      <c r="C65">
        <v>5.2</v>
      </c>
      <c r="D65">
        <v>2.6</v>
      </c>
      <c r="E65">
        <v>23</v>
      </c>
      <c r="F65">
        <v>25</v>
      </c>
      <c r="H65">
        <v>25</v>
      </c>
      <c r="I65">
        <v>1.31</v>
      </c>
      <c r="J65">
        <v>544</v>
      </c>
    </row>
    <row r="66" spans="1:10" ht="14.25" customHeight="1" x14ac:dyDescent="0.25">
      <c r="A66" s="21" t="str">
        <f>"05141"</f>
        <v>05141</v>
      </c>
      <c r="B66" s="21"/>
      <c r="C66">
        <v>13</v>
      </c>
      <c r="D66">
        <v>4.7</v>
      </c>
      <c r="E66">
        <v>29</v>
      </c>
      <c r="F66">
        <v>25</v>
      </c>
      <c r="H66">
        <v>25</v>
      </c>
      <c r="I66">
        <v>1.0900000000000001</v>
      </c>
      <c r="J66">
        <v>386</v>
      </c>
    </row>
    <row r="67" spans="1:10" ht="14.25" customHeight="1" x14ac:dyDescent="0.25">
      <c r="A67" s="21" t="str">
        <f>"05149"</f>
        <v>05149</v>
      </c>
      <c r="B67" s="21"/>
      <c r="C67">
        <v>4.3</v>
      </c>
      <c r="D67">
        <v>3.5</v>
      </c>
      <c r="E67">
        <v>12</v>
      </c>
      <c r="F67">
        <v>25</v>
      </c>
      <c r="H67">
        <v>25</v>
      </c>
      <c r="I67">
        <v>1.03</v>
      </c>
      <c r="J67">
        <v>308</v>
      </c>
    </row>
    <row r="68" spans="1:10" ht="14.25" customHeight="1" x14ac:dyDescent="0.25">
      <c r="A68" s="21" t="str">
        <f>"06007"</f>
        <v>06007</v>
      </c>
      <c r="B68" s="21"/>
      <c r="C68">
        <v>8.6</v>
      </c>
      <c r="D68">
        <v>3.8</v>
      </c>
      <c r="E68">
        <v>42</v>
      </c>
      <c r="F68">
        <v>24</v>
      </c>
      <c r="H68">
        <v>24</v>
      </c>
      <c r="I68">
        <v>1.03</v>
      </c>
      <c r="J68">
        <v>291</v>
      </c>
    </row>
    <row r="69" spans="1:10" ht="14.25" customHeight="1" x14ac:dyDescent="0.25">
      <c r="A69" s="21" t="str">
        <f>"06009"</f>
        <v>06009</v>
      </c>
      <c r="B69" s="21"/>
      <c r="C69">
        <v>8.6</v>
      </c>
      <c r="D69">
        <v>3.3</v>
      </c>
      <c r="E69">
        <v>42</v>
      </c>
      <c r="F69">
        <v>25</v>
      </c>
      <c r="H69">
        <v>25</v>
      </c>
      <c r="I69">
        <v>1.39</v>
      </c>
      <c r="J69">
        <v>924</v>
      </c>
    </row>
    <row r="70" spans="1:10" ht="14.25" customHeight="1" x14ac:dyDescent="0.25">
      <c r="A70" s="21" t="str">
        <f>"06021"</f>
        <v>06021</v>
      </c>
      <c r="B70" s="21"/>
      <c r="C70">
        <v>17.3</v>
      </c>
      <c r="D70">
        <v>2.8</v>
      </c>
      <c r="E70">
        <v>19</v>
      </c>
      <c r="F70">
        <v>15</v>
      </c>
      <c r="H70">
        <v>15</v>
      </c>
      <c r="I70">
        <v>0.9</v>
      </c>
      <c r="J70">
        <v>122</v>
      </c>
    </row>
    <row r="71" spans="1:10" ht="14.25" customHeight="1" x14ac:dyDescent="0.25">
      <c r="A71" s="21" t="str">
        <f>"06023"</f>
        <v>06023</v>
      </c>
      <c r="B71" s="21"/>
      <c r="C71">
        <v>3.1</v>
      </c>
      <c r="D71">
        <v>2.2999999999999998</v>
      </c>
      <c r="E71">
        <v>11</v>
      </c>
      <c r="F71">
        <v>9</v>
      </c>
      <c r="H71">
        <v>9</v>
      </c>
      <c r="I71">
        <v>0.84</v>
      </c>
      <c r="J71">
        <v>55</v>
      </c>
    </row>
    <row r="72" spans="1:10" ht="14.25" customHeight="1" x14ac:dyDescent="0.25">
      <c r="A72" s="21" t="str">
        <f>"06023"</f>
        <v>06023</v>
      </c>
      <c r="B72" s="21"/>
      <c r="C72">
        <v>12.2</v>
      </c>
      <c r="D72">
        <v>3.6</v>
      </c>
      <c r="E72">
        <v>79</v>
      </c>
      <c r="F72">
        <v>25</v>
      </c>
      <c r="G72">
        <v>4</v>
      </c>
      <c r="H72">
        <v>25</v>
      </c>
      <c r="I72">
        <v>1.47</v>
      </c>
      <c r="J72" s="1">
        <v>1209</v>
      </c>
    </row>
    <row r="73" spans="1:10" ht="14.25" customHeight="1" x14ac:dyDescent="0.25">
      <c r="A73" s="21" t="str">
        <f>"06027"</f>
        <v>06027</v>
      </c>
      <c r="B73" s="21"/>
      <c r="C73">
        <v>0.5</v>
      </c>
      <c r="D73">
        <v>3.2</v>
      </c>
      <c r="E73">
        <v>11</v>
      </c>
      <c r="F73">
        <v>4</v>
      </c>
      <c r="H73">
        <v>4</v>
      </c>
      <c r="I73">
        <v>1.05</v>
      </c>
      <c r="J73">
        <v>51</v>
      </c>
    </row>
    <row r="74" spans="1:10" ht="14.25" customHeight="1" x14ac:dyDescent="0.25">
      <c r="A74" s="21" t="str">
        <f>"06027"</f>
        <v>06027</v>
      </c>
      <c r="B74" s="21"/>
      <c r="C74">
        <v>8.8000000000000007</v>
      </c>
      <c r="D74">
        <v>2.6</v>
      </c>
      <c r="E74">
        <v>79</v>
      </c>
      <c r="F74">
        <v>25</v>
      </c>
      <c r="G74">
        <v>4</v>
      </c>
      <c r="H74">
        <v>25</v>
      </c>
      <c r="I74">
        <v>1.31</v>
      </c>
      <c r="J74" s="1">
        <v>1017</v>
      </c>
    </row>
    <row r="75" spans="1:10" ht="14.25" customHeight="1" x14ac:dyDescent="0.25">
      <c r="A75" s="21" t="str">
        <f>"06029"</f>
        <v>06029</v>
      </c>
      <c r="B75" s="21"/>
      <c r="C75">
        <v>4.5999999999999996</v>
      </c>
      <c r="D75">
        <v>3.5</v>
      </c>
      <c r="E75">
        <v>47</v>
      </c>
      <c r="F75">
        <v>24</v>
      </c>
      <c r="H75">
        <v>24</v>
      </c>
      <c r="I75">
        <v>1</v>
      </c>
      <c r="J75">
        <v>419</v>
      </c>
    </row>
    <row r="76" spans="1:10" ht="14.25" customHeight="1" x14ac:dyDescent="0.25">
      <c r="A76" s="21" t="str">
        <f>"06029"</f>
        <v>06029</v>
      </c>
      <c r="B76" s="21"/>
      <c r="C76">
        <v>6.5</v>
      </c>
      <c r="D76">
        <v>4.4000000000000004</v>
      </c>
      <c r="E76">
        <v>41</v>
      </c>
      <c r="F76">
        <v>20</v>
      </c>
      <c r="G76">
        <v>4</v>
      </c>
      <c r="H76">
        <v>20</v>
      </c>
      <c r="I76">
        <v>1</v>
      </c>
      <c r="J76">
        <v>168</v>
      </c>
    </row>
    <row r="77" spans="1:10" ht="14.25" customHeight="1" x14ac:dyDescent="0.25">
      <c r="A77" s="21" t="str">
        <f>"06029"</f>
        <v>06029</v>
      </c>
      <c r="B77" s="21"/>
      <c r="C77">
        <v>16.600000000000001</v>
      </c>
      <c r="D77">
        <v>2.6</v>
      </c>
      <c r="E77">
        <v>117</v>
      </c>
      <c r="F77">
        <v>25</v>
      </c>
      <c r="G77">
        <v>4</v>
      </c>
      <c r="H77">
        <v>25</v>
      </c>
      <c r="I77">
        <v>1.29</v>
      </c>
      <c r="J77" s="1">
        <v>1798</v>
      </c>
    </row>
    <row r="78" spans="1:10" ht="14.25" customHeight="1" x14ac:dyDescent="0.25">
      <c r="A78" s="21" t="str">
        <f>"06033"</f>
        <v>06033</v>
      </c>
      <c r="B78" s="21"/>
      <c r="C78">
        <v>15.4</v>
      </c>
      <c r="D78">
        <v>4</v>
      </c>
      <c r="E78">
        <v>86</v>
      </c>
      <c r="F78">
        <v>25</v>
      </c>
      <c r="G78">
        <v>4</v>
      </c>
      <c r="H78">
        <v>25</v>
      </c>
      <c r="I78">
        <v>1.27</v>
      </c>
      <c r="J78" s="1">
        <v>1417</v>
      </c>
    </row>
    <row r="79" spans="1:10" ht="14.25" customHeight="1" x14ac:dyDescent="0.25">
      <c r="A79" s="21" t="str">
        <f>"06033"</f>
        <v>06033</v>
      </c>
      <c r="B79" s="21"/>
      <c r="C79">
        <v>17.399999999999999</v>
      </c>
      <c r="D79">
        <v>3</v>
      </c>
      <c r="E79">
        <v>83</v>
      </c>
      <c r="F79">
        <v>25</v>
      </c>
      <c r="G79">
        <v>4</v>
      </c>
      <c r="H79">
        <v>25</v>
      </c>
      <c r="I79">
        <v>1.37</v>
      </c>
      <c r="J79" s="1">
        <v>1625</v>
      </c>
    </row>
    <row r="80" spans="1:10" ht="14.25" customHeight="1" x14ac:dyDescent="0.25">
      <c r="A80" s="21" t="str">
        <f>"06035"</f>
        <v>06035</v>
      </c>
      <c r="B80" s="21"/>
      <c r="C80">
        <v>8.9</v>
      </c>
      <c r="D80">
        <v>3.3</v>
      </c>
      <c r="E80">
        <v>61</v>
      </c>
      <c r="F80">
        <v>25</v>
      </c>
      <c r="H80">
        <v>25</v>
      </c>
      <c r="I80">
        <v>1.05</v>
      </c>
      <c r="J80">
        <v>987</v>
      </c>
    </row>
    <row r="81" spans="1:10" ht="14.25" customHeight="1" x14ac:dyDescent="0.25">
      <c r="A81" s="21" t="str">
        <f>"06037"</f>
        <v>06037</v>
      </c>
      <c r="B81" s="21"/>
      <c r="C81">
        <v>3.8</v>
      </c>
      <c r="D81">
        <v>3</v>
      </c>
      <c r="E81">
        <v>10</v>
      </c>
      <c r="F81">
        <v>8</v>
      </c>
      <c r="H81">
        <v>8</v>
      </c>
      <c r="I81">
        <v>0.85</v>
      </c>
      <c r="J81">
        <v>6</v>
      </c>
    </row>
    <row r="82" spans="1:10" ht="14.25" customHeight="1" x14ac:dyDescent="0.25">
      <c r="A82" s="21" t="str">
        <f>"06043"</f>
        <v>06043</v>
      </c>
      <c r="B82" s="21"/>
      <c r="C82">
        <v>12.8</v>
      </c>
      <c r="D82">
        <v>3.6</v>
      </c>
      <c r="E82">
        <v>28</v>
      </c>
      <c r="F82">
        <v>18</v>
      </c>
      <c r="H82">
        <v>18</v>
      </c>
      <c r="I82">
        <v>1.04</v>
      </c>
      <c r="J82">
        <v>309</v>
      </c>
    </row>
    <row r="83" spans="1:10" ht="14.25" customHeight="1" x14ac:dyDescent="0.25">
      <c r="A83" s="21" t="str">
        <f>"06045"</f>
        <v>06045</v>
      </c>
      <c r="B83" s="21"/>
      <c r="C83">
        <v>19.5</v>
      </c>
      <c r="D83">
        <v>4</v>
      </c>
      <c r="E83">
        <v>55</v>
      </c>
      <c r="F83">
        <v>25</v>
      </c>
      <c r="G83">
        <v>4</v>
      </c>
      <c r="H83">
        <v>25</v>
      </c>
      <c r="I83">
        <v>1.57</v>
      </c>
      <c r="J83" s="1">
        <v>1541</v>
      </c>
    </row>
    <row r="84" spans="1:10" ht="14.25" customHeight="1" x14ac:dyDescent="0.25">
      <c r="A84" s="21" t="str">
        <f>"06045"</f>
        <v>06045</v>
      </c>
      <c r="B84" s="21"/>
      <c r="C84">
        <v>11.1</v>
      </c>
      <c r="D84">
        <v>3.3</v>
      </c>
      <c r="E84">
        <v>81</v>
      </c>
      <c r="F84">
        <v>25</v>
      </c>
      <c r="G84">
        <v>4</v>
      </c>
      <c r="H84">
        <v>25</v>
      </c>
      <c r="I84">
        <v>1.36</v>
      </c>
      <c r="J84">
        <v>797</v>
      </c>
    </row>
    <row r="85" spans="1:10" ht="14.25" customHeight="1" x14ac:dyDescent="0.25">
      <c r="A85" s="21" t="str">
        <f>"06049"</f>
        <v>06049</v>
      </c>
      <c r="B85" s="21"/>
      <c r="C85">
        <v>1</v>
      </c>
      <c r="D85">
        <v>2.6</v>
      </c>
      <c r="E85">
        <v>3</v>
      </c>
      <c r="F85">
        <v>4</v>
      </c>
      <c r="H85">
        <v>4</v>
      </c>
      <c r="I85">
        <v>0.85</v>
      </c>
      <c r="J85">
        <v>21</v>
      </c>
    </row>
    <row r="86" spans="1:10" ht="14.25" customHeight="1" x14ac:dyDescent="0.25">
      <c r="A86" s="21" t="str">
        <f>"06049"</f>
        <v>06049</v>
      </c>
      <c r="B86" s="21"/>
      <c r="C86">
        <v>3.2</v>
      </c>
      <c r="D86">
        <v>3.7</v>
      </c>
      <c r="E86">
        <v>24</v>
      </c>
      <c r="F86">
        <v>16</v>
      </c>
      <c r="H86">
        <v>16</v>
      </c>
      <c r="I86">
        <v>1.03</v>
      </c>
      <c r="J86">
        <v>238</v>
      </c>
    </row>
    <row r="87" spans="1:10" ht="14.25" customHeight="1" x14ac:dyDescent="0.25">
      <c r="A87" s="21" t="str">
        <f>"06051"</f>
        <v>06051</v>
      </c>
      <c r="B87" s="21"/>
      <c r="C87">
        <v>4.5999999999999996</v>
      </c>
      <c r="D87">
        <v>2.4</v>
      </c>
      <c r="E87">
        <v>62</v>
      </c>
      <c r="F87">
        <v>17</v>
      </c>
      <c r="G87">
        <v>2</v>
      </c>
      <c r="H87">
        <v>17</v>
      </c>
      <c r="I87">
        <v>1.59</v>
      </c>
      <c r="J87">
        <v>820</v>
      </c>
    </row>
    <row r="88" spans="1:10" ht="14.25" customHeight="1" x14ac:dyDescent="0.25">
      <c r="A88" s="21" t="str">
        <f>"06057"</f>
        <v>06057</v>
      </c>
      <c r="B88" s="21"/>
      <c r="C88">
        <v>14.5</v>
      </c>
      <c r="D88">
        <v>2.2999999999999998</v>
      </c>
      <c r="E88">
        <v>92</v>
      </c>
      <c r="F88">
        <v>25</v>
      </c>
      <c r="G88">
        <v>6</v>
      </c>
      <c r="H88">
        <v>25</v>
      </c>
      <c r="I88">
        <v>1.59</v>
      </c>
      <c r="J88" s="1">
        <v>2068</v>
      </c>
    </row>
    <row r="89" spans="1:10" ht="14.25" customHeight="1" x14ac:dyDescent="0.25">
      <c r="A89" s="21" t="str">
        <f>"06063"</f>
        <v>06063</v>
      </c>
      <c r="B89" s="21"/>
      <c r="C89">
        <v>3.1</v>
      </c>
      <c r="D89">
        <v>4</v>
      </c>
      <c r="E89">
        <v>20</v>
      </c>
      <c r="F89">
        <v>9</v>
      </c>
      <c r="H89">
        <v>9</v>
      </c>
      <c r="I89">
        <v>0.87</v>
      </c>
      <c r="J89">
        <v>124</v>
      </c>
    </row>
    <row r="90" spans="1:10" ht="14.25" customHeight="1" x14ac:dyDescent="0.25">
      <c r="A90" s="21" t="str">
        <f>"06063"</f>
        <v>06063</v>
      </c>
      <c r="B90" s="21"/>
      <c r="C90">
        <v>6.1</v>
      </c>
      <c r="D90">
        <v>2.9</v>
      </c>
      <c r="E90">
        <v>25</v>
      </c>
      <c r="F90">
        <v>17</v>
      </c>
      <c r="H90">
        <v>17</v>
      </c>
      <c r="I90">
        <v>1.04</v>
      </c>
      <c r="J90">
        <v>516</v>
      </c>
    </row>
    <row r="91" spans="1:10" ht="14.25" customHeight="1" x14ac:dyDescent="0.25">
      <c r="A91" s="21" t="str">
        <f>"06063"</f>
        <v>06063</v>
      </c>
      <c r="B91" s="21"/>
      <c r="C91">
        <v>2.1</v>
      </c>
      <c r="D91">
        <v>3.2</v>
      </c>
      <c r="E91">
        <v>13</v>
      </c>
      <c r="F91">
        <v>10</v>
      </c>
      <c r="H91">
        <v>10</v>
      </c>
      <c r="I91">
        <v>0.96</v>
      </c>
      <c r="J91">
        <v>129</v>
      </c>
    </row>
    <row r="92" spans="1:10" ht="14.25" customHeight="1" x14ac:dyDescent="0.25">
      <c r="A92" s="21" t="str">
        <f>"06071"</f>
        <v>06071</v>
      </c>
      <c r="B92" s="21"/>
      <c r="C92">
        <v>4.0999999999999996</v>
      </c>
      <c r="D92">
        <v>2.9</v>
      </c>
      <c r="E92">
        <v>9</v>
      </c>
      <c r="F92">
        <v>25</v>
      </c>
      <c r="H92">
        <v>25</v>
      </c>
      <c r="I92">
        <v>0.88</v>
      </c>
      <c r="J92">
        <v>519</v>
      </c>
    </row>
    <row r="93" spans="1:10" ht="14.25" customHeight="1" x14ac:dyDescent="0.25">
      <c r="A93" s="21" t="str">
        <f>"06071"</f>
        <v>06071</v>
      </c>
      <c r="B93" s="21"/>
      <c r="C93">
        <v>3.2</v>
      </c>
      <c r="D93">
        <v>3.1</v>
      </c>
      <c r="E93">
        <v>24</v>
      </c>
      <c r="F93">
        <v>17</v>
      </c>
      <c r="H93">
        <v>17</v>
      </c>
      <c r="I93">
        <v>1.02</v>
      </c>
      <c r="J93">
        <v>306</v>
      </c>
    </row>
    <row r="94" spans="1:10" ht="14.25" customHeight="1" x14ac:dyDescent="0.25">
      <c r="A94" s="21" t="str">
        <f>"06071"</f>
        <v>06071</v>
      </c>
      <c r="B94" s="21"/>
      <c r="C94">
        <v>1.5</v>
      </c>
      <c r="D94">
        <v>2.2999999999999998</v>
      </c>
      <c r="E94">
        <v>45</v>
      </c>
      <c r="F94">
        <v>9</v>
      </c>
      <c r="H94">
        <v>9</v>
      </c>
      <c r="I94">
        <v>0.88</v>
      </c>
      <c r="J94">
        <v>138</v>
      </c>
    </row>
    <row r="95" spans="1:10" ht="14.25" customHeight="1" x14ac:dyDescent="0.25">
      <c r="A95" s="21" t="str">
        <f>"06083"</f>
        <v>06083</v>
      </c>
      <c r="B95" s="21"/>
      <c r="C95">
        <v>1.7</v>
      </c>
      <c r="D95">
        <v>2.9</v>
      </c>
      <c r="E95">
        <v>46</v>
      </c>
      <c r="F95">
        <v>11</v>
      </c>
      <c r="H95">
        <v>11</v>
      </c>
      <c r="I95">
        <v>1.06</v>
      </c>
      <c r="J95">
        <v>212</v>
      </c>
    </row>
    <row r="96" spans="1:10" ht="14.25" customHeight="1" x14ac:dyDescent="0.25">
      <c r="A96" s="21" t="str">
        <f>"06089"</f>
        <v>06089</v>
      </c>
      <c r="B96" s="21"/>
      <c r="C96">
        <v>5.2</v>
      </c>
      <c r="D96">
        <v>3.2</v>
      </c>
      <c r="E96">
        <v>24</v>
      </c>
      <c r="F96">
        <v>22</v>
      </c>
      <c r="H96">
        <v>22</v>
      </c>
      <c r="I96">
        <v>1.05</v>
      </c>
      <c r="J96">
        <v>207</v>
      </c>
    </row>
    <row r="97" spans="1:10" ht="14.25" customHeight="1" x14ac:dyDescent="0.25">
      <c r="A97" s="21" t="str">
        <f>"06093"</f>
        <v>06093</v>
      </c>
      <c r="B97" s="21"/>
      <c r="C97">
        <v>8.1999999999999993</v>
      </c>
      <c r="D97">
        <v>3</v>
      </c>
      <c r="E97">
        <v>79</v>
      </c>
      <c r="F97">
        <v>25</v>
      </c>
      <c r="G97">
        <v>4</v>
      </c>
      <c r="H97">
        <v>25</v>
      </c>
      <c r="I97">
        <v>1.51</v>
      </c>
      <c r="J97">
        <v>992</v>
      </c>
    </row>
    <row r="98" spans="1:10" ht="14.25" customHeight="1" x14ac:dyDescent="0.25">
      <c r="A98" s="21" t="str">
        <f>"06093"</f>
        <v>06093</v>
      </c>
      <c r="B98" s="21"/>
      <c r="C98">
        <v>12.7</v>
      </c>
      <c r="D98">
        <v>3.5</v>
      </c>
      <c r="E98">
        <v>69</v>
      </c>
      <c r="F98">
        <v>25</v>
      </c>
      <c r="G98">
        <v>4</v>
      </c>
      <c r="H98">
        <v>25</v>
      </c>
      <c r="I98">
        <v>1.33</v>
      </c>
      <c r="J98" s="1">
        <v>1299</v>
      </c>
    </row>
    <row r="99" spans="1:10" ht="14.25" customHeight="1" x14ac:dyDescent="0.25">
      <c r="A99" s="21" t="str">
        <f>"06097"</f>
        <v>06097</v>
      </c>
      <c r="B99" s="21"/>
      <c r="C99">
        <v>7.9</v>
      </c>
      <c r="D99">
        <v>3.6</v>
      </c>
      <c r="E99">
        <v>72</v>
      </c>
      <c r="F99">
        <v>25</v>
      </c>
      <c r="G99">
        <v>4</v>
      </c>
      <c r="H99">
        <v>25</v>
      </c>
      <c r="I99">
        <v>1.28</v>
      </c>
      <c r="J99">
        <v>672</v>
      </c>
    </row>
    <row r="100" spans="1:10" ht="14.25" customHeight="1" x14ac:dyDescent="0.25">
      <c r="A100" s="21" t="str">
        <f>"06105"</f>
        <v>06105</v>
      </c>
      <c r="B100" s="21"/>
      <c r="C100">
        <v>5.9</v>
      </c>
      <c r="D100">
        <v>4</v>
      </c>
      <c r="E100">
        <v>23</v>
      </c>
      <c r="F100">
        <v>25</v>
      </c>
      <c r="H100">
        <v>25</v>
      </c>
      <c r="I100">
        <v>1.01</v>
      </c>
      <c r="J100">
        <v>231</v>
      </c>
    </row>
    <row r="101" spans="1:10" ht="14.25" customHeight="1" x14ac:dyDescent="0.25">
      <c r="A101" s="21" t="str">
        <f>"06111"</f>
        <v>06111</v>
      </c>
      <c r="B101" s="21"/>
      <c r="C101">
        <v>8.5</v>
      </c>
      <c r="D101">
        <v>9.1</v>
      </c>
      <c r="E101">
        <v>88</v>
      </c>
      <c r="F101">
        <v>25</v>
      </c>
      <c r="G101">
        <v>4</v>
      </c>
      <c r="H101">
        <v>25</v>
      </c>
      <c r="I101">
        <v>1.25</v>
      </c>
      <c r="J101">
        <v>452</v>
      </c>
    </row>
    <row r="102" spans="1:10" ht="14.25" customHeight="1" x14ac:dyDescent="0.25">
      <c r="A102" s="21" t="str">
        <f>"08007"</f>
        <v>08007</v>
      </c>
      <c r="B102" s="21"/>
      <c r="C102">
        <v>3.3</v>
      </c>
      <c r="D102">
        <v>2.6</v>
      </c>
      <c r="E102">
        <v>37</v>
      </c>
      <c r="F102">
        <v>11</v>
      </c>
      <c r="H102">
        <v>11</v>
      </c>
      <c r="I102">
        <v>1.1499999999999999</v>
      </c>
      <c r="J102">
        <v>454</v>
      </c>
    </row>
    <row r="103" spans="1:10" ht="14.25" customHeight="1" x14ac:dyDescent="0.25">
      <c r="A103" s="21" t="str">
        <f>"08009"</f>
        <v>08009</v>
      </c>
      <c r="B103" s="21"/>
      <c r="C103">
        <v>4.9000000000000004</v>
      </c>
      <c r="D103">
        <v>3.3</v>
      </c>
      <c r="E103">
        <v>8</v>
      </c>
      <c r="F103">
        <v>15</v>
      </c>
      <c r="H103">
        <v>15</v>
      </c>
      <c r="I103">
        <v>0.98</v>
      </c>
      <c r="J103">
        <v>199</v>
      </c>
    </row>
    <row r="104" spans="1:10" ht="14.25" customHeight="1" x14ac:dyDescent="0.25">
      <c r="A104" s="21" t="str">
        <f>"08015"</f>
        <v>08015</v>
      </c>
      <c r="B104" s="21"/>
      <c r="C104">
        <v>10.3</v>
      </c>
      <c r="D104">
        <v>3</v>
      </c>
      <c r="E104">
        <v>112</v>
      </c>
      <c r="F104">
        <v>25</v>
      </c>
      <c r="G104">
        <v>2</v>
      </c>
      <c r="H104">
        <v>25</v>
      </c>
      <c r="I104">
        <v>1.26</v>
      </c>
      <c r="J104">
        <v>979</v>
      </c>
    </row>
    <row r="105" spans="1:10" ht="14.25" customHeight="1" x14ac:dyDescent="0.25">
      <c r="A105" s="21" t="str">
        <f>"08021"</f>
        <v>08021</v>
      </c>
      <c r="B105" s="21"/>
      <c r="C105">
        <v>2.9</v>
      </c>
      <c r="D105">
        <v>2.9</v>
      </c>
      <c r="E105">
        <v>18</v>
      </c>
      <c r="F105">
        <v>17</v>
      </c>
      <c r="H105">
        <v>17</v>
      </c>
      <c r="I105">
        <v>1.04</v>
      </c>
      <c r="J105">
        <v>161</v>
      </c>
    </row>
    <row r="106" spans="1:10" ht="14.25" customHeight="1" x14ac:dyDescent="0.25">
      <c r="A106" s="21" t="str">
        <f>"08043"</f>
        <v>08043</v>
      </c>
      <c r="B106" s="21"/>
      <c r="C106">
        <v>14.9</v>
      </c>
      <c r="D106">
        <v>3.6</v>
      </c>
      <c r="E106">
        <v>88</v>
      </c>
      <c r="F106">
        <v>25</v>
      </c>
      <c r="G106">
        <v>4</v>
      </c>
      <c r="H106">
        <v>25</v>
      </c>
      <c r="I106">
        <v>1.53</v>
      </c>
      <c r="J106" s="1">
        <v>1735</v>
      </c>
    </row>
    <row r="107" spans="1:10" ht="14.25" customHeight="1" x14ac:dyDescent="0.25">
      <c r="A107" s="21" t="str">
        <f>"08045"</f>
        <v>08045</v>
      </c>
      <c r="B107" s="21"/>
      <c r="C107">
        <v>5.2</v>
      </c>
      <c r="D107">
        <v>2.8</v>
      </c>
      <c r="E107">
        <v>70</v>
      </c>
      <c r="F107">
        <v>12</v>
      </c>
      <c r="H107">
        <v>12</v>
      </c>
      <c r="I107">
        <v>1.3</v>
      </c>
      <c r="J107">
        <v>573</v>
      </c>
    </row>
    <row r="108" spans="1:10" ht="14.25" customHeight="1" x14ac:dyDescent="0.25">
      <c r="A108" s="21" t="str">
        <f>"08049"</f>
        <v>08049</v>
      </c>
      <c r="B108" s="21"/>
      <c r="C108">
        <v>10.199999999999999</v>
      </c>
      <c r="D108">
        <v>3.6</v>
      </c>
      <c r="E108">
        <v>51</v>
      </c>
      <c r="F108">
        <v>21</v>
      </c>
      <c r="H108">
        <v>21</v>
      </c>
      <c r="I108">
        <v>1.02</v>
      </c>
      <c r="J108">
        <v>101</v>
      </c>
    </row>
    <row r="109" spans="1:10" ht="14.25" customHeight="1" x14ac:dyDescent="0.25">
      <c r="A109" s="21" t="str">
        <f>"08049"</f>
        <v>08049</v>
      </c>
      <c r="B109" s="21"/>
      <c r="H109">
        <v>2</v>
      </c>
    </row>
    <row r="110" spans="1:10" ht="14.25" customHeight="1" x14ac:dyDescent="0.25">
      <c r="A110" s="21" t="str">
        <f>"08051"</f>
        <v>08051</v>
      </c>
      <c r="B110" s="21"/>
      <c r="C110">
        <v>4.7</v>
      </c>
      <c r="D110">
        <v>2.2000000000000002</v>
      </c>
      <c r="E110">
        <v>76</v>
      </c>
      <c r="F110">
        <v>20</v>
      </c>
      <c r="H110">
        <v>20</v>
      </c>
      <c r="I110">
        <v>1.43</v>
      </c>
      <c r="J110">
        <v>510</v>
      </c>
    </row>
    <row r="111" spans="1:10" ht="14.25" customHeight="1" x14ac:dyDescent="0.25">
      <c r="A111" s="21" t="str">
        <f>"08055"</f>
        <v>08055</v>
      </c>
      <c r="B111" s="21"/>
      <c r="C111">
        <v>2.1</v>
      </c>
      <c r="D111">
        <v>2.5</v>
      </c>
      <c r="E111">
        <v>29</v>
      </c>
      <c r="F111">
        <v>16</v>
      </c>
      <c r="H111">
        <v>16</v>
      </c>
      <c r="I111">
        <v>0.99</v>
      </c>
      <c r="J111">
        <v>139</v>
      </c>
    </row>
    <row r="112" spans="1:10" ht="14.25" customHeight="1" x14ac:dyDescent="0.25">
      <c r="A112" s="21" t="str">
        <f>"08061"</f>
        <v>08061</v>
      </c>
      <c r="B112" s="21"/>
      <c r="C112">
        <v>16.2</v>
      </c>
      <c r="D112">
        <v>3.1</v>
      </c>
      <c r="E112">
        <v>9</v>
      </c>
      <c r="F112">
        <v>25</v>
      </c>
      <c r="H112">
        <v>25</v>
      </c>
      <c r="I112">
        <v>0.87</v>
      </c>
      <c r="J112">
        <v>34</v>
      </c>
    </row>
    <row r="113" spans="1:10" ht="14.25" customHeight="1" x14ac:dyDescent="0.25">
      <c r="A113" s="21" t="str">
        <f>"08063"</f>
        <v>08063</v>
      </c>
      <c r="B113" s="21"/>
      <c r="C113">
        <v>4.5999999999999996</v>
      </c>
      <c r="D113">
        <v>3.3</v>
      </c>
      <c r="E113">
        <v>19</v>
      </c>
      <c r="F113">
        <v>19</v>
      </c>
      <c r="H113">
        <v>19</v>
      </c>
      <c r="I113">
        <v>0.89</v>
      </c>
      <c r="J113">
        <v>308</v>
      </c>
    </row>
    <row r="114" spans="1:10" ht="14.25" customHeight="1" x14ac:dyDescent="0.25">
      <c r="A114" s="21" t="str">
        <f>"08065"</f>
        <v>08065</v>
      </c>
      <c r="B114" s="21"/>
      <c r="C114">
        <v>0.8</v>
      </c>
      <c r="D114">
        <v>1.8</v>
      </c>
      <c r="E114">
        <v>12</v>
      </c>
      <c r="F114">
        <v>8</v>
      </c>
      <c r="H114">
        <v>8</v>
      </c>
      <c r="I114">
        <v>0.9</v>
      </c>
      <c r="J114">
        <v>104</v>
      </c>
    </row>
    <row r="115" spans="1:10" ht="14.25" customHeight="1" x14ac:dyDescent="0.25">
      <c r="A115" s="21" t="str">
        <f>"08069"</f>
        <v>08069</v>
      </c>
      <c r="B115" s="21"/>
      <c r="C115">
        <v>3.3</v>
      </c>
      <c r="D115">
        <v>2.7</v>
      </c>
      <c r="E115">
        <v>49</v>
      </c>
      <c r="F115">
        <v>25</v>
      </c>
      <c r="H115">
        <v>23</v>
      </c>
      <c r="I115">
        <v>1.22</v>
      </c>
      <c r="J115">
        <v>404</v>
      </c>
    </row>
    <row r="116" spans="1:10" ht="14.25" customHeight="1" x14ac:dyDescent="0.25">
      <c r="A116" s="21" t="str">
        <f>"08071"</f>
        <v>08071</v>
      </c>
      <c r="B116" s="21"/>
      <c r="C116">
        <v>7.2</v>
      </c>
      <c r="D116">
        <v>3.4</v>
      </c>
      <c r="E116">
        <v>46</v>
      </c>
      <c r="F116">
        <v>25</v>
      </c>
      <c r="H116">
        <v>25</v>
      </c>
      <c r="I116">
        <v>0.96</v>
      </c>
      <c r="J116">
        <v>479</v>
      </c>
    </row>
    <row r="117" spans="1:10" ht="14.25" customHeight="1" x14ac:dyDescent="0.25">
      <c r="A117" s="21" t="str">
        <f>"08073"</f>
        <v>08073</v>
      </c>
      <c r="B117" s="21"/>
      <c r="C117">
        <v>2.6</v>
      </c>
      <c r="D117">
        <v>3.3</v>
      </c>
      <c r="E117">
        <v>23</v>
      </c>
      <c r="F117">
        <v>15</v>
      </c>
      <c r="H117">
        <v>15</v>
      </c>
      <c r="I117">
        <v>0.97</v>
      </c>
      <c r="J117">
        <v>137</v>
      </c>
    </row>
    <row r="118" spans="1:10" ht="14.25" customHeight="1" x14ac:dyDescent="0.25">
      <c r="A118" s="21" t="str">
        <f>"08077"</f>
        <v>08077</v>
      </c>
      <c r="B118" s="21"/>
      <c r="C118">
        <v>13.4</v>
      </c>
      <c r="D118">
        <v>3.2</v>
      </c>
      <c r="E118">
        <v>43</v>
      </c>
      <c r="F118">
        <v>25</v>
      </c>
      <c r="H118">
        <v>25</v>
      </c>
      <c r="I118">
        <v>1.37</v>
      </c>
      <c r="J118">
        <v>258</v>
      </c>
    </row>
    <row r="119" spans="1:10" ht="14.25" customHeight="1" x14ac:dyDescent="0.25">
      <c r="A119" s="21" t="str">
        <f>"08081"</f>
        <v>08081</v>
      </c>
      <c r="B119" s="21"/>
      <c r="C119">
        <v>8.8000000000000007</v>
      </c>
      <c r="D119">
        <v>3.2</v>
      </c>
      <c r="E119">
        <v>44</v>
      </c>
      <c r="F119">
        <v>25</v>
      </c>
      <c r="H119">
        <v>25</v>
      </c>
      <c r="I119">
        <v>1.39</v>
      </c>
      <c r="J119">
        <v>819</v>
      </c>
    </row>
    <row r="120" spans="1:10" ht="14.25" customHeight="1" x14ac:dyDescent="0.25">
      <c r="A120" s="21" t="str">
        <f>"08083"</f>
        <v>08083</v>
      </c>
      <c r="B120" s="21"/>
      <c r="C120">
        <v>9.6</v>
      </c>
      <c r="D120">
        <v>3.1</v>
      </c>
      <c r="E120">
        <v>78</v>
      </c>
      <c r="F120">
        <v>25</v>
      </c>
      <c r="G120">
        <v>4</v>
      </c>
      <c r="H120">
        <v>25</v>
      </c>
      <c r="I120">
        <v>1.27</v>
      </c>
      <c r="J120" s="1">
        <v>1027</v>
      </c>
    </row>
    <row r="121" spans="1:10" ht="14.25" customHeight="1" x14ac:dyDescent="0.25">
      <c r="A121" s="21" t="str">
        <f>"08087"</f>
        <v>08087</v>
      </c>
      <c r="B121" s="21"/>
      <c r="C121">
        <v>4.0999999999999996</v>
      </c>
      <c r="D121">
        <v>2.6</v>
      </c>
      <c r="E121">
        <v>38</v>
      </c>
      <c r="F121">
        <v>25</v>
      </c>
      <c r="H121">
        <v>25</v>
      </c>
      <c r="I121">
        <v>1.28</v>
      </c>
      <c r="J121">
        <v>410</v>
      </c>
    </row>
    <row r="122" spans="1:10" ht="14.25" customHeight="1" x14ac:dyDescent="0.25">
      <c r="A122" s="21" t="str">
        <f>"08089"</f>
        <v>08089</v>
      </c>
      <c r="B122" s="21"/>
      <c r="C122">
        <v>256.2</v>
      </c>
      <c r="D122">
        <v>3</v>
      </c>
      <c r="E122">
        <v>74</v>
      </c>
      <c r="F122">
        <v>522</v>
      </c>
      <c r="G122">
        <v>506</v>
      </c>
      <c r="H122">
        <v>522</v>
      </c>
      <c r="I122">
        <v>1.18</v>
      </c>
      <c r="J122" s="1">
        <v>1048</v>
      </c>
    </row>
    <row r="123" spans="1:10" ht="14.25" customHeight="1" x14ac:dyDescent="0.25">
      <c r="A123" s="21" t="str">
        <f>"08095"</f>
        <v>08095</v>
      </c>
      <c r="B123" s="21"/>
      <c r="C123">
        <v>2.9</v>
      </c>
      <c r="D123">
        <v>3.1</v>
      </c>
      <c r="E123">
        <v>19</v>
      </c>
      <c r="F123">
        <v>15</v>
      </c>
      <c r="H123">
        <v>15</v>
      </c>
      <c r="I123">
        <v>1</v>
      </c>
      <c r="J123">
        <v>195</v>
      </c>
    </row>
    <row r="124" spans="1:10" ht="14.25" customHeight="1" x14ac:dyDescent="0.25">
      <c r="A124" s="21" t="str">
        <f>"08095"</f>
        <v>08095</v>
      </c>
      <c r="B124" s="21"/>
      <c r="C124">
        <v>20.5</v>
      </c>
      <c r="D124">
        <v>3.1</v>
      </c>
      <c r="E124">
        <v>8</v>
      </c>
      <c r="F124">
        <v>25</v>
      </c>
      <c r="H124">
        <v>25</v>
      </c>
      <c r="I124">
        <v>0.87</v>
      </c>
      <c r="J124">
        <v>63</v>
      </c>
    </row>
    <row r="125" spans="1:10" ht="14.25" customHeight="1" x14ac:dyDescent="0.25">
      <c r="A125" s="21" t="str">
        <f>"08097"</f>
        <v>08097</v>
      </c>
      <c r="B125" s="21"/>
      <c r="C125">
        <v>6.4</v>
      </c>
      <c r="D125">
        <v>3.3</v>
      </c>
      <c r="E125">
        <v>78</v>
      </c>
      <c r="F125">
        <v>25</v>
      </c>
      <c r="G125">
        <v>4</v>
      </c>
      <c r="H125">
        <v>25</v>
      </c>
      <c r="I125">
        <v>1.49</v>
      </c>
      <c r="J125">
        <v>716</v>
      </c>
    </row>
    <row r="126" spans="1:10" ht="14.25" customHeight="1" x14ac:dyDescent="0.25">
      <c r="A126" s="21" t="str">
        <f>"08099"</f>
        <v>08099</v>
      </c>
      <c r="B126" s="21"/>
      <c r="C126">
        <v>8.1999999999999993</v>
      </c>
      <c r="D126">
        <v>2.7</v>
      </c>
      <c r="E126">
        <v>52</v>
      </c>
      <c r="F126">
        <v>25</v>
      </c>
      <c r="H126">
        <v>25</v>
      </c>
      <c r="I126">
        <v>0.97</v>
      </c>
      <c r="J126">
        <v>537</v>
      </c>
    </row>
    <row r="127" spans="1:10" ht="14.25" customHeight="1" x14ac:dyDescent="0.25">
      <c r="A127" s="21" t="str">
        <f>"08103"</f>
        <v>08103</v>
      </c>
      <c r="B127" s="21"/>
      <c r="C127">
        <v>4</v>
      </c>
      <c r="D127">
        <v>2</v>
      </c>
      <c r="E127">
        <v>14</v>
      </c>
      <c r="F127">
        <v>10</v>
      </c>
      <c r="H127">
        <v>10</v>
      </c>
      <c r="I127">
        <v>1.34</v>
      </c>
      <c r="J127">
        <v>384</v>
      </c>
    </row>
    <row r="128" spans="1:10" ht="14.25" customHeight="1" x14ac:dyDescent="0.25">
      <c r="A128" s="21" t="str">
        <f>"08103"</f>
        <v>08103</v>
      </c>
      <c r="B128" s="21"/>
      <c r="C128">
        <v>14</v>
      </c>
      <c r="D128">
        <v>2.5</v>
      </c>
      <c r="E128">
        <v>10</v>
      </c>
      <c r="F128">
        <v>25</v>
      </c>
      <c r="H128">
        <v>25</v>
      </c>
      <c r="I128">
        <v>0.95</v>
      </c>
      <c r="J128">
        <v>36</v>
      </c>
    </row>
    <row r="129" spans="1:10" ht="14.25" customHeight="1" x14ac:dyDescent="0.25">
      <c r="A129" s="21" t="str">
        <f>"08105"</f>
        <v>08105</v>
      </c>
      <c r="B129" s="21"/>
      <c r="C129">
        <v>6.7</v>
      </c>
      <c r="D129">
        <v>3.3</v>
      </c>
      <c r="E129">
        <v>33</v>
      </c>
      <c r="F129">
        <v>17</v>
      </c>
      <c r="H129">
        <v>17</v>
      </c>
      <c r="I129">
        <v>0.98</v>
      </c>
      <c r="J129">
        <v>443</v>
      </c>
    </row>
    <row r="130" spans="1:10" ht="14.25" customHeight="1" x14ac:dyDescent="0.25">
      <c r="A130" s="21" t="str">
        <f>"08115"</f>
        <v>08115</v>
      </c>
      <c r="B130" s="21"/>
      <c r="C130">
        <v>2</v>
      </c>
      <c r="D130">
        <v>2.9</v>
      </c>
      <c r="E130">
        <v>10</v>
      </c>
      <c r="F130">
        <v>9</v>
      </c>
      <c r="H130">
        <v>9</v>
      </c>
      <c r="I130">
        <v>0.9</v>
      </c>
      <c r="J130">
        <v>154</v>
      </c>
    </row>
    <row r="131" spans="1:10" ht="14.25" customHeight="1" x14ac:dyDescent="0.25">
      <c r="A131" s="21" t="str">
        <f>"08119"</f>
        <v>08119</v>
      </c>
      <c r="B131" s="21"/>
      <c r="C131">
        <v>4.4000000000000004</v>
      </c>
      <c r="D131">
        <v>3</v>
      </c>
      <c r="E131">
        <v>40</v>
      </c>
      <c r="F131">
        <v>15</v>
      </c>
      <c r="H131">
        <v>15</v>
      </c>
      <c r="I131">
        <v>1.31</v>
      </c>
      <c r="J131">
        <v>392</v>
      </c>
    </row>
    <row r="132" spans="1:10" ht="14.25" customHeight="1" x14ac:dyDescent="0.25">
      <c r="A132" s="21" t="str">
        <f>"08125"</f>
        <v>08125</v>
      </c>
      <c r="B132" s="21"/>
      <c r="C132">
        <v>4.2</v>
      </c>
      <c r="D132">
        <v>3.1</v>
      </c>
      <c r="E132">
        <v>21</v>
      </c>
      <c r="F132">
        <v>16</v>
      </c>
      <c r="H132">
        <v>15</v>
      </c>
      <c r="I132">
        <v>1.25</v>
      </c>
      <c r="J132">
        <v>352</v>
      </c>
    </row>
    <row r="133" spans="1:10" ht="14.25" customHeight="1" x14ac:dyDescent="0.25">
      <c r="A133" s="21" t="str">
        <f>"08125"</f>
        <v>08125</v>
      </c>
      <c r="B133" s="21"/>
      <c r="C133">
        <v>1.6</v>
      </c>
      <c r="D133">
        <v>2.2999999999999998</v>
      </c>
      <c r="E133">
        <v>25</v>
      </c>
      <c r="F133">
        <v>15</v>
      </c>
      <c r="H133">
        <v>15</v>
      </c>
      <c r="I133">
        <v>0.94</v>
      </c>
      <c r="J133">
        <v>183</v>
      </c>
    </row>
    <row r="134" spans="1:10" ht="14.25" customHeight="1" x14ac:dyDescent="0.25">
      <c r="A134" s="21">
        <v>12007</v>
      </c>
      <c r="B134" s="21"/>
      <c r="C134">
        <v>11.1</v>
      </c>
      <c r="D134">
        <v>4.2</v>
      </c>
      <c r="E134">
        <v>45</v>
      </c>
      <c r="F134">
        <v>25</v>
      </c>
      <c r="H134">
        <v>25</v>
      </c>
      <c r="I134">
        <v>1.03</v>
      </c>
      <c r="J134">
        <v>962</v>
      </c>
    </row>
    <row r="135" spans="1:10" ht="14.25" customHeight="1" x14ac:dyDescent="0.25">
      <c r="A135" s="21">
        <v>12013</v>
      </c>
      <c r="B135" s="21"/>
      <c r="C135">
        <v>7.5</v>
      </c>
      <c r="D135">
        <v>3.5</v>
      </c>
      <c r="E135">
        <v>42</v>
      </c>
      <c r="F135">
        <v>15</v>
      </c>
      <c r="H135">
        <v>15</v>
      </c>
      <c r="I135">
        <v>1</v>
      </c>
      <c r="J135">
        <v>264</v>
      </c>
    </row>
    <row r="136" spans="1:10" ht="14.25" customHeight="1" x14ac:dyDescent="0.25">
      <c r="A136" s="21">
        <v>12037</v>
      </c>
      <c r="B136" s="21"/>
      <c r="C136">
        <v>1.6</v>
      </c>
      <c r="D136">
        <v>3</v>
      </c>
      <c r="E136">
        <v>7</v>
      </c>
      <c r="F136">
        <v>25</v>
      </c>
      <c r="H136">
        <v>25</v>
      </c>
      <c r="I136">
        <v>0.91</v>
      </c>
      <c r="J136">
        <v>126</v>
      </c>
    </row>
    <row r="137" spans="1:10" ht="14.25" customHeight="1" x14ac:dyDescent="0.25">
      <c r="A137" s="21">
        <v>12049</v>
      </c>
      <c r="B137" s="21"/>
      <c r="C137">
        <v>22.8</v>
      </c>
      <c r="D137">
        <v>3.5</v>
      </c>
      <c r="E137">
        <v>15</v>
      </c>
      <c r="F137">
        <v>25</v>
      </c>
      <c r="H137">
        <v>25</v>
      </c>
      <c r="I137">
        <v>1.06</v>
      </c>
      <c r="J137">
        <v>272</v>
      </c>
    </row>
    <row r="138" spans="1:10" ht="14.25" customHeight="1" x14ac:dyDescent="0.25">
      <c r="A138" s="21">
        <v>12051</v>
      </c>
      <c r="B138" s="21"/>
      <c r="C138">
        <v>3.1</v>
      </c>
      <c r="D138">
        <v>2.2000000000000002</v>
      </c>
      <c r="E138">
        <v>75</v>
      </c>
      <c r="F138">
        <v>25</v>
      </c>
      <c r="G138">
        <v>3</v>
      </c>
      <c r="H138">
        <v>25</v>
      </c>
      <c r="I138">
        <v>1.25</v>
      </c>
      <c r="J138">
        <v>425</v>
      </c>
    </row>
    <row r="139" spans="1:10" ht="14.25" customHeight="1" x14ac:dyDescent="0.25">
      <c r="A139" s="21">
        <v>12059</v>
      </c>
      <c r="B139" s="21"/>
      <c r="C139">
        <v>9.1</v>
      </c>
      <c r="D139">
        <v>3.8</v>
      </c>
      <c r="E139">
        <v>38</v>
      </c>
      <c r="F139">
        <v>20</v>
      </c>
      <c r="H139">
        <v>20</v>
      </c>
      <c r="I139">
        <v>0.95</v>
      </c>
      <c r="J139">
        <v>419</v>
      </c>
    </row>
    <row r="140" spans="1:10" ht="14.25" customHeight="1" x14ac:dyDescent="0.25">
      <c r="A140" s="21">
        <v>12063</v>
      </c>
      <c r="B140" s="21"/>
      <c r="C140">
        <v>5.3</v>
      </c>
      <c r="D140">
        <v>3.4</v>
      </c>
      <c r="J140">
        <v>78</v>
      </c>
    </row>
    <row r="141" spans="1:10" ht="14.25" customHeight="1" x14ac:dyDescent="0.25">
      <c r="A141" s="21">
        <v>12079</v>
      </c>
      <c r="B141" s="21"/>
      <c r="C141">
        <v>10.9</v>
      </c>
      <c r="D141">
        <v>3.6</v>
      </c>
      <c r="E141">
        <v>30</v>
      </c>
      <c r="F141">
        <v>25</v>
      </c>
      <c r="H141">
        <v>25</v>
      </c>
      <c r="I141">
        <v>0.97</v>
      </c>
      <c r="J141">
        <v>341</v>
      </c>
    </row>
    <row r="142" spans="1:10" ht="14.25" customHeight="1" x14ac:dyDescent="0.25">
      <c r="A142" s="21">
        <v>12087</v>
      </c>
      <c r="B142" s="21"/>
      <c r="C142">
        <v>4</v>
      </c>
      <c r="D142">
        <v>3</v>
      </c>
      <c r="E142">
        <v>78</v>
      </c>
      <c r="F142">
        <v>25</v>
      </c>
      <c r="G142">
        <v>4</v>
      </c>
      <c r="H142">
        <v>25</v>
      </c>
      <c r="I142">
        <v>1.01</v>
      </c>
      <c r="J142">
        <v>466</v>
      </c>
    </row>
    <row r="143" spans="1:10" ht="14.25" customHeight="1" x14ac:dyDescent="0.25">
      <c r="A143" s="21">
        <v>12087</v>
      </c>
      <c r="B143" s="21"/>
      <c r="C143">
        <v>0.1</v>
      </c>
      <c r="D143">
        <v>2.2000000000000002</v>
      </c>
      <c r="E143">
        <v>19</v>
      </c>
      <c r="F143">
        <v>5</v>
      </c>
      <c r="G143">
        <v>1</v>
      </c>
      <c r="H143">
        <v>5</v>
      </c>
      <c r="I143">
        <v>0.81</v>
      </c>
      <c r="J143">
        <v>15</v>
      </c>
    </row>
    <row r="144" spans="1:10" ht="14.25" customHeight="1" x14ac:dyDescent="0.25">
      <c r="A144" s="21">
        <v>12121</v>
      </c>
      <c r="B144" s="21"/>
      <c r="C144">
        <v>9.6999999999999993</v>
      </c>
      <c r="D144">
        <v>4</v>
      </c>
      <c r="E144">
        <v>44</v>
      </c>
      <c r="F144">
        <v>25</v>
      </c>
      <c r="I144">
        <v>1.07</v>
      </c>
      <c r="J144">
        <v>892</v>
      </c>
    </row>
    <row r="145" spans="1:10" ht="14.25" customHeight="1" x14ac:dyDescent="0.25">
      <c r="A145" s="21">
        <v>12125</v>
      </c>
      <c r="B145" s="21"/>
      <c r="C145">
        <v>8.4</v>
      </c>
      <c r="D145">
        <v>2</v>
      </c>
      <c r="E145">
        <v>17</v>
      </c>
      <c r="F145">
        <v>25</v>
      </c>
      <c r="H145">
        <v>25</v>
      </c>
      <c r="I145">
        <v>0.83</v>
      </c>
      <c r="J145">
        <v>28</v>
      </c>
    </row>
    <row r="146" spans="1:10" ht="14.25" customHeight="1" x14ac:dyDescent="0.25">
      <c r="A146" s="21">
        <v>12133</v>
      </c>
      <c r="B146" s="21"/>
      <c r="C146">
        <v>14.6</v>
      </c>
      <c r="D146">
        <v>4</v>
      </c>
      <c r="E146">
        <v>46</v>
      </c>
      <c r="F146">
        <v>25</v>
      </c>
      <c r="H146">
        <v>25</v>
      </c>
      <c r="I146">
        <v>1.03</v>
      </c>
      <c r="J146">
        <v>704</v>
      </c>
    </row>
    <row r="147" spans="1:10" ht="14.25" customHeight="1" x14ac:dyDescent="0.25">
      <c r="A147" s="21">
        <v>13005</v>
      </c>
      <c r="B147" s="21"/>
      <c r="C147">
        <v>12.9</v>
      </c>
      <c r="D147">
        <v>4</v>
      </c>
      <c r="E147">
        <v>44</v>
      </c>
      <c r="F147">
        <v>25</v>
      </c>
      <c r="G147">
        <v>4</v>
      </c>
      <c r="H147">
        <v>25</v>
      </c>
      <c r="I147">
        <v>1.07</v>
      </c>
      <c r="J147" s="1">
        <v>1102</v>
      </c>
    </row>
    <row r="148" spans="1:10" ht="14.25" customHeight="1" x14ac:dyDescent="0.25">
      <c r="A148" s="21">
        <v>13023</v>
      </c>
      <c r="B148" s="21"/>
      <c r="C148">
        <v>12.9</v>
      </c>
      <c r="D148">
        <v>2.2999999999999998</v>
      </c>
      <c r="E148">
        <v>12</v>
      </c>
      <c r="F148">
        <v>15</v>
      </c>
      <c r="H148">
        <v>15</v>
      </c>
      <c r="I148">
        <v>0.94</v>
      </c>
      <c r="J148">
        <v>73</v>
      </c>
    </row>
    <row r="149" spans="1:10" ht="14.25" customHeight="1" x14ac:dyDescent="0.25">
      <c r="A149" s="21">
        <v>13027</v>
      </c>
      <c r="B149" s="21"/>
      <c r="C149">
        <v>13.4</v>
      </c>
      <c r="D149">
        <v>3.2</v>
      </c>
      <c r="E149">
        <v>13</v>
      </c>
      <c r="F149">
        <v>25</v>
      </c>
      <c r="H149">
        <v>25</v>
      </c>
      <c r="I149">
        <v>0.92</v>
      </c>
      <c r="J149">
        <v>173</v>
      </c>
    </row>
    <row r="150" spans="1:10" ht="14.25" customHeight="1" x14ac:dyDescent="0.25">
      <c r="A150" s="21">
        <v>13035</v>
      </c>
      <c r="B150" s="21"/>
      <c r="C150">
        <v>13.1</v>
      </c>
      <c r="D150">
        <v>13.7</v>
      </c>
      <c r="E150">
        <v>8</v>
      </c>
      <c r="F150">
        <v>25</v>
      </c>
      <c r="H150">
        <v>25</v>
      </c>
      <c r="I150">
        <v>0.84</v>
      </c>
      <c r="J150">
        <v>351</v>
      </c>
    </row>
    <row r="151" spans="1:10" ht="14.25" customHeight="1" x14ac:dyDescent="0.25">
      <c r="A151" s="21">
        <v>13037</v>
      </c>
      <c r="B151" s="21"/>
      <c r="C151">
        <v>3.7</v>
      </c>
      <c r="D151">
        <v>2.8</v>
      </c>
      <c r="J151">
        <v>344</v>
      </c>
    </row>
    <row r="152" spans="1:10" ht="14.25" customHeight="1" x14ac:dyDescent="0.25">
      <c r="A152" s="21">
        <v>13043</v>
      </c>
      <c r="B152" s="21"/>
      <c r="C152">
        <v>7.8</v>
      </c>
      <c r="D152">
        <v>2.8</v>
      </c>
      <c r="E152">
        <v>22</v>
      </c>
      <c r="F152">
        <v>25</v>
      </c>
      <c r="G152">
        <v>6</v>
      </c>
      <c r="H152">
        <v>25</v>
      </c>
      <c r="I152">
        <v>1.17</v>
      </c>
      <c r="J152">
        <v>275</v>
      </c>
    </row>
    <row r="153" spans="1:10" ht="14.25" customHeight="1" x14ac:dyDescent="0.25">
      <c r="A153" s="21">
        <v>13049</v>
      </c>
      <c r="B153" s="21"/>
    </row>
    <row r="154" spans="1:10" ht="14.25" customHeight="1" x14ac:dyDescent="0.25">
      <c r="A154" s="21">
        <v>13065</v>
      </c>
      <c r="B154" s="21"/>
      <c r="C154">
        <v>7</v>
      </c>
      <c r="D154">
        <v>2.6</v>
      </c>
      <c r="E154">
        <v>10</v>
      </c>
      <c r="F154">
        <v>15</v>
      </c>
      <c r="H154">
        <v>15</v>
      </c>
      <c r="I154">
        <v>0.91</v>
      </c>
      <c r="J154">
        <v>170</v>
      </c>
    </row>
    <row r="155" spans="1:10" ht="14.25" customHeight="1" x14ac:dyDescent="0.25">
      <c r="A155" s="21">
        <v>13099</v>
      </c>
      <c r="B155" s="21"/>
      <c r="C155">
        <v>9</v>
      </c>
      <c r="D155">
        <v>3.1</v>
      </c>
      <c r="E155">
        <v>81</v>
      </c>
      <c r="F155">
        <v>25</v>
      </c>
      <c r="H155">
        <v>25</v>
      </c>
      <c r="I155">
        <v>0.87</v>
      </c>
      <c r="J155">
        <v>182</v>
      </c>
    </row>
    <row r="156" spans="1:10" ht="14.25" customHeight="1" x14ac:dyDescent="0.25">
      <c r="A156" s="21">
        <v>13103</v>
      </c>
      <c r="B156" s="21"/>
      <c r="C156">
        <v>6.6</v>
      </c>
      <c r="D156">
        <v>3.9</v>
      </c>
      <c r="E156">
        <v>72</v>
      </c>
      <c r="F156">
        <v>25</v>
      </c>
      <c r="H156">
        <v>25</v>
      </c>
      <c r="I156">
        <v>1.19</v>
      </c>
      <c r="J156">
        <v>395</v>
      </c>
    </row>
    <row r="157" spans="1:10" ht="14.25" customHeight="1" x14ac:dyDescent="0.25">
      <c r="A157" s="21">
        <v>13105</v>
      </c>
      <c r="B157" s="21"/>
      <c r="C157">
        <v>7.5</v>
      </c>
      <c r="D157">
        <v>6</v>
      </c>
      <c r="E157">
        <v>18</v>
      </c>
      <c r="F157">
        <v>52</v>
      </c>
      <c r="G157">
        <v>4</v>
      </c>
      <c r="H157">
        <v>52</v>
      </c>
      <c r="I157">
        <v>1.06</v>
      </c>
      <c r="J157">
        <v>457</v>
      </c>
    </row>
    <row r="158" spans="1:10" ht="14.25" customHeight="1" x14ac:dyDescent="0.25">
      <c r="A158" s="21">
        <v>13133</v>
      </c>
      <c r="B158" s="21"/>
      <c r="C158">
        <v>13.7</v>
      </c>
      <c r="D158">
        <v>3.4</v>
      </c>
      <c r="E158">
        <v>55</v>
      </c>
      <c r="F158">
        <v>25</v>
      </c>
      <c r="H158">
        <v>25</v>
      </c>
      <c r="I158">
        <v>1.3</v>
      </c>
      <c r="J158">
        <v>903</v>
      </c>
    </row>
    <row r="159" spans="1:10" ht="14.25" customHeight="1" x14ac:dyDescent="0.25">
      <c r="A159" s="21">
        <v>13143</v>
      </c>
      <c r="B159" s="21"/>
      <c r="C159">
        <v>12.4</v>
      </c>
      <c r="D159">
        <v>4.0999999999999996</v>
      </c>
      <c r="E159">
        <v>47</v>
      </c>
      <c r="F159">
        <v>15</v>
      </c>
      <c r="H159">
        <v>15</v>
      </c>
      <c r="I159">
        <v>1.1100000000000001</v>
      </c>
      <c r="J159">
        <v>342</v>
      </c>
    </row>
    <row r="160" spans="1:10" ht="14.25" customHeight="1" x14ac:dyDescent="0.25">
      <c r="A160" s="21">
        <v>13159</v>
      </c>
      <c r="B160" s="21"/>
      <c r="C160">
        <v>3.8</v>
      </c>
      <c r="D160">
        <v>16.8</v>
      </c>
      <c r="E160">
        <v>15</v>
      </c>
      <c r="F160">
        <v>12</v>
      </c>
      <c r="H160">
        <v>12</v>
      </c>
      <c r="I160">
        <v>1.1100000000000001</v>
      </c>
      <c r="J160">
        <v>5</v>
      </c>
    </row>
    <row r="161" spans="1:10" ht="14.25" customHeight="1" x14ac:dyDescent="0.25">
      <c r="A161" s="21">
        <v>13161</v>
      </c>
      <c r="B161" s="21"/>
      <c r="C161">
        <v>8.1999999999999993</v>
      </c>
      <c r="D161">
        <v>3.4</v>
      </c>
      <c r="E161">
        <v>27</v>
      </c>
      <c r="F161">
        <v>25</v>
      </c>
      <c r="G161">
        <v>4</v>
      </c>
      <c r="H161">
        <v>25</v>
      </c>
      <c r="I161">
        <v>1.17</v>
      </c>
      <c r="J161">
        <v>448</v>
      </c>
    </row>
    <row r="162" spans="1:10" ht="14.25" customHeight="1" x14ac:dyDescent="0.25">
      <c r="A162" s="21">
        <v>13165</v>
      </c>
      <c r="B162" s="21"/>
      <c r="C162">
        <v>1.2</v>
      </c>
      <c r="D162">
        <v>1.1000000000000001</v>
      </c>
      <c r="E162">
        <v>3</v>
      </c>
      <c r="F162">
        <v>15</v>
      </c>
      <c r="H162">
        <v>15</v>
      </c>
      <c r="I162">
        <v>0.86</v>
      </c>
      <c r="J162">
        <v>61</v>
      </c>
    </row>
    <row r="163" spans="1:10" ht="14.25" customHeight="1" x14ac:dyDescent="0.25">
      <c r="A163" s="21">
        <v>13173</v>
      </c>
      <c r="B163" s="21"/>
      <c r="C163">
        <v>6</v>
      </c>
      <c r="D163">
        <v>2.6</v>
      </c>
      <c r="E163">
        <v>7</v>
      </c>
      <c r="F163">
        <v>25</v>
      </c>
      <c r="H163">
        <v>25</v>
      </c>
      <c r="I163">
        <v>1</v>
      </c>
      <c r="J163">
        <v>189</v>
      </c>
    </row>
    <row r="164" spans="1:10" ht="14.25" customHeight="1" x14ac:dyDescent="0.25">
      <c r="A164" s="21">
        <v>13179</v>
      </c>
      <c r="B164" s="21"/>
      <c r="C164">
        <v>7.5</v>
      </c>
      <c r="D164">
        <v>3.5</v>
      </c>
      <c r="E164">
        <v>64</v>
      </c>
      <c r="F164">
        <v>25</v>
      </c>
      <c r="H164">
        <v>25</v>
      </c>
      <c r="I164">
        <v>1.2</v>
      </c>
      <c r="J164">
        <v>963</v>
      </c>
    </row>
    <row r="165" spans="1:10" ht="14.25" customHeight="1" x14ac:dyDescent="0.25">
      <c r="A165" s="21">
        <v>13199</v>
      </c>
      <c r="B165" s="21"/>
      <c r="C165">
        <v>12.4</v>
      </c>
      <c r="D165">
        <v>3.4</v>
      </c>
      <c r="E165">
        <v>11</v>
      </c>
      <c r="F165">
        <v>25</v>
      </c>
      <c r="H165">
        <v>25</v>
      </c>
      <c r="I165">
        <v>0.92</v>
      </c>
      <c r="J165">
        <v>150</v>
      </c>
    </row>
    <row r="166" spans="1:10" ht="14.25" customHeight="1" x14ac:dyDescent="0.25">
      <c r="A166" s="21">
        <v>13201</v>
      </c>
      <c r="B166" s="21"/>
      <c r="C166">
        <v>21</v>
      </c>
      <c r="D166">
        <v>3.8</v>
      </c>
      <c r="E166">
        <v>22</v>
      </c>
      <c r="F166">
        <v>25</v>
      </c>
      <c r="H166">
        <v>25</v>
      </c>
      <c r="I166">
        <v>1.05</v>
      </c>
      <c r="J166">
        <v>301</v>
      </c>
    </row>
    <row r="167" spans="1:10" ht="14.25" customHeight="1" x14ac:dyDescent="0.25">
      <c r="A167" s="21">
        <v>13205</v>
      </c>
      <c r="B167" s="21"/>
      <c r="C167">
        <v>15.2</v>
      </c>
      <c r="D167">
        <v>2.6</v>
      </c>
      <c r="E167">
        <v>15</v>
      </c>
      <c r="F167">
        <v>25</v>
      </c>
      <c r="H167">
        <v>25</v>
      </c>
      <c r="I167">
        <v>0.94</v>
      </c>
      <c r="J167">
        <v>74</v>
      </c>
    </row>
    <row r="168" spans="1:10" ht="14.25" customHeight="1" x14ac:dyDescent="0.25">
      <c r="A168" s="21">
        <v>13207</v>
      </c>
      <c r="B168" s="21"/>
      <c r="C168">
        <v>11.3</v>
      </c>
      <c r="D168">
        <v>3</v>
      </c>
      <c r="E168">
        <v>11</v>
      </c>
      <c r="F168">
        <v>25</v>
      </c>
      <c r="H168">
        <v>25</v>
      </c>
      <c r="I168">
        <v>0.92</v>
      </c>
      <c r="J168">
        <v>185</v>
      </c>
    </row>
    <row r="169" spans="1:10" ht="14.25" customHeight="1" x14ac:dyDescent="0.25">
      <c r="A169" s="21">
        <v>13211</v>
      </c>
      <c r="B169" s="21"/>
      <c r="C169">
        <v>13.9</v>
      </c>
      <c r="D169">
        <v>2.2999999999999998</v>
      </c>
      <c r="E169">
        <v>20</v>
      </c>
      <c r="F169">
        <v>25</v>
      </c>
      <c r="H169">
        <v>25</v>
      </c>
      <c r="I169">
        <v>1.04</v>
      </c>
      <c r="J169">
        <v>87</v>
      </c>
    </row>
    <row r="170" spans="1:10" ht="14.25" customHeight="1" x14ac:dyDescent="0.25">
      <c r="A170" s="21">
        <v>13225</v>
      </c>
      <c r="B170" s="21"/>
      <c r="C170">
        <v>19.100000000000001</v>
      </c>
      <c r="D170">
        <v>2.9</v>
      </c>
      <c r="E170">
        <v>21</v>
      </c>
      <c r="F170">
        <v>25</v>
      </c>
      <c r="H170">
        <v>25</v>
      </c>
      <c r="I170">
        <v>0.97</v>
      </c>
      <c r="J170">
        <v>843</v>
      </c>
    </row>
    <row r="171" spans="1:10" ht="14.25" customHeight="1" x14ac:dyDescent="0.25">
      <c r="A171" s="21">
        <v>13233</v>
      </c>
      <c r="B171" s="21"/>
      <c r="C171">
        <v>21.1</v>
      </c>
      <c r="D171">
        <v>2.4</v>
      </c>
      <c r="E171">
        <v>27</v>
      </c>
      <c r="F171">
        <v>25</v>
      </c>
      <c r="H171">
        <v>25</v>
      </c>
      <c r="I171">
        <v>0.87</v>
      </c>
      <c r="J171">
        <v>130</v>
      </c>
    </row>
    <row r="172" spans="1:10" ht="14.25" customHeight="1" x14ac:dyDescent="0.25">
      <c r="A172" s="21">
        <v>13237</v>
      </c>
      <c r="B172" s="21"/>
      <c r="C172">
        <v>9.6</v>
      </c>
      <c r="D172">
        <v>3.2</v>
      </c>
      <c r="E172">
        <v>28</v>
      </c>
      <c r="F172">
        <v>25</v>
      </c>
      <c r="H172">
        <v>25</v>
      </c>
      <c r="I172">
        <v>1</v>
      </c>
      <c r="J172">
        <v>259</v>
      </c>
    </row>
    <row r="173" spans="1:10" ht="14.25" customHeight="1" x14ac:dyDescent="0.25">
      <c r="A173" s="21">
        <v>13241</v>
      </c>
      <c r="B173" s="21"/>
      <c r="C173">
        <v>5.9</v>
      </c>
      <c r="D173">
        <v>2.6</v>
      </c>
      <c r="E173">
        <v>38</v>
      </c>
      <c r="F173">
        <v>25</v>
      </c>
      <c r="H173">
        <v>25</v>
      </c>
      <c r="I173">
        <v>0.97</v>
      </c>
      <c r="J173">
        <v>425</v>
      </c>
    </row>
    <row r="174" spans="1:10" ht="14.25" customHeight="1" x14ac:dyDescent="0.25">
      <c r="A174" s="21">
        <v>13243</v>
      </c>
      <c r="B174" s="21"/>
      <c r="C174">
        <v>4.0999999999999996</v>
      </c>
      <c r="D174">
        <v>3.4</v>
      </c>
      <c r="E174">
        <v>5</v>
      </c>
      <c r="F174">
        <v>25</v>
      </c>
      <c r="H174">
        <v>25</v>
      </c>
      <c r="I174">
        <v>0.85</v>
      </c>
      <c r="J174">
        <v>297</v>
      </c>
    </row>
    <row r="175" spans="1:10" ht="14.25" customHeight="1" x14ac:dyDescent="0.25">
      <c r="A175" s="21">
        <v>13251</v>
      </c>
      <c r="B175" s="21"/>
      <c r="C175">
        <v>5.4</v>
      </c>
      <c r="D175">
        <v>3</v>
      </c>
      <c r="E175">
        <v>18</v>
      </c>
      <c r="F175">
        <v>25</v>
      </c>
      <c r="H175">
        <v>25</v>
      </c>
      <c r="I175">
        <v>1.06</v>
      </c>
      <c r="J175">
        <v>185</v>
      </c>
    </row>
    <row r="176" spans="1:10" ht="14.25" customHeight="1" x14ac:dyDescent="0.25">
      <c r="A176" s="21">
        <v>13259</v>
      </c>
      <c r="B176" s="21"/>
      <c r="C176">
        <v>3.4</v>
      </c>
      <c r="D176">
        <v>2.5</v>
      </c>
      <c r="J176">
        <v>265</v>
      </c>
    </row>
    <row r="177" spans="1:10" ht="14.25" customHeight="1" x14ac:dyDescent="0.25">
      <c r="A177" s="21">
        <v>13267</v>
      </c>
      <c r="B177" s="21"/>
      <c r="C177">
        <v>7.3</v>
      </c>
      <c r="D177">
        <v>2</v>
      </c>
      <c r="E177">
        <v>55</v>
      </c>
      <c r="F177">
        <v>25</v>
      </c>
      <c r="H177">
        <v>25</v>
      </c>
      <c r="I177">
        <v>2.2200000000000002</v>
      </c>
      <c r="J177" s="1">
        <v>1341</v>
      </c>
    </row>
    <row r="178" spans="1:10" ht="14.25" customHeight="1" x14ac:dyDescent="0.25">
      <c r="A178" s="21">
        <v>13281</v>
      </c>
      <c r="B178" s="21"/>
      <c r="C178">
        <v>8.1999999999999993</v>
      </c>
      <c r="D178">
        <v>3.6</v>
      </c>
      <c r="E178">
        <v>20</v>
      </c>
      <c r="F178">
        <v>25</v>
      </c>
      <c r="H178">
        <v>25</v>
      </c>
      <c r="I178">
        <v>1.1100000000000001</v>
      </c>
      <c r="J178">
        <v>345</v>
      </c>
    </row>
    <row r="179" spans="1:10" ht="14.25" customHeight="1" x14ac:dyDescent="0.25">
      <c r="A179" s="21">
        <v>13309</v>
      </c>
      <c r="B179" s="21"/>
      <c r="C179">
        <v>7.1</v>
      </c>
      <c r="D179">
        <v>3.8</v>
      </c>
      <c r="J179">
        <v>609</v>
      </c>
    </row>
    <row r="180" spans="1:10" ht="14.25" customHeight="1" x14ac:dyDescent="0.25">
      <c r="A180" s="21">
        <v>13317</v>
      </c>
      <c r="B180" s="21"/>
      <c r="C180">
        <v>9.8000000000000007</v>
      </c>
      <c r="D180">
        <v>3</v>
      </c>
      <c r="E180">
        <v>15</v>
      </c>
      <c r="F180">
        <v>25</v>
      </c>
      <c r="H180">
        <v>25</v>
      </c>
      <c r="I180">
        <v>0.99</v>
      </c>
      <c r="J180">
        <v>488</v>
      </c>
    </row>
    <row r="181" spans="1:10" ht="14.25" customHeight="1" x14ac:dyDescent="0.25">
      <c r="A181" s="21">
        <v>13321</v>
      </c>
      <c r="B181" s="21"/>
      <c r="C181">
        <v>11.9</v>
      </c>
      <c r="D181">
        <v>2.8</v>
      </c>
      <c r="E181">
        <v>14</v>
      </c>
      <c r="F181">
        <v>25</v>
      </c>
      <c r="H181">
        <v>25</v>
      </c>
      <c r="I181">
        <v>0.95</v>
      </c>
      <c r="J181">
        <v>205</v>
      </c>
    </row>
    <row r="182" spans="1:10" ht="14.25" customHeight="1" x14ac:dyDescent="0.25">
      <c r="A182" s="21">
        <v>15001</v>
      </c>
      <c r="B182" s="21"/>
      <c r="C182">
        <v>8.9</v>
      </c>
      <c r="D182">
        <v>1.4</v>
      </c>
      <c r="E182">
        <v>44</v>
      </c>
      <c r="F182">
        <v>11</v>
      </c>
      <c r="H182">
        <v>11</v>
      </c>
      <c r="I182">
        <v>0.97</v>
      </c>
      <c r="J182">
        <v>4</v>
      </c>
    </row>
    <row r="183" spans="1:10" ht="14.25" customHeight="1" x14ac:dyDescent="0.25">
      <c r="A183" s="21">
        <v>15001</v>
      </c>
      <c r="B183" s="21"/>
      <c r="C183">
        <v>19.5</v>
      </c>
      <c r="D183">
        <v>3.2</v>
      </c>
      <c r="E183">
        <v>10</v>
      </c>
      <c r="F183">
        <v>6</v>
      </c>
      <c r="H183">
        <v>6</v>
      </c>
      <c r="I183">
        <v>1.01</v>
      </c>
      <c r="J183">
        <v>45</v>
      </c>
    </row>
    <row r="184" spans="1:10" ht="14.25" customHeight="1" x14ac:dyDescent="0.25">
      <c r="A184" s="21">
        <v>15001</v>
      </c>
      <c r="B184" s="21"/>
      <c r="C184">
        <v>3.2</v>
      </c>
      <c r="D184">
        <v>7.2</v>
      </c>
      <c r="E184">
        <v>7</v>
      </c>
      <c r="F184">
        <v>6</v>
      </c>
      <c r="H184">
        <v>6</v>
      </c>
      <c r="I184">
        <v>1.1499999999999999</v>
      </c>
      <c r="J184">
        <v>6</v>
      </c>
    </row>
    <row r="185" spans="1:10" ht="14.25" customHeight="1" x14ac:dyDescent="0.25">
      <c r="A185" s="21">
        <v>15003</v>
      </c>
      <c r="B185" s="21"/>
      <c r="C185">
        <v>13.3</v>
      </c>
      <c r="D185">
        <v>2.9</v>
      </c>
      <c r="E185">
        <v>28</v>
      </c>
      <c r="F185">
        <v>15</v>
      </c>
      <c r="H185">
        <v>15</v>
      </c>
      <c r="I185">
        <v>1.06</v>
      </c>
      <c r="J185">
        <v>10</v>
      </c>
    </row>
    <row r="186" spans="1:10" ht="14.25" customHeight="1" x14ac:dyDescent="0.25">
      <c r="A186" s="21">
        <v>15007</v>
      </c>
      <c r="B186" s="21"/>
      <c r="C186">
        <v>10.4</v>
      </c>
      <c r="D186">
        <v>3.3</v>
      </c>
      <c r="E186">
        <v>20</v>
      </c>
      <c r="F186">
        <v>25</v>
      </c>
      <c r="G186">
        <v>2</v>
      </c>
      <c r="H186">
        <v>25</v>
      </c>
      <c r="I186">
        <v>1.1399999999999999</v>
      </c>
      <c r="J186">
        <v>607</v>
      </c>
    </row>
    <row r="187" spans="1:10" ht="14.25" customHeight="1" x14ac:dyDescent="0.25">
      <c r="A187" s="21">
        <v>15007</v>
      </c>
      <c r="B187" s="21"/>
      <c r="C187">
        <v>0.1</v>
      </c>
      <c r="D187">
        <v>2.7</v>
      </c>
      <c r="E187">
        <v>9</v>
      </c>
      <c r="F187">
        <v>5</v>
      </c>
      <c r="H187">
        <v>5</v>
      </c>
      <c r="I187">
        <v>1.1599999999999999</v>
      </c>
      <c r="J187">
        <v>3</v>
      </c>
    </row>
    <row r="188" spans="1:10" ht="14.25" customHeight="1" x14ac:dyDescent="0.25">
      <c r="A188" s="21">
        <v>15009</v>
      </c>
      <c r="B188" s="21"/>
      <c r="C188">
        <v>5</v>
      </c>
      <c r="D188">
        <v>7.3</v>
      </c>
      <c r="E188">
        <v>8</v>
      </c>
      <c r="F188">
        <v>9</v>
      </c>
      <c r="H188">
        <v>9</v>
      </c>
      <c r="J188">
        <v>6</v>
      </c>
    </row>
    <row r="189" spans="1:10" ht="14.25" customHeight="1" x14ac:dyDescent="0.25">
      <c r="A189" s="21">
        <v>15009</v>
      </c>
      <c r="B189" s="21"/>
      <c r="C189">
        <v>0.6</v>
      </c>
      <c r="D189">
        <v>4.7</v>
      </c>
      <c r="E189">
        <v>26</v>
      </c>
      <c r="F189">
        <v>15</v>
      </c>
      <c r="H189">
        <v>15</v>
      </c>
      <c r="I189">
        <v>0.97</v>
      </c>
      <c r="J189">
        <v>67</v>
      </c>
    </row>
    <row r="190" spans="1:10" ht="14.25" customHeight="1" x14ac:dyDescent="0.25">
      <c r="A190" s="21">
        <v>15009</v>
      </c>
      <c r="B190" s="21"/>
      <c r="D190">
        <v>2.6</v>
      </c>
      <c r="E190">
        <v>4</v>
      </c>
      <c r="F190">
        <v>4</v>
      </c>
      <c r="H190">
        <v>4</v>
      </c>
    </row>
    <row r="191" spans="1:10" ht="14.25" customHeight="1" x14ac:dyDescent="0.25">
      <c r="A191" s="21">
        <v>16007</v>
      </c>
      <c r="B191" s="21"/>
      <c r="C191">
        <v>5.2</v>
      </c>
      <c r="D191">
        <v>2.7</v>
      </c>
      <c r="E191">
        <v>25</v>
      </c>
      <c r="F191">
        <v>21</v>
      </c>
      <c r="H191">
        <v>21</v>
      </c>
      <c r="I191">
        <v>1.36</v>
      </c>
      <c r="J191">
        <v>324</v>
      </c>
    </row>
    <row r="192" spans="1:10" ht="14.25" customHeight="1" x14ac:dyDescent="0.25">
      <c r="A192" s="21">
        <v>16009</v>
      </c>
      <c r="B192" s="21"/>
      <c r="C192">
        <v>3.6</v>
      </c>
      <c r="D192">
        <v>2.9</v>
      </c>
      <c r="E192">
        <v>19</v>
      </c>
      <c r="F192">
        <v>19</v>
      </c>
      <c r="H192">
        <v>19</v>
      </c>
      <c r="I192">
        <v>1.1399999999999999</v>
      </c>
      <c r="J192">
        <v>264</v>
      </c>
    </row>
    <row r="193" spans="1:10" ht="14.25" customHeight="1" x14ac:dyDescent="0.25">
      <c r="A193" s="21">
        <v>16011</v>
      </c>
      <c r="B193" s="21"/>
      <c r="C193">
        <v>16.5</v>
      </c>
      <c r="D193">
        <v>2.8</v>
      </c>
      <c r="E193">
        <v>128</v>
      </c>
      <c r="F193">
        <v>25</v>
      </c>
      <c r="G193">
        <v>5</v>
      </c>
      <c r="H193">
        <v>25</v>
      </c>
      <c r="I193">
        <v>1.54</v>
      </c>
      <c r="J193" s="1">
        <v>2277</v>
      </c>
    </row>
    <row r="194" spans="1:10" ht="14.25" customHeight="1" x14ac:dyDescent="0.25">
      <c r="A194" s="21">
        <v>16013</v>
      </c>
      <c r="B194" s="21"/>
      <c r="C194">
        <v>8.9</v>
      </c>
      <c r="D194">
        <v>2.6</v>
      </c>
      <c r="E194">
        <v>86</v>
      </c>
      <c r="F194">
        <v>25</v>
      </c>
      <c r="H194">
        <v>25</v>
      </c>
      <c r="I194">
        <v>1.55</v>
      </c>
      <c r="J194" s="1">
        <v>1164</v>
      </c>
    </row>
    <row r="195" spans="1:10" ht="14.25" customHeight="1" x14ac:dyDescent="0.25">
      <c r="A195" s="21">
        <v>16017</v>
      </c>
      <c r="B195" s="21"/>
      <c r="C195">
        <v>11.3</v>
      </c>
      <c r="D195">
        <v>2.9</v>
      </c>
      <c r="E195">
        <v>116</v>
      </c>
      <c r="F195">
        <v>25</v>
      </c>
      <c r="G195">
        <v>4</v>
      </c>
      <c r="H195">
        <v>25</v>
      </c>
      <c r="I195">
        <v>1.39</v>
      </c>
      <c r="J195" s="1">
        <v>1740</v>
      </c>
    </row>
    <row r="196" spans="1:10" ht="14.25" customHeight="1" x14ac:dyDescent="0.25">
      <c r="A196" s="21">
        <v>16021</v>
      </c>
      <c r="B196" s="21"/>
      <c r="C196">
        <v>2.8</v>
      </c>
      <c r="D196">
        <v>3.2</v>
      </c>
      <c r="E196">
        <v>29</v>
      </c>
      <c r="F196">
        <v>20</v>
      </c>
      <c r="H196">
        <v>20</v>
      </c>
      <c r="I196">
        <v>1.05</v>
      </c>
      <c r="J196">
        <v>92</v>
      </c>
    </row>
    <row r="197" spans="1:10" ht="14.25" customHeight="1" x14ac:dyDescent="0.25">
      <c r="A197" s="21">
        <v>16023</v>
      </c>
      <c r="B197" s="21"/>
      <c r="C197">
        <v>0.7</v>
      </c>
      <c r="D197">
        <v>2</v>
      </c>
      <c r="E197">
        <v>23</v>
      </c>
      <c r="F197">
        <v>14</v>
      </c>
      <c r="H197">
        <v>14</v>
      </c>
      <c r="I197">
        <v>0.85</v>
      </c>
      <c r="J197">
        <v>31</v>
      </c>
    </row>
    <row r="198" spans="1:10" ht="14.25" customHeight="1" x14ac:dyDescent="0.25">
      <c r="A198" s="21">
        <v>16029</v>
      </c>
      <c r="B198" s="21"/>
      <c r="C198">
        <v>4</v>
      </c>
      <c r="D198">
        <v>2.6</v>
      </c>
      <c r="E198">
        <v>16</v>
      </c>
      <c r="F198">
        <v>25</v>
      </c>
      <c r="H198">
        <v>25</v>
      </c>
      <c r="I198">
        <v>1.0900000000000001</v>
      </c>
      <c r="J198">
        <v>292</v>
      </c>
    </row>
    <row r="199" spans="1:10" ht="14.25" customHeight="1" x14ac:dyDescent="0.25">
      <c r="A199" s="21">
        <v>16031</v>
      </c>
      <c r="B199" s="21"/>
      <c r="C199">
        <v>10.5</v>
      </c>
      <c r="D199">
        <v>1.9</v>
      </c>
      <c r="E199">
        <v>71</v>
      </c>
      <c r="F199">
        <v>31</v>
      </c>
      <c r="G199">
        <v>6</v>
      </c>
      <c r="H199">
        <v>31</v>
      </c>
      <c r="I199">
        <v>1.35</v>
      </c>
      <c r="J199" s="1">
        <v>1435</v>
      </c>
    </row>
    <row r="200" spans="1:10" ht="14.25" customHeight="1" x14ac:dyDescent="0.25">
      <c r="A200" s="21">
        <v>16035</v>
      </c>
      <c r="B200" s="21"/>
      <c r="C200">
        <v>6</v>
      </c>
      <c r="D200">
        <v>2.8</v>
      </c>
      <c r="E200">
        <v>22</v>
      </c>
      <c r="F200">
        <v>23</v>
      </c>
      <c r="H200">
        <v>23</v>
      </c>
      <c r="I200">
        <v>0.97</v>
      </c>
      <c r="J200">
        <v>506</v>
      </c>
    </row>
    <row r="201" spans="1:10" ht="14.25" customHeight="1" x14ac:dyDescent="0.25">
      <c r="A201" s="21">
        <v>16039</v>
      </c>
      <c r="B201" s="21"/>
      <c r="C201">
        <v>8</v>
      </c>
      <c r="D201">
        <v>2.6</v>
      </c>
      <c r="E201">
        <v>37</v>
      </c>
      <c r="F201">
        <v>21</v>
      </c>
      <c r="H201">
        <v>21</v>
      </c>
      <c r="I201">
        <v>0.97</v>
      </c>
      <c r="J201">
        <v>676</v>
      </c>
    </row>
    <row r="202" spans="1:10" ht="14.25" customHeight="1" x14ac:dyDescent="0.25">
      <c r="A202" s="21">
        <v>16041</v>
      </c>
      <c r="B202" s="21"/>
      <c r="C202">
        <v>6.4</v>
      </c>
      <c r="D202">
        <v>1.9</v>
      </c>
      <c r="E202">
        <v>11</v>
      </c>
      <c r="F202">
        <v>20</v>
      </c>
      <c r="H202">
        <v>20</v>
      </c>
      <c r="I202">
        <v>1.18</v>
      </c>
      <c r="J202">
        <v>529</v>
      </c>
    </row>
    <row r="203" spans="1:10" ht="14.25" customHeight="1" x14ac:dyDescent="0.25">
      <c r="A203" s="21">
        <v>16045</v>
      </c>
      <c r="B203" s="21"/>
      <c r="C203">
        <v>2.2999999999999998</v>
      </c>
      <c r="D203">
        <v>2.6</v>
      </c>
      <c r="E203">
        <v>37</v>
      </c>
      <c r="F203">
        <v>13</v>
      </c>
      <c r="H203">
        <v>13</v>
      </c>
      <c r="I203">
        <v>1.1599999999999999</v>
      </c>
      <c r="J203">
        <v>197</v>
      </c>
    </row>
    <row r="204" spans="1:10" ht="14.25" customHeight="1" x14ac:dyDescent="0.25">
      <c r="A204" s="21">
        <v>16047</v>
      </c>
      <c r="B204" s="21"/>
      <c r="C204">
        <v>7.4</v>
      </c>
      <c r="D204">
        <v>2.7</v>
      </c>
      <c r="E204">
        <v>47</v>
      </c>
      <c r="F204">
        <v>16</v>
      </c>
      <c r="H204">
        <v>16</v>
      </c>
      <c r="I204">
        <v>1.1599999999999999</v>
      </c>
      <c r="J204">
        <v>491</v>
      </c>
    </row>
    <row r="205" spans="1:10" ht="14.25" customHeight="1" x14ac:dyDescent="0.25">
      <c r="A205" s="21">
        <v>16049</v>
      </c>
      <c r="B205" s="21"/>
      <c r="C205">
        <v>5.4</v>
      </c>
      <c r="D205">
        <v>3.1</v>
      </c>
      <c r="E205">
        <v>23</v>
      </c>
      <c r="F205">
        <v>25</v>
      </c>
      <c r="H205">
        <v>25</v>
      </c>
      <c r="I205">
        <v>0.9</v>
      </c>
      <c r="J205">
        <v>353</v>
      </c>
    </row>
    <row r="206" spans="1:10" ht="14.25" customHeight="1" x14ac:dyDescent="0.25">
      <c r="A206" s="21">
        <v>16049</v>
      </c>
      <c r="B206" s="21"/>
      <c r="C206">
        <v>4.9000000000000004</v>
      </c>
      <c r="D206">
        <v>2.4</v>
      </c>
      <c r="E206">
        <v>13</v>
      </c>
      <c r="F206">
        <v>15</v>
      </c>
      <c r="H206">
        <v>15</v>
      </c>
      <c r="I206">
        <v>0.9</v>
      </c>
      <c r="J206">
        <v>403</v>
      </c>
    </row>
    <row r="207" spans="1:10" ht="14.25" customHeight="1" x14ac:dyDescent="0.25">
      <c r="A207" s="21">
        <v>16053</v>
      </c>
      <c r="B207" s="21"/>
      <c r="C207">
        <v>6.5</v>
      </c>
      <c r="D207">
        <v>2.1</v>
      </c>
      <c r="E207">
        <v>26</v>
      </c>
      <c r="F207">
        <v>18</v>
      </c>
      <c r="H207">
        <v>18</v>
      </c>
      <c r="I207">
        <v>1.08</v>
      </c>
      <c r="J207">
        <v>359</v>
      </c>
    </row>
    <row r="208" spans="1:10" ht="14.25" customHeight="1" x14ac:dyDescent="0.25">
      <c r="A208" s="21">
        <v>16057</v>
      </c>
      <c r="B208" s="21"/>
      <c r="C208">
        <v>12.3</v>
      </c>
      <c r="D208">
        <v>3.1</v>
      </c>
      <c r="E208">
        <v>90</v>
      </c>
      <c r="F208">
        <v>25</v>
      </c>
      <c r="G208">
        <v>3</v>
      </c>
      <c r="H208">
        <v>25</v>
      </c>
      <c r="I208">
        <v>1.4</v>
      </c>
      <c r="J208" s="1">
        <v>1364</v>
      </c>
    </row>
    <row r="209" spans="1:10" ht="14.25" customHeight="1" x14ac:dyDescent="0.25">
      <c r="A209" s="21">
        <v>16059</v>
      </c>
      <c r="B209" s="21"/>
      <c r="C209">
        <v>3.2</v>
      </c>
      <c r="D209">
        <v>2.4</v>
      </c>
      <c r="E209">
        <v>33</v>
      </c>
      <c r="F209">
        <v>18</v>
      </c>
      <c r="H209">
        <v>18</v>
      </c>
      <c r="I209">
        <v>1.31</v>
      </c>
      <c r="J209">
        <v>350</v>
      </c>
    </row>
    <row r="210" spans="1:10" ht="14.25" customHeight="1" x14ac:dyDescent="0.25">
      <c r="A210" s="21">
        <v>16067</v>
      </c>
      <c r="B210" s="21"/>
      <c r="C210">
        <v>5.4</v>
      </c>
      <c r="D210">
        <v>3.5</v>
      </c>
      <c r="E210">
        <v>27</v>
      </c>
      <c r="F210">
        <v>16</v>
      </c>
      <c r="H210">
        <v>16</v>
      </c>
      <c r="I210">
        <v>1.3</v>
      </c>
      <c r="J210">
        <v>488</v>
      </c>
    </row>
    <row r="211" spans="1:10" ht="14.25" customHeight="1" x14ac:dyDescent="0.25">
      <c r="A211" s="21">
        <v>16071</v>
      </c>
      <c r="B211" s="21"/>
      <c r="C211">
        <v>3.6</v>
      </c>
      <c r="D211">
        <v>2.8</v>
      </c>
      <c r="E211">
        <v>8</v>
      </c>
      <c r="F211">
        <v>11</v>
      </c>
      <c r="H211">
        <v>11</v>
      </c>
      <c r="I211">
        <v>0.98</v>
      </c>
      <c r="J211">
        <v>173</v>
      </c>
    </row>
    <row r="212" spans="1:10" ht="14.25" customHeight="1" x14ac:dyDescent="0.25">
      <c r="A212" s="21">
        <v>16077</v>
      </c>
      <c r="B212" s="21"/>
      <c r="C212">
        <v>1.7</v>
      </c>
      <c r="D212">
        <v>2.9</v>
      </c>
      <c r="E212">
        <v>8</v>
      </c>
      <c r="F212">
        <v>10</v>
      </c>
      <c r="H212">
        <v>10</v>
      </c>
      <c r="I212">
        <v>1.1499999999999999</v>
      </c>
      <c r="J212">
        <v>31</v>
      </c>
    </row>
    <row r="213" spans="1:10" ht="14.25" customHeight="1" x14ac:dyDescent="0.25">
      <c r="A213" s="21">
        <v>16079</v>
      </c>
      <c r="B213" s="21"/>
      <c r="C213">
        <v>3.9</v>
      </c>
      <c r="D213">
        <v>2.5</v>
      </c>
      <c r="E213">
        <v>33</v>
      </c>
      <c r="F213">
        <v>21</v>
      </c>
      <c r="H213">
        <v>21</v>
      </c>
      <c r="I213">
        <v>1.03</v>
      </c>
      <c r="J213">
        <v>256</v>
      </c>
    </row>
    <row r="214" spans="1:10" ht="14.25" customHeight="1" x14ac:dyDescent="0.25">
      <c r="A214" s="21">
        <v>16081</v>
      </c>
      <c r="B214" s="21"/>
      <c r="C214">
        <v>1.6</v>
      </c>
      <c r="D214">
        <v>2.2999999999999998</v>
      </c>
      <c r="E214">
        <v>20</v>
      </c>
      <c r="F214">
        <v>13</v>
      </c>
      <c r="H214">
        <v>13</v>
      </c>
      <c r="I214">
        <v>1.1000000000000001</v>
      </c>
      <c r="J214">
        <v>155</v>
      </c>
    </row>
    <row r="215" spans="1:10" ht="14.25" customHeight="1" x14ac:dyDescent="0.25">
      <c r="A215" s="21">
        <v>16085</v>
      </c>
      <c r="B215" s="21"/>
      <c r="C215">
        <v>4.3</v>
      </c>
      <c r="D215">
        <v>2.1</v>
      </c>
      <c r="E215">
        <v>44</v>
      </c>
      <c r="F215">
        <v>15</v>
      </c>
      <c r="H215">
        <v>15</v>
      </c>
      <c r="I215">
        <v>1.45</v>
      </c>
      <c r="J215">
        <v>568</v>
      </c>
    </row>
    <row r="216" spans="1:10" ht="14.25" customHeight="1" x14ac:dyDescent="0.25">
      <c r="A216" s="21">
        <v>16085</v>
      </c>
      <c r="B216" s="21"/>
      <c r="C216">
        <v>0.3</v>
      </c>
      <c r="D216">
        <v>1.8</v>
      </c>
      <c r="E216">
        <v>5</v>
      </c>
      <c r="F216">
        <v>8</v>
      </c>
      <c r="H216">
        <v>8</v>
      </c>
      <c r="I216">
        <v>0.8</v>
      </c>
      <c r="J216">
        <v>43</v>
      </c>
    </row>
    <row r="217" spans="1:10" ht="14.25" customHeight="1" x14ac:dyDescent="0.25">
      <c r="A217" s="21">
        <v>16087</v>
      </c>
      <c r="B217" s="21"/>
      <c r="C217">
        <v>2.5</v>
      </c>
      <c r="D217">
        <v>2</v>
      </c>
      <c r="E217">
        <v>17</v>
      </c>
      <c r="F217">
        <v>19</v>
      </c>
      <c r="H217">
        <v>19</v>
      </c>
      <c r="I217">
        <v>1.18</v>
      </c>
      <c r="J217">
        <v>301</v>
      </c>
    </row>
    <row r="218" spans="1:10" ht="14.25" customHeight="1" x14ac:dyDescent="0.25">
      <c r="A218" s="21">
        <v>17011</v>
      </c>
      <c r="B218" s="21"/>
      <c r="C218">
        <v>6.3</v>
      </c>
      <c r="D218">
        <v>2.6</v>
      </c>
      <c r="E218">
        <v>42</v>
      </c>
      <c r="F218">
        <v>25</v>
      </c>
      <c r="G218">
        <v>3</v>
      </c>
      <c r="H218">
        <v>25</v>
      </c>
      <c r="I218">
        <v>1.17</v>
      </c>
      <c r="J218">
        <v>707</v>
      </c>
    </row>
    <row r="219" spans="1:10" ht="14.25" customHeight="1" x14ac:dyDescent="0.25">
      <c r="A219" s="21">
        <v>17021</v>
      </c>
      <c r="B219" s="21"/>
      <c r="C219">
        <v>13.6</v>
      </c>
      <c r="D219">
        <v>3.5</v>
      </c>
      <c r="E219">
        <v>56</v>
      </c>
      <c r="F219">
        <v>25</v>
      </c>
      <c r="H219">
        <v>25</v>
      </c>
      <c r="I219">
        <v>1.06</v>
      </c>
      <c r="J219">
        <v>610</v>
      </c>
    </row>
    <row r="220" spans="1:10" ht="14.25" customHeight="1" x14ac:dyDescent="0.25">
      <c r="A220" s="21">
        <v>17021</v>
      </c>
      <c r="B220" s="21"/>
      <c r="C220">
        <v>4.5</v>
      </c>
      <c r="D220">
        <v>3.2</v>
      </c>
      <c r="E220">
        <v>23</v>
      </c>
      <c r="F220">
        <v>22</v>
      </c>
      <c r="H220">
        <v>22</v>
      </c>
      <c r="I220">
        <v>0.91</v>
      </c>
      <c r="J220">
        <v>404</v>
      </c>
    </row>
    <row r="221" spans="1:10" ht="14.25" customHeight="1" x14ac:dyDescent="0.25">
      <c r="A221" s="21">
        <v>17025</v>
      </c>
      <c r="B221" s="21"/>
      <c r="C221">
        <v>6.2</v>
      </c>
      <c r="D221">
        <v>3.7</v>
      </c>
      <c r="E221">
        <v>34</v>
      </c>
      <c r="F221">
        <v>20</v>
      </c>
      <c r="H221">
        <v>20</v>
      </c>
      <c r="I221">
        <v>1</v>
      </c>
      <c r="J221">
        <v>536</v>
      </c>
    </row>
    <row r="222" spans="1:10" ht="14.25" customHeight="1" x14ac:dyDescent="0.25">
      <c r="A222" s="21">
        <v>17033</v>
      </c>
      <c r="B222" s="21"/>
      <c r="C222">
        <v>9</v>
      </c>
      <c r="D222">
        <v>1.9</v>
      </c>
      <c r="E222">
        <v>36</v>
      </c>
      <c r="F222">
        <v>25</v>
      </c>
      <c r="H222">
        <v>25</v>
      </c>
      <c r="I222">
        <v>1.38</v>
      </c>
      <c r="J222" s="1">
        <v>1312</v>
      </c>
    </row>
    <row r="223" spans="1:10" ht="14.25" customHeight="1" x14ac:dyDescent="0.25">
      <c r="A223" s="21">
        <v>17037</v>
      </c>
      <c r="B223" s="21"/>
      <c r="C223">
        <v>5.5</v>
      </c>
      <c r="D223">
        <v>2.5</v>
      </c>
      <c r="E223">
        <v>30</v>
      </c>
      <c r="F223">
        <v>25</v>
      </c>
      <c r="G223">
        <v>4</v>
      </c>
      <c r="H223">
        <v>25</v>
      </c>
      <c r="I223">
        <v>1.19</v>
      </c>
      <c r="J223">
        <v>682</v>
      </c>
    </row>
    <row r="224" spans="1:10" ht="14.25" customHeight="1" x14ac:dyDescent="0.25">
      <c r="A224" s="21">
        <v>17039</v>
      </c>
      <c r="B224" s="21"/>
      <c r="C224">
        <v>1.2</v>
      </c>
      <c r="D224">
        <v>3.2</v>
      </c>
      <c r="E224">
        <v>20</v>
      </c>
      <c r="F224">
        <v>15</v>
      </c>
      <c r="H224">
        <v>15</v>
      </c>
      <c r="I224">
        <v>1.1000000000000001</v>
      </c>
      <c r="J224">
        <v>145</v>
      </c>
    </row>
    <row r="225" spans="1:10" ht="14.25" customHeight="1" x14ac:dyDescent="0.25">
      <c r="A225" s="21">
        <v>17045</v>
      </c>
      <c r="B225" s="21"/>
      <c r="C225">
        <v>14.9</v>
      </c>
      <c r="D225">
        <v>2.9</v>
      </c>
      <c r="E225">
        <v>66</v>
      </c>
      <c r="F225">
        <v>25</v>
      </c>
      <c r="H225">
        <v>25</v>
      </c>
      <c r="I225">
        <v>1.05</v>
      </c>
      <c r="J225">
        <v>711</v>
      </c>
    </row>
    <row r="226" spans="1:10" ht="14.25" customHeight="1" x14ac:dyDescent="0.25">
      <c r="A226" s="21">
        <v>17051</v>
      </c>
      <c r="B226" s="21"/>
      <c r="C226">
        <v>10</v>
      </c>
      <c r="D226">
        <v>3.3</v>
      </c>
      <c r="E226">
        <v>27</v>
      </c>
      <c r="F226">
        <v>29</v>
      </c>
      <c r="G226">
        <v>4</v>
      </c>
      <c r="H226">
        <v>29</v>
      </c>
      <c r="I226">
        <v>0.95</v>
      </c>
      <c r="J226">
        <v>489</v>
      </c>
    </row>
    <row r="227" spans="1:10" ht="14.25" customHeight="1" x14ac:dyDescent="0.25">
      <c r="A227" s="21">
        <v>17053</v>
      </c>
      <c r="B227" s="21"/>
      <c r="C227">
        <v>9.3000000000000007</v>
      </c>
      <c r="D227">
        <v>2.5</v>
      </c>
      <c r="E227">
        <v>84</v>
      </c>
      <c r="F227">
        <v>25</v>
      </c>
      <c r="G227">
        <v>2</v>
      </c>
      <c r="H227">
        <v>25</v>
      </c>
      <c r="I227">
        <v>1.56</v>
      </c>
      <c r="J227">
        <v>779</v>
      </c>
    </row>
    <row r="228" spans="1:10" ht="14.25" customHeight="1" x14ac:dyDescent="0.25">
      <c r="A228" s="21">
        <v>17055</v>
      </c>
      <c r="B228" s="21"/>
      <c r="C228">
        <v>2.2999999999999998</v>
      </c>
      <c r="D228">
        <v>2.8</v>
      </c>
      <c r="E228">
        <v>26</v>
      </c>
      <c r="F228">
        <v>25</v>
      </c>
      <c r="H228">
        <v>16</v>
      </c>
      <c r="I228">
        <v>0.96</v>
      </c>
      <c r="J228">
        <v>185</v>
      </c>
    </row>
    <row r="229" spans="1:10" ht="14.25" customHeight="1" x14ac:dyDescent="0.25">
      <c r="A229" s="21">
        <v>17061</v>
      </c>
      <c r="B229" s="21"/>
      <c r="C229">
        <v>2.5</v>
      </c>
      <c r="D229">
        <v>2.5</v>
      </c>
      <c r="E229">
        <v>14</v>
      </c>
      <c r="F229">
        <v>25</v>
      </c>
      <c r="H229">
        <v>25</v>
      </c>
      <c r="I229">
        <v>0.91</v>
      </c>
      <c r="J229">
        <v>130</v>
      </c>
    </row>
    <row r="230" spans="1:10" ht="14.25" customHeight="1" x14ac:dyDescent="0.25">
      <c r="A230" s="21">
        <v>17065</v>
      </c>
      <c r="B230" s="21"/>
      <c r="C230">
        <v>8.6999999999999993</v>
      </c>
      <c r="D230">
        <v>2.6</v>
      </c>
      <c r="E230">
        <v>34</v>
      </c>
      <c r="F230">
        <v>25</v>
      </c>
      <c r="H230">
        <v>25</v>
      </c>
      <c r="I230">
        <v>0.88</v>
      </c>
      <c r="J230">
        <v>321</v>
      </c>
    </row>
    <row r="231" spans="1:10" ht="14.25" customHeight="1" x14ac:dyDescent="0.25">
      <c r="A231" s="21">
        <v>17067</v>
      </c>
      <c r="B231" s="21"/>
      <c r="C231">
        <v>5.8</v>
      </c>
      <c r="D231">
        <v>2.7</v>
      </c>
      <c r="E231">
        <v>30</v>
      </c>
      <c r="F231">
        <v>18</v>
      </c>
      <c r="H231">
        <v>18</v>
      </c>
      <c r="I231">
        <v>0.97</v>
      </c>
      <c r="J231">
        <v>502</v>
      </c>
    </row>
    <row r="232" spans="1:10" ht="14.25" customHeight="1" x14ac:dyDescent="0.25">
      <c r="A232" s="21">
        <v>17069</v>
      </c>
      <c r="B232" s="21"/>
      <c r="C232">
        <v>7.1</v>
      </c>
      <c r="D232">
        <v>3.7</v>
      </c>
      <c r="E232">
        <v>7</v>
      </c>
      <c r="F232">
        <v>25</v>
      </c>
      <c r="H232">
        <v>25</v>
      </c>
      <c r="I232">
        <v>0.89</v>
      </c>
      <c r="J232">
        <v>379</v>
      </c>
    </row>
    <row r="233" spans="1:10" ht="14.25" customHeight="1" x14ac:dyDescent="0.25">
      <c r="A233" s="21">
        <v>17073</v>
      </c>
      <c r="B233" s="21"/>
      <c r="C233">
        <v>4.0999999999999996</v>
      </c>
      <c r="D233">
        <v>1.8</v>
      </c>
      <c r="E233">
        <v>23</v>
      </c>
      <c r="F233">
        <v>25</v>
      </c>
      <c r="G233">
        <v>3</v>
      </c>
      <c r="H233">
        <v>25</v>
      </c>
      <c r="I233">
        <v>0.98</v>
      </c>
      <c r="J233">
        <v>553</v>
      </c>
    </row>
    <row r="234" spans="1:10" ht="14.25" customHeight="1" x14ac:dyDescent="0.25">
      <c r="A234" s="21">
        <v>17073</v>
      </c>
      <c r="B234" s="21"/>
      <c r="C234">
        <v>8.3000000000000007</v>
      </c>
      <c r="D234">
        <v>3.2</v>
      </c>
      <c r="E234">
        <v>39</v>
      </c>
      <c r="F234">
        <v>25</v>
      </c>
      <c r="H234">
        <v>25</v>
      </c>
      <c r="I234">
        <v>1.31</v>
      </c>
      <c r="J234">
        <v>771</v>
      </c>
    </row>
    <row r="235" spans="1:10" ht="14.25" customHeight="1" x14ac:dyDescent="0.25">
      <c r="A235" s="21">
        <v>17077</v>
      </c>
      <c r="B235" s="21"/>
      <c r="C235">
        <v>12.5</v>
      </c>
      <c r="D235">
        <v>2.8</v>
      </c>
      <c r="E235">
        <v>61</v>
      </c>
      <c r="F235">
        <v>25</v>
      </c>
      <c r="H235">
        <v>25</v>
      </c>
      <c r="I235">
        <v>1.32</v>
      </c>
      <c r="J235">
        <v>353</v>
      </c>
    </row>
    <row r="236" spans="1:10" ht="14.25" customHeight="1" x14ac:dyDescent="0.25">
      <c r="A236" s="21">
        <v>17085</v>
      </c>
      <c r="B236" s="21"/>
      <c r="C236">
        <v>6.6</v>
      </c>
      <c r="D236">
        <v>3.1</v>
      </c>
      <c r="E236">
        <v>21</v>
      </c>
      <c r="F236">
        <v>25</v>
      </c>
      <c r="H236">
        <v>18</v>
      </c>
      <c r="I236">
        <v>0.96</v>
      </c>
      <c r="J236">
        <v>146</v>
      </c>
    </row>
    <row r="237" spans="1:10" ht="14.25" customHeight="1" x14ac:dyDescent="0.25">
      <c r="A237" s="21">
        <v>17099</v>
      </c>
      <c r="B237" s="21"/>
      <c r="C237">
        <v>5.4</v>
      </c>
      <c r="D237">
        <v>2.9</v>
      </c>
      <c r="E237">
        <v>19</v>
      </c>
      <c r="F237">
        <v>25</v>
      </c>
      <c r="G237">
        <v>4</v>
      </c>
      <c r="H237">
        <v>25</v>
      </c>
      <c r="I237">
        <v>1.07</v>
      </c>
      <c r="J237">
        <v>336</v>
      </c>
    </row>
    <row r="238" spans="1:10" ht="14.25" customHeight="1" x14ac:dyDescent="0.25">
      <c r="A238" s="21">
        <v>17101</v>
      </c>
      <c r="B238" s="21"/>
      <c r="C238">
        <v>5.5</v>
      </c>
      <c r="D238">
        <v>4</v>
      </c>
      <c r="E238">
        <v>15</v>
      </c>
      <c r="F238">
        <v>25</v>
      </c>
      <c r="H238">
        <v>25</v>
      </c>
      <c r="I238">
        <v>0.98</v>
      </c>
      <c r="J238">
        <v>351</v>
      </c>
    </row>
    <row r="239" spans="1:10" ht="14.25" customHeight="1" x14ac:dyDescent="0.25">
      <c r="A239" s="21">
        <v>17107</v>
      </c>
      <c r="B239" s="21"/>
      <c r="C239">
        <v>12</v>
      </c>
      <c r="D239">
        <v>3.9</v>
      </c>
      <c r="E239">
        <v>67</v>
      </c>
      <c r="F239">
        <v>25</v>
      </c>
      <c r="H239">
        <v>25</v>
      </c>
      <c r="I239">
        <v>1.19</v>
      </c>
      <c r="J239">
        <v>759</v>
      </c>
    </row>
    <row r="240" spans="1:10" ht="14.25" customHeight="1" x14ac:dyDescent="0.25">
      <c r="A240" s="21">
        <v>17111</v>
      </c>
      <c r="B240" s="21"/>
      <c r="C240">
        <v>3.6</v>
      </c>
      <c r="D240">
        <v>2.9</v>
      </c>
      <c r="E240">
        <v>26</v>
      </c>
      <c r="F240">
        <v>13</v>
      </c>
      <c r="G240">
        <v>3</v>
      </c>
      <c r="H240">
        <v>13</v>
      </c>
      <c r="I240">
        <v>1.2</v>
      </c>
      <c r="J240">
        <v>465</v>
      </c>
    </row>
    <row r="241" spans="1:10" ht="14.25" customHeight="1" x14ac:dyDescent="0.25">
      <c r="A241" s="21">
        <v>17117</v>
      </c>
      <c r="B241" s="21"/>
      <c r="C241">
        <v>3.7</v>
      </c>
      <c r="D241">
        <v>3.1</v>
      </c>
      <c r="E241">
        <v>21</v>
      </c>
      <c r="F241">
        <v>25</v>
      </c>
      <c r="H241">
        <v>25</v>
      </c>
      <c r="I241">
        <v>0.94</v>
      </c>
      <c r="J241">
        <v>244</v>
      </c>
    </row>
    <row r="242" spans="1:10" ht="14.25" customHeight="1" x14ac:dyDescent="0.25">
      <c r="A242" s="21">
        <v>17117</v>
      </c>
      <c r="B242" s="21"/>
      <c r="C242">
        <v>6.7</v>
      </c>
      <c r="D242">
        <v>2.9</v>
      </c>
      <c r="E242">
        <v>32</v>
      </c>
      <c r="F242">
        <v>25</v>
      </c>
      <c r="H242">
        <v>25</v>
      </c>
      <c r="I242">
        <v>0.96</v>
      </c>
      <c r="J242">
        <v>362</v>
      </c>
    </row>
    <row r="243" spans="1:10" ht="14.25" customHeight="1" x14ac:dyDescent="0.25">
      <c r="A243" s="21">
        <v>17119</v>
      </c>
      <c r="B243" s="21"/>
      <c r="C243">
        <v>16.100000000000001</v>
      </c>
      <c r="D243">
        <v>3.3</v>
      </c>
      <c r="E243">
        <v>54</v>
      </c>
      <c r="F243">
        <v>25</v>
      </c>
      <c r="H243">
        <v>25</v>
      </c>
      <c r="I243">
        <v>1.28</v>
      </c>
      <c r="J243">
        <v>985</v>
      </c>
    </row>
    <row r="244" spans="1:10" ht="14.25" customHeight="1" x14ac:dyDescent="0.25">
      <c r="A244" s="21">
        <v>17121</v>
      </c>
      <c r="B244" s="21"/>
      <c r="C244">
        <v>7.3</v>
      </c>
      <c r="D244">
        <v>3.8</v>
      </c>
      <c r="E244">
        <v>35</v>
      </c>
      <c r="F244">
        <v>25</v>
      </c>
      <c r="H244">
        <v>25</v>
      </c>
      <c r="I244">
        <v>1.25</v>
      </c>
      <c r="J244">
        <v>454</v>
      </c>
    </row>
    <row r="245" spans="1:10" ht="14.25" customHeight="1" x14ac:dyDescent="0.25">
      <c r="A245" s="21">
        <v>17125</v>
      </c>
      <c r="B245" s="21"/>
      <c r="C245">
        <v>3.2</v>
      </c>
      <c r="D245">
        <v>3.1</v>
      </c>
      <c r="E245">
        <v>13</v>
      </c>
      <c r="F245">
        <v>25</v>
      </c>
      <c r="H245">
        <v>25</v>
      </c>
      <c r="I245">
        <v>1.1000000000000001</v>
      </c>
      <c r="J245">
        <v>140</v>
      </c>
    </row>
    <row r="246" spans="1:10" ht="14.25" customHeight="1" x14ac:dyDescent="0.25">
      <c r="A246" s="21">
        <v>17127</v>
      </c>
      <c r="B246" s="21"/>
      <c r="C246">
        <v>10.1</v>
      </c>
      <c r="D246">
        <v>4.2</v>
      </c>
      <c r="E246">
        <v>15</v>
      </c>
      <c r="F246">
        <v>25</v>
      </c>
      <c r="H246">
        <v>25</v>
      </c>
      <c r="I246">
        <v>0.94</v>
      </c>
      <c r="J246">
        <v>782</v>
      </c>
    </row>
    <row r="247" spans="1:10" ht="14.25" customHeight="1" x14ac:dyDescent="0.25">
      <c r="A247" s="21">
        <v>17131</v>
      </c>
      <c r="B247" s="21"/>
      <c r="C247">
        <v>2.8</v>
      </c>
      <c r="D247">
        <v>1.7</v>
      </c>
      <c r="E247">
        <v>15</v>
      </c>
      <c r="F247">
        <v>22</v>
      </c>
      <c r="H247">
        <v>22</v>
      </c>
      <c r="I247">
        <v>0.92</v>
      </c>
      <c r="J247">
        <v>146</v>
      </c>
    </row>
    <row r="248" spans="1:10" ht="14.25" customHeight="1" x14ac:dyDescent="0.25">
      <c r="A248" s="21">
        <v>17135</v>
      </c>
      <c r="B248" s="21"/>
      <c r="C248">
        <v>11.7</v>
      </c>
      <c r="D248">
        <v>2.5</v>
      </c>
      <c r="E248">
        <v>48</v>
      </c>
      <c r="F248">
        <v>25</v>
      </c>
      <c r="H248">
        <v>25</v>
      </c>
      <c r="I248">
        <v>1.28</v>
      </c>
      <c r="J248" s="1">
        <v>1519</v>
      </c>
    </row>
    <row r="249" spans="1:10" ht="14.25" customHeight="1" x14ac:dyDescent="0.25">
      <c r="A249" s="21">
        <v>17135</v>
      </c>
      <c r="B249" s="21"/>
      <c r="C249">
        <v>6.7</v>
      </c>
      <c r="D249">
        <v>2.9</v>
      </c>
      <c r="E249">
        <v>35</v>
      </c>
      <c r="F249">
        <v>25</v>
      </c>
      <c r="H249">
        <v>25</v>
      </c>
      <c r="I249">
        <v>0.93</v>
      </c>
      <c r="J249">
        <v>192</v>
      </c>
    </row>
    <row r="250" spans="1:10" ht="14.25" customHeight="1" x14ac:dyDescent="0.25">
      <c r="A250" s="21">
        <v>17141</v>
      </c>
      <c r="B250" s="21"/>
      <c r="C250">
        <v>3</v>
      </c>
      <c r="D250">
        <v>2.6</v>
      </c>
      <c r="E250">
        <v>31</v>
      </c>
      <c r="F250">
        <v>17</v>
      </c>
      <c r="G250">
        <v>4</v>
      </c>
      <c r="H250">
        <v>17</v>
      </c>
      <c r="I250">
        <v>0.95</v>
      </c>
      <c r="J250">
        <v>374</v>
      </c>
    </row>
    <row r="251" spans="1:10" ht="14.25" customHeight="1" x14ac:dyDescent="0.25">
      <c r="A251" s="21">
        <v>17145</v>
      </c>
      <c r="B251" s="21"/>
      <c r="C251">
        <v>8.6</v>
      </c>
      <c r="D251">
        <v>3.2</v>
      </c>
      <c r="E251">
        <v>24</v>
      </c>
      <c r="F251">
        <v>17</v>
      </c>
      <c r="H251">
        <v>17</v>
      </c>
      <c r="I251">
        <v>0.98</v>
      </c>
      <c r="J251">
        <v>309</v>
      </c>
    </row>
    <row r="252" spans="1:10" ht="14.25" customHeight="1" x14ac:dyDescent="0.25">
      <c r="A252" s="21">
        <v>17145</v>
      </c>
      <c r="B252" s="21"/>
      <c r="C252">
        <v>5.8</v>
      </c>
      <c r="D252">
        <v>2.2000000000000002</v>
      </c>
      <c r="E252">
        <v>29</v>
      </c>
      <c r="F252">
        <v>25</v>
      </c>
      <c r="H252">
        <v>25</v>
      </c>
      <c r="I252">
        <v>1.03</v>
      </c>
      <c r="J252">
        <v>386</v>
      </c>
    </row>
    <row r="253" spans="1:10" ht="14.25" customHeight="1" x14ac:dyDescent="0.25">
      <c r="A253" s="21">
        <v>17147</v>
      </c>
      <c r="B253" s="21"/>
      <c r="C253">
        <v>4.9000000000000004</v>
      </c>
      <c r="D253">
        <v>2.2999999999999998</v>
      </c>
      <c r="E253">
        <v>25</v>
      </c>
      <c r="F253">
        <v>16</v>
      </c>
      <c r="H253">
        <v>16</v>
      </c>
      <c r="I253">
        <v>1.48</v>
      </c>
      <c r="J253">
        <v>134</v>
      </c>
    </row>
    <row r="254" spans="1:10" ht="14.25" customHeight="1" x14ac:dyDescent="0.25">
      <c r="A254" s="21">
        <v>17149</v>
      </c>
      <c r="B254" s="21"/>
      <c r="C254">
        <v>3</v>
      </c>
      <c r="D254">
        <v>2.9</v>
      </c>
      <c r="E254">
        <v>31</v>
      </c>
      <c r="F254">
        <v>25</v>
      </c>
      <c r="H254">
        <v>25</v>
      </c>
      <c r="I254">
        <v>1.1000000000000001</v>
      </c>
      <c r="J254">
        <v>254</v>
      </c>
    </row>
    <row r="255" spans="1:10" ht="14.25" customHeight="1" x14ac:dyDescent="0.25">
      <c r="A255" s="21">
        <v>17157</v>
      </c>
      <c r="B255" s="21"/>
      <c r="C255">
        <v>15.1</v>
      </c>
      <c r="D255">
        <v>3.1</v>
      </c>
      <c r="E255">
        <v>20</v>
      </c>
      <c r="F255">
        <v>25</v>
      </c>
      <c r="H255">
        <v>25</v>
      </c>
      <c r="I255">
        <v>1.1299999999999999</v>
      </c>
      <c r="J255">
        <v>658</v>
      </c>
    </row>
    <row r="256" spans="1:10" ht="14.25" customHeight="1" x14ac:dyDescent="0.25">
      <c r="A256" s="21">
        <v>17157</v>
      </c>
      <c r="B256" s="21"/>
      <c r="C256">
        <v>5</v>
      </c>
      <c r="D256">
        <v>2.9</v>
      </c>
      <c r="E256">
        <v>44</v>
      </c>
      <c r="F256">
        <v>25</v>
      </c>
      <c r="H256">
        <v>25</v>
      </c>
      <c r="I256">
        <v>1.05</v>
      </c>
      <c r="J256">
        <v>320</v>
      </c>
    </row>
    <row r="257" spans="1:10" ht="14.25" customHeight="1" x14ac:dyDescent="0.25">
      <c r="A257" s="21">
        <v>17157</v>
      </c>
      <c r="B257" s="21"/>
      <c r="C257">
        <v>4.5</v>
      </c>
      <c r="D257">
        <v>3.5</v>
      </c>
      <c r="E257">
        <v>37</v>
      </c>
      <c r="F257">
        <v>25</v>
      </c>
      <c r="H257">
        <v>25</v>
      </c>
      <c r="I257">
        <v>1.02</v>
      </c>
      <c r="J257">
        <v>347</v>
      </c>
    </row>
    <row r="258" spans="1:10" ht="14.25" customHeight="1" x14ac:dyDescent="0.25">
      <c r="A258" s="21">
        <v>17165</v>
      </c>
      <c r="B258" s="21"/>
      <c r="C258">
        <v>7.5</v>
      </c>
      <c r="D258">
        <v>3.6</v>
      </c>
      <c r="E258">
        <v>26</v>
      </c>
      <c r="F258">
        <v>25</v>
      </c>
      <c r="H258">
        <v>25</v>
      </c>
      <c r="I258">
        <v>0.92</v>
      </c>
      <c r="J258">
        <v>509</v>
      </c>
    </row>
    <row r="259" spans="1:10" ht="14.25" customHeight="1" x14ac:dyDescent="0.25">
      <c r="A259" s="21">
        <v>17169</v>
      </c>
      <c r="B259" s="21"/>
      <c r="C259">
        <v>3.7</v>
      </c>
      <c r="D259">
        <v>3.4</v>
      </c>
      <c r="E259">
        <v>28</v>
      </c>
      <c r="F259">
        <v>22</v>
      </c>
      <c r="H259">
        <v>22</v>
      </c>
      <c r="I259">
        <v>0.89</v>
      </c>
      <c r="J259">
        <v>223</v>
      </c>
    </row>
    <row r="260" spans="1:10" ht="14.25" customHeight="1" x14ac:dyDescent="0.25">
      <c r="A260" s="21">
        <v>17179</v>
      </c>
      <c r="B260" s="21"/>
      <c r="C260">
        <v>5.3</v>
      </c>
      <c r="D260">
        <v>3.3</v>
      </c>
      <c r="E260">
        <v>15</v>
      </c>
      <c r="F260">
        <v>25</v>
      </c>
      <c r="H260">
        <v>25</v>
      </c>
      <c r="I260">
        <v>1.38</v>
      </c>
      <c r="J260">
        <v>286</v>
      </c>
    </row>
    <row r="261" spans="1:10" ht="14.25" customHeight="1" x14ac:dyDescent="0.25">
      <c r="A261" s="21">
        <v>17181</v>
      </c>
      <c r="B261" s="21"/>
      <c r="C261">
        <v>6.4</v>
      </c>
      <c r="D261">
        <v>3.4</v>
      </c>
      <c r="E261">
        <v>20</v>
      </c>
      <c r="F261">
        <v>25</v>
      </c>
      <c r="H261">
        <v>25</v>
      </c>
      <c r="I261">
        <v>1.1200000000000001</v>
      </c>
      <c r="J261">
        <v>517</v>
      </c>
    </row>
    <row r="262" spans="1:10" ht="14.25" customHeight="1" x14ac:dyDescent="0.25">
      <c r="A262" s="21">
        <v>17183</v>
      </c>
      <c r="B262" s="21"/>
      <c r="C262">
        <v>3.1</v>
      </c>
      <c r="D262">
        <v>2.7</v>
      </c>
      <c r="E262">
        <v>50</v>
      </c>
      <c r="F262">
        <v>22</v>
      </c>
      <c r="H262">
        <v>22</v>
      </c>
      <c r="I262">
        <v>1.1499999999999999</v>
      </c>
      <c r="J262">
        <v>373</v>
      </c>
    </row>
    <row r="263" spans="1:10" ht="14.25" customHeight="1" x14ac:dyDescent="0.25">
      <c r="A263" s="21">
        <v>17185</v>
      </c>
      <c r="B263" s="21"/>
      <c r="C263">
        <v>6.9</v>
      </c>
      <c r="D263">
        <v>3.3</v>
      </c>
      <c r="E263">
        <v>42</v>
      </c>
      <c r="F263">
        <v>25</v>
      </c>
      <c r="G263">
        <v>4</v>
      </c>
      <c r="H263">
        <v>25</v>
      </c>
      <c r="I263">
        <v>1.42</v>
      </c>
      <c r="J263">
        <v>676</v>
      </c>
    </row>
    <row r="264" spans="1:10" ht="14.25" customHeight="1" x14ac:dyDescent="0.25">
      <c r="A264" s="21">
        <v>17187</v>
      </c>
      <c r="B264" s="21"/>
      <c r="C264">
        <v>3.5</v>
      </c>
      <c r="D264">
        <v>3</v>
      </c>
      <c r="E264">
        <v>15</v>
      </c>
      <c r="F264">
        <v>23</v>
      </c>
      <c r="H264">
        <v>23</v>
      </c>
      <c r="I264">
        <v>0.94</v>
      </c>
      <c r="J264">
        <v>199</v>
      </c>
    </row>
    <row r="265" spans="1:10" ht="14.25" customHeight="1" x14ac:dyDescent="0.25">
      <c r="A265" s="21">
        <v>17189</v>
      </c>
      <c r="B265" s="21"/>
      <c r="C265">
        <v>5</v>
      </c>
      <c r="D265">
        <v>2.2000000000000002</v>
      </c>
      <c r="E265">
        <v>13</v>
      </c>
      <c r="F265">
        <v>22</v>
      </c>
      <c r="H265">
        <v>22</v>
      </c>
      <c r="I265">
        <v>0.94</v>
      </c>
      <c r="J265">
        <v>68</v>
      </c>
    </row>
    <row r="266" spans="1:10" ht="14.25" customHeight="1" x14ac:dyDescent="0.25">
      <c r="A266" s="21">
        <v>17191</v>
      </c>
      <c r="B266" s="21"/>
      <c r="C266">
        <v>4.5999999999999996</v>
      </c>
      <c r="D266">
        <v>3</v>
      </c>
      <c r="E266">
        <v>32</v>
      </c>
      <c r="F266">
        <v>25</v>
      </c>
      <c r="G266">
        <v>4</v>
      </c>
      <c r="H266">
        <v>25</v>
      </c>
      <c r="I266">
        <v>1.04</v>
      </c>
      <c r="J266">
        <v>561</v>
      </c>
    </row>
    <row r="267" spans="1:10" ht="14.25" customHeight="1" x14ac:dyDescent="0.25">
      <c r="A267" s="21">
        <v>17195</v>
      </c>
      <c r="B267" s="21"/>
      <c r="C267">
        <v>9.1</v>
      </c>
      <c r="D267">
        <v>2.9</v>
      </c>
      <c r="E267">
        <v>20</v>
      </c>
      <c r="F267">
        <v>25</v>
      </c>
      <c r="H267">
        <v>25</v>
      </c>
      <c r="I267">
        <v>0.87</v>
      </c>
      <c r="J267">
        <v>51</v>
      </c>
    </row>
    <row r="268" spans="1:10" ht="14.25" customHeight="1" x14ac:dyDescent="0.25">
      <c r="A268" s="21">
        <v>17203</v>
      </c>
      <c r="B268" s="21"/>
      <c r="C268">
        <v>3.3</v>
      </c>
      <c r="D268">
        <v>2.9</v>
      </c>
      <c r="E268">
        <v>15</v>
      </c>
      <c r="F268">
        <v>25</v>
      </c>
      <c r="H268">
        <v>25</v>
      </c>
      <c r="I268">
        <v>1.1399999999999999</v>
      </c>
      <c r="J268">
        <v>173</v>
      </c>
    </row>
    <row r="269" spans="1:10" ht="14.25" customHeight="1" x14ac:dyDescent="0.25">
      <c r="A269" s="21">
        <v>18001</v>
      </c>
      <c r="B269" s="21"/>
      <c r="C269">
        <v>15.3</v>
      </c>
      <c r="D269">
        <v>3.4</v>
      </c>
      <c r="E269">
        <v>77</v>
      </c>
      <c r="F269">
        <v>25</v>
      </c>
      <c r="G269">
        <v>4</v>
      </c>
      <c r="H269">
        <v>25</v>
      </c>
      <c r="I269">
        <v>1.23</v>
      </c>
      <c r="J269" s="1">
        <v>1305</v>
      </c>
    </row>
    <row r="270" spans="1:10" ht="14.25" customHeight="1" x14ac:dyDescent="0.25">
      <c r="A270" s="21">
        <v>18009</v>
      </c>
      <c r="B270" s="21"/>
      <c r="C270">
        <v>6.1</v>
      </c>
      <c r="D270">
        <v>3.5</v>
      </c>
      <c r="E270">
        <v>15</v>
      </c>
      <c r="F270">
        <v>15</v>
      </c>
      <c r="H270">
        <v>15</v>
      </c>
      <c r="I270">
        <v>0.98</v>
      </c>
      <c r="J270">
        <v>274</v>
      </c>
    </row>
    <row r="271" spans="1:10" ht="14.25" customHeight="1" x14ac:dyDescent="0.25">
      <c r="A271" s="21">
        <v>18021</v>
      </c>
      <c r="B271" s="21"/>
      <c r="C271">
        <v>2</v>
      </c>
      <c r="D271">
        <v>3.3</v>
      </c>
      <c r="E271">
        <v>28</v>
      </c>
      <c r="F271">
        <v>25</v>
      </c>
      <c r="H271">
        <v>25</v>
      </c>
      <c r="I271">
        <v>0.95</v>
      </c>
      <c r="J271">
        <v>124</v>
      </c>
    </row>
    <row r="272" spans="1:10" ht="14.25" customHeight="1" x14ac:dyDescent="0.25">
      <c r="A272" s="21">
        <v>18023</v>
      </c>
      <c r="B272" s="21"/>
      <c r="C272">
        <v>4.2</v>
      </c>
      <c r="D272">
        <v>3.3</v>
      </c>
      <c r="E272">
        <v>21</v>
      </c>
      <c r="F272">
        <v>25</v>
      </c>
      <c r="H272">
        <v>25</v>
      </c>
      <c r="I272">
        <v>1.1399999999999999</v>
      </c>
      <c r="J272">
        <v>371</v>
      </c>
    </row>
    <row r="273" spans="1:10" ht="14.25" customHeight="1" x14ac:dyDescent="0.25">
      <c r="A273" s="21">
        <v>18031</v>
      </c>
      <c r="B273" s="21"/>
      <c r="C273">
        <v>11.1</v>
      </c>
      <c r="D273">
        <v>3.1</v>
      </c>
      <c r="E273">
        <v>63</v>
      </c>
      <c r="F273">
        <v>25</v>
      </c>
      <c r="H273">
        <v>25</v>
      </c>
      <c r="I273">
        <v>1.18</v>
      </c>
      <c r="J273" s="1">
        <v>1237</v>
      </c>
    </row>
    <row r="274" spans="1:10" ht="14.25" customHeight="1" x14ac:dyDescent="0.25">
      <c r="A274" s="21">
        <v>18049</v>
      </c>
      <c r="B274" s="21"/>
      <c r="C274">
        <v>9.9</v>
      </c>
      <c r="D274">
        <v>3.3</v>
      </c>
      <c r="E274">
        <v>46</v>
      </c>
      <c r="F274">
        <v>25</v>
      </c>
      <c r="G274">
        <v>4</v>
      </c>
      <c r="H274">
        <v>25</v>
      </c>
      <c r="I274">
        <v>1.28</v>
      </c>
      <c r="J274" s="1">
        <v>1009</v>
      </c>
    </row>
    <row r="275" spans="1:10" ht="14.25" customHeight="1" x14ac:dyDescent="0.25">
      <c r="A275" s="21">
        <v>18051</v>
      </c>
      <c r="B275" s="21"/>
      <c r="C275">
        <v>8.5</v>
      </c>
      <c r="D275">
        <v>3.4</v>
      </c>
      <c r="E275">
        <v>28</v>
      </c>
      <c r="F275">
        <v>25</v>
      </c>
      <c r="G275">
        <v>5</v>
      </c>
      <c r="H275">
        <v>25</v>
      </c>
      <c r="I275">
        <v>0.92</v>
      </c>
      <c r="J275">
        <v>284</v>
      </c>
    </row>
    <row r="276" spans="1:10" ht="14.25" customHeight="1" x14ac:dyDescent="0.25">
      <c r="A276" s="21">
        <v>18055</v>
      </c>
      <c r="B276" s="21"/>
      <c r="C276">
        <v>7.1</v>
      </c>
      <c r="D276">
        <v>2.5</v>
      </c>
      <c r="E276">
        <v>42</v>
      </c>
      <c r="F276">
        <v>25</v>
      </c>
      <c r="G276">
        <v>5</v>
      </c>
      <c r="H276">
        <v>25</v>
      </c>
      <c r="I276">
        <v>0.96</v>
      </c>
      <c r="J276">
        <v>864</v>
      </c>
    </row>
    <row r="277" spans="1:10" ht="14.25" customHeight="1" x14ac:dyDescent="0.25">
      <c r="A277" s="21">
        <v>18061</v>
      </c>
      <c r="B277" s="21"/>
      <c r="C277">
        <v>13.1</v>
      </c>
      <c r="D277">
        <v>3.3</v>
      </c>
      <c r="E277">
        <v>59</v>
      </c>
      <c r="F277">
        <v>25</v>
      </c>
      <c r="G277">
        <v>4</v>
      </c>
      <c r="H277">
        <v>25</v>
      </c>
      <c r="I277">
        <v>1.22</v>
      </c>
      <c r="J277" s="1">
        <v>1417</v>
      </c>
    </row>
    <row r="278" spans="1:10" ht="14.25" customHeight="1" x14ac:dyDescent="0.25">
      <c r="A278" s="21">
        <v>18073</v>
      </c>
      <c r="B278" s="21"/>
      <c r="C278">
        <v>4.4000000000000004</v>
      </c>
      <c r="D278">
        <v>3.3</v>
      </c>
      <c r="E278">
        <v>28</v>
      </c>
      <c r="F278">
        <v>25</v>
      </c>
      <c r="G278">
        <v>4</v>
      </c>
      <c r="H278">
        <v>25</v>
      </c>
      <c r="I278">
        <v>1.1200000000000001</v>
      </c>
      <c r="J278">
        <v>412</v>
      </c>
    </row>
    <row r="279" spans="1:10" ht="14.25" customHeight="1" x14ac:dyDescent="0.25">
      <c r="A279" s="21">
        <v>18075</v>
      </c>
      <c r="B279" s="21"/>
      <c r="C279">
        <v>5.9</v>
      </c>
      <c r="D279">
        <v>2.2000000000000002</v>
      </c>
      <c r="E279">
        <v>43</v>
      </c>
      <c r="F279">
        <v>25</v>
      </c>
      <c r="H279">
        <v>25</v>
      </c>
      <c r="I279">
        <v>1.1000000000000001</v>
      </c>
      <c r="J279">
        <v>752</v>
      </c>
    </row>
    <row r="280" spans="1:10" ht="14.25" customHeight="1" x14ac:dyDescent="0.25">
      <c r="A280" s="21">
        <v>18079</v>
      </c>
      <c r="B280" s="21"/>
      <c r="C280">
        <v>1.8</v>
      </c>
      <c r="D280">
        <v>2.7</v>
      </c>
      <c r="E280">
        <v>33</v>
      </c>
      <c r="F280">
        <v>25</v>
      </c>
      <c r="H280">
        <v>25</v>
      </c>
      <c r="I280">
        <v>1.04</v>
      </c>
      <c r="J280">
        <v>201</v>
      </c>
    </row>
    <row r="281" spans="1:10" ht="14.25" customHeight="1" x14ac:dyDescent="0.25">
      <c r="A281" s="21">
        <v>18087</v>
      </c>
      <c r="B281" s="21"/>
      <c r="C281">
        <v>8.3000000000000007</v>
      </c>
      <c r="D281">
        <v>3.2</v>
      </c>
      <c r="E281">
        <v>29</v>
      </c>
      <c r="F281">
        <v>25</v>
      </c>
      <c r="H281">
        <v>25</v>
      </c>
      <c r="I281">
        <v>1.1299999999999999</v>
      </c>
      <c r="J281" s="1">
        <v>1071</v>
      </c>
    </row>
    <row r="282" spans="1:10" ht="14.25" customHeight="1" x14ac:dyDescent="0.25">
      <c r="A282" s="21">
        <v>18093</v>
      </c>
      <c r="B282" s="21"/>
      <c r="C282">
        <v>10.5</v>
      </c>
      <c r="D282">
        <v>3.5</v>
      </c>
      <c r="E282">
        <v>61</v>
      </c>
      <c r="F282">
        <v>25</v>
      </c>
      <c r="G282">
        <v>6</v>
      </c>
      <c r="H282">
        <v>25</v>
      </c>
      <c r="I282">
        <v>1.21</v>
      </c>
      <c r="J282" s="1">
        <v>1095</v>
      </c>
    </row>
    <row r="283" spans="1:10" ht="14.25" customHeight="1" x14ac:dyDescent="0.25">
      <c r="A283" s="21">
        <v>18093</v>
      </c>
      <c r="B283" s="21"/>
      <c r="C283">
        <v>5.6</v>
      </c>
      <c r="D283">
        <v>3.2</v>
      </c>
      <c r="E283">
        <v>33</v>
      </c>
      <c r="F283">
        <v>25</v>
      </c>
      <c r="H283">
        <v>25</v>
      </c>
      <c r="I283">
        <v>1.06</v>
      </c>
      <c r="J283">
        <v>611</v>
      </c>
    </row>
    <row r="284" spans="1:10" ht="14.25" customHeight="1" x14ac:dyDescent="0.25">
      <c r="A284" s="21">
        <v>18095</v>
      </c>
      <c r="B284" s="21"/>
      <c r="C284">
        <v>2.4</v>
      </c>
      <c r="D284">
        <v>3.4</v>
      </c>
      <c r="E284">
        <v>21</v>
      </c>
      <c r="F284">
        <v>25</v>
      </c>
      <c r="H284">
        <v>25</v>
      </c>
      <c r="I284">
        <v>1.22</v>
      </c>
      <c r="J284">
        <v>218</v>
      </c>
    </row>
    <row r="285" spans="1:10" ht="14.25" customHeight="1" x14ac:dyDescent="0.25">
      <c r="A285" s="21">
        <v>18099</v>
      </c>
      <c r="B285" s="21"/>
      <c r="C285">
        <v>2.2000000000000002</v>
      </c>
      <c r="D285">
        <v>2.2000000000000002</v>
      </c>
      <c r="E285">
        <v>64</v>
      </c>
      <c r="F285">
        <v>24</v>
      </c>
      <c r="H285">
        <v>24</v>
      </c>
      <c r="I285">
        <v>1.18</v>
      </c>
      <c r="J285">
        <v>277</v>
      </c>
    </row>
    <row r="286" spans="1:10" ht="14.25" customHeight="1" x14ac:dyDescent="0.25">
      <c r="A286" s="21">
        <v>18103</v>
      </c>
      <c r="B286" s="21"/>
      <c r="C286">
        <v>8.3000000000000007</v>
      </c>
      <c r="D286">
        <v>3.1</v>
      </c>
      <c r="E286">
        <v>40</v>
      </c>
      <c r="F286">
        <v>25</v>
      </c>
      <c r="G286">
        <v>4</v>
      </c>
      <c r="H286">
        <v>25</v>
      </c>
      <c r="I286">
        <v>1.21</v>
      </c>
      <c r="J286">
        <v>884</v>
      </c>
    </row>
    <row r="287" spans="1:10" ht="14.25" customHeight="1" x14ac:dyDescent="0.25">
      <c r="A287" s="21">
        <v>18117</v>
      </c>
      <c r="B287" s="21"/>
      <c r="C287">
        <v>1.9</v>
      </c>
      <c r="D287">
        <v>1.6</v>
      </c>
      <c r="E287">
        <v>32</v>
      </c>
      <c r="F287">
        <v>24</v>
      </c>
      <c r="H287">
        <v>24</v>
      </c>
      <c r="I287">
        <v>0.99</v>
      </c>
      <c r="J287">
        <v>360</v>
      </c>
    </row>
    <row r="288" spans="1:10" ht="14.25" customHeight="1" x14ac:dyDescent="0.25">
      <c r="A288" s="21">
        <v>18123</v>
      </c>
      <c r="B288" s="21"/>
      <c r="C288">
        <v>8.1999999999999993</v>
      </c>
      <c r="D288">
        <v>3.1</v>
      </c>
      <c r="E288">
        <v>45</v>
      </c>
      <c r="F288">
        <v>25</v>
      </c>
      <c r="G288">
        <v>4</v>
      </c>
      <c r="H288">
        <v>25</v>
      </c>
      <c r="I288">
        <v>1.04</v>
      </c>
      <c r="J288">
        <v>767</v>
      </c>
    </row>
    <row r="289" spans="1:10" ht="14.25" customHeight="1" x14ac:dyDescent="0.25">
      <c r="A289" s="21">
        <v>18131</v>
      </c>
      <c r="B289" s="21"/>
      <c r="C289">
        <v>7.7</v>
      </c>
      <c r="D289">
        <v>3.5</v>
      </c>
      <c r="E289">
        <v>38</v>
      </c>
      <c r="F289">
        <v>25</v>
      </c>
      <c r="H289">
        <v>25</v>
      </c>
      <c r="I289">
        <v>1.07</v>
      </c>
      <c r="J289">
        <v>543</v>
      </c>
    </row>
    <row r="290" spans="1:10" ht="14.25" customHeight="1" x14ac:dyDescent="0.25">
      <c r="A290" s="21">
        <v>18133</v>
      </c>
      <c r="B290" s="21"/>
      <c r="C290">
        <v>7.2</v>
      </c>
      <c r="D290">
        <v>2.8</v>
      </c>
      <c r="E290">
        <v>60</v>
      </c>
      <c r="F290">
        <v>25</v>
      </c>
      <c r="G290">
        <v>6</v>
      </c>
      <c r="H290">
        <v>25</v>
      </c>
      <c r="I290">
        <v>1.21</v>
      </c>
      <c r="J290">
        <v>771</v>
      </c>
    </row>
    <row r="291" spans="1:10" ht="14.25" customHeight="1" x14ac:dyDescent="0.25">
      <c r="A291" s="21">
        <v>18135</v>
      </c>
      <c r="B291" s="21"/>
      <c r="C291">
        <v>3.1</v>
      </c>
      <c r="D291">
        <v>2.6</v>
      </c>
      <c r="E291">
        <v>33</v>
      </c>
      <c r="F291">
        <v>25</v>
      </c>
      <c r="H291">
        <v>25</v>
      </c>
      <c r="I291">
        <v>1.04</v>
      </c>
      <c r="J291">
        <v>422</v>
      </c>
    </row>
    <row r="292" spans="1:10" ht="14.25" customHeight="1" x14ac:dyDescent="0.25">
      <c r="A292" s="21">
        <v>18137</v>
      </c>
      <c r="B292" s="21"/>
      <c r="C292">
        <v>12.6</v>
      </c>
      <c r="D292">
        <v>2.9</v>
      </c>
      <c r="E292">
        <v>102</v>
      </c>
      <c r="F292">
        <v>25</v>
      </c>
      <c r="G292">
        <v>7</v>
      </c>
      <c r="H292">
        <v>25</v>
      </c>
      <c r="I292">
        <v>1.36</v>
      </c>
      <c r="J292" s="1">
        <v>1598</v>
      </c>
    </row>
    <row r="293" spans="1:10" ht="14.25" customHeight="1" x14ac:dyDescent="0.25">
      <c r="A293" s="21">
        <v>18139</v>
      </c>
      <c r="B293" s="21"/>
      <c r="C293">
        <v>3.7</v>
      </c>
      <c r="D293">
        <v>3.3</v>
      </c>
      <c r="E293">
        <v>54</v>
      </c>
      <c r="F293">
        <v>25</v>
      </c>
      <c r="H293">
        <v>25</v>
      </c>
      <c r="I293">
        <v>0.99</v>
      </c>
      <c r="J293">
        <v>381</v>
      </c>
    </row>
    <row r="294" spans="1:10" ht="14.25" customHeight="1" x14ac:dyDescent="0.25">
      <c r="A294" s="21">
        <v>18143</v>
      </c>
      <c r="B294" s="21"/>
      <c r="C294">
        <v>8</v>
      </c>
      <c r="D294">
        <v>3.8</v>
      </c>
      <c r="E294">
        <v>38</v>
      </c>
      <c r="F294">
        <v>25</v>
      </c>
      <c r="G294">
        <v>4</v>
      </c>
      <c r="H294">
        <v>25</v>
      </c>
      <c r="I294">
        <v>1.06</v>
      </c>
      <c r="J294">
        <v>807</v>
      </c>
    </row>
    <row r="295" spans="1:10" ht="14.25" customHeight="1" x14ac:dyDescent="0.25">
      <c r="A295" s="21">
        <v>18151</v>
      </c>
      <c r="B295" s="21"/>
      <c r="C295">
        <v>10.7</v>
      </c>
      <c r="D295">
        <v>2.7</v>
      </c>
      <c r="E295">
        <v>73</v>
      </c>
      <c r="F295">
        <v>25</v>
      </c>
      <c r="G295">
        <v>2</v>
      </c>
      <c r="H295">
        <v>25</v>
      </c>
      <c r="I295">
        <v>1.1599999999999999</v>
      </c>
      <c r="J295" s="1">
        <v>1262</v>
      </c>
    </row>
    <row r="296" spans="1:10" ht="14.25" customHeight="1" x14ac:dyDescent="0.25">
      <c r="A296" s="21">
        <v>18153</v>
      </c>
      <c r="B296" s="21"/>
      <c r="C296">
        <v>6.6</v>
      </c>
      <c r="D296">
        <v>2.9</v>
      </c>
      <c r="E296">
        <v>46</v>
      </c>
      <c r="F296">
        <v>25</v>
      </c>
      <c r="G296">
        <v>4</v>
      </c>
      <c r="H296">
        <v>25</v>
      </c>
      <c r="I296">
        <v>1.1000000000000001</v>
      </c>
      <c r="J296">
        <v>653</v>
      </c>
    </row>
    <row r="297" spans="1:10" ht="14.25" customHeight="1" x14ac:dyDescent="0.25">
      <c r="A297" s="21">
        <v>18159</v>
      </c>
      <c r="B297" s="21"/>
      <c r="C297">
        <v>7.8</v>
      </c>
      <c r="D297">
        <v>3.5</v>
      </c>
      <c r="E297">
        <v>31</v>
      </c>
      <c r="F297">
        <v>25</v>
      </c>
      <c r="H297">
        <v>25</v>
      </c>
      <c r="I297">
        <v>1.33</v>
      </c>
      <c r="J297">
        <v>702</v>
      </c>
    </row>
    <row r="298" spans="1:10" ht="14.25" customHeight="1" x14ac:dyDescent="0.25">
      <c r="A298" s="21">
        <v>18165</v>
      </c>
      <c r="B298" s="21"/>
      <c r="C298">
        <v>5.0999999999999996</v>
      </c>
      <c r="D298">
        <v>2.7</v>
      </c>
      <c r="E298">
        <v>35</v>
      </c>
      <c r="F298">
        <v>25</v>
      </c>
      <c r="G298">
        <v>6</v>
      </c>
      <c r="H298">
        <v>25</v>
      </c>
      <c r="I298">
        <v>1.05</v>
      </c>
      <c r="J298">
        <v>630</v>
      </c>
    </row>
    <row r="299" spans="1:10" ht="14.25" customHeight="1" x14ac:dyDescent="0.25">
      <c r="A299" s="21">
        <v>18169</v>
      </c>
      <c r="B299" s="21"/>
      <c r="C299">
        <v>6.1</v>
      </c>
      <c r="D299">
        <v>2.6</v>
      </c>
      <c r="E299">
        <v>49</v>
      </c>
      <c r="F299">
        <v>18</v>
      </c>
      <c r="H299">
        <v>18</v>
      </c>
      <c r="I299">
        <v>1.1499999999999999</v>
      </c>
      <c r="J299" s="1">
        <v>1018</v>
      </c>
    </row>
    <row r="300" spans="1:10" ht="14.25" customHeight="1" x14ac:dyDescent="0.25">
      <c r="A300" s="21">
        <v>18171</v>
      </c>
      <c r="B300" s="21"/>
      <c r="C300">
        <v>5.7</v>
      </c>
      <c r="D300">
        <v>3.3</v>
      </c>
      <c r="E300">
        <v>26</v>
      </c>
      <c r="F300">
        <v>16</v>
      </c>
      <c r="H300">
        <v>16</v>
      </c>
      <c r="I300">
        <v>0.96</v>
      </c>
      <c r="J300">
        <v>457</v>
      </c>
    </row>
    <row r="301" spans="1:10" ht="14.25" customHeight="1" x14ac:dyDescent="0.25">
      <c r="A301" s="21">
        <v>18173</v>
      </c>
      <c r="B301" s="21"/>
      <c r="C301">
        <v>7.1</v>
      </c>
      <c r="D301">
        <v>3.2</v>
      </c>
      <c r="E301">
        <v>19</v>
      </c>
      <c r="F301">
        <v>25</v>
      </c>
      <c r="H301">
        <v>25</v>
      </c>
      <c r="I301">
        <v>1.1299999999999999</v>
      </c>
      <c r="J301">
        <v>130</v>
      </c>
    </row>
    <row r="302" spans="1:10" ht="14.25" customHeight="1" x14ac:dyDescent="0.25">
      <c r="A302" s="21">
        <v>18175</v>
      </c>
      <c r="B302" s="21"/>
      <c r="C302">
        <v>1.4</v>
      </c>
      <c r="D302">
        <v>3.9</v>
      </c>
      <c r="E302">
        <v>32</v>
      </c>
      <c r="F302">
        <v>25</v>
      </c>
      <c r="H302">
        <v>25</v>
      </c>
      <c r="I302">
        <v>1.17</v>
      </c>
      <c r="J302">
        <v>64</v>
      </c>
    </row>
    <row r="303" spans="1:10" ht="14.25" customHeight="1" x14ac:dyDescent="0.25">
      <c r="A303" s="21">
        <v>18181</v>
      </c>
      <c r="B303" s="21"/>
      <c r="C303">
        <v>6.2</v>
      </c>
      <c r="D303">
        <v>3.1</v>
      </c>
      <c r="E303">
        <v>53</v>
      </c>
      <c r="F303">
        <v>25</v>
      </c>
      <c r="H303">
        <v>25</v>
      </c>
      <c r="I303">
        <v>1.2</v>
      </c>
      <c r="J303">
        <v>550</v>
      </c>
    </row>
    <row r="304" spans="1:10" ht="14.25" customHeight="1" x14ac:dyDescent="0.25">
      <c r="A304" s="21">
        <v>19001</v>
      </c>
      <c r="B304" s="21"/>
      <c r="C304">
        <v>1.1000000000000001</v>
      </c>
      <c r="D304">
        <v>2.7</v>
      </c>
      <c r="E304">
        <v>13</v>
      </c>
      <c r="F304">
        <v>25</v>
      </c>
      <c r="H304">
        <v>25</v>
      </c>
      <c r="I304">
        <v>1</v>
      </c>
      <c r="J304">
        <v>50</v>
      </c>
    </row>
    <row r="305" spans="1:10" ht="14.25" customHeight="1" x14ac:dyDescent="0.25">
      <c r="A305" s="21">
        <v>19003</v>
      </c>
      <c r="B305" s="21"/>
      <c r="C305">
        <v>1.6</v>
      </c>
      <c r="D305">
        <v>2</v>
      </c>
      <c r="E305">
        <v>22</v>
      </c>
      <c r="F305">
        <v>22</v>
      </c>
      <c r="H305">
        <v>22</v>
      </c>
      <c r="I305">
        <v>1.04</v>
      </c>
      <c r="J305">
        <v>126</v>
      </c>
    </row>
    <row r="306" spans="1:10" ht="14.25" customHeight="1" x14ac:dyDescent="0.25">
      <c r="A306" s="21">
        <v>19005</v>
      </c>
      <c r="B306" s="21"/>
      <c r="C306">
        <v>6.6</v>
      </c>
      <c r="D306">
        <v>2.5</v>
      </c>
      <c r="E306">
        <v>17</v>
      </c>
      <c r="F306">
        <v>25</v>
      </c>
      <c r="H306">
        <v>25</v>
      </c>
      <c r="I306">
        <v>0.98</v>
      </c>
      <c r="J306">
        <v>501</v>
      </c>
    </row>
    <row r="307" spans="1:10" ht="14.25" customHeight="1" x14ac:dyDescent="0.25">
      <c r="A307" s="21">
        <v>19007</v>
      </c>
      <c r="B307" s="21"/>
      <c r="C307">
        <v>3.8</v>
      </c>
      <c r="D307">
        <v>2.6</v>
      </c>
      <c r="E307">
        <v>39</v>
      </c>
      <c r="F307">
        <v>25</v>
      </c>
      <c r="G307">
        <v>3</v>
      </c>
      <c r="H307">
        <v>25</v>
      </c>
      <c r="I307">
        <v>1.1299999999999999</v>
      </c>
      <c r="J307">
        <v>272</v>
      </c>
    </row>
    <row r="308" spans="1:10" ht="14.25" customHeight="1" x14ac:dyDescent="0.25">
      <c r="A308" s="21">
        <v>19009</v>
      </c>
      <c r="B308" s="21"/>
      <c r="C308">
        <v>1.8</v>
      </c>
      <c r="D308">
        <v>2.4</v>
      </c>
      <c r="E308">
        <v>21</v>
      </c>
      <c r="F308">
        <v>25</v>
      </c>
      <c r="H308">
        <v>25</v>
      </c>
      <c r="I308">
        <v>0.95</v>
      </c>
      <c r="J308">
        <v>124</v>
      </c>
    </row>
    <row r="309" spans="1:10" ht="14.25" customHeight="1" x14ac:dyDescent="0.25">
      <c r="A309" s="21">
        <v>19011</v>
      </c>
      <c r="B309" s="21"/>
      <c r="C309">
        <v>4.5999999999999996</v>
      </c>
      <c r="D309">
        <v>2.9</v>
      </c>
      <c r="E309">
        <v>31</v>
      </c>
      <c r="F309">
        <v>25</v>
      </c>
      <c r="H309">
        <v>25</v>
      </c>
      <c r="I309">
        <v>0.95</v>
      </c>
      <c r="J309">
        <v>259</v>
      </c>
    </row>
    <row r="310" spans="1:10" ht="14.25" customHeight="1" x14ac:dyDescent="0.25">
      <c r="A310" s="21">
        <v>19015</v>
      </c>
      <c r="B310" s="21"/>
      <c r="C310">
        <v>9.4</v>
      </c>
      <c r="D310">
        <v>3.2</v>
      </c>
      <c r="E310">
        <v>56</v>
      </c>
      <c r="F310">
        <v>25</v>
      </c>
      <c r="H310">
        <v>25</v>
      </c>
      <c r="I310">
        <v>1.02</v>
      </c>
      <c r="J310">
        <v>732</v>
      </c>
    </row>
    <row r="311" spans="1:10" ht="14.25" customHeight="1" x14ac:dyDescent="0.25">
      <c r="A311" s="21">
        <v>19017</v>
      </c>
      <c r="B311" s="21"/>
      <c r="C311">
        <v>7</v>
      </c>
      <c r="D311">
        <v>2.5</v>
      </c>
      <c r="E311">
        <v>71</v>
      </c>
      <c r="F311">
        <v>21</v>
      </c>
      <c r="H311">
        <v>21</v>
      </c>
      <c r="I311">
        <v>1.05</v>
      </c>
      <c r="J311">
        <v>876</v>
      </c>
    </row>
    <row r="312" spans="1:10" ht="14.25" customHeight="1" x14ac:dyDescent="0.25">
      <c r="A312" s="21">
        <v>19017</v>
      </c>
      <c r="B312" s="21"/>
      <c r="C312">
        <v>2.4</v>
      </c>
      <c r="D312">
        <v>2.2999999999999998</v>
      </c>
      <c r="E312">
        <v>13</v>
      </c>
      <c r="F312">
        <v>16</v>
      </c>
      <c r="H312">
        <v>16</v>
      </c>
      <c r="I312">
        <v>1.06</v>
      </c>
      <c r="J312">
        <v>103</v>
      </c>
    </row>
    <row r="313" spans="1:10" ht="14.25" customHeight="1" x14ac:dyDescent="0.25">
      <c r="A313" s="21">
        <v>19019</v>
      </c>
      <c r="B313" s="21"/>
      <c r="C313">
        <v>3.6</v>
      </c>
      <c r="D313">
        <v>3.1</v>
      </c>
      <c r="E313">
        <v>33</v>
      </c>
      <c r="F313">
        <v>25</v>
      </c>
      <c r="H313">
        <v>25</v>
      </c>
      <c r="I313">
        <v>0.95</v>
      </c>
      <c r="J313">
        <v>210</v>
      </c>
    </row>
    <row r="314" spans="1:10" ht="14.25" customHeight="1" x14ac:dyDescent="0.25">
      <c r="A314" s="21">
        <v>19021</v>
      </c>
      <c r="B314" s="21"/>
      <c r="C314">
        <v>7.5</v>
      </c>
      <c r="D314">
        <v>2.8</v>
      </c>
      <c r="E314">
        <v>42</v>
      </c>
      <c r="F314">
        <v>25</v>
      </c>
      <c r="H314">
        <v>25</v>
      </c>
      <c r="I314">
        <v>1.27</v>
      </c>
      <c r="J314">
        <v>965</v>
      </c>
    </row>
    <row r="315" spans="1:10" ht="14.25" customHeight="1" x14ac:dyDescent="0.25">
      <c r="A315" s="21">
        <v>19025</v>
      </c>
      <c r="B315" s="21"/>
      <c r="C315">
        <v>3.1</v>
      </c>
      <c r="D315">
        <v>2.8</v>
      </c>
      <c r="E315">
        <v>21</v>
      </c>
      <c r="F315">
        <v>25</v>
      </c>
      <c r="G315">
        <v>2</v>
      </c>
      <c r="H315">
        <v>25</v>
      </c>
      <c r="I315">
        <v>1.04</v>
      </c>
      <c r="J315">
        <v>332</v>
      </c>
    </row>
    <row r="316" spans="1:10" ht="14.25" customHeight="1" x14ac:dyDescent="0.25">
      <c r="A316" s="21">
        <v>19027</v>
      </c>
      <c r="B316" s="21"/>
      <c r="C316">
        <v>1.9</v>
      </c>
      <c r="D316">
        <v>3.4</v>
      </c>
      <c r="E316">
        <v>12</v>
      </c>
      <c r="F316">
        <v>17</v>
      </c>
      <c r="H316">
        <v>17</v>
      </c>
      <c r="I316">
        <v>0.93</v>
      </c>
      <c r="J316">
        <v>114</v>
      </c>
    </row>
    <row r="317" spans="1:10" ht="14.25" customHeight="1" x14ac:dyDescent="0.25">
      <c r="A317" s="21">
        <v>19029</v>
      </c>
      <c r="B317" s="21"/>
      <c r="C317">
        <v>8.8000000000000007</v>
      </c>
      <c r="D317">
        <v>2.2999999999999998</v>
      </c>
      <c r="E317">
        <v>56</v>
      </c>
      <c r="F317">
        <v>25</v>
      </c>
      <c r="G317">
        <v>4</v>
      </c>
      <c r="H317">
        <v>25</v>
      </c>
      <c r="I317">
        <v>1.1599999999999999</v>
      </c>
      <c r="J317">
        <v>667</v>
      </c>
    </row>
    <row r="318" spans="1:10" ht="14.25" customHeight="1" x14ac:dyDescent="0.25">
      <c r="A318" s="21">
        <v>19035</v>
      </c>
      <c r="B318" s="21"/>
      <c r="C318">
        <v>9.3000000000000007</v>
      </c>
      <c r="D318">
        <v>3.1</v>
      </c>
      <c r="E318">
        <v>23</v>
      </c>
      <c r="F318">
        <v>25</v>
      </c>
      <c r="H318">
        <v>25</v>
      </c>
      <c r="I318">
        <v>1</v>
      </c>
      <c r="J318">
        <v>692</v>
      </c>
    </row>
    <row r="319" spans="1:10" ht="14.25" customHeight="1" x14ac:dyDescent="0.25">
      <c r="A319" s="21">
        <v>19037</v>
      </c>
      <c r="B319" s="21"/>
      <c r="C319">
        <v>2.8</v>
      </c>
      <c r="D319">
        <v>2.2000000000000002</v>
      </c>
      <c r="E319">
        <v>54</v>
      </c>
      <c r="F319">
        <v>8</v>
      </c>
      <c r="H319">
        <v>8</v>
      </c>
      <c r="I319">
        <v>1.04</v>
      </c>
      <c r="J319">
        <v>175</v>
      </c>
    </row>
    <row r="320" spans="1:10" ht="14.25" customHeight="1" x14ac:dyDescent="0.25">
      <c r="A320" s="21">
        <v>19039</v>
      </c>
      <c r="B320" s="21"/>
      <c r="C320">
        <v>7</v>
      </c>
      <c r="D320">
        <v>3.1</v>
      </c>
      <c r="E320">
        <v>35</v>
      </c>
      <c r="F320">
        <v>25</v>
      </c>
      <c r="H320">
        <v>25</v>
      </c>
      <c r="I320">
        <v>0.94</v>
      </c>
      <c r="J320">
        <v>206</v>
      </c>
    </row>
    <row r="321" spans="1:10" ht="14.25" customHeight="1" x14ac:dyDescent="0.25">
      <c r="A321" s="21">
        <v>19043</v>
      </c>
      <c r="B321" s="21"/>
      <c r="C321">
        <v>2.9</v>
      </c>
      <c r="D321">
        <v>3.4</v>
      </c>
      <c r="E321">
        <v>12</v>
      </c>
      <c r="F321">
        <v>15</v>
      </c>
      <c r="H321">
        <v>15</v>
      </c>
      <c r="I321">
        <v>1.04</v>
      </c>
      <c r="J321">
        <v>90</v>
      </c>
    </row>
    <row r="322" spans="1:10" ht="14.25" customHeight="1" x14ac:dyDescent="0.25">
      <c r="A322" s="21">
        <v>19043</v>
      </c>
      <c r="B322" s="21"/>
      <c r="C322">
        <v>3.2</v>
      </c>
      <c r="D322">
        <v>3.2</v>
      </c>
      <c r="E322">
        <v>21</v>
      </c>
      <c r="F322">
        <v>25</v>
      </c>
      <c r="H322">
        <v>25</v>
      </c>
      <c r="I322">
        <v>1.1399999999999999</v>
      </c>
      <c r="J322">
        <v>167</v>
      </c>
    </row>
    <row r="323" spans="1:10" ht="14.25" customHeight="1" x14ac:dyDescent="0.25">
      <c r="A323" s="21">
        <v>19045</v>
      </c>
      <c r="B323" s="21"/>
      <c r="C323">
        <v>3.8</v>
      </c>
      <c r="D323">
        <v>1.2</v>
      </c>
      <c r="E323">
        <v>15</v>
      </c>
      <c r="F323">
        <v>13</v>
      </c>
      <c r="H323">
        <v>13</v>
      </c>
      <c r="I323">
        <v>1.17</v>
      </c>
      <c r="J323">
        <v>230</v>
      </c>
    </row>
    <row r="324" spans="1:10" ht="14.25" customHeight="1" x14ac:dyDescent="0.25">
      <c r="A324" s="21">
        <v>19047</v>
      </c>
      <c r="B324" s="21"/>
      <c r="C324">
        <v>5.3</v>
      </c>
      <c r="D324">
        <v>2.8</v>
      </c>
      <c r="E324">
        <v>32</v>
      </c>
      <c r="F324">
        <v>25</v>
      </c>
      <c r="H324">
        <v>25</v>
      </c>
      <c r="I324">
        <v>1.1399999999999999</v>
      </c>
      <c r="J324">
        <v>568</v>
      </c>
    </row>
    <row r="325" spans="1:10" ht="14.25" customHeight="1" x14ac:dyDescent="0.25">
      <c r="A325" s="21">
        <v>19049</v>
      </c>
      <c r="B325" s="21"/>
      <c r="C325">
        <v>2.1</v>
      </c>
      <c r="D325">
        <v>3.4</v>
      </c>
      <c r="E325">
        <v>26</v>
      </c>
      <c r="F325">
        <v>25</v>
      </c>
      <c r="H325">
        <v>25</v>
      </c>
      <c r="I325">
        <v>0.96</v>
      </c>
      <c r="J325">
        <v>103</v>
      </c>
    </row>
    <row r="326" spans="1:10" ht="14.25" customHeight="1" x14ac:dyDescent="0.25">
      <c r="A326" s="21">
        <v>19051</v>
      </c>
      <c r="B326" s="21"/>
      <c r="C326">
        <v>2.5</v>
      </c>
      <c r="D326">
        <v>2.8</v>
      </c>
      <c r="E326">
        <v>23</v>
      </c>
      <c r="F326">
        <v>25</v>
      </c>
      <c r="H326">
        <v>25</v>
      </c>
      <c r="I326">
        <v>1.24</v>
      </c>
      <c r="J326">
        <v>161</v>
      </c>
    </row>
    <row r="327" spans="1:10" ht="14.25" customHeight="1" x14ac:dyDescent="0.25">
      <c r="A327" s="21">
        <v>19053</v>
      </c>
      <c r="B327" s="21"/>
      <c r="C327">
        <v>2.4</v>
      </c>
      <c r="D327">
        <v>3</v>
      </c>
      <c r="E327">
        <v>17</v>
      </c>
      <c r="F327">
        <v>11</v>
      </c>
      <c r="H327">
        <v>11</v>
      </c>
      <c r="I327">
        <v>0.98</v>
      </c>
      <c r="J327">
        <v>142</v>
      </c>
    </row>
    <row r="328" spans="1:10" ht="14.25" customHeight="1" x14ac:dyDescent="0.25">
      <c r="A328" s="21">
        <v>19055</v>
      </c>
      <c r="B328" s="21"/>
      <c r="C328">
        <v>6.5</v>
      </c>
      <c r="D328">
        <v>3.1</v>
      </c>
      <c r="E328">
        <v>71</v>
      </c>
      <c r="F328">
        <v>25</v>
      </c>
      <c r="H328">
        <v>25</v>
      </c>
      <c r="I328">
        <v>1.2</v>
      </c>
      <c r="J328">
        <v>590</v>
      </c>
    </row>
    <row r="329" spans="1:10" ht="14.25" customHeight="1" x14ac:dyDescent="0.25">
      <c r="A329" s="21">
        <v>19061</v>
      </c>
      <c r="B329" s="21"/>
      <c r="C329">
        <v>1.9</v>
      </c>
      <c r="D329">
        <v>2.6</v>
      </c>
      <c r="E329">
        <v>9</v>
      </c>
      <c r="F329">
        <v>20</v>
      </c>
      <c r="H329">
        <v>20</v>
      </c>
      <c r="I329">
        <v>0.8</v>
      </c>
      <c r="J329">
        <v>28</v>
      </c>
    </row>
    <row r="330" spans="1:10" ht="14.25" customHeight="1" x14ac:dyDescent="0.25">
      <c r="A330" s="21">
        <v>19063</v>
      </c>
      <c r="B330" s="21"/>
      <c r="C330">
        <v>4.9000000000000004</v>
      </c>
      <c r="D330">
        <v>2.8</v>
      </c>
      <c r="E330">
        <v>28</v>
      </c>
      <c r="F330">
        <v>22</v>
      </c>
      <c r="H330">
        <v>22</v>
      </c>
      <c r="I330">
        <v>1.1100000000000001</v>
      </c>
      <c r="J330">
        <v>342</v>
      </c>
    </row>
    <row r="331" spans="1:10" ht="14.25" customHeight="1" x14ac:dyDescent="0.25">
      <c r="A331" s="21">
        <v>19065</v>
      </c>
      <c r="B331" s="21"/>
      <c r="C331">
        <v>3.4</v>
      </c>
      <c r="D331">
        <v>2.7</v>
      </c>
      <c r="E331">
        <v>12</v>
      </c>
      <c r="F331">
        <v>25</v>
      </c>
      <c r="H331">
        <v>25</v>
      </c>
      <c r="I331">
        <v>0.9</v>
      </c>
      <c r="J331">
        <v>182</v>
      </c>
    </row>
    <row r="332" spans="1:10" ht="14.25" customHeight="1" x14ac:dyDescent="0.25">
      <c r="A332" s="21">
        <v>19065</v>
      </c>
      <c r="B332" s="21"/>
      <c r="C332">
        <v>3.4</v>
      </c>
      <c r="D332">
        <v>2.8</v>
      </c>
      <c r="E332">
        <v>26</v>
      </c>
      <c r="F332">
        <v>25</v>
      </c>
      <c r="H332">
        <v>25</v>
      </c>
      <c r="I332">
        <v>1.05</v>
      </c>
      <c r="J332">
        <v>182</v>
      </c>
    </row>
    <row r="333" spans="1:10" ht="14.25" customHeight="1" x14ac:dyDescent="0.25">
      <c r="A333" s="21">
        <v>19067</v>
      </c>
      <c r="B333" s="21"/>
      <c r="C333">
        <v>7.7</v>
      </c>
      <c r="D333">
        <v>3.3</v>
      </c>
      <c r="E333">
        <v>21</v>
      </c>
      <c r="F333">
        <v>25</v>
      </c>
      <c r="H333">
        <v>25</v>
      </c>
      <c r="I333">
        <v>1.05</v>
      </c>
      <c r="J333">
        <v>379</v>
      </c>
    </row>
    <row r="334" spans="1:10" ht="14.25" customHeight="1" x14ac:dyDescent="0.25">
      <c r="A334" s="21">
        <v>19069</v>
      </c>
      <c r="B334" s="21"/>
      <c r="C334">
        <v>3.9</v>
      </c>
      <c r="D334">
        <v>3.3</v>
      </c>
      <c r="E334">
        <v>19</v>
      </c>
      <c r="F334">
        <v>25</v>
      </c>
      <c r="H334">
        <v>25</v>
      </c>
      <c r="I334">
        <v>0.94</v>
      </c>
      <c r="J334">
        <v>139</v>
      </c>
    </row>
    <row r="335" spans="1:10" ht="14.25" customHeight="1" x14ac:dyDescent="0.25">
      <c r="A335" s="21">
        <v>19071</v>
      </c>
      <c r="B335" s="21"/>
      <c r="C335">
        <v>2.2999999999999998</v>
      </c>
      <c r="D335">
        <v>3.3</v>
      </c>
      <c r="E335">
        <v>8</v>
      </c>
      <c r="F335">
        <v>25</v>
      </c>
      <c r="H335">
        <v>25</v>
      </c>
      <c r="I335">
        <v>1</v>
      </c>
      <c r="J335">
        <v>63</v>
      </c>
    </row>
    <row r="336" spans="1:10" ht="14.25" customHeight="1" x14ac:dyDescent="0.25">
      <c r="A336" s="21">
        <v>19073</v>
      </c>
      <c r="B336" s="21"/>
      <c r="C336">
        <v>4.7</v>
      </c>
      <c r="D336">
        <v>3.3</v>
      </c>
      <c r="E336">
        <v>25</v>
      </c>
      <c r="F336">
        <v>25</v>
      </c>
      <c r="H336">
        <v>25</v>
      </c>
      <c r="I336">
        <v>1.2</v>
      </c>
      <c r="J336">
        <v>247</v>
      </c>
    </row>
    <row r="337" spans="1:10" ht="14.25" customHeight="1" x14ac:dyDescent="0.25">
      <c r="A337" s="21">
        <v>19075</v>
      </c>
      <c r="B337" s="21"/>
      <c r="C337">
        <v>2.4</v>
      </c>
      <c r="D337">
        <v>1.9</v>
      </c>
      <c r="E337">
        <v>88</v>
      </c>
      <c r="F337">
        <v>25</v>
      </c>
      <c r="H337">
        <v>25</v>
      </c>
      <c r="I337">
        <v>1.3</v>
      </c>
      <c r="J337">
        <v>154</v>
      </c>
    </row>
    <row r="338" spans="1:10" ht="14.25" customHeight="1" x14ac:dyDescent="0.25">
      <c r="A338" s="21">
        <v>19077</v>
      </c>
      <c r="B338" s="21"/>
      <c r="C338">
        <v>4.2</v>
      </c>
      <c r="D338">
        <v>3.3</v>
      </c>
      <c r="E338">
        <v>15</v>
      </c>
      <c r="F338">
        <v>25</v>
      </c>
      <c r="H338">
        <v>25</v>
      </c>
      <c r="I338">
        <v>1.03</v>
      </c>
      <c r="J338">
        <v>264</v>
      </c>
    </row>
    <row r="339" spans="1:10" ht="14.25" customHeight="1" x14ac:dyDescent="0.25">
      <c r="A339" s="21">
        <v>19079</v>
      </c>
      <c r="B339" s="21"/>
      <c r="C339">
        <v>8.1999999999999993</v>
      </c>
      <c r="D339">
        <v>3.2</v>
      </c>
      <c r="E339">
        <v>34</v>
      </c>
      <c r="F339">
        <v>25</v>
      </c>
      <c r="H339">
        <v>25</v>
      </c>
      <c r="I339">
        <v>1.01</v>
      </c>
      <c r="J339">
        <v>558</v>
      </c>
    </row>
    <row r="340" spans="1:10" ht="14.25" customHeight="1" x14ac:dyDescent="0.25">
      <c r="A340" s="21">
        <v>19081</v>
      </c>
      <c r="B340" s="21"/>
      <c r="C340">
        <v>7</v>
      </c>
      <c r="D340">
        <v>2.6</v>
      </c>
      <c r="E340">
        <v>25</v>
      </c>
      <c r="F340">
        <v>25</v>
      </c>
      <c r="H340">
        <v>25</v>
      </c>
      <c r="I340">
        <v>1.02</v>
      </c>
      <c r="J340">
        <v>157</v>
      </c>
    </row>
    <row r="341" spans="1:10" ht="14.25" customHeight="1" x14ac:dyDescent="0.25">
      <c r="A341" s="21">
        <v>19083</v>
      </c>
      <c r="B341" s="21"/>
      <c r="C341">
        <v>6.6</v>
      </c>
      <c r="D341">
        <v>3.6</v>
      </c>
      <c r="E341">
        <v>26</v>
      </c>
      <c r="F341">
        <v>19</v>
      </c>
      <c r="H341">
        <v>19</v>
      </c>
      <c r="I341">
        <v>1.02</v>
      </c>
      <c r="J341">
        <v>301</v>
      </c>
    </row>
    <row r="342" spans="1:10" ht="14.25" customHeight="1" x14ac:dyDescent="0.25">
      <c r="A342" s="21">
        <v>19085</v>
      </c>
      <c r="B342" s="21"/>
      <c r="C342">
        <v>4.0999999999999996</v>
      </c>
      <c r="D342">
        <v>1.6</v>
      </c>
      <c r="E342">
        <v>25</v>
      </c>
      <c r="F342">
        <v>25</v>
      </c>
      <c r="H342">
        <v>25</v>
      </c>
      <c r="I342">
        <v>1.04</v>
      </c>
      <c r="J342">
        <v>289</v>
      </c>
    </row>
    <row r="343" spans="1:10" ht="14.25" customHeight="1" x14ac:dyDescent="0.25">
      <c r="A343" s="21">
        <v>19087</v>
      </c>
      <c r="B343" s="21"/>
      <c r="C343">
        <v>4.5</v>
      </c>
      <c r="D343">
        <v>0.3</v>
      </c>
      <c r="E343">
        <v>44</v>
      </c>
      <c r="F343">
        <v>25</v>
      </c>
      <c r="H343">
        <v>25</v>
      </c>
      <c r="I343">
        <v>1.1200000000000001</v>
      </c>
      <c r="J343">
        <v>418</v>
      </c>
    </row>
    <row r="344" spans="1:10" ht="14.25" customHeight="1" x14ac:dyDescent="0.25">
      <c r="A344" s="21">
        <v>19089</v>
      </c>
      <c r="B344" s="21"/>
      <c r="C344">
        <v>3.4</v>
      </c>
      <c r="D344">
        <v>2.2999999999999998</v>
      </c>
      <c r="E344">
        <v>17</v>
      </c>
      <c r="F344">
        <v>18</v>
      </c>
      <c r="H344">
        <v>18</v>
      </c>
      <c r="I344">
        <v>0.99</v>
      </c>
      <c r="J344">
        <v>205</v>
      </c>
    </row>
    <row r="345" spans="1:10" ht="14.25" customHeight="1" x14ac:dyDescent="0.25">
      <c r="A345" s="21">
        <v>19091</v>
      </c>
      <c r="B345" s="21"/>
      <c r="C345">
        <v>3.5</v>
      </c>
      <c r="D345">
        <v>2.8</v>
      </c>
      <c r="E345">
        <v>22</v>
      </c>
      <c r="F345">
        <v>17</v>
      </c>
      <c r="H345">
        <v>17</v>
      </c>
      <c r="I345">
        <v>1.04</v>
      </c>
      <c r="J345">
        <v>179</v>
      </c>
    </row>
    <row r="346" spans="1:10" ht="14.25" customHeight="1" x14ac:dyDescent="0.25">
      <c r="A346" s="21">
        <v>19093</v>
      </c>
      <c r="B346" s="21"/>
      <c r="C346">
        <v>5.6</v>
      </c>
      <c r="D346">
        <v>3.9</v>
      </c>
      <c r="E346">
        <v>22</v>
      </c>
      <c r="F346">
        <v>25</v>
      </c>
      <c r="H346">
        <v>25</v>
      </c>
      <c r="I346">
        <v>0.98</v>
      </c>
      <c r="J346">
        <v>235</v>
      </c>
    </row>
    <row r="347" spans="1:10" ht="14.25" customHeight="1" x14ac:dyDescent="0.25">
      <c r="A347" s="21">
        <v>19095</v>
      </c>
      <c r="B347" s="21"/>
      <c r="C347">
        <v>6.9</v>
      </c>
      <c r="D347">
        <v>2.7</v>
      </c>
      <c r="E347">
        <v>22</v>
      </c>
      <c r="F347">
        <v>25</v>
      </c>
      <c r="H347">
        <v>25</v>
      </c>
      <c r="I347">
        <v>1.1399999999999999</v>
      </c>
      <c r="J347">
        <v>224</v>
      </c>
    </row>
    <row r="348" spans="1:10" ht="14.25" customHeight="1" x14ac:dyDescent="0.25">
      <c r="A348" s="21">
        <v>19097</v>
      </c>
      <c r="B348" s="21"/>
      <c r="C348">
        <v>4.9000000000000004</v>
      </c>
      <c r="D348">
        <v>3</v>
      </c>
      <c r="E348">
        <v>23</v>
      </c>
      <c r="F348">
        <v>25</v>
      </c>
      <c r="H348">
        <v>25</v>
      </c>
      <c r="I348">
        <v>0.92</v>
      </c>
      <c r="J348">
        <v>134</v>
      </c>
    </row>
    <row r="349" spans="1:10" ht="14.25" customHeight="1" x14ac:dyDescent="0.25">
      <c r="A349" s="21">
        <v>19101</v>
      </c>
      <c r="B349" s="21"/>
      <c r="C349">
        <v>9.4</v>
      </c>
      <c r="D349">
        <v>3.6</v>
      </c>
      <c r="E349">
        <v>63</v>
      </c>
      <c r="F349">
        <v>25</v>
      </c>
      <c r="H349">
        <v>25</v>
      </c>
      <c r="I349">
        <v>1.17</v>
      </c>
      <c r="J349">
        <v>450</v>
      </c>
    </row>
    <row r="350" spans="1:10" ht="14.25" customHeight="1" x14ac:dyDescent="0.25">
      <c r="A350" s="21">
        <v>19105</v>
      </c>
      <c r="B350" s="21"/>
      <c r="C350">
        <v>5</v>
      </c>
      <c r="D350">
        <v>2.8</v>
      </c>
      <c r="E350">
        <v>45</v>
      </c>
      <c r="F350">
        <v>22</v>
      </c>
      <c r="H350">
        <v>22</v>
      </c>
      <c r="I350">
        <v>1.19</v>
      </c>
      <c r="J350">
        <v>248</v>
      </c>
    </row>
    <row r="351" spans="1:10" ht="14.25" customHeight="1" x14ac:dyDescent="0.25">
      <c r="A351" s="21">
        <v>19107</v>
      </c>
      <c r="B351" s="21"/>
      <c r="C351">
        <v>5</v>
      </c>
      <c r="D351">
        <v>3.1</v>
      </c>
      <c r="E351">
        <v>25</v>
      </c>
      <c r="F351">
        <v>25</v>
      </c>
      <c r="H351">
        <v>25</v>
      </c>
      <c r="I351">
        <v>0.99</v>
      </c>
      <c r="J351">
        <v>51</v>
      </c>
    </row>
    <row r="352" spans="1:10" ht="14.25" customHeight="1" x14ac:dyDescent="0.25">
      <c r="A352" s="21">
        <v>19109</v>
      </c>
      <c r="B352" s="21"/>
      <c r="C352">
        <v>9.6</v>
      </c>
      <c r="D352">
        <v>3.1</v>
      </c>
      <c r="E352">
        <v>13</v>
      </c>
      <c r="F352">
        <v>24</v>
      </c>
      <c r="H352">
        <v>24</v>
      </c>
      <c r="I352">
        <v>1.05</v>
      </c>
      <c r="J352">
        <v>611</v>
      </c>
    </row>
    <row r="353" spans="1:10" ht="14.25" customHeight="1" x14ac:dyDescent="0.25">
      <c r="A353" s="21">
        <v>19117</v>
      </c>
      <c r="B353" s="21"/>
      <c r="C353">
        <v>2.9</v>
      </c>
      <c r="D353">
        <v>3</v>
      </c>
      <c r="E353">
        <v>28</v>
      </c>
      <c r="F353">
        <v>25</v>
      </c>
      <c r="H353">
        <v>25</v>
      </c>
      <c r="I353">
        <v>0.95</v>
      </c>
      <c r="J353">
        <v>210</v>
      </c>
    </row>
    <row r="354" spans="1:10" ht="14.25" customHeight="1" x14ac:dyDescent="0.25">
      <c r="A354" s="21">
        <v>19119</v>
      </c>
      <c r="B354" s="21"/>
      <c r="D354">
        <v>2.7</v>
      </c>
      <c r="I354">
        <v>0.97</v>
      </c>
    </row>
    <row r="355" spans="1:10" ht="14.25" customHeight="1" x14ac:dyDescent="0.25">
      <c r="A355" s="21">
        <v>19119</v>
      </c>
      <c r="B355" s="21"/>
      <c r="C355">
        <v>1.6</v>
      </c>
      <c r="D355">
        <v>1</v>
      </c>
      <c r="E355">
        <v>3</v>
      </c>
      <c r="F355">
        <v>14</v>
      </c>
      <c r="H355">
        <v>11</v>
      </c>
      <c r="J355">
        <v>116</v>
      </c>
    </row>
    <row r="356" spans="1:10" ht="14.25" customHeight="1" x14ac:dyDescent="0.25">
      <c r="A356" s="21">
        <v>19121</v>
      </c>
      <c r="B356" s="21"/>
      <c r="C356">
        <v>4.3</v>
      </c>
      <c r="D356">
        <v>3.5</v>
      </c>
      <c r="E356">
        <v>22</v>
      </c>
      <c r="F356">
        <v>25</v>
      </c>
      <c r="H356">
        <v>25</v>
      </c>
      <c r="I356">
        <v>0.93</v>
      </c>
      <c r="J356">
        <v>194</v>
      </c>
    </row>
    <row r="357" spans="1:10" ht="14.25" customHeight="1" x14ac:dyDescent="0.25">
      <c r="A357" s="21">
        <v>19123</v>
      </c>
      <c r="B357" s="21"/>
      <c r="C357">
        <v>10.5</v>
      </c>
      <c r="D357">
        <v>3.3</v>
      </c>
      <c r="E357">
        <v>67</v>
      </c>
      <c r="F357">
        <v>25</v>
      </c>
      <c r="H357">
        <v>25</v>
      </c>
      <c r="I357">
        <v>1.28</v>
      </c>
      <c r="J357">
        <v>950</v>
      </c>
    </row>
    <row r="358" spans="1:10" ht="14.25" customHeight="1" x14ac:dyDescent="0.25">
      <c r="A358" s="21">
        <v>19125</v>
      </c>
      <c r="B358" s="21"/>
      <c r="C358">
        <v>11.6</v>
      </c>
      <c r="D358">
        <v>3</v>
      </c>
      <c r="E358">
        <v>98</v>
      </c>
      <c r="F358">
        <v>25</v>
      </c>
      <c r="G358">
        <v>3</v>
      </c>
      <c r="H358">
        <v>25</v>
      </c>
      <c r="I358">
        <v>1.36</v>
      </c>
      <c r="J358" s="1">
        <v>1192</v>
      </c>
    </row>
    <row r="359" spans="1:10" ht="14.25" customHeight="1" x14ac:dyDescent="0.25">
      <c r="A359" s="21">
        <v>19125</v>
      </c>
      <c r="B359" s="21"/>
      <c r="C359">
        <v>7.2</v>
      </c>
      <c r="D359">
        <v>2.9</v>
      </c>
      <c r="E359">
        <v>38</v>
      </c>
      <c r="F359">
        <v>25</v>
      </c>
      <c r="H359">
        <v>25</v>
      </c>
      <c r="I359">
        <v>1.02</v>
      </c>
      <c r="J359">
        <v>412</v>
      </c>
    </row>
    <row r="360" spans="1:10" ht="14.25" customHeight="1" x14ac:dyDescent="0.25">
      <c r="A360" s="21">
        <v>19131</v>
      </c>
      <c r="B360" s="21"/>
      <c r="C360">
        <v>4.5</v>
      </c>
      <c r="D360">
        <v>2.8</v>
      </c>
      <c r="E360">
        <v>14</v>
      </c>
      <c r="F360">
        <v>25</v>
      </c>
      <c r="H360">
        <v>25</v>
      </c>
      <c r="I360">
        <v>0.91</v>
      </c>
      <c r="J360">
        <v>285</v>
      </c>
    </row>
    <row r="361" spans="1:10" ht="14.25" customHeight="1" x14ac:dyDescent="0.25">
      <c r="A361" s="21">
        <v>19133</v>
      </c>
      <c r="B361" s="21"/>
      <c r="C361">
        <v>6.7</v>
      </c>
      <c r="D361">
        <v>3.6</v>
      </c>
      <c r="E361">
        <v>29</v>
      </c>
      <c r="F361">
        <v>25</v>
      </c>
      <c r="H361">
        <v>25</v>
      </c>
      <c r="I361">
        <v>0.98</v>
      </c>
      <c r="J361">
        <v>506</v>
      </c>
    </row>
    <row r="362" spans="1:10" ht="14.25" customHeight="1" x14ac:dyDescent="0.25">
      <c r="A362" s="21">
        <v>19135</v>
      </c>
      <c r="B362" s="21"/>
      <c r="C362">
        <v>3.3</v>
      </c>
      <c r="D362">
        <v>4.2</v>
      </c>
      <c r="E362">
        <v>18</v>
      </c>
      <c r="F362">
        <v>25</v>
      </c>
      <c r="H362">
        <v>25</v>
      </c>
      <c r="I362">
        <v>1.1399999999999999</v>
      </c>
      <c r="J362">
        <v>132</v>
      </c>
    </row>
    <row r="363" spans="1:10" ht="14.25" customHeight="1" x14ac:dyDescent="0.25">
      <c r="A363" s="21">
        <v>19137</v>
      </c>
      <c r="B363" s="21"/>
      <c r="C363">
        <v>11.6</v>
      </c>
      <c r="D363">
        <v>3.5</v>
      </c>
      <c r="E363">
        <v>62</v>
      </c>
      <c r="F363">
        <v>25</v>
      </c>
      <c r="G363">
        <v>8</v>
      </c>
      <c r="H363">
        <v>25</v>
      </c>
      <c r="I363">
        <v>0.99</v>
      </c>
      <c r="J363">
        <v>856</v>
      </c>
    </row>
    <row r="364" spans="1:10" ht="14.25" customHeight="1" x14ac:dyDescent="0.25">
      <c r="A364" s="21">
        <v>19141</v>
      </c>
      <c r="B364" s="21"/>
      <c r="C364">
        <v>1</v>
      </c>
      <c r="D364">
        <v>2.6</v>
      </c>
      <c r="E364">
        <v>86</v>
      </c>
      <c r="F364">
        <v>14</v>
      </c>
      <c r="H364">
        <v>14</v>
      </c>
      <c r="I364">
        <v>0.99</v>
      </c>
      <c r="J364">
        <v>68</v>
      </c>
    </row>
    <row r="365" spans="1:10" ht="14.25" customHeight="1" x14ac:dyDescent="0.25">
      <c r="A365" s="21">
        <v>19141</v>
      </c>
      <c r="B365" s="21"/>
      <c r="C365">
        <v>8.9</v>
      </c>
      <c r="D365">
        <v>3</v>
      </c>
      <c r="E365">
        <v>36</v>
      </c>
      <c r="F365">
        <v>25</v>
      </c>
      <c r="H365">
        <v>25</v>
      </c>
      <c r="I365">
        <v>1.03</v>
      </c>
      <c r="J365">
        <v>467</v>
      </c>
    </row>
    <row r="366" spans="1:10" ht="14.25" customHeight="1" x14ac:dyDescent="0.25">
      <c r="A366" s="21">
        <v>19143</v>
      </c>
      <c r="B366" s="21"/>
      <c r="C366">
        <v>2.9</v>
      </c>
      <c r="D366">
        <v>3.3</v>
      </c>
      <c r="E366">
        <v>10</v>
      </c>
      <c r="F366">
        <v>25</v>
      </c>
      <c r="H366">
        <v>25</v>
      </c>
      <c r="I366">
        <v>0.98</v>
      </c>
      <c r="J366">
        <v>179</v>
      </c>
    </row>
    <row r="367" spans="1:10" ht="14.25" customHeight="1" x14ac:dyDescent="0.25">
      <c r="A367" s="21">
        <v>19145</v>
      </c>
      <c r="B367" s="21"/>
      <c r="C367">
        <v>5.4</v>
      </c>
      <c r="D367">
        <v>3</v>
      </c>
      <c r="E367">
        <v>40</v>
      </c>
      <c r="F367">
        <v>25</v>
      </c>
      <c r="H367">
        <v>25</v>
      </c>
      <c r="I367">
        <v>1</v>
      </c>
      <c r="J367">
        <v>425</v>
      </c>
    </row>
    <row r="368" spans="1:10" ht="14.25" customHeight="1" x14ac:dyDescent="0.25">
      <c r="A368" s="21">
        <v>19145</v>
      </c>
      <c r="B368" s="21"/>
      <c r="C368">
        <v>4.4000000000000004</v>
      </c>
      <c r="D368">
        <v>3</v>
      </c>
      <c r="E368">
        <v>52</v>
      </c>
      <c r="F368">
        <v>25</v>
      </c>
      <c r="G368">
        <v>2</v>
      </c>
      <c r="H368">
        <v>25</v>
      </c>
      <c r="I368">
        <v>1.17</v>
      </c>
      <c r="J368">
        <v>609</v>
      </c>
    </row>
    <row r="369" spans="1:10" ht="14.25" customHeight="1" x14ac:dyDescent="0.25">
      <c r="A369" s="21">
        <v>19147</v>
      </c>
      <c r="B369" s="21"/>
      <c r="C369">
        <v>4.5999999999999996</v>
      </c>
      <c r="D369">
        <v>2.4</v>
      </c>
      <c r="E369">
        <v>19</v>
      </c>
      <c r="F369">
        <v>24</v>
      </c>
      <c r="H369">
        <v>24</v>
      </c>
      <c r="I369">
        <v>0.98</v>
      </c>
      <c r="J369">
        <v>266</v>
      </c>
    </row>
    <row r="370" spans="1:10" ht="14.25" customHeight="1" x14ac:dyDescent="0.25">
      <c r="A370" s="21">
        <v>19149</v>
      </c>
      <c r="B370" s="21"/>
      <c r="C370">
        <v>5.7</v>
      </c>
      <c r="D370">
        <v>3.1</v>
      </c>
      <c r="E370">
        <v>38</v>
      </c>
      <c r="F370">
        <v>25</v>
      </c>
      <c r="H370">
        <v>25</v>
      </c>
      <c r="I370">
        <v>1.18</v>
      </c>
      <c r="J370">
        <v>492</v>
      </c>
    </row>
    <row r="371" spans="1:10" ht="14.25" customHeight="1" x14ac:dyDescent="0.25">
      <c r="A371" s="21">
        <v>19151</v>
      </c>
      <c r="B371" s="21"/>
      <c r="C371">
        <v>3.2</v>
      </c>
      <c r="D371">
        <v>5.8</v>
      </c>
      <c r="E371">
        <v>10</v>
      </c>
      <c r="F371">
        <v>25</v>
      </c>
      <c r="H371">
        <v>25</v>
      </c>
      <c r="I371">
        <v>0.91</v>
      </c>
      <c r="J371">
        <v>163</v>
      </c>
    </row>
    <row r="372" spans="1:10" ht="14.25" customHeight="1" x14ac:dyDescent="0.25">
      <c r="A372" s="21">
        <v>19159</v>
      </c>
      <c r="B372" s="21"/>
      <c r="C372">
        <v>2.9</v>
      </c>
      <c r="D372">
        <v>3.5</v>
      </c>
      <c r="E372">
        <v>19</v>
      </c>
      <c r="F372">
        <v>16</v>
      </c>
      <c r="H372">
        <v>16</v>
      </c>
      <c r="I372">
        <v>1.03</v>
      </c>
      <c r="J372">
        <v>177</v>
      </c>
    </row>
    <row r="373" spans="1:10" ht="14.25" customHeight="1" x14ac:dyDescent="0.25">
      <c r="A373" s="21">
        <v>19161</v>
      </c>
      <c r="B373" s="21"/>
      <c r="C373">
        <v>2.1</v>
      </c>
      <c r="D373">
        <v>3.3</v>
      </c>
      <c r="E373">
        <v>9</v>
      </c>
      <c r="F373">
        <v>25</v>
      </c>
      <c r="H373">
        <v>25</v>
      </c>
      <c r="I373">
        <v>1</v>
      </c>
      <c r="J373">
        <v>210</v>
      </c>
    </row>
    <row r="374" spans="1:10" ht="14.25" customHeight="1" x14ac:dyDescent="0.25">
      <c r="A374" s="21">
        <v>19165</v>
      </c>
      <c r="B374" s="21"/>
      <c r="C374">
        <v>9</v>
      </c>
      <c r="D374">
        <v>3.5</v>
      </c>
      <c r="E374">
        <v>39</v>
      </c>
      <c r="F374">
        <v>25</v>
      </c>
      <c r="H374">
        <v>25</v>
      </c>
      <c r="I374">
        <v>1.1399999999999999</v>
      </c>
      <c r="J374">
        <v>666</v>
      </c>
    </row>
    <row r="375" spans="1:10" ht="14.25" customHeight="1" x14ac:dyDescent="0.25">
      <c r="A375" s="21">
        <v>19167</v>
      </c>
      <c r="B375" s="21"/>
      <c r="C375">
        <v>9.8000000000000007</v>
      </c>
      <c r="D375">
        <v>3.1</v>
      </c>
      <c r="E375">
        <v>45</v>
      </c>
      <c r="F375">
        <v>25</v>
      </c>
      <c r="H375">
        <v>25</v>
      </c>
      <c r="I375">
        <v>1.04</v>
      </c>
      <c r="J375">
        <v>816</v>
      </c>
    </row>
    <row r="376" spans="1:10" ht="14.25" customHeight="1" x14ac:dyDescent="0.25">
      <c r="A376" s="21">
        <v>19167</v>
      </c>
      <c r="B376" s="21"/>
      <c r="C376">
        <v>4.7</v>
      </c>
      <c r="D376">
        <v>2.9</v>
      </c>
      <c r="E376">
        <v>33</v>
      </c>
      <c r="F376">
        <v>19</v>
      </c>
      <c r="H376">
        <v>19</v>
      </c>
      <c r="I376">
        <v>1.17</v>
      </c>
      <c r="J376">
        <v>474</v>
      </c>
    </row>
    <row r="377" spans="1:10" ht="14.25" customHeight="1" x14ac:dyDescent="0.25">
      <c r="A377" s="21">
        <v>19167</v>
      </c>
      <c r="B377" s="21"/>
      <c r="C377">
        <v>3.2</v>
      </c>
      <c r="D377">
        <v>3.1</v>
      </c>
      <c r="E377">
        <v>12</v>
      </c>
      <c r="F377">
        <v>25</v>
      </c>
      <c r="H377">
        <v>25</v>
      </c>
      <c r="I377">
        <v>1.23</v>
      </c>
      <c r="J377">
        <v>231</v>
      </c>
    </row>
    <row r="378" spans="1:10" ht="14.25" customHeight="1" x14ac:dyDescent="0.25">
      <c r="A378" s="21">
        <v>19167</v>
      </c>
      <c r="B378" s="21"/>
      <c r="C378">
        <v>2.7</v>
      </c>
      <c r="D378">
        <v>2.8</v>
      </c>
      <c r="E378">
        <v>22</v>
      </c>
      <c r="F378">
        <v>25</v>
      </c>
      <c r="H378">
        <v>25</v>
      </c>
      <c r="I378">
        <v>0.93</v>
      </c>
      <c r="J378">
        <v>77</v>
      </c>
    </row>
    <row r="379" spans="1:10" ht="14.25" customHeight="1" x14ac:dyDescent="0.25">
      <c r="A379" s="21">
        <v>19169</v>
      </c>
      <c r="B379" s="21"/>
      <c r="C379">
        <v>6.4</v>
      </c>
      <c r="D379">
        <v>2.5</v>
      </c>
      <c r="E379">
        <v>20</v>
      </c>
      <c r="F379">
        <v>17</v>
      </c>
      <c r="H379">
        <v>17</v>
      </c>
      <c r="I379">
        <v>1</v>
      </c>
      <c r="J379">
        <v>102</v>
      </c>
    </row>
    <row r="380" spans="1:10" ht="14.25" customHeight="1" x14ac:dyDescent="0.25">
      <c r="A380" s="21">
        <v>19175</v>
      </c>
      <c r="B380" s="21"/>
      <c r="C380">
        <v>9.4</v>
      </c>
      <c r="D380">
        <v>3.1</v>
      </c>
      <c r="E380">
        <v>64</v>
      </c>
      <c r="F380">
        <v>25</v>
      </c>
      <c r="G380">
        <v>4</v>
      </c>
      <c r="H380">
        <v>25</v>
      </c>
      <c r="I380">
        <v>1.42</v>
      </c>
      <c r="J380">
        <v>883</v>
      </c>
    </row>
    <row r="381" spans="1:10" ht="14.25" customHeight="1" x14ac:dyDescent="0.25">
      <c r="A381" s="21">
        <v>19177</v>
      </c>
      <c r="B381" s="21"/>
      <c r="C381">
        <v>2.2000000000000002</v>
      </c>
      <c r="D381">
        <v>3</v>
      </c>
      <c r="E381">
        <v>13</v>
      </c>
      <c r="F381">
        <v>25</v>
      </c>
      <c r="H381">
        <v>25</v>
      </c>
      <c r="I381">
        <v>1.04</v>
      </c>
      <c r="J381">
        <v>148</v>
      </c>
    </row>
    <row r="382" spans="1:10" ht="14.25" customHeight="1" x14ac:dyDescent="0.25">
      <c r="A382" s="21">
        <v>19183</v>
      </c>
      <c r="B382" s="21"/>
      <c r="C382">
        <v>7.3</v>
      </c>
      <c r="D382">
        <v>2.8</v>
      </c>
      <c r="E382">
        <v>42</v>
      </c>
      <c r="F382">
        <v>25</v>
      </c>
      <c r="H382">
        <v>25</v>
      </c>
      <c r="I382">
        <v>1.1200000000000001</v>
      </c>
      <c r="J382">
        <v>426</v>
      </c>
    </row>
    <row r="383" spans="1:10" ht="14.25" customHeight="1" x14ac:dyDescent="0.25">
      <c r="A383" s="21">
        <v>19185</v>
      </c>
      <c r="B383" s="21"/>
      <c r="C383">
        <v>6.9</v>
      </c>
      <c r="D383">
        <v>2.1</v>
      </c>
      <c r="E383">
        <v>25</v>
      </c>
      <c r="F383">
        <v>25</v>
      </c>
      <c r="H383">
        <v>25</v>
      </c>
      <c r="I383">
        <v>1.22</v>
      </c>
      <c r="J383">
        <v>804</v>
      </c>
    </row>
    <row r="384" spans="1:10" ht="14.25" customHeight="1" x14ac:dyDescent="0.25">
      <c r="A384" s="21">
        <v>19191</v>
      </c>
      <c r="B384" s="21"/>
      <c r="C384">
        <v>9.1</v>
      </c>
      <c r="D384">
        <v>2.9</v>
      </c>
      <c r="E384">
        <v>65</v>
      </c>
      <c r="F384">
        <v>25</v>
      </c>
      <c r="H384">
        <v>25</v>
      </c>
      <c r="I384">
        <v>1.1599999999999999</v>
      </c>
      <c r="J384">
        <v>690</v>
      </c>
    </row>
    <row r="385" spans="1:10" ht="14.25" customHeight="1" x14ac:dyDescent="0.25">
      <c r="A385" s="21">
        <v>19197</v>
      </c>
      <c r="B385" s="21"/>
      <c r="C385">
        <v>3.7</v>
      </c>
      <c r="D385">
        <v>1.7</v>
      </c>
      <c r="E385">
        <v>15</v>
      </c>
      <c r="F385">
        <v>22</v>
      </c>
      <c r="H385">
        <v>22</v>
      </c>
      <c r="I385">
        <v>1.1200000000000001</v>
      </c>
      <c r="J385">
        <v>381</v>
      </c>
    </row>
    <row r="386" spans="1:10" ht="14.25" customHeight="1" x14ac:dyDescent="0.25">
      <c r="A386" s="21">
        <v>19197</v>
      </c>
      <c r="B386" s="21"/>
      <c r="C386">
        <v>7.9</v>
      </c>
      <c r="D386">
        <v>2.2999999999999998</v>
      </c>
      <c r="E386">
        <v>52</v>
      </c>
      <c r="F386">
        <v>25</v>
      </c>
      <c r="H386">
        <v>25</v>
      </c>
      <c r="I386">
        <v>1.78</v>
      </c>
      <c r="J386" s="1">
        <v>1181</v>
      </c>
    </row>
    <row r="387" spans="1:10" ht="14.25" customHeight="1" x14ac:dyDescent="0.25">
      <c r="A387" s="21">
        <v>20001</v>
      </c>
      <c r="B387" s="21"/>
      <c r="C387">
        <v>8.6999999999999993</v>
      </c>
      <c r="D387">
        <v>3</v>
      </c>
      <c r="E387">
        <v>21</v>
      </c>
      <c r="F387">
        <v>25</v>
      </c>
      <c r="H387">
        <v>25</v>
      </c>
      <c r="I387">
        <v>1.01</v>
      </c>
      <c r="J387">
        <v>536</v>
      </c>
    </row>
    <row r="388" spans="1:10" ht="14.25" customHeight="1" x14ac:dyDescent="0.25">
      <c r="A388" s="21">
        <v>20003</v>
      </c>
      <c r="B388" s="21"/>
      <c r="C388">
        <v>4.7</v>
      </c>
      <c r="D388">
        <v>3</v>
      </c>
      <c r="E388">
        <v>24</v>
      </c>
      <c r="F388">
        <v>12</v>
      </c>
      <c r="H388">
        <v>12</v>
      </c>
      <c r="I388">
        <v>0.95</v>
      </c>
      <c r="J388">
        <v>124</v>
      </c>
    </row>
    <row r="389" spans="1:10" ht="14.25" customHeight="1" x14ac:dyDescent="0.25">
      <c r="A389" s="21">
        <v>20005</v>
      </c>
      <c r="B389" s="21"/>
      <c r="C389">
        <v>9.1</v>
      </c>
      <c r="D389">
        <v>2</v>
      </c>
      <c r="E389">
        <v>60</v>
      </c>
      <c r="F389">
        <v>25</v>
      </c>
      <c r="H389">
        <v>25</v>
      </c>
      <c r="I389">
        <v>1.2</v>
      </c>
      <c r="J389" s="1">
        <v>1099</v>
      </c>
    </row>
    <row r="390" spans="1:10" ht="14.25" customHeight="1" x14ac:dyDescent="0.25">
      <c r="A390" s="21">
        <v>20007</v>
      </c>
      <c r="B390" s="21"/>
      <c r="C390">
        <v>3.3</v>
      </c>
      <c r="D390">
        <v>3.1</v>
      </c>
      <c r="E390">
        <v>7</v>
      </c>
      <c r="F390">
        <v>10</v>
      </c>
      <c r="H390">
        <v>10</v>
      </c>
      <c r="I390">
        <v>0.89</v>
      </c>
      <c r="J390">
        <v>65</v>
      </c>
    </row>
    <row r="391" spans="1:10" ht="14.25" customHeight="1" x14ac:dyDescent="0.25">
      <c r="A391" s="21">
        <v>20007</v>
      </c>
      <c r="B391" s="21"/>
      <c r="C391">
        <v>16.600000000000001</v>
      </c>
      <c r="D391">
        <v>3.1</v>
      </c>
      <c r="E391">
        <v>10</v>
      </c>
      <c r="F391">
        <v>22</v>
      </c>
      <c r="H391">
        <v>22</v>
      </c>
      <c r="I391">
        <v>0.93</v>
      </c>
      <c r="J391">
        <v>98</v>
      </c>
    </row>
    <row r="392" spans="1:10" ht="14.25" customHeight="1" x14ac:dyDescent="0.25">
      <c r="A392" s="21">
        <v>20009</v>
      </c>
      <c r="B392" s="21"/>
      <c r="C392">
        <v>8.9</v>
      </c>
      <c r="D392">
        <v>3.4</v>
      </c>
      <c r="E392">
        <v>20</v>
      </c>
      <c r="F392">
        <v>18</v>
      </c>
      <c r="H392">
        <v>18</v>
      </c>
      <c r="I392">
        <v>1.01</v>
      </c>
      <c r="J392">
        <v>428</v>
      </c>
    </row>
    <row r="393" spans="1:10" ht="14.25" customHeight="1" x14ac:dyDescent="0.25">
      <c r="A393" s="21">
        <v>20009</v>
      </c>
      <c r="B393" s="21"/>
      <c r="C393">
        <v>6.3</v>
      </c>
      <c r="D393">
        <v>3.1</v>
      </c>
      <c r="E393">
        <v>8</v>
      </c>
      <c r="F393">
        <v>25</v>
      </c>
      <c r="H393">
        <v>25</v>
      </c>
      <c r="I393">
        <v>0.95</v>
      </c>
      <c r="J393">
        <v>161</v>
      </c>
    </row>
    <row r="394" spans="1:10" ht="14.25" customHeight="1" x14ac:dyDescent="0.25">
      <c r="A394" s="21">
        <v>20013</v>
      </c>
      <c r="B394" s="21"/>
      <c r="C394">
        <v>8.8000000000000007</v>
      </c>
      <c r="D394">
        <v>2.4</v>
      </c>
      <c r="E394">
        <v>22</v>
      </c>
      <c r="F394">
        <v>25</v>
      </c>
      <c r="H394">
        <v>25</v>
      </c>
      <c r="I394">
        <v>1.01</v>
      </c>
      <c r="J394">
        <v>663</v>
      </c>
    </row>
    <row r="395" spans="1:10" ht="14.25" customHeight="1" x14ac:dyDescent="0.25">
      <c r="A395" s="21">
        <v>20013</v>
      </c>
      <c r="B395" s="21"/>
      <c r="C395">
        <v>1.9</v>
      </c>
      <c r="D395">
        <v>1.5</v>
      </c>
      <c r="I395">
        <v>0.95</v>
      </c>
      <c r="J395">
        <v>149</v>
      </c>
    </row>
    <row r="396" spans="1:10" ht="14.25" customHeight="1" x14ac:dyDescent="0.25">
      <c r="A396" s="21">
        <v>20019</v>
      </c>
      <c r="B396" s="21"/>
      <c r="C396">
        <v>1.9</v>
      </c>
      <c r="D396">
        <v>2.8</v>
      </c>
      <c r="E396">
        <v>4</v>
      </c>
      <c r="F396">
        <v>17</v>
      </c>
      <c r="H396">
        <v>17</v>
      </c>
      <c r="I396">
        <v>0.92</v>
      </c>
      <c r="J396">
        <v>141</v>
      </c>
    </row>
    <row r="397" spans="1:10" ht="14.25" customHeight="1" x14ac:dyDescent="0.25">
      <c r="A397" s="21">
        <v>20021</v>
      </c>
      <c r="B397" s="21"/>
      <c r="C397">
        <v>1.3</v>
      </c>
      <c r="D397">
        <v>1.9</v>
      </c>
      <c r="E397">
        <v>12</v>
      </c>
      <c r="F397">
        <v>10</v>
      </c>
      <c r="H397">
        <v>10</v>
      </c>
      <c r="I397">
        <v>0.98</v>
      </c>
      <c r="J397">
        <v>16</v>
      </c>
    </row>
    <row r="398" spans="1:10" ht="14.25" customHeight="1" x14ac:dyDescent="0.25">
      <c r="A398" s="21">
        <v>20023</v>
      </c>
      <c r="B398" s="21"/>
      <c r="C398">
        <v>3.2</v>
      </c>
      <c r="D398">
        <v>3</v>
      </c>
      <c r="E398">
        <v>10</v>
      </c>
      <c r="F398">
        <v>16</v>
      </c>
      <c r="H398">
        <v>16</v>
      </c>
      <c r="I398">
        <v>0.94</v>
      </c>
      <c r="J398">
        <v>129</v>
      </c>
    </row>
    <row r="399" spans="1:10" ht="14.25" customHeight="1" x14ac:dyDescent="0.25">
      <c r="A399" s="21">
        <v>20025</v>
      </c>
      <c r="B399" s="21"/>
      <c r="C399">
        <v>16.2</v>
      </c>
      <c r="D399">
        <v>2.5</v>
      </c>
      <c r="E399">
        <v>6</v>
      </c>
      <c r="F399">
        <v>25</v>
      </c>
      <c r="H399">
        <v>25</v>
      </c>
      <c r="I399">
        <v>1.03</v>
      </c>
      <c r="J399">
        <v>57</v>
      </c>
    </row>
    <row r="400" spans="1:10" ht="14.25" customHeight="1" x14ac:dyDescent="0.25">
      <c r="A400" s="21">
        <v>20025</v>
      </c>
      <c r="B400" s="21"/>
      <c r="C400">
        <v>3.9</v>
      </c>
      <c r="D400">
        <v>3.1</v>
      </c>
      <c r="E400">
        <v>9</v>
      </c>
      <c r="F400">
        <v>14</v>
      </c>
      <c r="H400">
        <v>14</v>
      </c>
      <c r="I400">
        <v>0.92</v>
      </c>
      <c r="J400">
        <v>218</v>
      </c>
    </row>
    <row r="401" spans="1:10" ht="14.25" customHeight="1" x14ac:dyDescent="0.25">
      <c r="A401" s="21">
        <v>20027</v>
      </c>
      <c r="B401" s="21"/>
      <c r="C401">
        <v>10.7</v>
      </c>
      <c r="D401">
        <v>3.2</v>
      </c>
      <c r="E401">
        <v>25</v>
      </c>
      <c r="F401">
        <v>17</v>
      </c>
      <c r="H401">
        <v>17</v>
      </c>
      <c r="I401">
        <v>0.9</v>
      </c>
      <c r="J401">
        <v>628</v>
      </c>
    </row>
    <row r="402" spans="1:10" ht="14.25" customHeight="1" x14ac:dyDescent="0.25">
      <c r="A402" s="21">
        <v>20029</v>
      </c>
      <c r="B402" s="21"/>
      <c r="C402">
        <v>5.7</v>
      </c>
      <c r="D402">
        <v>3.6</v>
      </c>
      <c r="E402">
        <v>13</v>
      </c>
      <c r="F402">
        <v>22</v>
      </c>
      <c r="H402">
        <v>22</v>
      </c>
      <c r="I402">
        <v>0.96</v>
      </c>
      <c r="J402">
        <v>259</v>
      </c>
    </row>
    <row r="403" spans="1:10" ht="14.25" customHeight="1" x14ac:dyDescent="0.25">
      <c r="A403" s="21">
        <v>20031</v>
      </c>
      <c r="B403" s="21"/>
      <c r="C403">
        <v>4.5999999999999996</v>
      </c>
      <c r="D403">
        <v>3.1</v>
      </c>
      <c r="E403">
        <v>21</v>
      </c>
      <c r="F403">
        <v>25</v>
      </c>
      <c r="H403">
        <v>25</v>
      </c>
      <c r="I403">
        <v>1.1399999999999999</v>
      </c>
      <c r="J403">
        <v>371</v>
      </c>
    </row>
    <row r="404" spans="1:10" ht="14.25" customHeight="1" x14ac:dyDescent="0.25">
      <c r="A404" s="21">
        <v>20033</v>
      </c>
      <c r="B404" s="21"/>
      <c r="C404">
        <v>2.5</v>
      </c>
      <c r="D404">
        <v>2.5</v>
      </c>
      <c r="E404">
        <v>6</v>
      </c>
      <c r="F404">
        <v>12</v>
      </c>
      <c r="H404">
        <v>12</v>
      </c>
      <c r="I404">
        <v>0.88</v>
      </c>
      <c r="J404">
        <v>55</v>
      </c>
    </row>
    <row r="405" spans="1:10" ht="14.25" customHeight="1" x14ac:dyDescent="0.25">
      <c r="A405" s="21">
        <v>20035</v>
      </c>
      <c r="B405" s="21"/>
      <c r="C405">
        <v>11.4</v>
      </c>
      <c r="D405">
        <v>3.2</v>
      </c>
      <c r="E405">
        <v>101</v>
      </c>
      <c r="F405">
        <v>21</v>
      </c>
      <c r="G405">
        <v>2</v>
      </c>
      <c r="H405">
        <v>21</v>
      </c>
      <c r="I405">
        <v>1.1399999999999999</v>
      </c>
      <c r="J405" s="1">
        <v>1076</v>
      </c>
    </row>
    <row r="406" spans="1:10" ht="14.25" customHeight="1" x14ac:dyDescent="0.25">
      <c r="A406" s="21">
        <v>20037</v>
      </c>
      <c r="B406" s="21"/>
      <c r="C406">
        <v>3.2</v>
      </c>
      <c r="D406">
        <v>3</v>
      </c>
      <c r="E406">
        <v>33</v>
      </c>
      <c r="F406">
        <v>23</v>
      </c>
      <c r="H406">
        <v>23</v>
      </c>
      <c r="I406">
        <v>1.21</v>
      </c>
      <c r="J406">
        <v>256</v>
      </c>
    </row>
    <row r="407" spans="1:10" ht="14.25" customHeight="1" x14ac:dyDescent="0.25">
      <c r="A407" s="21">
        <v>20039</v>
      </c>
      <c r="B407" s="21"/>
      <c r="C407">
        <v>3.2</v>
      </c>
      <c r="D407">
        <v>3.1</v>
      </c>
      <c r="E407">
        <v>5</v>
      </c>
      <c r="F407">
        <v>21</v>
      </c>
      <c r="H407">
        <v>21</v>
      </c>
      <c r="I407">
        <v>0.95</v>
      </c>
      <c r="J407">
        <v>123</v>
      </c>
    </row>
    <row r="408" spans="1:10" ht="14.25" customHeight="1" x14ac:dyDescent="0.25">
      <c r="A408" s="21">
        <v>20041</v>
      </c>
      <c r="B408" s="21"/>
      <c r="C408">
        <v>3.8</v>
      </c>
      <c r="D408">
        <v>3.3</v>
      </c>
      <c r="E408">
        <v>11</v>
      </c>
      <c r="F408">
        <v>15</v>
      </c>
      <c r="H408">
        <v>15</v>
      </c>
      <c r="I408">
        <v>0.88</v>
      </c>
      <c r="J408">
        <v>176</v>
      </c>
    </row>
    <row r="409" spans="1:10" ht="14.25" customHeight="1" x14ac:dyDescent="0.25">
      <c r="A409" s="21">
        <v>20041</v>
      </c>
      <c r="B409" s="21"/>
      <c r="C409">
        <v>9.4</v>
      </c>
      <c r="D409">
        <v>3.4</v>
      </c>
      <c r="E409">
        <v>17</v>
      </c>
      <c r="F409">
        <v>19</v>
      </c>
      <c r="H409">
        <v>19</v>
      </c>
      <c r="I409">
        <v>0.99</v>
      </c>
      <c r="J409">
        <v>430</v>
      </c>
    </row>
    <row r="410" spans="1:10" ht="14.25" customHeight="1" x14ac:dyDescent="0.25">
      <c r="A410" s="21">
        <v>20047</v>
      </c>
      <c r="B410" s="21"/>
      <c r="C410">
        <v>5.3</v>
      </c>
      <c r="D410">
        <v>3</v>
      </c>
      <c r="E410">
        <v>11</v>
      </c>
      <c r="F410">
        <v>12</v>
      </c>
      <c r="H410">
        <v>12</v>
      </c>
      <c r="I410">
        <v>1.1299999999999999</v>
      </c>
      <c r="J410">
        <v>82</v>
      </c>
    </row>
    <row r="411" spans="1:10" ht="14.25" customHeight="1" x14ac:dyDescent="0.25">
      <c r="A411" s="21">
        <v>20053</v>
      </c>
      <c r="B411" s="21"/>
      <c r="C411">
        <v>4.9000000000000004</v>
      </c>
      <c r="D411">
        <v>3.1</v>
      </c>
      <c r="E411">
        <v>16</v>
      </c>
      <c r="F411">
        <v>18</v>
      </c>
      <c r="H411">
        <v>18</v>
      </c>
      <c r="I411">
        <v>0.9</v>
      </c>
      <c r="J411">
        <v>333</v>
      </c>
    </row>
    <row r="412" spans="1:10" ht="14.25" customHeight="1" x14ac:dyDescent="0.25">
      <c r="A412" s="21">
        <v>20063</v>
      </c>
      <c r="B412" s="21"/>
      <c r="C412">
        <v>5</v>
      </c>
      <c r="D412">
        <v>3</v>
      </c>
      <c r="E412">
        <v>8</v>
      </c>
      <c r="F412">
        <v>21</v>
      </c>
      <c r="H412">
        <v>21</v>
      </c>
      <c r="I412">
        <v>1</v>
      </c>
      <c r="J412">
        <v>334</v>
      </c>
    </row>
    <row r="413" spans="1:10" ht="14.25" customHeight="1" x14ac:dyDescent="0.25">
      <c r="A413" s="21">
        <v>20065</v>
      </c>
      <c r="B413" s="21"/>
      <c r="C413">
        <v>4</v>
      </c>
      <c r="D413">
        <v>3.2</v>
      </c>
      <c r="E413">
        <v>6</v>
      </c>
      <c r="F413">
        <v>20</v>
      </c>
      <c r="H413">
        <v>20</v>
      </c>
      <c r="I413">
        <v>0.99</v>
      </c>
      <c r="J413">
        <v>212</v>
      </c>
    </row>
    <row r="414" spans="1:10" ht="14.25" customHeight="1" x14ac:dyDescent="0.25">
      <c r="A414" s="21">
        <v>20071</v>
      </c>
      <c r="B414" s="21"/>
      <c r="C414">
        <v>4.7</v>
      </c>
      <c r="D414">
        <v>2.7</v>
      </c>
      <c r="E414">
        <v>10</v>
      </c>
      <c r="F414">
        <v>18</v>
      </c>
      <c r="H414">
        <v>18</v>
      </c>
      <c r="I414">
        <v>0.94</v>
      </c>
      <c r="J414">
        <v>145</v>
      </c>
    </row>
    <row r="415" spans="1:10" ht="14.25" customHeight="1" x14ac:dyDescent="0.25">
      <c r="A415" s="21">
        <v>20073</v>
      </c>
      <c r="B415" s="21"/>
      <c r="C415">
        <v>6.7</v>
      </c>
      <c r="D415">
        <v>3.5</v>
      </c>
      <c r="E415">
        <v>13</v>
      </c>
      <c r="F415">
        <v>25</v>
      </c>
      <c r="H415">
        <v>25</v>
      </c>
      <c r="I415">
        <v>0.98</v>
      </c>
      <c r="J415">
        <v>300</v>
      </c>
    </row>
    <row r="416" spans="1:10" ht="14.25" customHeight="1" x14ac:dyDescent="0.25">
      <c r="A416" s="21">
        <v>20075</v>
      </c>
      <c r="B416" s="21"/>
      <c r="C416">
        <v>5.8</v>
      </c>
      <c r="D416">
        <v>0.2</v>
      </c>
      <c r="E416">
        <v>9</v>
      </c>
      <c r="F416">
        <v>25</v>
      </c>
      <c r="H416">
        <v>25</v>
      </c>
      <c r="I416">
        <v>0.93</v>
      </c>
      <c r="J416">
        <v>23</v>
      </c>
    </row>
    <row r="417" spans="1:10" ht="14.25" customHeight="1" x14ac:dyDescent="0.25">
      <c r="A417" s="21">
        <v>20077</v>
      </c>
      <c r="B417" s="21"/>
      <c r="C417">
        <v>9.8000000000000007</v>
      </c>
      <c r="D417">
        <v>2.8</v>
      </c>
      <c r="J417">
        <v>112</v>
      </c>
    </row>
    <row r="418" spans="1:10" ht="14.25" customHeight="1" x14ac:dyDescent="0.25">
      <c r="A418" s="21">
        <v>20077</v>
      </c>
      <c r="B418" s="21"/>
      <c r="D418">
        <v>2.6</v>
      </c>
      <c r="I418">
        <v>0.92</v>
      </c>
    </row>
    <row r="419" spans="1:10" ht="14.25" customHeight="1" x14ac:dyDescent="0.25">
      <c r="A419" s="21">
        <v>20077</v>
      </c>
      <c r="B419" s="21"/>
      <c r="C419">
        <v>11.6</v>
      </c>
      <c r="E419">
        <v>12</v>
      </c>
      <c r="F419">
        <v>25</v>
      </c>
      <c r="H419">
        <v>25</v>
      </c>
      <c r="J419">
        <v>270</v>
      </c>
    </row>
    <row r="420" spans="1:10" ht="14.25" customHeight="1" x14ac:dyDescent="0.25">
      <c r="A420" s="21">
        <v>20081</v>
      </c>
      <c r="B420" s="21"/>
      <c r="C420">
        <v>2.2999999999999998</v>
      </c>
      <c r="D420">
        <v>3.1</v>
      </c>
      <c r="E420">
        <v>6</v>
      </c>
      <c r="F420">
        <v>13</v>
      </c>
      <c r="H420">
        <v>13</v>
      </c>
      <c r="I420">
        <v>0.95</v>
      </c>
      <c r="J420">
        <v>79</v>
      </c>
    </row>
    <row r="421" spans="1:10" ht="14.25" customHeight="1" x14ac:dyDescent="0.25">
      <c r="A421" s="21">
        <v>20083</v>
      </c>
      <c r="B421" s="21"/>
      <c r="C421">
        <v>14.5</v>
      </c>
      <c r="D421">
        <v>2.5</v>
      </c>
      <c r="E421">
        <v>5</v>
      </c>
      <c r="F421">
        <v>25</v>
      </c>
      <c r="H421">
        <v>25</v>
      </c>
      <c r="I421">
        <v>0.88</v>
      </c>
      <c r="J421">
        <v>118</v>
      </c>
    </row>
    <row r="422" spans="1:10" ht="14.25" customHeight="1" x14ac:dyDescent="0.25">
      <c r="A422" s="21">
        <v>20085</v>
      </c>
      <c r="B422" s="21"/>
      <c r="C422">
        <v>3.9</v>
      </c>
      <c r="D422">
        <v>3.6</v>
      </c>
      <c r="E422">
        <v>25</v>
      </c>
      <c r="F422">
        <v>12</v>
      </c>
      <c r="H422">
        <v>12</v>
      </c>
      <c r="I422">
        <v>0.99</v>
      </c>
      <c r="J422">
        <v>159</v>
      </c>
    </row>
    <row r="423" spans="1:10" ht="14.25" customHeight="1" x14ac:dyDescent="0.25">
      <c r="A423" s="21">
        <v>20087</v>
      </c>
      <c r="B423" s="21"/>
      <c r="C423">
        <v>2.1</v>
      </c>
      <c r="D423">
        <v>2.8</v>
      </c>
      <c r="E423">
        <v>7</v>
      </c>
      <c r="F423">
        <v>25</v>
      </c>
      <c r="H423">
        <v>25</v>
      </c>
      <c r="I423">
        <v>0.63</v>
      </c>
      <c r="J423">
        <v>3</v>
      </c>
    </row>
    <row r="424" spans="1:10" ht="14.25" customHeight="1" x14ac:dyDescent="0.25">
      <c r="A424" s="21">
        <v>20089</v>
      </c>
      <c r="B424" s="21"/>
      <c r="C424">
        <v>18.3</v>
      </c>
      <c r="D424">
        <v>2.7</v>
      </c>
      <c r="E424">
        <v>5</v>
      </c>
      <c r="F424">
        <v>24</v>
      </c>
      <c r="H424">
        <v>24</v>
      </c>
      <c r="I424">
        <v>0.85</v>
      </c>
      <c r="J424">
        <v>51</v>
      </c>
    </row>
    <row r="425" spans="1:10" ht="14.25" customHeight="1" x14ac:dyDescent="0.25">
      <c r="A425" s="21">
        <v>20093</v>
      </c>
      <c r="B425" s="21"/>
      <c r="C425">
        <v>5.5</v>
      </c>
      <c r="D425">
        <v>3.1</v>
      </c>
      <c r="E425">
        <v>19</v>
      </c>
      <c r="F425">
        <v>25</v>
      </c>
      <c r="H425">
        <v>25</v>
      </c>
      <c r="I425">
        <v>1.17</v>
      </c>
      <c r="J425">
        <v>488</v>
      </c>
    </row>
    <row r="426" spans="1:10" ht="14.25" customHeight="1" x14ac:dyDescent="0.25">
      <c r="A426" s="21">
        <v>20095</v>
      </c>
      <c r="B426" s="21"/>
      <c r="C426">
        <v>4.5999999999999996</v>
      </c>
      <c r="D426">
        <v>3.1</v>
      </c>
      <c r="E426">
        <v>23</v>
      </c>
      <c r="F426">
        <v>25</v>
      </c>
      <c r="H426">
        <v>25</v>
      </c>
      <c r="I426">
        <v>0.99</v>
      </c>
      <c r="J426">
        <v>261</v>
      </c>
    </row>
    <row r="427" spans="1:10" ht="14.25" customHeight="1" x14ac:dyDescent="0.25">
      <c r="A427" s="21">
        <v>20097</v>
      </c>
      <c r="B427" s="21"/>
      <c r="C427">
        <v>6.2</v>
      </c>
      <c r="D427">
        <v>2.5</v>
      </c>
      <c r="E427">
        <v>5</v>
      </c>
      <c r="F427">
        <v>15</v>
      </c>
      <c r="H427">
        <v>15</v>
      </c>
      <c r="I427">
        <v>0.86</v>
      </c>
      <c r="J427">
        <v>58</v>
      </c>
    </row>
    <row r="428" spans="1:10" ht="14.25" customHeight="1" x14ac:dyDescent="0.25">
      <c r="A428" s="21">
        <v>20099</v>
      </c>
      <c r="B428" s="21"/>
      <c r="C428">
        <v>2.1</v>
      </c>
      <c r="D428">
        <v>1.5</v>
      </c>
      <c r="I428">
        <v>0.9</v>
      </c>
      <c r="J428">
        <v>17</v>
      </c>
    </row>
    <row r="429" spans="1:10" ht="14.25" customHeight="1" x14ac:dyDescent="0.25">
      <c r="A429" s="21">
        <v>20101</v>
      </c>
      <c r="B429" s="21"/>
      <c r="C429">
        <v>15.5</v>
      </c>
      <c r="D429">
        <v>2.6</v>
      </c>
      <c r="E429">
        <v>6</v>
      </c>
      <c r="F429">
        <v>25</v>
      </c>
      <c r="H429">
        <v>25</v>
      </c>
      <c r="I429">
        <v>0.89</v>
      </c>
      <c r="J429">
        <v>29</v>
      </c>
    </row>
    <row r="430" spans="1:10" ht="14.25" customHeight="1" x14ac:dyDescent="0.25">
      <c r="A430" s="21">
        <v>20105</v>
      </c>
      <c r="B430" s="21"/>
      <c r="C430">
        <v>4.5</v>
      </c>
      <c r="D430">
        <v>3.3</v>
      </c>
      <c r="E430">
        <v>11</v>
      </c>
      <c r="F430">
        <v>10</v>
      </c>
      <c r="H430">
        <v>10</v>
      </c>
      <c r="I430">
        <v>0.98</v>
      </c>
      <c r="J430">
        <v>111</v>
      </c>
    </row>
    <row r="431" spans="1:10" ht="14.25" customHeight="1" x14ac:dyDescent="0.25">
      <c r="A431" s="21">
        <v>20109</v>
      </c>
      <c r="B431" s="21"/>
      <c r="C431">
        <v>4.5999999999999996</v>
      </c>
      <c r="D431">
        <v>2.8</v>
      </c>
      <c r="E431">
        <v>9</v>
      </c>
      <c r="F431">
        <v>25</v>
      </c>
      <c r="H431">
        <v>25</v>
      </c>
      <c r="I431">
        <v>1</v>
      </c>
      <c r="J431">
        <v>172</v>
      </c>
    </row>
    <row r="432" spans="1:10" ht="14.25" customHeight="1" x14ac:dyDescent="0.25">
      <c r="A432" s="21">
        <v>20111</v>
      </c>
      <c r="B432" s="21"/>
      <c r="C432">
        <v>18</v>
      </c>
      <c r="D432">
        <v>2.6</v>
      </c>
      <c r="E432">
        <v>79</v>
      </c>
      <c r="F432">
        <v>21</v>
      </c>
      <c r="G432">
        <v>6</v>
      </c>
      <c r="H432">
        <v>21</v>
      </c>
      <c r="I432">
        <v>1.29</v>
      </c>
      <c r="J432" s="1">
        <v>2028</v>
      </c>
    </row>
    <row r="433" spans="1:10" ht="14.25" customHeight="1" x14ac:dyDescent="0.25">
      <c r="A433" s="21">
        <v>20113</v>
      </c>
      <c r="B433" s="21"/>
      <c r="C433">
        <v>4.4000000000000004</v>
      </c>
      <c r="D433">
        <v>3.2</v>
      </c>
      <c r="E433">
        <v>13</v>
      </c>
      <c r="F433">
        <v>23</v>
      </c>
      <c r="H433">
        <v>23</v>
      </c>
      <c r="I433">
        <v>0.94</v>
      </c>
      <c r="J433">
        <v>115</v>
      </c>
    </row>
    <row r="434" spans="1:10" ht="14.25" customHeight="1" x14ac:dyDescent="0.25">
      <c r="A434" s="21">
        <v>20115</v>
      </c>
      <c r="B434" s="21"/>
      <c r="C434">
        <v>2.7</v>
      </c>
      <c r="D434">
        <v>2.5</v>
      </c>
      <c r="E434">
        <v>23</v>
      </c>
      <c r="F434">
        <v>10</v>
      </c>
      <c r="H434">
        <v>10</v>
      </c>
      <c r="I434">
        <v>0.93</v>
      </c>
      <c r="J434">
        <v>108</v>
      </c>
    </row>
    <row r="435" spans="1:10" ht="14.25" customHeight="1" x14ac:dyDescent="0.25">
      <c r="A435" s="21">
        <v>20115</v>
      </c>
      <c r="B435" s="21"/>
      <c r="C435">
        <v>2.4</v>
      </c>
      <c r="D435">
        <v>2.4</v>
      </c>
      <c r="E435">
        <v>8</v>
      </c>
      <c r="F435">
        <v>15</v>
      </c>
      <c r="H435">
        <v>15</v>
      </c>
      <c r="I435">
        <v>0.91</v>
      </c>
      <c r="J435">
        <v>128</v>
      </c>
    </row>
    <row r="436" spans="1:10" ht="14.25" customHeight="1" x14ac:dyDescent="0.25">
      <c r="A436" s="21">
        <v>20117</v>
      </c>
      <c r="B436" s="21"/>
      <c r="C436">
        <v>10.199999999999999</v>
      </c>
      <c r="D436">
        <v>3.4</v>
      </c>
      <c r="E436">
        <v>27</v>
      </c>
      <c r="F436">
        <v>23</v>
      </c>
      <c r="H436">
        <v>23</v>
      </c>
      <c r="I436">
        <v>0.94</v>
      </c>
      <c r="J436">
        <v>497</v>
      </c>
    </row>
    <row r="437" spans="1:10" ht="14.25" customHeight="1" x14ac:dyDescent="0.25">
      <c r="A437" s="21">
        <v>20119</v>
      </c>
      <c r="B437" s="21"/>
      <c r="C437">
        <v>2.1</v>
      </c>
      <c r="D437">
        <v>2</v>
      </c>
      <c r="E437">
        <v>11</v>
      </c>
      <c r="F437">
        <v>20</v>
      </c>
      <c r="H437">
        <v>20</v>
      </c>
      <c r="I437">
        <v>1.29</v>
      </c>
      <c r="J437">
        <v>192</v>
      </c>
    </row>
    <row r="438" spans="1:10" ht="14.25" customHeight="1" x14ac:dyDescent="0.25">
      <c r="A438" s="21">
        <v>20123</v>
      </c>
      <c r="B438" s="21"/>
      <c r="C438">
        <v>18</v>
      </c>
      <c r="D438">
        <v>3.7</v>
      </c>
      <c r="E438">
        <v>16</v>
      </c>
      <c r="F438">
        <v>16</v>
      </c>
      <c r="G438">
        <v>4</v>
      </c>
      <c r="H438">
        <v>16</v>
      </c>
      <c r="I438">
        <v>1.05</v>
      </c>
      <c r="J438">
        <v>883</v>
      </c>
    </row>
    <row r="439" spans="1:10" ht="14.25" customHeight="1" x14ac:dyDescent="0.25">
      <c r="A439" s="21">
        <v>20127</v>
      </c>
      <c r="B439" s="21"/>
      <c r="C439">
        <v>3.7</v>
      </c>
      <c r="D439">
        <v>2.5</v>
      </c>
      <c r="E439">
        <v>9</v>
      </c>
      <c r="F439">
        <v>25</v>
      </c>
      <c r="H439">
        <v>25</v>
      </c>
      <c r="I439">
        <v>0.97</v>
      </c>
      <c r="J439">
        <v>260</v>
      </c>
    </row>
    <row r="440" spans="1:10" ht="14.25" customHeight="1" x14ac:dyDescent="0.25">
      <c r="A440" s="21">
        <v>20131</v>
      </c>
      <c r="B440" s="21"/>
      <c r="C440">
        <v>5</v>
      </c>
      <c r="D440">
        <v>2.7</v>
      </c>
      <c r="E440">
        <v>15</v>
      </c>
      <c r="F440">
        <v>24</v>
      </c>
      <c r="H440">
        <v>24</v>
      </c>
      <c r="I440">
        <v>1.03</v>
      </c>
      <c r="J440">
        <v>344</v>
      </c>
    </row>
    <row r="441" spans="1:10" ht="14.25" customHeight="1" x14ac:dyDescent="0.25">
      <c r="A441" s="21">
        <v>20131</v>
      </c>
      <c r="B441" s="21"/>
      <c r="C441">
        <v>4.8</v>
      </c>
      <c r="D441">
        <v>2.7</v>
      </c>
      <c r="E441">
        <v>10</v>
      </c>
      <c r="F441">
        <v>17</v>
      </c>
      <c r="H441">
        <v>17</v>
      </c>
      <c r="I441">
        <v>0.91</v>
      </c>
      <c r="J441">
        <v>235</v>
      </c>
    </row>
    <row r="442" spans="1:10" ht="14.25" customHeight="1" x14ac:dyDescent="0.25">
      <c r="A442" s="21">
        <v>20133</v>
      </c>
      <c r="B442" s="21"/>
      <c r="C442">
        <v>14.6</v>
      </c>
      <c r="D442">
        <v>3.1</v>
      </c>
      <c r="E442">
        <v>47</v>
      </c>
      <c r="F442">
        <v>22</v>
      </c>
      <c r="G442">
        <v>5</v>
      </c>
      <c r="H442">
        <v>22</v>
      </c>
      <c r="I442">
        <v>1.01</v>
      </c>
      <c r="J442" s="1">
        <v>1390</v>
      </c>
    </row>
    <row r="443" spans="1:10" ht="14.25" customHeight="1" x14ac:dyDescent="0.25">
      <c r="A443" s="21">
        <v>20135</v>
      </c>
      <c r="B443" s="21"/>
      <c r="C443">
        <v>11.9</v>
      </c>
      <c r="D443">
        <v>2.8</v>
      </c>
      <c r="E443">
        <v>3</v>
      </c>
      <c r="F443">
        <v>25</v>
      </c>
      <c r="H443">
        <v>25</v>
      </c>
      <c r="I443">
        <v>1.06</v>
      </c>
      <c r="J443">
        <v>119</v>
      </c>
    </row>
    <row r="444" spans="1:10" ht="14.25" customHeight="1" x14ac:dyDescent="0.25">
      <c r="A444" s="21">
        <v>20135</v>
      </c>
      <c r="B444" s="21"/>
      <c r="C444">
        <v>1.7</v>
      </c>
      <c r="D444">
        <v>3.2</v>
      </c>
      <c r="E444">
        <v>4</v>
      </c>
      <c r="F444">
        <v>12</v>
      </c>
      <c r="H444">
        <v>12</v>
      </c>
      <c r="I444">
        <v>0.9</v>
      </c>
      <c r="J444">
        <v>28</v>
      </c>
    </row>
    <row r="445" spans="1:10" ht="14.25" customHeight="1" x14ac:dyDescent="0.25">
      <c r="A445" s="21">
        <v>20137</v>
      </c>
      <c r="B445" s="21"/>
      <c r="C445">
        <v>3.2</v>
      </c>
      <c r="D445">
        <v>2.4</v>
      </c>
      <c r="E445">
        <v>24</v>
      </c>
      <c r="F445">
        <v>25</v>
      </c>
      <c r="H445">
        <v>25</v>
      </c>
      <c r="I445">
        <v>0.95</v>
      </c>
      <c r="J445">
        <v>152</v>
      </c>
    </row>
    <row r="446" spans="1:10" ht="14.25" customHeight="1" x14ac:dyDescent="0.25">
      <c r="A446" s="21">
        <v>20141</v>
      </c>
      <c r="B446" s="21"/>
      <c r="C446">
        <v>3.8</v>
      </c>
      <c r="D446">
        <v>3</v>
      </c>
      <c r="E446">
        <v>6</v>
      </c>
      <c r="F446">
        <v>24</v>
      </c>
      <c r="H446">
        <v>24</v>
      </c>
      <c r="I446">
        <v>0.88</v>
      </c>
      <c r="J446">
        <v>157</v>
      </c>
    </row>
    <row r="447" spans="1:10" ht="14.25" customHeight="1" x14ac:dyDescent="0.25">
      <c r="A447" s="21">
        <v>20143</v>
      </c>
      <c r="B447" s="21"/>
      <c r="C447">
        <v>16.399999999999999</v>
      </c>
      <c r="D447">
        <v>3.4</v>
      </c>
      <c r="E447">
        <v>4</v>
      </c>
      <c r="F447">
        <v>25</v>
      </c>
      <c r="H447">
        <v>25</v>
      </c>
      <c r="I447">
        <v>0.95</v>
      </c>
      <c r="J447">
        <v>95</v>
      </c>
    </row>
    <row r="448" spans="1:10" ht="14.25" customHeight="1" x14ac:dyDescent="0.25">
      <c r="A448" s="21">
        <v>20145</v>
      </c>
      <c r="B448" s="21"/>
      <c r="C448">
        <v>5.0999999999999996</v>
      </c>
      <c r="D448">
        <v>3.5</v>
      </c>
      <c r="E448">
        <v>15</v>
      </c>
      <c r="F448">
        <v>22</v>
      </c>
      <c r="H448">
        <v>22</v>
      </c>
      <c r="I448">
        <v>0.96</v>
      </c>
      <c r="J448">
        <v>95</v>
      </c>
    </row>
    <row r="449" spans="1:10" ht="14.25" customHeight="1" x14ac:dyDescent="0.25">
      <c r="A449" s="21">
        <v>20147</v>
      </c>
      <c r="B449" s="21"/>
      <c r="C449">
        <v>7</v>
      </c>
      <c r="D449">
        <v>2.2999999999999998</v>
      </c>
      <c r="E449">
        <v>15</v>
      </c>
      <c r="F449">
        <v>25</v>
      </c>
      <c r="H449">
        <v>25</v>
      </c>
      <c r="I449">
        <v>0.88</v>
      </c>
      <c r="J449">
        <v>199</v>
      </c>
    </row>
    <row r="450" spans="1:10" ht="14.25" customHeight="1" x14ac:dyDescent="0.25">
      <c r="A450" s="21">
        <v>20149</v>
      </c>
      <c r="B450" s="21"/>
      <c r="C450">
        <v>7.1</v>
      </c>
      <c r="D450">
        <v>1.9</v>
      </c>
      <c r="E450">
        <v>30</v>
      </c>
      <c r="F450">
        <v>25</v>
      </c>
      <c r="H450">
        <v>25</v>
      </c>
      <c r="I450">
        <v>0.98</v>
      </c>
      <c r="J450">
        <v>442</v>
      </c>
    </row>
    <row r="451" spans="1:10" ht="14.25" customHeight="1" x14ac:dyDescent="0.25">
      <c r="A451" s="21">
        <v>20149</v>
      </c>
      <c r="B451" s="21"/>
      <c r="C451">
        <v>5.2</v>
      </c>
      <c r="D451">
        <v>3.1</v>
      </c>
      <c r="E451">
        <v>17</v>
      </c>
      <c r="F451">
        <v>18</v>
      </c>
      <c r="H451">
        <v>18</v>
      </c>
      <c r="I451">
        <v>1.02</v>
      </c>
      <c r="J451">
        <v>162</v>
      </c>
    </row>
    <row r="452" spans="1:10" ht="14.25" customHeight="1" x14ac:dyDescent="0.25">
      <c r="A452" s="21">
        <v>20149</v>
      </c>
      <c r="B452" s="21"/>
    </row>
    <row r="453" spans="1:10" ht="14.25" customHeight="1" x14ac:dyDescent="0.25">
      <c r="A453" s="21">
        <v>20153</v>
      </c>
      <c r="B453" s="21"/>
      <c r="C453">
        <v>3.6</v>
      </c>
      <c r="D453">
        <v>2.2000000000000002</v>
      </c>
      <c r="E453">
        <v>4</v>
      </c>
      <c r="F453">
        <v>15</v>
      </c>
      <c r="H453">
        <v>15</v>
      </c>
      <c r="I453">
        <v>0.95</v>
      </c>
      <c r="J453">
        <v>145</v>
      </c>
    </row>
    <row r="454" spans="1:10" ht="14.25" customHeight="1" x14ac:dyDescent="0.25">
      <c r="A454" s="21">
        <v>20157</v>
      </c>
      <c r="B454" s="21"/>
      <c r="C454">
        <v>15.5</v>
      </c>
      <c r="D454">
        <v>3.2</v>
      </c>
      <c r="E454">
        <v>7</v>
      </c>
      <c r="F454">
        <v>25</v>
      </c>
      <c r="H454">
        <v>25</v>
      </c>
      <c r="I454">
        <v>1.04</v>
      </c>
      <c r="J454">
        <v>521</v>
      </c>
    </row>
    <row r="455" spans="1:10" ht="14.25" customHeight="1" x14ac:dyDescent="0.25">
      <c r="A455" s="21">
        <v>20159</v>
      </c>
      <c r="B455" s="21"/>
      <c r="C455">
        <v>12.5</v>
      </c>
      <c r="D455">
        <v>2.8</v>
      </c>
      <c r="E455">
        <v>17</v>
      </c>
      <c r="F455">
        <v>25</v>
      </c>
      <c r="H455">
        <v>25</v>
      </c>
      <c r="I455">
        <v>0.99</v>
      </c>
      <c r="J455">
        <v>309</v>
      </c>
    </row>
    <row r="456" spans="1:10" ht="14.25" customHeight="1" x14ac:dyDescent="0.25">
      <c r="A456" s="21">
        <v>20163</v>
      </c>
      <c r="B456" s="21"/>
      <c r="C456">
        <v>5.4</v>
      </c>
      <c r="D456">
        <v>3.1</v>
      </c>
      <c r="E456">
        <v>21</v>
      </c>
      <c r="F456">
        <v>16</v>
      </c>
      <c r="H456">
        <v>16</v>
      </c>
      <c r="I456">
        <v>1.28</v>
      </c>
      <c r="J456">
        <v>307</v>
      </c>
    </row>
    <row r="457" spans="1:10" ht="14.25" customHeight="1" x14ac:dyDescent="0.25">
      <c r="A457" s="21">
        <v>20165</v>
      </c>
      <c r="B457" s="21"/>
      <c r="C457">
        <v>19.8</v>
      </c>
      <c r="D457">
        <v>2.8</v>
      </c>
      <c r="E457">
        <v>4</v>
      </c>
      <c r="F457">
        <v>16</v>
      </c>
      <c r="H457">
        <v>16</v>
      </c>
      <c r="I457">
        <v>1</v>
      </c>
      <c r="J457">
        <v>104</v>
      </c>
    </row>
    <row r="458" spans="1:10" ht="14.25" customHeight="1" x14ac:dyDescent="0.25">
      <c r="A458" s="21">
        <v>20167</v>
      </c>
      <c r="B458" s="21"/>
      <c r="C458">
        <v>6.5</v>
      </c>
      <c r="D458">
        <v>2.7</v>
      </c>
      <c r="E458">
        <v>14</v>
      </c>
      <c r="F458">
        <v>20</v>
      </c>
      <c r="H458">
        <v>20</v>
      </c>
      <c r="I458">
        <v>1.05</v>
      </c>
      <c r="J458">
        <v>252</v>
      </c>
    </row>
    <row r="459" spans="1:10" ht="14.25" customHeight="1" x14ac:dyDescent="0.25">
      <c r="A459" s="21">
        <v>20171</v>
      </c>
      <c r="B459" s="21"/>
      <c r="C459">
        <v>10.1</v>
      </c>
      <c r="D459">
        <v>2.9</v>
      </c>
      <c r="E459">
        <v>19</v>
      </c>
      <c r="F459">
        <v>25</v>
      </c>
      <c r="H459">
        <v>25</v>
      </c>
      <c r="I459">
        <v>1.05</v>
      </c>
      <c r="J459">
        <v>354</v>
      </c>
    </row>
    <row r="460" spans="1:10" ht="14.25" customHeight="1" x14ac:dyDescent="0.25">
      <c r="A460" s="21">
        <v>20179</v>
      </c>
      <c r="B460" s="21"/>
      <c r="C460">
        <v>4.0999999999999996</v>
      </c>
      <c r="D460">
        <v>3.2</v>
      </c>
      <c r="E460">
        <v>8</v>
      </c>
      <c r="F460">
        <v>18</v>
      </c>
      <c r="H460">
        <v>18</v>
      </c>
      <c r="I460">
        <v>1.03</v>
      </c>
      <c r="J460">
        <v>193</v>
      </c>
    </row>
    <row r="461" spans="1:10" ht="14.25" customHeight="1" x14ac:dyDescent="0.25">
      <c r="A461" s="21">
        <v>20181</v>
      </c>
      <c r="B461" s="21"/>
      <c r="C461">
        <v>5</v>
      </c>
      <c r="D461">
        <v>2.6</v>
      </c>
      <c r="E461">
        <v>30</v>
      </c>
      <c r="F461">
        <v>21</v>
      </c>
      <c r="H461">
        <v>21</v>
      </c>
      <c r="I461">
        <v>0.95</v>
      </c>
      <c r="J461">
        <v>344</v>
      </c>
    </row>
    <row r="462" spans="1:10" ht="14.25" customHeight="1" x14ac:dyDescent="0.25">
      <c r="A462" s="21">
        <v>20183</v>
      </c>
      <c r="B462" s="21"/>
      <c r="C462">
        <v>5.2</v>
      </c>
      <c r="D462">
        <v>2.4</v>
      </c>
      <c r="E462">
        <v>14</v>
      </c>
      <c r="F462">
        <v>16</v>
      </c>
      <c r="H462">
        <v>16</v>
      </c>
      <c r="I462">
        <v>0.89</v>
      </c>
      <c r="J462">
        <v>412</v>
      </c>
    </row>
    <row r="463" spans="1:10" ht="14.25" customHeight="1" x14ac:dyDescent="0.25">
      <c r="A463" s="21">
        <v>20185</v>
      </c>
      <c r="B463" s="21"/>
      <c r="C463">
        <v>4.9000000000000004</v>
      </c>
      <c r="D463">
        <v>2.5</v>
      </c>
      <c r="E463">
        <v>9</v>
      </c>
      <c r="F463">
        <v>25</v>
      </c>
      <c r="H463">
        <v>25</v>
      </c>
      <c r="I463">
        <v>0.94</v>
      </c>
      <c r="J463">
        <v>45</v>
      </c>
    </row>
    <row r="464" spans="1:10" ht="14.25" customHeight="1" x14ac:dyDescent="0.25">
      <c r="A464" s="21">
        <v>20187</v>
      </c>
      <c r="B464" s="21"/>
      <c r="C464">
        <v>2.2999999999999998</v>
      </c>
      <c r="D464">
        <v>2.5</v>
      </c>
      <c r="E464">
        <v>6</v>
      </c>
      <c r="F464">
        <v>16</v>
      </c>
      <c r="H464">
        <v>16</v>
      </c>
      <c r="I464">
        <v>1.02</v>
      </c>
      <c r="J464">
        <v>89</v>
      </c>
    </row>
    <row r="465" spans="1:10" ht="14.25" customHeight="1" x14ac:dyDescent="0.25">
      <c r="A465" s="21">
        <v>20189</v>
      </c>
      <c r="B465" s="21"/>
      <c r="C465">
        <v>3.3</v>
      </c>
      <c r="D465">
        <v>1.7</v>
      </c>
      <c r="E465">
        <v>6</v>
      </c>
      <c r="F465">
        <v>17</v>
      </c>
      <c r="H465">
        <v>17</v>
      </c>
      <c r="I465">
        <v>0.94</v>
      </c>
      <c r="J465">
        <v>159</v>
      </c>
    </row>
    <row r="466" spans="1:10" ht="14.25" customHeight="1" x14ac:dyDescent="0.25">
      <c r="A466" s="21">
        <v>20191</v>
      </c>
      <c r="B466" s="21"/>
      <c r="C466">
        <v>7.9</v>
      </c>
      <c r="D466">
        <v>3.9</v>
      </c>
      <c r="E466">
        <v>8</v>
      </c>
      <c r="F466">
        <v>25</v>
      </c>
      <c r="H466">
        <v>25</v>
      </c>
      <c r="I466">
        <v>0.99</v>
      </c>
      <c r="J466">
        <v>93</v>
      </c>
    </row>
    <row r="467" spans="1:10" ht="14.25" customHeight="1" x14ac:dyDescent="0.25">
      <c r="A467" s="21">
        <v>20193</v>
      </c>
      <c r="B467" s="21"/>
      <c r="C467">
        <v>10</v>
      </c>
      <c r="D467">
        <v>3</v>
      </c>
      <c r="E467">
        <v>44</v>
      </c>
      <c r="F467">
        <v>21</v>
      </c>
      <c r="G467">
        <v>1</v>
      </c>
      <c r="H467">
        <v>21</v>
      </c>
      <c r="I467">
        <v>1.05</v>
      </c>
      <c r="J467">
        <v>701</v>
      </c>
    </row>
    <row r="468" spans="1:10" ht="14.25" customHeight="1" x14ac:dyDescent="0.25">
      <c r="A468" s="21">
        <v>20195</v>
      </c>
      <c r="B468" s="21"/>
      <c r="C468">
        <v>10.7</v>
      </c>
      <c r="D468">
        <v>3</v>
      </c>
      <c r="E468">
        <v>9</v>
      </c>
      <c r="F468">
        <v>25</v>
      </c>
      <c r="H468">
        <v>25</v>
      </c>
      <c r="I468">
        <v>0.89</v>
      </c>
      <c r="J468">
        <v>342</v>
      </c>
    </row>
    <row r="469" spans="1:10" ht="14.25" customHeight="1" x14ac:dyDescent="0.25">
      <c r="A469" s="21">
        <v>20201</v>
      </c>
      <c r="B469" s="21"/>
      <c r="C469">
        <v>4.7</v>
      </c>
      <c r="D469">
        <v>2.9</v>
      </c>
      <c r="E469">
        <v>4</v>
      </c>
      <c r="F469">
        <v>25</v>
      </c>
      <c r="H469">
        <v>25</v>
      </c>
      <c r="I469">
        <v>0.95</v>
      </c>
      <c r="J469">
        <v>137</v>
      </c>
    </row>
    <row r="470" spans="1:10" ht="14.25" customHeight="1" x14ac:dyDescent="0.25">
      <c r="A470" s="21">
        <v>20201</v>
      </c>
      <c r="B470" s="21"/>
      <c r="C470">
        <v>21.8</v>
      </c>
      <c r="D470">
        <v>6.3</v>
      </c>
      <c r="E470">
        <v>4</v>
      </c>
      <c r="F470">
        <v>25</v>
      </c>
      <c r="H470">
        <v>25</v>
      </c>
      <c r="I470">
        <v>0.88</v>
      </c>
      <c r="J470">
        <v>97</v>
      </c>
    </row>
    <row r="471" spans="1:10" ht="14.25" customHeight="1" x14ac:dyDescent="0.25">
      <c r="A471" s="21">
        <v>20203</v>
      </c>
      <c r="B471" s="21"/>
      <c r="C471">
        <v>16.100000000000001</v>
      </c>
      <c r="D471">
        <v>2.7</v>
      </c>
      <c r="E471">
        <v>6</v>
      </c>
      <c r="F471">
        <v>25</v>
      </c>
      <c r="H471">
        <v>25</v>
      </c>
      <c r="I471">
        <v>0.98</v>
      </c>
      <c r="J471">
        <v>61</v>
      </c>
    </row>
    <row r="472" spans="1:10" ht="14.25" customHeight="1" x14ac:dyDescent="0.25">
      <c r="A472" s="21">
        <v>20205</v>
      </c>
      <c r="B472" s="21"/>
      <c r="C472">
        <v>3.9</v>
      </c>
      <c r="D472">
        <v>2.9</v>
      </c>
      <c r="E472">
        <v>25</v>
      </c>
      <c r="F472">
        <v>25</v>
      </c>
      <c r="H472">
        <v>25</v>
      </c>
      <c r="I472">
        <v>1.01</v>
      </c>
      <c r="J472">
        <v>272</v>
      </c>
    </row>
    <row r="473" spans="1:10" ht="14.25" customHeight="1" x14ac:dyDescent="0.25">
      <c r="A473" s="21">
        <v>20205</v>
      </c>
      <c r="B473" s="21"/>
      <c r="C473">
        <v>6.7</v>
      </c>
      <c r="D473">
        <v>3.5</v>
      </c>
      <c r="E473">
        <v>21</v>
      </c>
      <c r="F473">
        <v>15</v>
      </c>
      <c r="H473">
        <v>15</v>
      </c>
      <c r="I473">
        <v>1.2</v>
      </c>
      <c r="J473">
        <v>195</v>
      </c>
    </row>
    <row r="474" spans="1:10" ht="14.25" customHeight="1" x14ac:dyDescent="0.25">
      <c r="A474" s="21">
        <v>21003</v>
      </c>
      <c r="B474" s="21"/>
      <c r="C474">
        <v>18.8</v>
      </c>
      <c r="D474">
        <v>3.5</v>
      </c>
      <c r="E474">
        <v>69</v>
      </c>
      <c r="F474">
        <v>25</v>
      </c>
      <c r="H474">
        <v>25</v>
      </c>
      <c r="I474">
        <v>1</v>
      </c>
      <c r="J474">
        <v>318</v>
      </c>
    </row>
    <row r="475" spans="1:10" ht="14.25" customHeight="1" x14ac:dyDescent="0.25">
      <c r="A475" s="21">
        <v>21027</v>
      </c>
      <c r="B475" s="21"/>
      <c r="C475">
        <v>11.1</v>
      </c>
      <c r="D475">
        <v>3.7</v>
      </c>
      <c r="E475">
        <v>32</v>
      </c>
      <c r="F475">
        <v>25</v>
      </c>
      <c r="H475">
        <v>25</v>
      </c>
      <c r="I475">
        <v>0.87</v>
      </c>
      <c r="J475">
        <v>578</v>
      </c>
    </row>
    <row r="476" spans="1:10" ht="14.25" customHeight="1" x14ac:dyDescent="0.25">
      <c r="A476" s="21">
        <v>21033</v>
      </c>
      <c r="B476" s="21"/>
      <c r="C476">
        <v>6.6</v>
      </c>
      <c r="D476">
        <v>3</v>
      </c>
      <c r="E476">
        <v>28</v>
      </c>
      <c r="F476">
        <v>25</v>
      </c>
      <c r="H476">
        <v>25</v>
      </c>
      <c r="I476">
        <v>0.89</v>
      </c>
      <c r="J476">
        <v>261</v>
      </c>
    </row>
    <row r="477" spans="1:10" ht="14.25" customHeight="1" x14ac:dyDescent="0.25">
      <c r="A477" s="21">
        <v>21041</v>
      </c>
      <c r="B477" s="21"/>
      <c r="C477">
        <v>4.2</v>
      </c>
      <c r="D477">
        <v>3.4</v>
      </c>
      <c r="E477">
        <v>38</v>
      </c>
      <c r="F477">
        <v>25</v>
      </c>
      <c r="H477">
        <v>25</v>
      </c>
      <c r="I477">
        <v>0.99</v>
      </c>
      <c r="J477">
        <v>350</v>
      </c>
    </row>
    <row r="478" spans="1:10" ht="14.25" customHeight="1" x14ac:dyDescent="0.25">
      <c r="A478" s="21">
        <v>21045</v>
      </c>
      <c r="B478" s="21"/>
      <c r="C478">
        <v>19.7</v>
      </c>
      <c r="D478">
        <v>3.9</v>
      </c>
      <c r="E478">
        <v>34</v>
      </c>
      <c r="F478">
        <v>24</v>
      </c>
      <c r="H478">
        <v>24</v>
      </c>
      <c r="I478">
        <v>0.87</v>
      </c>
      <c r="J478">
        <v>586</v>
      </c>
    </row>
    <row r="479" spans="1:10" ht="14.25" customHeight="1" x14ac:dyDescent="0.25">
      <c r="A479" s="21">
        <v>21057</v>
      </c>
      <c r="B479" s="21"/>
      <c r="C479">
        <v>8</v>
      </c>
      <c r="D479">
        <v>3.8</v>
      </c>
      <c r="E479">
        <v>17</v>
      </c>
      <c r="F479">
        <v>25</v>
      </c>
      <c r="H479">
        <v>25</v>
      </c>
      <c r="I479">
        <v>1</v>
      </c>
      <c r="J479">
        <v>433</v>
      </c>
    </row>
    <row r="480" spans="1:10" ht="14.25" customHeight="1" x14ac:dyDescent="0.25">
      <c r="A480" s="21">
        <v>21065</v>
      </c>
      <c r="B480" s="21"/>
      <c r="C480">
        <v>13.2</v>
      </c>
      <c r="D480">
        <v>2.8</v>
      </c>
      <c r="E480">
        <v>431</v>
      </c>
      <c r="F480">
        <v>25</v>
      </c>
      <c r="H480">
        <v>25</v>
      </c>
      <c r="I480">
        <v>1</v>
      </c>
      <c r="J480">
        <v>795</v>
      </c>
    </row>
    <row r="481" spans="1:10" ht="14.25" customHeight="1" x14ac:dyDescent="0.25">
      <c r="A481" s="21">
        <v>21069</v>
      </c>
      <c r="B481" s="21"/>
      <c r="C481">
        <v>5.9</v>
      </c>
      <c r="D481">
        <v>3.8</v>
      </c>
      <c r="E481">
        <v>38</v>
      </c>
      <c r="F481">
        <v>52</v>
      </c>
      <c r="G481">
        <v>3</v>
      </c>
      <c r="H481">
        <v>52</v>
      </c>
      <c r="I481">
        <v>1.17</v>
      </c>
      <c r="J481">
        <v>642</v>
      </c>
    </row>
    <row r="482" spans="1:10" ht="14.25" customHeight="1" x14ac:dyDescent="0.25">
      <c r="A482" s="21">
        <v>21071</v>
      </c>
      <c r="B482" s="21"/>
      <c r="C482">
        <v>7.8</v>
      </c>
      <c r="D482">
        <v>5.0999999999999996</v>
      </c>
      <c r="E482">
        <v>26</v>
      </c>
      <c r="F482">
        <v>25</v>
      </c>
      <c r="H482">
        <v>25</v>
      </c>
      <c r="I482">
        <v>1.1200000000000001</v>
      </c>
      <c r="J482">
        <v>453</v>
      </c>
    </row>
    <row r="483" spans="1:10" ht="14.25" customHeight="1" x14ac:dyDescent="0.25">
      <c r="A483" s="21">
        <v>21071</v>
      </c>
      <c r="B483" s="21"/>
      <c r="C483">
        <v>4.8</v>
      </c>
      <c r="D483">
        <v>3</v>
      </c>
      <c r="E483">
        <v>29</v>
      </c>
      <c r="F483">
        <v>25</v>
      </c>
      <c r="G483">
        <v>4</v>
      </c>
      <c r="H483">
        <v>25</v>
      </c>
      <c r="I483">
        <v>1.07</v>
      </c>
      <c r="J483">
        <v>287</v>
      </c>
    </row>
    <row r="484" spans="1:10" ht="14.25" customHeight="1" x14ac:dyDescent="0.25">
      <c r="A484" s="21">
        <v>21081</v>
      </c>
      <c r="B484" s="21"/>
      <c r="C484">
        <v>1.6</v>
      </c>
      <c r="D484">
        <v>3.4</v>
      </c>
      <c r="E484">
        <v>15</v>
      </c>
      <c r="F484">
        <v>15</v>
      </c>
      <c r="H484">
        <v>15</v>
      </c>
      <c r="I484">
        <v>0.9</v>
      </c>
      <c r="J484">
        <v>167</v>
      </c>
    </row>
    <row r="485" spans="1:10" ht="14.25" customHeight="1" x14ac:dyDescent="0.25">
      <c r="A485" s="21">
        <v>21087</v>
      </c>
      <c r="B485" s="21"/>
      <c r="C485">
        <v>19.7</v>
      </c>
      <c r="D485">
        <v>3.8</v>
      </c>
      <c r="E485">
        <v>24</v>
      </c>
      <c r="F485">
        <v>25</v>
      </c>
      <c r="H485">
        <v>25</v>
      </c>
      <c r="I485">
        <v>0.92</v>
      </c>
      <c r="J485">
        <v>246</v>
      </c>
    </row>
    <row r="486" spans="1:10" ht="14.25" customHeight="1" x14ac:dyDescent="0.25">
      <c r="A486" s="21">
        <v>21099</v>
      </c>
      <c r="B486" s="21"/>
      <c r="C486">
        <v>7.8</v>
      </c>
      <c r="D486">
        <v>3.2</v>
      </c>
      <c r="E486">
        <v>25</v>
      </c>
      <c r="F486">
        <v>25</v>
      </c>
      <c r="H486">
        <v>25</v>
      </c>
      <c r="I486">
        <v>0.97</v>
      </c>
      <c r="J486">
        <v>183</v>
      </c>
    </row>
    <row r="487" spans="1:10" ht="14.25" customHeight="1" x14ac:dyDescent="0.25">
      <c r="A487" s="21">
        <v>21121</v>
      </c>
      <c r="B487" s="21"/>
      <c r="C487">
        <v>8.5</v>
      </c>
      <c r="D487">
        <v>3.8</v>
      </c>
      <c r="E487">
        <v>43</v>
      </c>
      <c r="F487">
        <v>25</v>
      </c>
      <c r="G487">
        <v>6</v>
      </c>
      <c r="H487">
        <v>25</v>
      </c>
      <c r="I487">
        <v>1.04</v>
      </c>
      <c r="J487">
        <v>674</v>
      </c>
    </row>
    <row r="488" spans="1:10" ht="14.25" customHeight="1" x14ac:dyDescent="0.25">
      <c r="A488" s="21">
        <v>21131</v>
      </c>
      <c r="B488" s="21"/>
      <c r="C488">
        <v>10.9</v>
      </c>
      <c r="D488">
        <v>2.4</v>
      </c>
      <c r="E488">
        <v>20</v>
      </c>
      <c r="F488">
        <v>25</v>
      </c>
      <c r="H488">
        <v>25</v>
      </c>
      <c r="I488">
        <v>1.1299999999999999</v>
      </c>
      <c r="J488">
        <v>243</v>
      </c>
    </row>
    <row r="489" spans="1:10" ht="14.25" customHeight="1" x14ac:dyDescent="0.25">
      <c r="A489" s="21">
        <v>21133</v>
      </c>
      <c r="B489" s="21"/>
      <c r="C489">
        <v>3</v>
      </c>
      <c r="D489">
        <v>0.8</v>
      </c>
      <c r="J489">
        <v>411</v>
      </c>
    </row>
    <row r="490" spans="1:10" ht="14.25" customHeight="1" x14ac:dyDescent="0.25">
      <c r="A490" s="21">
        <v>21137</v>
      </c>
      <c r="B490" s="21"/>
      <c r="C490">
        <v>12.7</v>
      </c>
      <c r="D490">
        <v>2.5</v>
      </c>
      <c r="E490">
        <v>48</v>
      </c>
      <c r="F490">
        <v>25</v>
      </c>
      <c r="H490">
        <v>25</v>
      </c>
      <c r="I490">
        <v>0.96</v>
      </c>
      <c r="J490">
        <v>878</v>
      </c>
    </row>
    <row r="491" spans="1:10" ht="14.25" customHeight="1" x14ac:dyDescent="0.25">
      <c r="A491" s="21">
        <v>21139</v>
      </c>
      <c r="B491" s="21"/>
      <c r="C491">
        <v>8.3000000000000007</v>
      </c>
      <c r="D491">
        <v>5.5</v>
      </c>
      <c r="E491">
        <v>11</v>
      </c>
      <c r="F491">
        <v>25</v>
      </c>
      <c r="H491">
        <v>25</v>
      </c>
      <c r="I491">
        <v>1.06</v>
      </c>
      <c r="J491">
        <v>544</v>
      </c>
    </row>
    <row r="492" spans="1:10" ht="14.25" customHeight="1" x14ac:dyDescent="0.25">
      <c r="A492" s="21">
        <v>21151</v>
      </c>
      <c r="B492" s="21"/>
      <c r="C492">
        <v>10.7</v>
      </c>
      <c r="D492">
        <v>3.6</v>
      </c>
      <c r="E492">
        <v>36</v>
      </c>
      <c r="F492">
        <v>25</v>
      </c>
      <c r="G492">
        <v>4</v>
      </c>
      <c r="H492">
        <v>25</v>
      </c>
      <c r="I492">
        <v>1.41</v>
      </c>
      <c r="J492">
        <v>705</v>
      </c>
    </row>
    <row r="493" spans="1:10" ht="14.25" customHeight="1" x14ac:dyDescent="0.25">
      <c r="A493" s="21">
        <v>21157</v>
      </c>
      <c r="B493" s="21"/>
      <c r="C493">
        <v>8</v>
      </c>
      <c r="D493">
        <v>3.8</v>
      </c>
      <c r="E493">
        <v>35</v>
      </c>
      <c r="F493">
        <v>25</v>
      </c>
      <c r="G493">
        <v>4</v>
      </c>
      <c r="H493">
        <v>25</v>
      </c>
      <c r="I493">
        <v>1.17</v>
      </c>
      <c r="J493">
        <v>654</v>
      </c>
    </row>
    <row r="494" spans="1:10" ht="14.25" customHeight="1" x14ac:dyDescent="0.25">
      <c r="A494" s="21">
        <v>21167</v>
      </c>
      <c r="B494" s="21"/>
      <c r="C494">
        <v>10.4</v>
      </c>
      <c r="D494">
        <v>4.0999999999999996</v>
      </c>
      <c r="E494">
        <v>37</v>
      </c>
      <c r="F494">
        <v>25</v>
      </c>
      <c r="G494">
        <v>4</v>
      </c>
      <c r="H494">
        <v>25</v>
      </c>
      <c r="I494">
        <v>1.06</v>
      </c>
      <c r="J494">
        <v>265</v>
      </c>
    </row>
    <row r="495" spans="1:10" ht="14.25" customHeight="1" x14ac:dyDescent="0.25">
      <c r="A495" s="21">
        <v>21175</v>
      </c>
      <c r="B495" s="21"/>
      <c r="C495">
        <v>1.9</v>
      </c>
      <c r="D495">
        <v>3.3</v>
      </c>
      <c r="E495">
        <v>37</v>
      </c>
      <c r="F495">
        <v>25</v>
      </c>
      <c r="H495">
        <v>25</v>
      </c>
      <c r="I495">
        <v>1.19</v>
      </c>
      <c r="J495">
        <v>98</v>
      </c>
    </row>
    <row r="496" spans="1:10" ht="14.25" customHeight="1" x14ac:dyDescent="0.25">
      <c r="A496" s="21">
        <v>21181</v>
      </c>
      <c r="B496" s="21"/>
      <c r="C496">
        <v>4.2</v>
      </c>
      <c r="D496">
        <v>2.9</v>
      </c>
      <c r="J496">
        <v>314</v>
      </c>
    </row>
    <row r="497" spans="1:10" ht="14.25" customHeight="1" x14ac:dyDescent="0.25">
      <c r="A497" s="21">
        <v>21183</v>
      </c>
      <c r="B497" s="21"/>
      <c r="C497">
        <v>8.6</v>
      </c>
      <c r="D497">
        <v>3.9</v>
      </c>
      <c r="E497">
        <v>70</v>
      </c>
      <c r="F497">
        <v>25</v>
      </c>
      <c r="G497">
        <v>4</v>
      </c>
      <c r="H497">
        <v>25</v>
      </c>
      <c r="I497">
        <v>1.1100000000000001</v>
      </c>
      <c r="J497">
        <v>651</v>
      </c>
    </row>
    <row r="498" spans="1:10" ht="14.25" customHeight="1" x14ac:dyDescent="0.25">
      <c r="A498" s="21">
        <v>21187</v>
      </c>
      <c r="B498" s="21"/>
      <c r="C498">
        <v>1.6</v>
      </c>
      <c r="D498">
        <v>3.8</v>
      </c>
      <c r="J498">
        <v>88</v>
      </c>
    </row>
    <row r="499" spans="1:10" ht="14.25" customHeight="1" x14ac:dyDescent="0.25">
      <c r="A499" s="21">
        <v>21207</v>
      </c>
      <c r="B499" s="21"/>
      <c r="C499">
        <v>8.1</v>
      </c>
      <c r="D499">
        <v>3.7</v>
      </c>
      <c r="E499">
        <v>44</v>
      </c>
      <c r="F499">
        <v>25</v>
      </c>
      <c r="G499">
        <v>2</v>
      </c>
      <c r="H499">
        <v>25</v>
      </c>
      <c r="I499">
        <v>1</v>
      </c>
      <c r="J499">
        <v>482</v>
      </c>
    </row>
    <row r="500" spans="1:10" ht="14.25" customHeight="1" x14ac:dyDescent="0.25">
      <c r="A500" s="21">
        <v>21213</v>
      </c>
      <c r="B500" s="21"/>
      <c r="C500">
        <v>18.7</v>
      </c>
      <c r="D500">
        <v>3.7</v>
      </c>
      <c r="E500">
        <v>42</v>
      </c>
      <c r="F500">
        <v>25</v>
      </c>
      <c r="H500">
        <v>25</v>
      </c>
      <c r="I500">
        <v>0.91</v>
      </c>
      <c r="J500">
        <v>539</v>
      </c>
    </row>
    <row r="501" spans="1:10" ht="14.25" customHeight="1" x14ac:dyDescent="0.25">
      <c r="A501" s="21">
        <v>21221</v>
      </c>
      <c r="B501" s="21"/>
      <c r="C501">
        <v>10</v>
      </c>
      <c r="D501">
        <v>2.8</v>
      </c>
      <c r="E501">
        <v>21</v>
      </c>
      <c r="F501">
        <v>25</v>
      </c>
      <c r="H501">
        <v>25</v>
      </c>
      <c r="I501">
        <v>0.89</v>
      </c>
      <c r="J501">
        <v>151</v>
      </c>
    </row>
    <row r="502" spans="1:10" ht="14.25" customHeight="1" x14ac:dyDescent="0.25">
      <c r="A502" s="21">
        <v>21225</v>
      </c>
      <c r="B502" s="21"/>
      <c r="C502">
        <v>11.6</v>
      </c>
      <c r="D502">
        <v>1.3</v>
      </c>
      <c r="E502">
        <v>18</v>
      </c>
      <c r="F502">
        <v>25</v>
      </c>
      <c r="H502">
        <v>25</v>
      </c>
      <c r="I502">
        <v>0.93</v>
      </c>
      <c r="J502">
        <v>571</v>
      </c>
    </row>
    <row r="503" spans="1:10" ht="14.25" customHeight="1" x14ac:dyDescent="0.25">
      <c r="A503" s="21">
        <v>21231</v>
      </c>
      <c r="B503" s="21"/>
      <c r="C503">
        <v>8.6</v>
      </c>
      <c r="D503">
        <v>3.7</v>
      </c>
      <c r="E503">
        <v>29</v>
      </c>
      <c r="F503">
        <v>25</v>
      </c>
      <c r="H503">
        <v>25</v>
      </c>
      <c r="I503">
        <v>0.97</v>
      </c>
      <c r="J503">
        <v>371</v>
      </c>
    </row>
    <row r="504" spans="1:10" ht="14.25" customHeight="1" x14ac:dyDescent="0.25">
      <c r="A504" s="21">
        <v>21239</v>
      </c>
      <c r="B504" s="21"/>
      <c r="C504">
        <v>6.4</v>
      </c>
      <c r="D504">
        <v>12.7</v>
      </c>
      <c r="E504">
        <v>30</v>
      </c>
      <c r="F504">
        <v>25</v>
      </c>
      <c r="H504">
        <v>25</v>
      </c>
      <c r="I504">
        <v>1.21</v>
      </c>
      <c r="J504">
        <v>183</v>
      </c>
    </row>
    <row r="505" spans="1:10" ht="14.25" customHeight="1" x14ac:dyDescent="0.25">
      <c r="A505" s="21">
        <v>22001</v>
      </c>
      <c r="B505" s="21"/>
      <c r="C505">
        <v>10</v>
      </c>
      <c r="D505">
        <v>4</v>
      </c>
      <c r="E505">
        <v>13</v>
      </c>
      <c r="F505">
        <v>15</v>
      </c>
      <c r="H505">
        <v>15</v>
      </c>
      <c r="I505">
        <v>1.1499999999999999</v>
      </c>
      <c r="J505">
        <v>33</v>
      </c>
    </row>
    <row r="506" spans="1:10" ht="14.25" customHeight="1" x14ac:dyDescent="0.25">
      <c r="A506" s="21">
        <v>22005</v>
      </c>
      <c r="B506" s="21"/>
      <c r="C506">
        <v>0.3</v>
      </c>
      <c r="D506">
        <v>3.1</v>
      </c>
      <c r="E506">
        <v>14</v>
      </c>
      <c r="F506">
        <v>25</v>
      </c>
      <c r="H506">
        <v>25</v>
      </c>
      <c r="I506">
        <v>0.8</v>
      </c>
      <c r="J506">
        <v>35</v>
      </c>
    </row>
    <row r="507" spans="1:10" ht="14.25" customHeight="1" x14ac:dyDescent="0.25">
      <c r="A507" s="21">
        <v>22007</v>
      </c>
      <c r="B507" s="21"/>
      <c r="C507">
        <v>0.3</v>
      </c>
      <c r="D507">
        <v>2.8</v>
      </c>
      <c r="E507">
        <v>11</v>
      </c>
      <c r="F507">
        <v>15</v>
      </c>
      <c r="H507">
        <v>15</v>
      </c>
      <c r="I507">
        <v>1.07</v>
      </c>
      <c r="J507">
        <v>39</v>
      </c>
    </row>
    <row r="508" spans="1:10" ht="14.25" customHeight="1" x14ac:dyDescent="0.25">
      <c r="A508" s="21">
        <v>22009</v>
      </c>
      <c r="B508" s="21"/>
      <c r="C508">
        <v>6.4</v>
      </c>
      <c r="D508">
        <v>2.7</v>
      </c>
      <c r="E508">
        <v>18</v>
      </c>
      <c r="F508">
        <v>25</v>
      </c>
      <c r="H508">
        <v>25</v>
      </c>
      <c r="I508">
        <v>0.91</v>
      </c>
      <c r="J508">
        <v>55</v>
      </c>
    </row>
    <row r="509" spans="1:10" ht="14.25" customHeight="1" x14ac:dyDescent="0.25">
      <c r="A509" s="21">
        <v>22013</v>
      </c>
      <c r="B509" s="21"/>
      <c r="C509">
        <v>5.3</v>
      </c>
      <c r="D509">
        <v>5.3</v>
      </c>
      <c r="E509">
        <v>7</v>
      </c>
      <c r="F509">
        <v>21</v>
      </c>
      <c r="H509">
        <v>21</v>
      </c>
      <c r="I509">
        <v>0.91</v>
      </c>
      <c r="J509">
        <v>68</v>
      </c>
    </row>
    <row r="510" spans="1:10" ht="14.25" customHeight="1" x14ac:dyDescent="0.25">
      <c r="A510" s="21">
        <v>22017</v>
      </c>
      <c r="B510" s="21"/>
      <c r="C510">
        <v>9.3000000000000007</v>
      </c>
      <c r="D510">
        <v>3.1</v>
      </c>
      <c r="E510">
        <v>11</v>
      </c>
      <c r="F510">
        <v>25</v>
      </c>
      <c r="H510">
        <v>25</v>
      </c>
      <c r="I510">
        <v>0.89</v>
      </c>
      <c r="J510">
        <v>736</v>
      </c>
    </row>
    <row r="511" spans="1:10" ht="14.25" customHeight="1" x14ac:dyDescent="0.25">
      <c r="A511" s="21">
        <v>22019</v>
      </c>
      <c r="B511" s="21"/>
      <c r="C511">
        <v>4.8</v>
      </c>
      <c r="D511">
        <v>0</v>
      </c>
      <c r="E511">
        <v>11</v>
      </c>
      <c r="F511">
        <v>19</v>
      </c>
      <c r="H511">
        <v>19</v>
      </c>
      <c r="I511">
        <v>1.07</v>
      </c>
      <c r="J511">
        <v>135</v>
      </c>
    </row>
    <row r="512" spans="1:10" ht="14.25" customHeight="1" x14ac:dyDescent="0.25">
      <c r="A512" s="21">
        <v>22029</v>
      </c>
      <c r="B512" s="21"/>
      <c r="C512">
        <v>10.8</v>
      </c>
      <c r="D512">
        <v>3.1</v>
      </c>
      <c r="E512">
        <v>24</v>
      </c>
      <c r="F512">
        <v>25</v>
      </c>
      <c r="G512">
        <v>5</v>
      </c>
      <c r="H512">
        <v>25</v>
      </c>
      <c r="I512">
        <v>0.89</v>
      </c>
      <c r="J512">
        <v>537</v>
      </c>
    </row>
    <row r="513" spans="1:10" ht="14.25" customHeight="1" x14ac:dyDescent="0.25">
      <c r="A513" s="21">
        <v>22049</v>
      </c>
      <c r="B513" s="21"/>
      <c r="C513">
        <v>3</v>
      </c>
      <c r="D513">
        <v>0</v>
      </c>
      <c r="E513">
        <v>23</v>
      </c>
      <c r="F513">
        <v>25</v>
      </c>
      <c r="H513">
        <v>25</v>
      </c>
      <c r="I513">
        <v>0.91</v>
      </c>
      <c r="J513">
        <v>228</v>
      </c>
    </row>
    <row r="514" spans="1:10" ht="14.25" customHeight="1" x14ac:dyDescent="0.25">
      <c r="A514" s="21">
        <v>22057</v>
      </c>
      <c r="B514" s="21"/>
      <c r="C514">
        <v>9.5</v>
      </c>
      <c r="D514">
        <v>3.1</v>
      </c>
      <c r="E514">
        <v>44</v>
      </c>
      <c r="F514">
        <v>25</v>
      </c>
      <c r="G514">
        <v>3</v>
      </c>
      <c r="H514">
        <v>25</v>
      </c>
      <c r="I514">
        <v>1.21</v>
      </c>
      <c r="J514" s="1">
        <v>1015</v>
      </c>
    </row>
    <row r="515" spans="1:10" ht="14.25" customHeight="1" x14ac:dyDescent="0.25">
      <c r="A515" s="21">
        <v>22057</v>
      </c>
      <c r="B515" s="21"/>
      <c r="C515">
        <v>6.2</v>
      </c>
      <c r="D515">
        <v>0</v>
      </c>
      <c r="E515">
        <v>27</v>
      </c>
      <c r="F515">
        <v>23</v>
      </c>
      <c r="G515">
        <v>2</v>
      </c>
      <c r="H515">
        <v>23</v>
      </c>
      <c r="I515">
        <v>0.93</v>
      </c>
      <c r="J515">
        <v>471</v>
      </c>
    </row>
    <row r="516" spans="1:10" ht="14.25" customHeight="1" x14ac:dyDescent="0.25">
      <c r="A516" s="21">
        <v>22059</v>
      </c>
      <c r="B516" s="21"/>
      <c r="C516">
        <v>8.4</v>
      </c>
      <c r="D516">
        <v>3.6</v>
      </c>
      <c r="E516">
        <v>20</v>
      </c>
      <c r="F516">
        <v>25</v>
      </c>
      <c r="H516">
        <v>25</v>
      </c>
      <c r="I516">
        <v>1</v>
      </c>
      <c r="J516">
        <v>539</v>
      </c>
    </row>
    <row r="517" spans="1:10" ht="14.25" customHeight="1" x14ac:dyDescent="0.25">
      <c r="A517" s="21">
        <v>22065</v>
      </c>
      <c r="B517" s="21"/>
      <c r="C517">
        <v>2.8</v>
      </c>
      <c r="D517">
        <v>6</v>
      </c>
      <c r="E517">
        <v>11</v>
      </c>
      <c r="F517">
        <v>25</v>
      </c>
      <c r="H517">
        <v>25</v>
      </c>
      <c r="I517">
        <v>0.88</v>
      </c>
      <c r="J517">
        <v>173</v>
      </c>
    </row>
    <row r="518" spans="1:10" ht="14.25" customHeight="1" x14ac:dyDescent="0.25">
      <c r="A518" s="21">
        <v>22077</v>
      </c>
      <c r="B518" s="21"/>
      <c r="C518">
        <v>3.9</v>
      </c>
      <c r="D518">
        <v>3</v>
      </c>
      <c r="E518">
        <v>51</v>
      </c>
      <c r="F518">
        <v>25</v>
      </c>
      <c r="H518">
        <v>25</v>
      </c>
      <c r="I518">
        <v>1.1100000000000001</v>
      </c>
      <c r="J518">
        <v>196</v>
      </c>
    </row>
    <row r="519" spans="1:10" ht="14.25" customHeight="1" x14ac:dyDescent="0.25">
      <c r="A519" s="21">
        <v>22081</v>
      </c>
      <c r="B519" s="21"/>
      <c r="C519">
        <v>11.6</v>
      </c>
      <c r="D519">
        <v>3.7</v>
      </c>
      <c r="E519">
        <v>19</v>
      </c>
      <c r="F519">
        <v>25</v>
      </c>
      <c r="H519">
        <v>25</v>
      </c>
      <c r="I519">
        <v>1.04</v>
      </c>
      <c r="J519">
        <v>646</v>
      </c>
    </row>
    <row r="520" spans="1:10" ht="14.25" customHeight="1" x14ac:dyDescent="0.25">
      <c r="A520" s="21">
        <v>22083</v>
      </c>
      <c r="B520" s="21"/>
      <c r="C520">
        <v>4.5999999999999996</v>
      </c>
      <c r="D520">
        <v>3.6</v>
      </c>
      <c r="E520">
        <v>18</v>
      </c>
      <c r="F520">
        <v>25</v>
      </c>
      <c r="H520">
        <v>25</v>
      </c>
      <c r="I520">
        <v>0.89</v>
      </c>
      <c r="J520">
        <v>240</v>
      </c>
    </row>
    <row r="521" spans="1:10" ht="14.25" customHeight="1" x14ac:dyDescent="0.25">
      <c r="A521" s="21">
        <v>22091</v>
      </c>
      <c r="B521" s="21"/>
      <c r="C521">
        <v>4.3</v>
      </c>
      <c r="D521">
        <v>0.1</v>
      </c>
      <c r="E521">
        <v>17</v>
      </c>
      <c r="F521">
        <v>25</v>
      </c>
      <c r="H521">
        <v>25</v>
      </c>
      <c r="I521">
        <v>0.88</v>
      </c>
      <c r="J521">
        <v>66</v>
      </c>
    </row>
    <row r="522" spans="1:10" ht="14.25" customHeight="1" x14ac:dyDescent="0.25">
      <c r="A522" s="21">
        <v>22093</v>
      </c>
      <c r="B522" s="21"/>
      <c r="C522">
        <v>8.1999999999999993</v>
      </c>
      <c r="D522">
        <v>3.7</v>
      </c>
      <c r="E522">
        <v>41</v>
      </c>
      <c r="F522">
        <v>25</v>
      </c>
      <c r="H522">
        <v>25</v>
      </c>
      <c r="I522">
        <v>1.0900000000000001</v>
      </c>
      <c r="J522">
        <v>365</v>
      </c>
    </row>
    <row r="523" spans="1:10" ht="14.25" customHeight="1" x14ac:dyDescent="0.25">
      <c r="A523" s="21">
        <v>22099</v>
      </c>
      <c r="B523" s="21"/>
      <c r="C523">
        <v>13.3</v>
      </c>
      <c r="D523">
        <v>3.4</v>
      </c>
      <c r="E523">
        <v>35</v>
      </c>
      <c r="F523">
        <v>25</v>
      </c>
      <c r="H523">
        <v>25</v>
      </c>
      <c r="I523">
        <v>1.23</v>
      </c>
      <c r="J523">
        <v>232</v>
      </c>
    </row>
    <row r="524" spans="1:10" ht="14.25" customHeight="1" x14ac:dyDescent="0.25">
      <c r="A524" s="21">
        <v>22101</v>
      </c>
      <c r="B524" s="21"/>
      <c r="C524">
        <v>9.4</v>
      </c>
      <c r="D524">
        <v>0</v>
      </c>
      <c r="E524">
        <v>40</v>
      </c>
      <c r="F524">
        <v>25</v>
      </c>
      <c r="G524">
        <v>5</v>
      </c>
      <c r="H524">
        <v>22</v>
      </c>
      <c r="I524">
        <v>1.27</v>
      </c>
      <c r="J524">
        <v>443</v>
      </c>
    </row>
    <row r="525" spans="1:10" ht="14.25" customHeight="1" x14ac:dyDescent="0.25">
      <c r="A525" s="21">
        <v>22105</v>
      </c>
      <c r="B525" s="21"/>
      <c r="C525">
        <v>4.7</v>
      </c>
      <c r="D525">
        <v>3.5</v>
      </c>
      <c r="E525">
        <v>33</v>
      </c>
      <c r="F525">
        <v>24</v>
      </c>
      <c r="G525">
        <v>4</v>
      </c>
      <c r="H525">
        <v>24</v>
      </c>
      <c r="I525">
        <v>1.04</v>
      </c>
      <c r="J525">
        <v>473</v>
      </c>
    </row>
    <row r="526" spans="1:10" ht="14.25" customHeight="1" x14ac:dyDescent="0.25">
      <c r="A526" s="21">
        <v>22105</v>
      </c>
      <c r="B526" s="21"/>
      <c r="C526">
        <v>15.1</v>
      </c>
      <c r="D526">
        <v>3.2</v>
      </c>
      <c r="E526">
        <v>32</v>
      </c>
      <c r="F526">
        <v>25</v>
      </c>
      <c r="H526">
        <v>25</v>
      </c>
      <c r="I526">
        <v>0.87</v>
      </c>
      <c r="J526">
        <v>128</v>
      </c>
    </row>
    <row r="527" spans="1:10" ht="14.25" customHeight="1" x14ac:dyDescent="0.25">
      <c r="A527" s="21">
        <v>22111</v>
      </c>
      <c r="B527" s="21"/>
      <c r="C527">
        <v>5.2</v>
      </c>
      <c r="D527">
        <v>3.7</v>
      </c>
      <c r="E527">
        <v>5</v>
      </c>
      <c r="F527">
        <v>15</v>
      </c>
      <c r="H527">
        <v>15</v>
      </c>
      <c r="I527">
        <v>0.94</v>
      </c>
      <c r="J527">
        <v>135</v>
      </c>
    </row>
    <row r="528" spans="1:10" ht="14.25" customHeight="1" x14ac:dyDescent="0.25">
      <c r="A528" s="21">
        <v>22111</v>
      </c>
      <c r="B528" s="21"/>
      <c r="C528">
        <v>4.5999999999999996</v>
      </c>
      <c r="D528">
        <v>3.3</v>
      </c>
      <c r="E528">
        <v>18</v>
      </c>
      <c r="F528">
        <v>20</v>
      </c>
      <c r="H528">
        <v>20</v>
      </c>
      <c r="I528">
        <v>0.93</v>
      </c>
      <c r="J528">
        <v>235</v>
      </c>
    </row>
    <row r="529" spans="1:10" ht="14.25" customHeight="1" x14ac:dyDescent="0.25">
      <c r="A529" s="21">
        <v>22113</v>
      </c>
      <c r="B529" s="21"/>
      <c r="C529">
        <v>7.8</v>
      </c>
      <c r="D529">
        <v>3.4</v>
      </c>
      <c r="E529">
        <v>15</v>
      </c>
      <c r="F529">
        <v>25</v>
      </c>
      <c r="H529">
        <v>25</v>
      </c>
      <c r="I529">
        <v>1.1499999999999999</v>
      </c>
      <c r="J529">
        <v>220</v>
      </c>
    </row>
    <row r="530" spans="1:10" ht="14.25" customHeight="1" x14ac:dyDescent="0.25">
      <c r="A530" s="21">
        <v>22117</v>
      </c>
      <c r="B530" s="21"/>
      <c r="C530">
        <v>4.4000000000000004</v>
      </c>
      <c r="D530">
        <v>0</v>
      </c>
      <c r="E530">
        <v>45</v>
      </c>
      <c r="F530">
        <v>25</v>
      </c>
      <c r="G530">
        <v>5</v>
      </c>
      <c r="H530">
        <v>25</v>
      </c>
      <c r="I530">
        <v>1.19</v>
      </c>
      <c r="J530">
        <v>319</v>
      </c>
    </row>
    <row r="531" spans="1:10" ht="14.25" customHeight="1" x14ac:dyDescent="0.25">
      <c r="A531" s="21">
        <v>22125</v>
      </c>
      <c r="B531" s="21"/>
      <c r="C531">
        <v>1.8</v>
      </c>
      <c r="D531">
        <v>3</v>
      </c>
      <c r="E531">
        <v>22</v>
      </c>
      <c r="F531">
        <v>25</v>
      </c>
      <c r="H531">
        <v>25</v>
      </c>
      <c r="I531">
        <v>1.24</v>
      </c>
      <c r="J531">
        <v>75</v>
      </c>
    </row>
    <row r="532" spans="1:10" ht="14.25" customHeight="1" x14ac:dyDescent="0.25">
      <c r="A532" s="21">
        <v>23003</v>
      </c>
      <c r="B532" s="21"/>
      <c r="C532">
        <v>17.3</v>
      </c>
      <c r="D532">
        <v>3.5</v>
      </c>
      <c r="E532">
        <v>66</v>
      </c>
      <c r="F532">
        <v>25</v>
      </c>
      <c r="H532">
        <v>25</v>
      </c>
      <c r="I532">
        <v>1.06</v>
      </c>
      <c r="J532" s="1">
        <v>1101</v>
      </c>
    </row>
    <row r="533" spans="1:10" ht="14.25" customHeight="1" x14ac:dyDescent="0.25">
      <c r="A533" s="21">
        <v>23005</v>
      </c>
      <c r="B533" s="21"/>
      <c r="C533">
        <v>10</v>
      </c>
      <c r="D533">
        <v>3.1</v>
      </c>
      <c r="E533">
        <v>48</v>
      </c>
      <c r="F533">
        <v>25</v>
      </c>
      <c r="H533">
        <v>25</v>
      </c>
      <c r="I533">
        <v>1.23</v>
      </c>
      <c r="J533">
        <v>645</v>
      </c>
    </row>
    <row r="534" spans="1:10" ht="14.25" customHeight="1" x14ac:dyDescent="0.25">
      <c r="A534" s="21">
        <v>23009</v>
      </c>
      <c r="B534" s="21"/>
      <c r="C534">
        <v>8.6999999999999993</v>
      </c>
      <c r="D534">
        <v>3.4</v>
      </c>
      <c r="E534">
        <v>39</v>
      </c>
      <c r="F534">
        <v>25</v>
      </c>
      <c r="H534">
        <v>25</v>
      </c>
      <c r="I534">
        <v>0.93</v>
      </c>
      <c r="J534">
        <v>390</v>
      </c>
    </row>
    <row r="535" spans="1:10" ht="14.25" customHeight="1" x14ac:dyDescent="0.25">
      <c r="A535" s="21">
        <v>23009</v>
      </c>
      <c r="B535" s="21"/>
      <c r="C535">
        <v>9.8000000000000007</v>
      </c>
      <c r="D535">
        <v>3.3</v>
      </c>
      <c r="E535">
        <v>69</v>
      </c>
      <c r="F535">
        <v>25</v>
      </c>
      <c r="H535">
        <v>25</v>
      </c>
      <c r="I535">
        <v>1.1599999999999999</v>
      </c>
      <c r="J535">
        <v>796</v>
      </c>
    </row>
    <row r="536" spans="1:10" ht="14.25" customHeight="1" x14ac:dyDescent="0.25">
      <c r="A536" s="21">
        <v>23015</v>
      </c>
      <c r="B536" s="21"/>
      <c r="C536">
        <v>18.899999999999999</v>
      </c>
      <c r="D536">
        <v>3</v>
      </c>
      <c r="I536">
        <v>1.19</v>
      </c>
      <c r="J536" s="1">
        <v>1520</v>
      </c>
    </row>
    <row r="537" spans="1:10" ht="14.25" customHeight="1" x14ac:dyDescent="0.25">
      <c r="A537" s="21">
        <v>23017</v>
      </c>
      <c r="B537" s="21"/>
      <c r="C537">
        <v>12.1</v>
      </c>
      <c r="D537">
        <v>2</v>
      </c>
      <c r="E537">
        <v>78</v>
      </c>
      <c r="F537">
        <v>25</v>
      </c>
      <c r="G537">
        <v>4</v>
      </c>
      <c r="H537">
        <v>25</v>
      </c>
      <c r="I537">
        <v>1.31</v>
      </c>
      <c r="J537" s="1">
        <v>1772</v>
      </c>
    </row>
    <row r="538" spans="1:10" ht="14.25" customHeight="1" x14ac:dyDescent="0.25">
      <c r="A538" s="21">
        <v>23017</v>
      </c>
      <c r="B538" s="21"/>
      <c r="C538">
        <v>9.6999999999999993</v>
      </c>
      <c r="D538">
        <v>2.4</v>
      </c>
      <c r="E538">
        <v>28</v>
      </c>
      <c r="F538">
        <v>25</v>
      </c>
      <c r="H538">
        <v>25</v>
      </c>
      <c r="I538">
        <v>1.18</v>
      </c>
      <c r="J538">
        <v>816</v>
      </c>
    </row>
    <row r="539" spans="1:10" ht="14.25" customHeight="1" x14ac:dyDescent="0.25">
      <c r="A539" s="21">
        <v>23019</v>
      </c>
      <c r="B539" s="21"/>
      <c r="C539">
        <v>6.7</v>
      </c>
      <c r="D539">
        <v>3.4</v>
      </c>
      <c r="E539">
        <v>37</v>
      </c>
      <c r="F539">
        <v>25</v>
      </c>
      <c r="H539">
        <v>25</v>
      </c>
      <c r="I539">
        <v>1.1299999999999999</v>
      </c>
      <c r="J539">
        <v>570</v>
      </c>
    </row>
    <row r="540" spans="1:10" ht="14.25" customHeight="1" x14ac:dyDescent="0.25">
      <c r="A540" s="21">
        <v>23019</v>
      </c>
      <c r="B540" s="21"/>
      <c r="C540">
        <v>3.8</v>
      </c>
      <c r="D540">
        <v>3</v>
      </c>
      <c r="E540">
        <v>30</v>
      </c>
      <c r="F540">
        <v>25</v>
      </c>
      <c r="H540">
        <v>25</v>
      </c>
      <c r="I540">
        <v>1.04</v>
      </c>
      <c r="J540">
        <v>268</v>
      </c>
    </row>
    <row r="541" spans="1:10" ht="14.25" customHeight="1" x14ac:dyDescent="0.25">
      <c r="A541" s="21">
        <v>23021</v>
      </c>
      <c r="B541" s="21"/>
      <c r="C541">
        <v>16.8</v>
      </c>
      <c r="D541">
        <v>3</v>
      </c>
      <c r="E541">
        <v>16</v>
      </c>
      <c r="F541">
        <v>25</v>
      </c>
      <c r="H541">
        <v>25</v>
      </c>
      <c r="I541">
        <v>1</v>
      </c>
      <c r="J541">
        <v>120</v>
      </c>
    </row>
    <row r="542" spans="1:10" ht="14.25" customHeight="1" x14ac:dyDescent="0.25">
      <c r="A542" s="21">
        <v>23021</v>
      </c>
      <c r="B542" s="21"/>
      <c r="C542">
        <v>11.6</v>
      </c>
      <c r="D542">
        <v>3.2</v>
      </c>
      <c r="E542">
        <v>69</v>
      </c>
      <c r="F542">
        <v>25</v>
      </c>
      <c r="H542">
        <v>25</v>
      </c>
      <c r="I542">
        <v>1.04</v>
      </c>
      <c r="J542" s="1">
        <v>1160</v>
      </c>
    </row>
    <row r="543" spans="1:10" ht="14.25" customHeight="1" x14ac:dyDescent="0.25">
      <c r="A543" s="21">
        <v>23025</v>
      </c>
      <c r="B543" s="21"/>
      <c r="C543">
        <v>9.8000000000000007</v>
      </c>
      <c r="D543">
        <v>5.2</v>
      </c>
      <c r="E543">
        <v>42</v>
      </c>
      <c r="F543">
        <v>25</v>
      </c>
      <c r="H543">
        <v>25</v>
      </c>
      <c r="I543">
        <v>1.1100000000000001</v>
      </c>
      <c r="J543">
        <v>629</v>
      </c>
    </row>
    <row r="544" spans="1:10" ht="14.25" customHeight="1" x14ac:dyDescent="0.25">
      <c r="A544" s="21">
        <v>23025</v>
      </c>
      <c r="B544" s="21"/>
      <c r="C544">
        <v>12.7</v>
      </c>
      <c r="D544">
        <v>3.4</v>
      </c>
      <c r="E544">
        <v>114</v>
      </c>
      <c r="F544">
        <v>25</v>
      </c>
      <c r="G544">
        <v>4</v>
      </c>
      <c r="H544">
        <v>25</v>
      </c>
      <c r="I544">
        <v>1.2</v>
      </c>
      <c r="J544" s="1">
        <v>1245</v>
      </c>
    </row>
    <row r="545" spans="1:10" ht="14.25" customHeight="1" x14ac:dyDescent="0.25">
      <c r="A545" s="21">
        <v>23027</v>
      </c>
      <c r="B545" s="21"/>
      <c r="C545">
        <v>17.899999999999999</v>
      </c>
      <c r="D545">
        <v>3</v>
      </c>
      <c r="E545">
        <v>104</v>
      </c>
      <c r="F545">
        <v>25</v>
      </c>
      <c r="G545">
        <v>4</v>
      </c>
      <c r="H545">
        <v>25</v>
      </c>
      <c r="I545">
        <v>1.29</v>
      </c>
      <c r="J545" s="1">
        <v>1249</v>
      </c>
    </row>
    <row r="546" spans="1:10" ht="14.25" customHeight="1" x14ac:dyDescent="0.25">
      <c r="A546" s="21">
        <v>23029</v>
      </c>
      <c r="B546" s="21"/>
      <c r="C546">
        <v>9</v>
      </c>
      <c r="D546">
        <v>3.2</v>
      </c>
      <c r="E546">
        <v>55</v>
      </c>
      <c r="F546">
        <v>25</v>
      </c>
      <c r="H546">
        <v>25</v>
      </c>
      <c r="I546">
        <v>1.2</v>
      </c>
      <c r="J546">
        <v>831</v>
      </c>
    </row>
    <row r="547" spans="1:10" ht="14.25" customHeight="1" x14ac:dyDescent="0.25">
      <c r="A547" s="21">
        <v>23029</v>
      </c>
      <c r="B547" s="21"/>
      <c r="C547">
        <v>8.8000000000000007</v>
      </c>
      <c r="D547">
        <v>3.2</v>
      </c>
      <c r="E547">
        <v>41</v>
      </c>
      <c r="F547">
        <v>25</v>
      </c>
      <c r="H547">
        <v>25</v>
      </c>
      <c r="I547">
        <v>1.04</v>
      </c>
      <c r="J547">
        <v>497</v>
      </c>
    </row>
    <row r="548" spans="1:10" ht="14.25" customHeight="1" x14ac:dyDescent="0.25">
      <c r="A548" s="21">
        <v>25003</v>
      </c>
      <c r="B548" s="21"/>
      <c r="C548">
        <v>7.9</v>
      </c>
      <c r="D548">
        <v>3.2</v>
      </c>
      <c r="E548">
        <v>82</v>
      </c>
      <c r="F548">
        <v>24</v>
      </c>
      <c r="G548">
        <v>4</v>
      </c>
      <c r="H548">
        <v>24</v>
      </c>
      <c r="I548">
        <v>1.32</v>
      </c>
      <c r="J548">
        <v>836</v>
      </c>
    </row>
    <row r="549" spans="1:10" ht="14.25" customHeight="1" x14ac:dyDescent="0.25">
      <c r="A549" s="21">
        <v>25007</v>
      </c>
      <c r="B549" s="21"/>
      <c r="C549">
        <v>13.7</v>
      </c>
      <c r="D549">
        <v>3.2</v>
      </c>
      <c r="E549">
        <v>81</v>
      </c>
      <c r="F549">
        <v>25</v>
      </c>
      <c r="H549">
        <v>25</v>
      </c>
      <c r="I549">
        <v>1.23</v>
      </c>
      <c r="J549">
        <v>981</v>
      </c>
    </row>
    <row r="550" spans="1:10" ht="14.25" customHeight="1" x14ac:dyDescent="0.25">
      <c r="A550" s="21">
        <v>25027</v>
      </c>
      <c r="B550" s="21"/>
      <c r="C550">
        <v>9.1999999999999993</v>
      </c>
      <c r="D550">
        <v>2.4</v>
      </c>
      <c r="E550">
        <v>41</v>
      </c>
      <c r="F550">
        <v>25</v>
      </c>
      <c r="H550">
        <v>25</v>
      </c>
      <c r="I550">
        <v>1.06</v>
      </c>
      <c r="J550">
        <v>496</v>
      </c>
    </row>
    <row r="551" spans="1:10" ht="14.25" customHeight="1" x14ac:dyDescent="0.25">
      <c r="A551" s="21">
        <v>26003</v>
      </c>
      <c r="B551" s="21"/>
      <c r="C551">
        <v>1.2</v>
      </c>
      <c r="D551">
        <v>46.7</v>
      </c>
      <c r="E551">
        <v>13</v>
      </c>
      <c r="F551">
        <v>11</v>
      </c>
      <c r="H551">
        <v>11</v>
      </c>
      <c r="I551">
        <v>0.97</v>
      </c>
      <c r="J551">
        <v>86</v>
      </c>
    </row>
    <row r="552" spans="1:10" ht="14.25" customHeight="1" x14ac:dyDescent="0.25">
      <c r="A552" s="21">
        <v>26005</v>
      </c>
      <c r="B552" s="21"/>
      <c r="C552">
        <v>6.2</v>
      </c>
      <c r="D552">
        <v>3.4</v>
      </c>
      <c r="E552">
        <v>56</v>
      </c>
      <c r="F552">
        <v>25</v>
      </c>
      <c r="H552">
        <v>25</v>
      </c>
      <c r="I552">
        <v>1.19</v>
      </c>
      <c r="J552">
        <v>672</v>
      </c>
    </row>
    <row r="553" spans="1:10" ht="14.25" customHeight="1" x14ac:dyDescent="0.25">
      <c r="A553" s="21">
        <v>26011</v>
      </c>
      <c r="B553" s="21"/>
      <c r="C553">
        <v>4.0999999999999996</v>
      </c>
      <c r="D553">
        <v>2.4</v>
      </c>
      <c r="E553">
        <v>28</v>
      </c>
      <c r="F553">
        <v>25</v>
      </c>
      <c r="G553">
        <v>5</v>
      </c>
      <c r="H553">
        <v>25</v>
      </c>
      <c r="I553">
        <v>1.1100000000000001</v>
      </c>
      <c r="J553">
        <v>595</v>
      </c>
    </row>
    <row r="554" spans="1:10" ht="14.25" customHeight="1" x14ac:dyDescent="0.25">
      <c r="A554" s="21">
        <v>26013</v>
      </c>
      <c r="B554" s="21"/>
      <c r="C554">
        <v>4.5999999999999996</v>
      </c>
      <c r="D554">
        <v>4.4000000000000004</v>
      </c>
      <c r="E554">
        <v>22</v>
      </c>
      <c r="F554">
        <v>24</v>
      </c>
      <c r="H554">
        <v>15</v>
      </c>
      <c r="I554">
        <v>1.06</v>
      </c>
      <c r="J554">
        <v>331</v>
      </c>
    </row>
    <row r="555" spans="1:10" ht="14.25" customHeight="1" x14ac:dyDescent="0.25">
      <c r="A555" s="21">
        <v>26015</v>
      </c>
      <c r="B555" s="21"/>
      <c r="C555">
        <v>13.1</v>
      </c>
      <c r="D555">
        <v>3.3</v>
      </c>
      <c r="E555">
        <v>108</v>
      </c>
      <c r="F555">
        <v>25</v>
      </c>
      <c r="G555">
        <v>6</v>
      </c>
      <c r="H555">
        <v>25</v>
      </c>
      <c r="I555">
        <v>1.37</v>
      </c>
      <c r="J555" s="1">
        <v>1878</v>
      </c>
    </row>
    <row r="556" spans="1:10" ht="14.25" customHeight="1" x14ac:dyDescent="0.25">
      <c r="A556" s="21">
        <v>26019</v>
      </c>
      <c r="B556" s="21"/>
      <c r="C556">
        <v>0.1</v>
      </c>
      <c r="D556">
        <v>5</v>
      </c>
      <c r="E556">
        <v>20</v>
      </c>
      <c r="F556">
        <v>8</v>
      </c>
      <c r="H556">
        <v>8</v>
      </c>
      <c r="I556">
        <v>0.79</v>
      </c>
      <c r="J556">
        <v>1</v>
      </c>
    </row>
    <row r="557" spans="1:10" ht="14.25" customHeight="1" x14ac:dyDescent="0.25">
      <c r="A557" s="21">
        <v>26027</v>
      </c>
      <c r="B557" s="21"/>
      <c r="C557">
        <v>2.5</v>
      </c>
      <c r="D557">
        <v>2.1</v>
      </c>
      <c r="E557">
        <v>38</v>
      </c>
      <c r="F557">
        <v>25</v>
      </c>
      <c r="H557">
        <v>25</v>
      </c>
      <c r="I557">
        <v>1.29</v>
      </c>
      <c r="J557">
        <v>303</v>
      </c>
    </row>
    <row r="558" spans="1:10" ht="14.25" customHeight="1" x14ac:dyDescent="0.25">
      <c r="A558" s="21">
        <v>26029</v>
      </c>
      <c r="B558" s="21"/>
      <c r="C558">
        <v>6.2</v>
      </c>
      <c r="D558">
        <v>2.1</v>
      </c>
      <c r="E558">
        <v>59</v>
      </c>
      <c r="F558">
        <v>25</v>
      </c>
      <c r="H558">
        <v>25</v>
      </c>
      <c r="I558">
        <v>1.66</v>
      </c>
      <c r="J558" s="1">
        <v>1096</v>
      </c>
    </row>
    <row r="559" spans="1:10" ht="14.25" customHeight="1" x14ac:dyDescent="0.25">
      <c r="A559" s="21">
        <v>26031</v>
      </c>
      <c r="B559" s="21"/>
      <c r="C559">
        <v>8.4</v>
      </c>
      <c r="D559">
        <v>2.2999999999999998</v>
      </c>
      <c r="J559" s="1">
        <v>1384</v>
      </c>
    </row>
    <row r="560" spans="1:10" ht="14.25" customHeight="1" x14ac:dyDescent="0.25">
      <c r="A560" s="21">
        <v>26037</v>
      </c>
      <c r="B560" s="21"/>
      <c r="C560">
        <v>7.1</v>
      </c>
      <c r="D560">
        <v>3.3</v>
      </c>
      <c r="E560">
        <v>35</v>
      </c>
      <c r="F560">
        <v>25</v>
      </c>
      <c r="G560">
        <v>2</v>
      </c>
      <c r="H560">
        <v>25</v>
      </c>
      <c r="I560">
        <v>1.17</v>
      </c>
      <c r="J560">
        <v>787</v>
      </c>
    </row>
    <row r="561" spans="1:10" ht="14.25" customHeight="1" x14ac:dyDescent="0.25">
      <c r="A561" s="21">
        <v>26041</v>
      </c>
      <c r="B561" s="21"/>
      <c r="C561">
        <v>9.6999999999999993</v>
      </c>
      <c r="D561">
        <v>1.6</v>
      </c>
      <c r="E561">
        <v>98</v>
      </c>
      <c r="F561">
        <v>25</v>
      </c>
      <c r="G561">
        <v>9</v>
      </c>
      <c r="H561">
        <v>25</v>
      </c>
      <c r="I561">
        <v>1.27</v>
      </c>
      <c r="J561" s="1">
        <v>2264</v>
      </c>
    </row>
    <row r="562" spans="1:10" ht="14.25" customHeight="1" x14ac:dyDescent="0.25">
      <c r="A562" s="21">
        <v>26045</v>
      </c>
      <c r="B562" s="21"/>
      <c r="C562">
        <v>5.2</v>
      </c>
      <c r="D562">
        <v>1.6</v>
      </c>
      <c r="E562">
        <v>56</v>
      </c>
      <c r="F562">
        <v>25</v>
      </c>
      <c r="H562">
        <v>25</v>
      </c>
      <c r="I562">
        <v>1.07</v>
      </c>
      <c r="J562">
        <v>725</v>
      </c>
    </row>
    <row r="563" spans="1:10" ht="14.25" customHeight="1" x14ac:dyDescent="0.25">
      <c r="A563" s="21">
        <v>26045</v>
      </c>
      <c r="B563" s="21"/>
      <c r="C563">
        <v>4.3</v>
      </c>
      <c r="D563">
        <v>2.1</v>
      </c>
      <c r="E563">
        <v>42</v>
      </c>
      <c r="F563">
        <v>20</v>
      </c>
      <c r="H563">
        <v>20</v>
      </c>
      <c r="I563">
        <v>1.18</v>
      </c>
      <c r="J563">
        <v>367</v>
      </c>
    </row>
    <row r="564" spans="1:10" ht="14.25" customHeight="1" x14ac:dyDescent="0.25">
      <c r="A564" s="21">
        <v>26051</v>
      </c>
      <c r="B564" s="21"/>
      <c r="C564">
        <v>3.1</v>
      </c>
      <c r="D564">
        <v>2.5</v>
      </c>
      <c r="E564">
        <v>43</v>
      </c>
      <c r="F564">
        <v>25</v>
      </c>
      <c r="H564">
        <v>25</v>
      </c>
      <c r="I564">
        <v>1.1399999999999999</v>
      </c>
      <c r="J564">
        <v>442</v>
      </c>
    </row>
    <row r="565" spans="1:10" ht="14.25" customHeight="1" x14ac:dyDescent="0.25">
      <c r="A565" s="21">
        <v>26053</v>
      </c>
      <c r="B565" s="21"/>
      <c r="C565">
        <v>9</v>
      </c>
      <c r="D565">
        <v>3.5</v>
      </c>
      <c r="E565">
        <v>71</v>
      </c>
      <c r="F565">
        <v>25</v>
      </c>
      <c r="G565">
        <v>5</v>
      </c>
      <c r="H565">
        <v>25</v>
      </c>
      <c r="I565">
        <v>1.3</v>
      </c>
      <c r="J565">
        <v>868</v>
      </c>
    </row>
    <row r="566" spans="1:10" ht="14.25" customHeight="1" x14ac:dyDescent="0.25">
      <c r="A566" s="21">
        <v>26061</v>
      </c>
      <c r="B566" s="21"/>
      <c r="C566">
        <v>8.9</v>
      </c>
      <c r="D566">
        <v>2.8</v>
      </c>
      <c r="E566">
        <v>63</v>
      </c>
      <c r="F566">
        <v>25</v>
      </c>
      <c r="G566">
        <v>5</v>
      </c>
      <c r="H566">
        <v>25</v>
      </c>
      <c r="I566">
        <v>1.41</v>
      </c>
      <c r="J566" s="1">
        <v>1125</v>
      </c>
    </row>
    <row r="567" spans="1:10" ht="14.25" customHeight="1" x14ac:dyDescent="0.25">
      <c r="A567" s="21">
        <v>26063</v>
      </c>
      <c r="B567" s="21"/>
      <c r="C567">
        <v>1.2</v>
      </c>
      <c r="D567">
        <v>2.7</v>
      </c>
      <c r="E567">
        <v>11</v>
      </c>
      <c r="F567">
        <v>15</v>
      </c>
      <c r="H567">
        <v>15</v>
      </c>
      <c r="I567">
        <v>1.2</v>
      </c>
      <c r="J567">
        <v>96</v>
      </c>
    </row>
    <row r="568" spans="1:10" ht="14.25" customHeight="1" x14ac:dyDescent="0.25">
      <c r="A568" s="21">
        <v>26063</v>
      </c>
      <c r="B568" s="21"/>
      <c r="C568">
        <v>5.9</v>
      </c>
      <c r="D568">
        <v>2.7</v>
      </c>
      <c r="E568">
        <v>38</v>
      </c>
      <c r="F568">
        <v>25</v>
      </c>
      <c r="H568">
        <v>25</v>
      </c>
      <c r="I568">
        <v>1.27</v>
      </c>
      <c r="J568">
        <v>305</v>
      </c>
    </row>
    <row r="569" spans="1:10" ht="14.25" customHeight="1" x14ac:dyDescent="0.25">
      <c r="A569" s="21">
        <v>26067</v>
      </c>
      <c r="B569" s="21"/>
      <c r="C569">
        <v>6.3</v>
      </c>
      <c r="D569">
        <v>3</v>
      </c>
      <c r="E569">
        <v>50</v>
      </c>
      <c r="F569">
        <v>22</v>
      </c>
      <c r="G569">
        <v>2</v>
      </c>
      <c r="H569">
        <v>22</v>
      </c>
      <c r="I569">
        <v>1.23</v>
      </c>
      <c r="J569">
        <v>779</v>
      </c>
    </row>
    <row r="570" spans="1:10" ht="14.25" customHeight="1" x14ac:dyDescent="0.25">
      <c r="A570" s="21">
        <v>26071</v>
      </c>
      <c r="B570" s="21"/>
      <c r="C570">
        <v>6.2</v>
      </c>
      <c r="D570">
        <v>3.4</v>
      </c>
      <c r="E570">
        <v>47</v>
      </c>
      <c r="F570">
        <v>25</v>
      </c>
      <c r="G570">
        <v>3</v>
      </c>
      <c r="H570">
        <v>25</v>
      </c>
      <c r="I570">
        <v>1.27</v>
      </c>
      <c r="J570">
        <v>597</v>
      </c>
    </row>
    <row r="571" spans="1:10" ht="14.25" customHeight="1" x14ac:dyDescent="0.25">
      <c r="A571" s="21">
        <v>26079</v>
      </c>
      <c r="B571" s="21"/>
      <c r="C571">
        <v>1.5</v>
      </c>
      <c r="D571">
        <v>2.6</v>
      </c>
      <c r="E571">
        <v>41</v>
      </c>
      <c r="F571">
        <v>8</v>
      </c>
      <c r="H571">
        <v>8</v>
      </c>
      <c r="I571">
        <v>0.94</v>
      </c>
      <c r="J571">
        <v>161</v>
      </c>
    </row>
    <row r="572" spans="1:10" ht="14.25" customHeight="1" x14ac:dyDescent="0.25">
      <c r="A572" s="21">
        <v>26091</v>
      </c>
      <c r="B572" s="21"/>
      <c r="C572">
        <v>0.5</v>
      </c>
      <c r="D572">
        <v>2.2000000000000002</v>
      </c>
      <c r="E572">
        <v>18</v>
      </c>
      <c r="F572">
        <v>25</v>
      </c>
      <c r="H572">
        <v>25</v>
      </c>
      <c r="I572">
        <v>1.07</v>
      </c>
      <c r="J572">
        <v>85</v>
      </c>
    </row>
    <row r="573" spans="1:10" ht="14.25" customHeight="1" x14ac:dyDescent="0.25">
      <c r="A573" s="21">
        <v>26095</v>
      </c>
      <c r="B573" s="21"/>
      <c r="C573">
        <v>4.8</v>
      </c>
      <c r="D573">
        <v>3</v>
      </c>
      <c r="E573">
        <v>27</v>
      </c>
      <c r="F573">
        <v>25</v>
      </c>
      <c r="H573">
        <v>25</v>
      </c>
      <c r="I573">
        <v>1.08</v>
      </c>
      <c r="J573">
        <v>325</v>
      </c>
    </row>
    <row r="574" spans="1:10" ht="14.25" customHeight="1" x14ac:dyDescent="0.25">
      <c r="A574" s="21">
        <v>26097</v>
      </c>
      <c r="B574" s="21"/>
      <c r="C574">
        <v>5.9</v>
      </c>
      <c r="D574">
        <v>2.8</v>
      </c>
      <c r="E574">
        <v>34</v>
      </c>
      <c r="F574">
        <v>15</v>
      </c>
      <c r="H574">
        <v>15</v>
      </c>
      <c r="I574">
        <v>0.95</v>
      </c>
      <c r="J574">
        <v>254</v>
      </c>
    </row>
    <row r="575" spans="1:10" ht="14.25" customHeight="1" x14ac:dyDescent="0.25">
      <c r="A575" s="21">
        <v>26103</v>
      </c>
      <c r="B575" s="21"/>
      <c r="C575">
        <v>5.9</v>
      </c>
      <c r="D575">
        <v>2.2000000000000002</v>
      </c>
      <c r="E575">
        <v>65</v>
      </c>
      <c r="F575">
        <v>25</v>
      </c>
      <c r="H575">
        <v>25</v>
      </c>
      <c r="I575">
        <v>1.29</v>
      </c>
      <c r="J575">
        <v>972</v>
      </c>
    </row>
    <row r="576" spans="1:10" ht="14.25" customHeight="1" x14ac:dyDescent="0.25">
      <c r="A576" s="21">
        <v>26117</v>
      </c>
      <c r="B576" s="21"/>
      <c r="C576">
        <v>2.4</v>
      </c>
      <c r="D576">
        <v>1</v>
      </c>
      <c r="E576">
        <v>22</v>
      </c>
      <c r="F576">
        <v>12</v>
      </c>
      <c r="H576">
        <v>12</v>
      </c>
      <c r="I576">
        <v>0.73</v>
      </c>
      <c r="J576">
        <v>1</v>
      </c>
    </row>
    <row r="577" spans="1:10" ht="14.25" customHeight="1" x14ac:dyDescent="0.25">
      <c r="A577" s="21">
        <v>26123</v>
      </c>
      <c r="B577" s="21"/>
      <c r="C577">
        <v>11.1</v>
      </c>
      <c r="D577">
        <v>2</v>
      </c>
      <c r="E577">
        <v>108</v>
      </c>
      <c r="F577">
        <v>25</v>
      </c>
      <c r="G577">
        <v>9</v>
      </c>
      <c r="H577">
        <v>25</v>
      </c>
      <c r="I577">
        <v>1.33</v>
      </c>
      <c r="J577" s="1">
        <v>2048</v>
      </c>
    </row>
    <row r="578" spans="1:10" ht="14.25" customHeight="1" x14ac:dyDescent="0.25">
      <c r="A578" s="21">
        <v>26127</v>
      </c>
      <c r="B578" s="21"/>
      <c r="C578">
        <v>2.6</v>
      </c>
      <c r="D578">
        <v>4</v>
      </c>
      <c r="E578">
        <v>36</v>
      </c>
      <c r="F578">
        <v>24</v>
      </c>
      <c r="H578">
        <v>24</v>
      </c>
      <c r="I578">
        <v>1.22</v>
      </c>
      <c r="J578">
        <v>317</v>
      </c>
    </row>
    <row r="579" spans="1:10" ht="14.25" customHeight="1" x14ac:dyDescent="0.25">
      <c r="A579" s="21">
        <v>26131</v>
      </c>
      <c r="B579" s="21"/>
      <c r="C579">
        <v>1.4</v>
      </c>
      <c r="D579">
        <v>2.9</v>
      </c>
      <c r="E579">
        <v>13</v>
      </c>
      <c r="F579">
        <v>25</v>
      </c>
      <c r="H579">
        <v>25</v>
      </c>
      <c r="I579">
        <v>1.23</v>
      </c>
      <c r="J579">
        <v>156</v>
      </c>
    </row>
    <row r="580" spans="1:10" ht="14.25" customHeight="1" x14ac:dyDescent="0.25">
      <c r="A580" s="21">
        <v>26133</v>
      </c>
      <c r="B580" s="21"/>
      <c r="C580">
        <v>4.2</v>
      </c>
      <c r="D580">
        <v>2.4</v>
      </c>
      <c r="E580">
        <v>50</v>
      </c>
      <c r="F580">
        <v>25</v>
      </c>
      <c r="G580">
        <v>4</v>
      </c>
      <c r="H580">
        <v>25</v>
      </c>
      <c r="I580">
        <v>1.19</v>
      </c>
      <c r="J580">
        <v>162</v>
      </c>
    </row>
    <row r="581" spans="1:10" ht="14.25" customHeight="1" x14ac:dyDescent="0.25">
      <c r="A581" s="21">
        <v>26151</v>
      </c>
      <c r="B581" s="21"/>
      <c r="C581">
        <v>2.8</v>
      </c>
      <c r="D581">
        <v>3.1</v>
      </c>
      <c r="E581">
        <v>33</v>
      </c>
      <c r="F581">
        <v>25</v>
      </c>
      <c r="H581">
        <v>25</v>
      </c>
      <c r="I581">
        <v>1.1100000000000001</v>
      </c>
      <c r="J581">
        <v>124</v>
      </c>
    </row>
    <row r="582" spans="1:10" ht="14.25" customHeight="1" x14ac:dyDescent="0.25">
      <c r="A582" s="21">
        <v>26151</v>
      </c>
      <c r="B582" s="21"/>
      <c r="C582">
        <v>0.9</v>
      </c>
      <c r="D582">
        <v>2.6</v>
      </c>
      <c r="E582">
        <v>11</v>
      </c>
      <c r="F582">
        <v>15</v>
      </c>
      <c r="H582">
        <v>15</v>
      </c>
      <c r="I582">
        <v>1.36</v>
      </c>
      <c r="J582">
        <v>49</v>
      </c>
    </row>
    <row r="583" spans="1:10" ht="14.25" customHeight="1" x14ac:dyDescent="0.25">
      <c r="A583" s="21">
        <v>26151</v>
      </c>
      <c r="B583" s="21"/>
      <c r="C583">
        <v>6</v>
      </c>
      <c r="D583">
        <v>3.2</v>
      </c>
      <c r="E583">
        <v>38</v>
      </c>
      <c r="F583">
        <v>25</v>
      </c>
      <c r="H583">
        <v>25</v>
      </c>
      <c r="I583">
        <v>1.08</v>
      </c>
      <c r="J583">
        <v>281</v>
      </c>
    </row>
    <row r="584" spans="1:10" ht="14.25" customHeight="1" x14ac:dyDescent="0.25">
      <c r="A584" s="21">
        <v>26153</v>
      </c>
      <c r="B584" s="21"/>
      <c r="C584">
        <v>4.7</v>
      </c>
      <c r="D584">
        <v>2.9</v>
      </c>
      <c r="E584">
        <v>42</v>
      </c>
      <c r="F584">
        <v>12</v>
      </c>
      <c r="H584">
        <v>12</v>
      </c>
      <c r="I584">
        <v>1.17</v>
      </c>
      <c r="J584">
        <v>394</v>
      </c>
    </row>
    <row r="585" spans="1:10" ht="14.25" customHeight="1" x14ac:dyDescent="0.25">
      <c r="A585" s="21">
        <v>26155</v>
      </c>
      <c r="B585" s="21"/>
      <c r="C585">
        <v>1.9</v>
      </c>
      <c r="D585">
        <v>7.2</v>
      </c>
      <c r="E585">
        <v>11</v>
      </c>
      <c r="F585">
        <v>22</v>
      </c>
      <c r="H585">
        <v>22</v>
      </c>
      <c r="I585">
        <v>1.21</v>
      </c>
      <c r="J585">
        <v>103</v>
      </c>
    </row>
    <row r="586" spans="1:10" ht="14.25" customHeight="1" x14ac:dyDescent="0.25">
      <c r="A586" s="21">
        <v>26157</v>
      </c>
      <c r="B586" s="21"/>
      <c r="C586">
        <v>5.4</v>
      </c>
      <c r="D586">
        <v>2.8</v>
      </c>
      <c r="E586">
        <v>35</v>
      </c>
      <c r="F586">
        <v>25</v>
      </c>
      <c r="H586">
        <v>25</v>
      </c>
      <c r="I586">
        <v>1.08</v>
      </c>
      <c r="J586">
        <v>330</v>
      </c>
    </row>
    <row r="587" spans="1:10" ht="14.25" customHeight="1" x14ac:dyDescent="0.25">
      <c r="A587" s="21">
        <v>26157</v>
      </c>
      <c r="B587" s="21"/>
      <c r="C587">
        <v>0.4</v>
      </c>
      <c r="D587">
        <v>1.9</v>
      </c>
      <c r="E587">
        <v>38</v>
      </c>
      <c r="F587">
        <v>25</v>
      </c>
      <c r="H587">
        <v>25</v>
      </c>
      <c r="I587">
        <v>1.03</v>
      </c>
      <c r="J587">
        <v>75</v>
      </c>
    </row>
    <row r="588" spans="1:10" ht="14.25" customHeight="1" x14ac:dyDescent="0.25">
      <c r="A588" s="21">
        <v>26159</v>
      </c>
      <c r="B588" s="21"/>
      <c r="C588">
        <v>3.8</v>
      </c>
      <c r="D588">
        <v>3.2</v>
      </c>
      <c r="E588">
        <v>52</v>
      </c>
      <c r="F588">
        <v>25</v>
      </c>
      <c r="H588">
        <v>25</v>
      </c>
      <c r="I588">
        <v>1.19</v>
      </c>
      <c r="J588">
        <v>530</v>
      </c>
    </row>
    <row r="589" spans="1:10" ht="14.25" customHeight="1" x14ac:dyDescent="0.25">
      <c r="A589" s="21">
        <v>27001</v>
      </c>
      <c r="B589" s="21"/>
      <c r="C589">
        <v>9.4</v>
      </c>
      <c r="D589">
        <v>3.7</v>
      </c>
      <c r="E589">
        <v>45</v>
      </c>
      <c r="F589">
        <v>25</v>
      </c>
      <c r="G589">
        <v>4</v>
      </c>
      <c r="H589">
        <v>25</v>
      </c>
      <c r="I589">
        <v>1.31</v>
      </c>
      <c r="J589" s="1">
        <v>1050</v>
      </c>
    </row>
    <row r="590" spans="1:10" ht="14.25" customHeight="1" x14ac:dyDescent="0.25">
      <c r="A590" s="21">
        <v>27011</v>
      </c>
      <c r="B590" s="21"/>
      <c r="C590">
        <v>1.1000000000000001</v>
      </c>
      <c r="D590">
        <v>2.1</v>
      </c>
      <c r="E590">
        <v>8</v>
      </c>
      <c r="F590">
        <v>15</v>
      </c>
      <c r="H590">
        <v>15</v>
      </c>
      <c r="I590">
        <v>1.18</v>
      </c>
      <c r="J590">
        <v>75</v>
      </c>
    </row>
    <row r="591" spans="1:10" ht="14.25" customHeight="1" x14ac:dyDescent="0.25">
      <c r="A591" s="21">
        <v>27011</v>
      </c>
      <c r="B591" s="21"/>
      <c r="C591">
        <v>3.7</v>
      </c>
      <c r="D591">
        <v>2.5</v>
      </c>
      <c r="E591">
        <v>17</v>
      </c>
      <c r="F591">
        <v>25</v>
      </c>
      <c r="H591">
        <v>25</v>
      </c>
      <c r="I591">
        <v>0.97</v>
      </c>
      <c r="J591">
        <v>325</v>
      </c>
    </row>
    <row r="592" spans="1:10" ht="14.25" customHeight="1" x14ac:dyDescent="0.25">
      <c r="A592" s="21">
        <v>27015</v>
      </c>
      <c r="B592" s="21"/>
      <c r="C592">
        <v>3.4</v>
      </c>
      <c r="D592">
        <v>2.9</v>
      </c>
      <c r="I592">
        <v>0.95</v>
      </c>
      <c r="J592">
        <v>116</v>
      </c>
    </row>
    <row r="593" spans="1:10" ht="14.25" customHeight="1" x14ac:dyDescent="0.25">
      <c r="A593" s="21">
        <v>27015</v>
      </c>
      <c r="B593" s="21"/>
      <c r="C593">
        <v>3.3</v>
      </c>
      <c r="D593">
        <v>2.9</v>
      </c>
      <c r="E593">
        <v>12</v>
      </c>
      <c r="F593">
        <v>16</v>
      </c>
      <c r="H593">
        <v>16</v>
      </c>
      <c r="I593">
        <v>0.95</v>
      </c>
      <c r="J593">
        <v>312</v>
      </c>
    </row>
    <row r="594" spans="1:10" ht="14.25" customHeight="1" x14ac:dyDescent="0.25">
      <c r="A594" s="21">
        <v>27015</v>
      </c>
      <c r="B594" s="21"/>
      <c r="C594">
        <v>10.4</v>
      </c>
      <c r="D594">
        <v>2.7</v>
      </c>
      <c r="E594">
        <v>109</v>
      </c>
      <c r="F594">
        <v>24</v>
      </c>
      <c r="H594">
        <v>24</v>
      </c>
      <c r="I594">
        <v>1.4</v>
      </c>
      <c r="J594" s="1">
        <v>1697</v>
      </c>
    </row>
    <row r="595" spans="1:10" ht="14.25" customHeight="1" x14ac:dyDescent="0.25">
      <c r="A595" s="21">
        <v>27017</v>
      </c>
      <c r="B595" s="21"/>
      <c r="C595">
        <v>8</v>
      </c>
      <c r="D595">
        <v>3.3</v>
      </c>
      <c r="E595">
        <v>50</v>
      </c>
      <c r="F595">
        <v>22</v>
      </c>
      <c r="H595">
        <v>22</v>
      </c>
      <c r="I595">
        <v>1.26</v>
      </c>
      <c r="J595">
        <v>816</v>
      </c>
    </row>
    <row r="596" spans="1:10" ht="14.25" customHeight="1" x14ac:dyDescent="0.25">
      <c r="A596" s="21">
        <v>27017</v>
      </c>
      <c r="B596" s="21"/>
      <c r="C596">
        <v>5.9</v>
      </c>
      <c r="D596">
        <v>2.9</v>
      </c>
      <c r="E596">
        <v>27</v>
      </c>
      <c r="F596">
        <v>25</v>
      </c>
      <c r="G596">
        <v>2</v>
      </c>
      <c r="H596">
        <v>25</v>
      </c>
      <c r="I596">
        <v>1.1499999999999999</v>
      </c>
      <c r="J596">
        <v>463</v>
      </c>
    </row>
    <row r="597" spans="1:10" ht="14.25" customHeight="1" x14ac:dyDescent="0.25">
      <c r="A597" s="21">
        <v>27021</v>
      </c>
      <c r="B597" s="21"/>
      <c r="C597">
        <v>0</v>
      </c>
      <c r="D597">
        <v>2</v>
      </c>
      <c r="E597">
        <v>30</v>
      </c>
      <c r="F597">
        <v>5</v>
      </c>
      <c r="H597">
        <v>5</v>
      </c>
      <c r="I597">
        <v>0.78</v>
      </c>
      <c r="J597">
        <v>1</v>
      </c>
    </row>
    <row r="598" spans="1:10" ht="14.25" customHeight="1" x14ac:dyDescent="0.25">
      <c r="A598" s="21">
        <v>27023</v>
      </c>
      <c r="B598" s="21"/>
      <c r="C598">
        <v>5.7</v>
      </c>
      <c r="D598">
        <v>2.5</v>
      </c>
      <c r="E598">
        <v>32</v>
      </c>
      <c r="F598">
        <v>25</v>
      </c>
      <c r="H598">
        <v>25</v>
      </c>
      <c r="I598">
        <v>1.1399999999999999</v>
      </c>
      <c r="J598">
        <v>651</v>
      </c>
    </row>
    <row r="599" spans="1:10" ht="14.25" customHeight="1" x14ac:dyDescent="0.25">
      <c r="A599" s="21">
        <v>27029</v>
      </c>
      <c r="B599" s="21"/>
      <c r="C599">
        <v>2.2999999999999998</v>
      </c>
      <c r="D599">
        <v>3.7</v>
      </c>
      <c r="E599">
        <v>9</v>
      </c>
      <c r="F599">
        <v>25</v>
      </c>
      <c r="H599">
        <v>25</v>
      </c>
      <c r="I599">
        <v>0.99</v>
      </c>
      <c r="J599">
        <v>60</v>
      </c>
    </row>
    <row r="600" spans="1:10" ht="14.25" customHeight="1" x14ac:dyDescent="0.25">
      <c r="A600" s="21">
        <v>27031</v>
      </c>
      <c r="B600" s="21"/>
      <c r="C600">
        <v>3.3</v>
      </c>
      <c r="D600">
        <v>2.5</v>
      </c>
      <c r="E600">
        <v>11</v>
      </c>
      <c r="F600">
        <v>16</v>
      </c>
      <c r="H600">
        <v>16</v>
      </c>
      <c r="I600">
        <v>0.88</v>
      </c>
      <c r="J600">
        <v>94</v>
      </c>
    </row>
    <row r="601" spans="1:10" ht="14.25" customHeight="1" x14ac:dyDescent="0.25">
      <c r="A601" s="21">
        <v>27033</v>
      </c>
      <c r="B601" s="21"/>
      <c r="C601">
        <v>0.9</v>
      </c>
      <c r="D601">
        <v>2.6</v>
      </c>
      <c r="E601">
        <v>8</v>
      </c>
      <c r="F601">
        <v>8</v>
      </c>
      <c r="H601">
        <v>8</v>
      </c>
      <c r="I601">
        <v>0.92</v>
      </c>
      <c r="J601">
        <v>76</v>
      </c>
    </row>
    <row r="602" spans="1:10" ht="14.25" customHeight="1" x14ac:dyDescent="0.25">
      <c r="A602" s="21">
        <v>27033</v>
      </c>
      <c r="B602" s="21"/>
      <c r="C602">
        <v>3.2</v>
      </c>
      <c r="D602">
        <v>2.7</v>
      </c>
      <c r="E602">
        <v>24</v>
      </c>
      <c r="F602">
        <v>18</v>
      </c>
      <c r="H602">
        <v>18</v>
      </c>
      <c r="I602">
        <v>1.21</v>
      </c>
      <c r="J602">
        <v>350</v>
      </c>
    </row>
    <row r="603" spans="1:10" ht="14.25" customHeight="1" x14ac:dyDescent="0.25">
      <c r="A603" s="21">
        <v>27035</v>
      </c>
      <c r="B603" s="21"/>
      <c r="C603">
        <v>11</v>
      </c>
      <c r="D603">
        <v>2.5</v>
      </c>
      <c r="E603">
        <v>96</v>
      </c>
      <c r="F603">
        <v>25</v>
      </c>
      <c r="G603">
        <v>6</v>
      </c>
      <c r="H603">
        <v>25</v>
      </c>
      <c r="I603">
        <v>1.51</v>
      </c>
      <c r="J603" s="1">
        <v>1596</v>
      </c>
    </row>
    <row r="604" spans="1:10" ht="14.25" customHeight="1" x14ac:dyDescent="0.25">
      <c r="A604" s="21">
        <v>27043</v>
      </c>
      <c r="B604" s="21"/>
      <c r="C604">
        <v>8.5</v>
      </c>
      <c r="D604">
        <v>3.1</v>
      </c>
      <c r="E604">
        <v>37</v>
      </c>
      <c r="F604">
        <v>24</v>
      </c>
      <c r="G604">
        <v>4</v>
      </c>
      <c r="H604">
        <v>24</v>
      </c>
      <c r="I604">
        <v>1.1399999999999999</v>
      </c>
      <c r="J604">
        <v>555</v>
      </c>
    </row>
    <row r="605" spans="1:10" ht="14.25" customHeight="1" x14ac:dyDescent="0.25">
      <c r="A605" s="21">
        <v>27049</v>
      </c>
      <c r="B605" s="21"/>
      <c r="C605">
        <v>9.1</v>
      </c>
      <c r="D605">
        <v>2.8</v>
      </c>
      <c r="E605">
        <v>19</v>
      </c>
      <c r="F605">
        <v>15</v>
      </c>
      <c r="H605">
        <v>15</v>
      </c>
      <c r="I605">
        <v>1.26</v>
      </c>
      <c r="J605">
        <v>224</v>
      </c>
    </row>
    <row r="606" spans="1:10" ht="14.25" customHeight="1" x14ac:dyDescent="0.25">
      <c r="A606" s="21">
        <v>27051</v>
      </c>
      <c r="B606" s="21"/>
      <c r="C606">
        <v>1.4</v>
      </c>
      <c r="D606">
        <v>2.7</v>
      </c>
      <c r="E606">
        <v>14</v>
      </c>
      <c r="F606">
        <v>10</v>
      </c>
      <c r="H606">
        <v>10</v>
      </c>
      <c r="I606">
        <v>0.99</v>
      </c>
      <c r="J606">
        <v>89</v>
      </c>
    </row>
    <row r="607" spans="1:10" ht="14.25" customHeight="1" x14ac:dyDescent="0.25">
      <c r="A607" s="21">
        <v>27057</v>
      </c>
      <c r="B607" s="21"/>
      <c r="C607">
        <v>11.4</v>
      </c>
      <c r="D607">
        <v>3.5</v>
      </c>
      <c r="E607">
        <v>28</v>
      </c>
      <c r="F607">
        <v>25</v>
      </c>
      <c r="H607">
        <v>25</v>
      </c>
      <c r="I607">
        <v>1.4</v>
      </c>
      <c r="J607" s="1">
        <v>1187</v>
      </c>
    </row>
    <row r="608" spans="1:10" ht="14.25" customHeight="1" x14ac:dyDescent="0.25">
      <c r="A608" s="21">
        <v>27061</v>
      </c>
      <c r="B608" s="21"/>
      <c r="C608">
        <v>3.2</v>
      </c>
      <c r="D608">
        <v>2.2999999999999998</v>
      </c>
      <c r="E608">
        <v>34</v>
      </c>
      <c r="F608">
        <v>20</v>
      </c>
      <c r="H608">
        <v>20</v>
      </c>
      <c r="I608">
        <v>1.1299999999999999</v>
      </c>
      <c r="J608">
        <v>392</v>
      </c>
    </row>
    <row r="609" spans="1:10" ht="14.25" customHeight="1" x14ac:dyDescent="0.25">
      <c r="A609" s="21">
        <v>27061</v>
      </c>
      <c r="B609" s="21"/>
      <c r="C609">
        <v>2.7</v>
      </c>
      <c r="D609">
        <v>2.1</v>
      </c>
      <c r="E609">
        <v>18</v>
      </c>
      <c r="F609">
        <v>20</v>
      </c>
      <c r="H609">
        <v>20</v>
      </c>
      <c r="I609">
        <v>1.3</v>
      </c>
      <c r="J609">
        <v>265</v>
      </c>
    </row>
    <row r="610" spans="1:10" ht="14.25" customHeight="1" x14ac:dyDescent="0.25">
      <c r="A610" s="21">
        <v>27063</v>
      </c>
      <c r="B610" s="21"/>
      <c r="C610">
        <v>2.4</v>
      </c>
      <c r="D610">
        <v>2.8</v>
      </c>
      <c r="E610">
        <v>19</v>
      </c>
      <c r="F610">
        <v>14</v>
      </c>
      <c r="H610">
        <v>14</v>
      </c>
      <c r="I610">
        <v>1.04</v>
      </c>
      <c r="J610">
        <v>148</v>
      </c>
    </row>
    <row r="611" spans="1:10" ht="14.25" customHeight="1" x14ac:dyDescent="0.25">
      <c r="A611" s="21">
        <v>27065</v>
      </c>
      <c r="B611" s="21"/>
      <c r="C611">
        <v>8.4</v>
      </c>
      <c r="D611">
        <v>3.4</v>
      </c>
      <c r="E611">
        <v>88</v>
      </c>
      <c r="F611">
        <v>25</v>
      </c>
      <c r="G611">
        <v>4</v>
      </c>
      <c r="H611">
        <v>25</v>
      </c>
      <c r="I611">
        <v>1.18</v>
      </c>
      <c r="J611" s="1">
        <v>1199</v>
      </c>
    </row>
    <row r="612" spans="1:10" ht="14.25" customHeight="1" x14ac:dyDescent="0.25">
      <c r="A612" s="21">
        <v>27069</v>
      </c>
      <c r="B612" s="21"/>
      <c r="C612">
        <v>1.2</v>
      </c>
      <c r="D612">
        <v>3.5</v>
      </c>
      <c r="E612">
        <v>10</v>
      </c>
      <c r="F612">
        <v>15</v>
      </c>
      <c r="H612">
        <v>15</v>
      </c>
      <c r="I612">
        <v>0.89</v>
      </c>
      <c r="J612">
        <v>89</v>
      </c>
    </row>
    <row r="613" spans="1:10" ht="14.25" customHeight="1" x14ac:dyDescent="0.25">
      <c r="A613" s="21">
        <v>27071</v>
      </c>
      <c r="B613" s="21"/>
      <c r="C613">
        <v>6.6</v>
      </c>
      <c r="D613">
        <v>3.2</v>
      </c>
      <c r="E613">
        <v>17</v>
      </c>
      <c r="F613">
        <v>18</v>
      </c>
      <c r="H613">
        <v>18</v>
      </c>
      <c r="I613">
        <v>1.07</v>
      </c>
      <c r="J613">
        <v>377</v>
      </c>
    </row>
    <row r="614" spans="1:10" ht="14.25" customHeight="1" x14ac:dyDescent="0.25">
      <c r="A614" s="21">
        <v>27073</v>
      </c>
      <c r="B614" s="21"/>
      <c r="C614">
        <v>3.9</v>
      </c>
      <c r="D614">
        <v>3.2</v>
      </c>
      <c r="E614">
        <v>10</v>
      </c>
      <c r="F614">
        <v>12</v>
      </c>
      <c r="H614">
        <v>12</v>
      </c>
      <c r="I614">
        <v>0.89</v>
      </c>
      <c r="J614">
        <v>186</v>
      </c>
    </row>
    <row r="615" spans="1:10" ht="14.25" customHeight="1" x14ac:dyDescent="0.25">
      <c r="A615" s="21">
        <v>27073</v>
      </c>
      <c r="B615" s="21"/>
      <c r="C615">
        <v>2.8</v>
      </c>
      <c r="D615">
        <v>3.1</v>
      </c>
      <c r="E615">
        <v>15</v>
      </c>
      <c r="F615">
        <v>20</v>
      </c>
      <c r="H615">
        <v>20</v>
      </c>
      <c r="I615">
        <v>0.99</v>
      </c>
      <c r="J615">
        <v>161</v>
      </c>
    </row>
    <row r="616" spans="1:10" ht="14.25" customHeight="1" x14ac:dyDescent="0.25">
      <c r="A616" s="21">
        <v>27075</v>
      </c>
      <c r="B616" s="21"/>
      <c r="C616">
        <v>6.6</v>
      </c>
      <c r="D616">
        <v>3.4</v>
      </c>
      <c r="E616">
        <v>19</v>
      </c>
      <c r="F616">
        <v>16</v>
      </c>
      <c r="H616">
        <v>16</v>
      </c>
      <c r="I616">
        <v>0.96</v>
      </c>
      <c r="J616">
        <v>122</v>
      </c>
    </row>
    <row r="617" spans="1:10" ht="14.25" customHeight="1" x14ac:dyDescent="0.25">
      <c r="A617" s="21">
        <v>27077</v>
      </c>
      <c r="B617" s="21"/>
      <c r="C617">
        <v>3.1</v>
      </c>
      <c r="D617">
        <v>2.9</v>
      </c>
      <c r="E617">
        <v>8</v>
      </c>
      <c r="F617">
        <v>15</v>
      </c>
      <c r="H617">
        <v>15</v>
      </c>
      <c r="I617">
        <v>0.92</v>
      </c>
      <c r="J617">
        <v>106</v>
      </c>
    </row>
    <row r="618" spans="1:10" ht="14.25" customHeight="1" x14ac:dyDescent="0.25">
      <c r="A618" s="21">
        <v>27079</v>
      </c>
      <c r="B618" s="21"/>
      <c r="C618">
        <v>1.8</v>
      </c>
      <c r="D618">
        <v>2.1</v>
      </c>
      <c r="E618">
        <v>6</v>
      </c>
      <c r="F618">
        <v>9</v>
      </c>
      <c r="H618">
        <v>9</v>
      </c>
      <c r="I618">
        <v>0.97</v>
      </c>
      <c r="J618">
        <v>38</v>
      </c>
    </row>
    <row r="619" spans="1:10" ht="14.25" customHeight="1" x14ac:dyDescent="0.25">
      <c r="A619" s="21">
        <v>27081</v>
      </c>
      <c r="B619" s="21"/>
      <c r="C619">
        <v>1.9</v>
      </c>
      <c r="D619">
        <v>2.8</v>
      </c>
      <c r="E619">
        <v>9</v>
      </c>
      <c r="F619">
        <v>24</v>
      </c>
      <c r="H619">
        <v>24</v>
      </c>
      <c r="I619">
        <v>1</v>
      </c>
      <c r="J619">
        <v>67</v>
      </c>
    </row>
    <row r="620" spans="1:10" ht="14.25" customHeight="1" x14ac:dyDescent="0.25">
      <c r="A620" s="21">
        <v>27081</v>
      </c>
      <c r="B620" s="21"/>
      <c r="C620">
        <v>1.6</v>
      </c>
      <c r="D620">
        <v>3.2</v>
      </c>
      <c r="E620">
        <v>8</v>
      </c>
      <c r="F620">
        <v>21</v>
      </c>
      <c r="H620">
        <v>20</v>
      </c>
      <c r="I620">
        <v>1</v>
      </c>
      <c r="J620">
        <v>84</v>
      </c>
    </row>
    <row r="621" spans="1:10" ht="14.25" customHeight="1" x14ac:dyDescent="0.25">
      <c r="A621" s="21">
        <v>27083</v>
      </c>
      <c r="B621" s="21"/>
      <c r="C621">
        <v>10.3</v>
      </c>
      <c r="D621">
        <v>2.6</v>
      </c>
      <c r="E621">
        <v>89</v>
      </c>
      <c r="F621">
        <v>25</v>
      </c>
      <c r="H621">
        <v>25</v>
      </c>
      <c r="I621">
        <v>1.45</v>
      </c>
      <c r="J621" s="1">
        <v>1560</v>
      </c>
    </row>
    <row r="622" spans="1:10" ht="14.25" customHeight="1" x14ac:dyDescent="0.25">
      <c r="A622" s="21">
        <v>27083</v>
      </c>
      <c r="B622" s="21"/>
      <c r="C622">
        <v>1.3</v>
      </c>
      <c r="D622">
        <v>2.7</v>
      </c>
      <c r="E622">
        <v>10</v>
      </c>
      <c r="F622">
        <v>25</v>
      </c>
      <c r="H622">
        <v>25</v>
      </c>
      <c r="I622">
        <v>0.99</v>
      </c>
      <c r="J622">
        <v>114</v>
      </c>
    </row>
    <row r="623" spans="1:10" ht="14.25" customHeight="1" x14ac:dyDescent="0.25">
      <c r="A623" s="21">
        <v>27085</v>
      </c>
      <c r="B623" s="21"/>
      <c r="C623">
        <v>9.6</v>
      </c>
      <c r="D623">
        <v>2.2999999999999998</v>
      </c>
      <c r="E623">
        <v>38</v>
      </c>
      <c r="F623">
        <v>25</v>
      </c>
      <c r="H623">
        <v>25</v>
      </c>
      <c r="I623">
        <v>1.32</v>
      </c>
      <c r="J623">
        <v>955</v>
      </c>
    </row>
    <row r="624" spans="1:10" ht="14.25" customHeight="1" x14ac:dyDescent="0.25">
      <c r="A624" s="21">
        <v>27087</v>
      </c>
      <c r="B624" s="21"/>
      <c r="C624">
        <v>1.5</v>
      </c>
      <c r="D624">
        <v>3</v>
      </c>
      <c r="E624">
        <v>8</v>
      </c>
      <c r="F624">
        <v>10</v>
      </c>
      <c r="H624">
        <v>10</v>
      </c>
      <c r="I624">
        <v>0.96</v>
      </c>
      <c r="J624">
        <v>71</v>
      </c>
    </row>
    <row r="625" spans="1:10" ht="14.25" customHeight="1" x14ac:dyDescent="0.25">
      <c r="A625" s="21">
        <v>27089</v>
      </c>
      <c r="B625" s="21"/>
      <c r="C625">
        <v>2.7</v>
      </c>
      <c r="D625">
        <v>3</v>
      </c>
      <c r="E625">
        <v>6</v>
      </c>
      <c r="F625">
        <v>12</v>
      </c>
      <c r="H625">
        <v>12</v>
      </c>
      <c r="I625">
        <v>0.98</v>
      </c>
      <c r="J625">
        <v>145</v>
      </c>
    </row>
    <row r="626" spans="1:10" ht="14.25" customHeight="1" x14ac:dyDescent="0.25">
      <c r="A626" s="21">
        <v>27093</v>
      </c>
      <c r="B626" s="21"/>
      <c r="C626">
        <v>7</v>
      </c>
      <c r="D626">
        <v>3.2</v>
      </c>
      <c r="E626">
        <v>32</v>
      </c>
      <c r="F626">
        <v>25</v>
      </c>
      <c r="H626">
        <v>25</v>
      </c>
      <c r="I626">
        <v>1.24</v>
      </c>
      <c r="J626">
        <v>735</v>
      </c>
    </row>
    <row r="627" spans="1:10" ht="14.25" customHeight="1" x14ac:dyDescent="0.25">
      <c r="A627" s="21">
        <v>27095</v>
      </c>
      <c r="B627" s="21"/>
      <c r="C627">
        <v>6.7</v>
      </c>
      <c r="D627">
        <v>3</v>
      </c>
      <c r="E627">
        <v>29</v>
      </c>
      <c r="F627">
        <v>28</v>
      </c>
      <c r="H627">
        <v>28</v>
      </c>
      <c r="I627">
        <v>1.05</v>
      </c>
      <c r="J627">
        <v>623</v>
      </c>
    </row>
    <row r="628" spans="1:10" ht="14.25" customHeight="1" x14ac:dyDescent="0.25">
      <c r="A628" s="21">
        <v>27097</v>
      </c>
      <c r="B628" s="21"/>
      <c r="C628">
        <v>8.6</v>
      </c>
      <c r="D628">
        <v>2.8</v>
      </c>
      <c r="E628">
        <v>67</v>
      </c>
      <c r="F628">
        <v>25</v>
      </c>
      <c r="H628">
        <v>25</v>
      </c>
      <c r="I628">
        <v>1.61</v>
      </c>
      <c r="J628" s="1">
        <v>1112</v>
      </c>
    </row>
    <row r="629" spans="1:10" ht="14.25" customHeight="1" x14ac:dyDescent="0.25">
      <c r="A629" s="21">
        <v>27101</v>
      </c>
      <c r="B629" s="21"/>
      <c r="C629">
        <v>3.4</v>
      </c>
      <c r="D629">
        <v>3.2</v>
      </c>
      <c r="E629">
        <v>24</v>
      </c>
      <c r="F629">
        <v>20</v>
      </c>
      <c r="H629">
        <v>20</v>
      </c>
      <c r="I629">
        <v>1.29</v>
      </c>
      <c r="J629">
        <v>195</v>
      </c>
    </row>
    <row r="630" spans="1:10" ht="14.25" customHeight="1" x14ac:dyDescent="0.25">
      <c r="A630" s="21">
        <v>27103</v>
      </c>
      <c r="B630" s="21"/>
      <c r="C630">
        <v>8.1</v>
      </c>
      <c r="D630">
        <v>2.9</v>
      </c>
      <c r="E630">
        <v>37</v>
      </c>
      <c r="F630">
        <v>17</v>
      </c>
      <c r="H630">
        <v>17</v>
      </c>
      <c r="I630">
        <v>2.13</v>
      </c>
      <c r="J630" s="1">
        <v>1036</v>
      </c>
    </row>
    <row r="631" spans="1:10" ht="14.25" customHeight="1" x14ac:dyDescent="0.25">
      <c r="A631" s="21">
        <v>27107</v>
      </c>
      <c r="B631" s="21"/>
      <c r="C631">
        <v>0.7</v>
      </c>
      <c r="D631">
        <v>1.5</v>
      </c>
      <c r="E631">
        <v>4</v>
      </c>
      <c r="F631">
        <v>14</v>
      </c>
      <c r="H631">
        <v>14</v>
      </c>
      <c r="I631">
        <v>1</v>
      </c>
      <c r="J631">
        <v>41</v>
      </c>
    </row>
    <row r="632" spans="1:10" ht="14.25" customHeight="1" x14ac:dyDescent="0.25">
      <c r="A632" s="21">
        <v>27111</v>
      </c>
      <c r="B632" s="21"/>
      <c r="C632">
        <v>6.2</v>
      </c>
      <c r="D632">
        <v>2.1</v>
      </c>
      <c r="E632">
        <v>58</v>
      </c>
      <c r="F632">
        <v>25</v>
      </c>
      <c r="H632">
        <v>25</v>
      </c>
      <c r="I632">
        <v>1.03</v>
      </c>
      <c r="J632">
        <v>868</v>
      </c>
    </row>
    <row r="633" spans="1:10" ht="14.25" customHeight="1" x14ac:dyDescent="0.25">
      <c r="A633" s="21">
        <v>27113</v>
      </c>
      <c r="B633" s="21"/>
      <c r="C633">
        <v>8.6</v>
      </c>
      <c r="D633">
        <v>3.5</v>
      </c>
      <c r="E633">
        <v>64</v>
      </c>
      <c r="F633">
        <v>25</v>
      </c>
      <c r="H633">
        <v>25</v>
      </c>
      <c r="I633">
        <v>1.17</v>
      </c>
      <c r="J633" s="1">
        <v>1108</v>
      </c>
    </row>
    <row r="634" spans="1:10" ht="14.25" customHeight="1" x14ac:dyDescent="0.25">
      <c r="A634" s="21">
        <v>27115</v>
      </c>
      <c r="B634" s="21"/>
      <c r="C634">
        <v>2.2999999999999998</v>
      </c>
      <c r="D634">
        <v>2.8</v>
      </c>
      <c r="E634">
        <v>19</v>
      </c>
      <c r="F634">
        <v>9</v>
      </c>
      <c r="H634">
        <v>9</v>
      </c>
      <c r="I634">
        <v>1</v>
      </c>
      <c r="J634">
        <v>256</v>
      </c>
    </row>
    <row r="635" spans="1:10" ht="14.25" customHeight="1" x14ac:dyDescent="0.25">
      <c r="A635" s="21">
        <v>27117</v>
      </c>
      <c r="B635" s="21"/>
      <c r="C635">
        <v>2.9</v>
      </c>
      <c r="D635">
        <v>2.2999999999999998</v>
      </c>
      <c r="E635">
        <v>20</v>
      </c>
      <c r="F635">
        <v>18</v>
      </c>
      <c r="H635">
        <v>18</v>
      </c>
      <c r="I635">
        <v>1.02</v>
      </c>
      <c r="J635">
        <v>466</v>
      </c>
    </row>
    <row r="636" spans="1:10" ht="14.25" customHeight="1" x14ac:dyDescent="0.25">
      <c r="A636" s="21">
        <v>27119</v>
      </c>
      <c r="B636" s="21"/>
      <c r="C636">
        <v>4.3</v>
      </c>
      <c r="D636">
        <v>2.6</v>
      </c>
      <c r="E636">
        <v>19</v>
      </c>
      <c r="F636">
        <v>24</v>
      </c>
      <c r="H636">
        <v>24</v>
      </c>
      <c r="I636">
        <v>1.1299999999999999</v>
      </c>
      <c r="J636">
        <v>446</v>
      </c>
    </row>
    <row r="637" spans="1:10" ht="14.25" customHeight="1" x14ac:dyDescent="0.25">
      <c r="A637" s="21">
        <v>27119</v>
      </c>
      <c r="B637" s="21"/>
      <c r="C637">
        <v>6.5</v>
      </c>
      <c r="D637">
        <v>2.2999999999999998</v>
      </c>
      <c r="E637">
        <v>42</v>
      </c>
      <c r="F637">
        <v>30</v>
      </c>
      <c r="G637">
        <v>5</v>
      </c>
      <c r="H637">
        <v>30</v>
      </c>
      <c r="I637">
        <v>2.08</v>
      </c>
      <c r="J637">
        <v>796</v>
      </c>
    </row>
    <row r="638" spans="1:10" ht="14.25" customHeight="1" x14ac:dyDescent="0.25">
      <c r="A638" s="21">
        <v>27121</v>
      </c>
      <c r="B638" s="21"/>
      <c r="C638">
        <v>7.7</v>
      </c>
      <c r="D638">
        <v>3.8</v>
      </c>
      <c r="E638">
        <v>31</v>
      </c>
      <c r="F638">
        <v>19</v>
      </c>
      <c r="H638">
        <v>19</v>
      </c>
      <c r="I638">
        <v>1.2</v>
      </c>
      <c r="J638">
        <v>480</v>
      </c>
    </row>
    <row r="639" spans="1:10" ht="14.25" customHeight="1" x14ac:dyDescent="0.25">
      <c r="A639" s="21">
        <v>27127</v>
      </c>
      <c r="B639" s="21"/>
      <c r="C639">
        <v>4.8</v>
      </c>
      <c r="D639">
        <v>1.3</v>
      </c>
      <c r="E639">
        <v>29</v>
      </c>
      <c r="F639">
        <v>25</v>
      </c>
      <c r="H639">
        <v>25</v>
      </c>
      <c r="I639">
        <v>1</v>
      </c>
      <c r="J639">
        <v>542</v>
      </c>
    </row>
    <row r="640" spans="1:10" ht="14.25" customHeight="1" x14ac:dyDescent="0.25">
      <c r="A640" s="21">
        <v>27129</v>
      </c>
      <c r="B640" s="21"/>
      <c r="C640">
        <v>4.2</v>
      </c>
      <c r="D640">
        <v>2.2000000000000002</v>
      </c>
      <c r="E640">
        <v>20</v>
      </c>
      <c r="F640">
        <v>16</v>
      </c>
      <c r="H640">
        <v>16</v>
      </c>
      <c r="I640">
        <v>1.1499999999999999</v>
      </c>
      <c r="J640">
        <v>394</v>
      </c>
    </row>
    <row r="641" spans="1:10" ht="14.25" customHeight="1" x14ac:dyDescent="0.25">
      <c r="A641" s="21">
        <v>27133</v>
      </c>
      <c r="B641" s="21"/>
      <c r="C641">
        <v>5.8</v>
      </c>
      <c r="D641">
        <v>3.3</v>
      </c>
      <c r="E641">
        <v>35</v>
      </c>
      <c r="F641">
        <v>25</v>
      </c>
      <c r="H641">
        <v>25</v>
      </c>
      <c r="I641">
        <v>0.92</v>
      </c>
      <c r="J641">
        <v>377</v>
      </c>
    </row>
    <row r="642" spans="1:10" ht="14.25" customHeight="1" x14ac:dyDescent="0.25">
      <c r="A642" s="21">
        <v>27135</v>
      </c>
      <c r="B642" s="21"/>
      <c r="C642">
        <v>6.3</v>
      </c>
      <c r="D642">
        <v>3.1</v>
      </c>
      <c r="E642">
        <v>30</v>
      </c>
      <c r="F642">
        <v>25</v>
      </c>
      <c r="H642">
        <v>25</v>
      </c>
      <c r="I642">
        <v>1.04</v>
      </c>
      <c r="J642">
        <v>504</v>
      </c>
    </row>
    <row r="643" spans="1:10" ht="14.25" customHeight="1" x14ac:dyDescent="0.25">
      <c r="A643" s="21">
        <v>27137</v>
      </c>
      <c r="B643" s="21"/>
      <c r="C643">
        <v>2.2999999999999998</v>
      </c>
      <c r="D643">
        <v>1.8</v>
      </c>
      <c r="E643">
        <v>9</v>
      </c>
      <c r="F643">
        <v>16</v>
      </c>
      <c r="H643">
        <v>16</v>
      </c>
      <c r="I643">
        <v>1.08</v>
      </c>
      <c r="J643">
        <v>171</v>
      </c>
    </row>
    <row r="644" spans="1:10" ht="14.25" customHeight="1" x14ac:dyDescent="0.25">
      <c r="A644" s="21">
        <v>27137</v>
      </c>
      <c r="B644" s="21"/>
      <c r="C644">
        <v>2.6</v>
      </c>
      <c r="D644">
        <v>2.5</v>
      </c>
      <c r="E644">
        <v>8</v>
      </c>
      <c r="F644">
        <v>16</v>
      </c>
      <c r="H644">
        <v>16</v>
      </c>
      <c r="I644">
        <v>0.98</v>
      </c>
      <c r="J644">
        <v>261</v>
      </c>
    </row>
    <row r="645" spans="1:10" ht="14.25" customHeight="1" x14ac:dyDescent="0.25">
      <c r="A645" s="21">
        <v>27137</v>
      </c>
      <c r="B645" s="21"/>
      <c r="C645">
        <v>1.9</v>
      </c>
      <c r="D645">
        <v>1.8</v>
      </c>
      <c r="E645">
        <v>15</v>
      </c>
      <c r="F645">
        <v>14</v>
      </c>
      <c r="H645">
        <v>14</v>
      </c>
      <c r="I645">
        <v>0.99</v>
      </c>
      <c r="J645">
        <v>132</v>
      </c>
    </row>
    <row r="646" spans="1:10" ht="14.25" customHeight="1" x14ac:dyDescent="0.25">
      <c r="A646" s="21">
        <v>27139</v>
      </c>
      <c r="B646" s="21"/>
      <c r="C646">
        <v>10.6</v>
      </c>
      <c r="D646">
        <v>3</v>
      </c>
      <c r="E646">
        <v>56</v>
      </c>
      <c r="F646">
        <v>20</v>
      </c>
      <c r="H646">
        <v>20</v>
      </c>
      <c r="I646">
        <v>1.24</v>
      </c>
      <c r="J646">
        <v>607</v>
      </c>
    </row>
    <row r="647" spans="1:10" ht="14.25" customHeight="1" x14ac:dyDescent="0.25">
      <c r="A647" s="21">
        <v>27143</v>
      </c>
      <c r="B647" s="21"/>
      <c r="C647">
        <v>2.4</v>
      </c>
      <c r="D647">
        <v>2.4</v>
      </c>
      <c r="E647">
        <v>17</v>
      </c>
      <c r="F647">
        <v>16</v>
      </c>
      <c r="H647">
        <v>16</v>
      </c>
      <c r="I647">
        <v>1.01</v>
      </c>
      <c r="J647">
        <v>122</v>
      </c>
    </row>
    <row r="648" spans="1:10" ht="14.25" customHeight="1" x14ac:dyDescent="0.25">
      <c r="A648" s="21">
        <v>27145</v>
      </c>
      <c r="B648" s="21"/>
      <c r="C648">
        <v>5.6</v>
      </c>
      <c r="D648">
        <v>2.5</v>
      </c>
      <c r="E648">
        <v>16</v>
      </c>
      <c r="F648">
        <v>24</v>
      </c>
      <c r="H648">
        <v>24</v>
      </c>
      <c r="I648">
        <v>1.0900000000000001</v>
      </c>
      <c r="J648">
        <v>414</v>
      </c>
    </row>
    <row r="649" spans="1:10" ht="14.25" customHeight="1" x14ac:dyDescent="0.25">
      <c r="A649" s="21">
        <v>27145</v>
      </c>
      <c r="B649" s="21"/>
      <c r="C649">
        <v>6.4</v>
      </c>
      <c r="D649">
        <v>2.7</v>
      </c>
      <c r="E649">
        <v>22</v>
      </c>
      <c r="F649">
        <v>14</v>
      </c>
      <c r="H649">
        <v>14</v>
      </c>
      <c r="I649">
        <v>1.04</v>
      </c>
      <c r="J649">
        <v>413</v>
      </c>
    </row>
    <row r="650" spans="1:10" ht="14.25" customHeight="1" x14ac:dyDescent="0.25">
      <c r="A650" s="21">
        <v>27145</v>
      </c>
      <c r="B650" s="21"/>
      <c r="C650">
        <v>2.2999999999999998</v>
      </c>
      <c r="D650">
        <v>2.9</v>
      </c>
      <c r="J650">
        <v>145</v>
      </c>
    </row>
    <row r="651" spans="1:10" ht="14.25" customHeight="1" x14ac:dyDescent="0.25">
      <c r="A651" s="21">
        <v>27145</v>
      </c>
      <c r="B651" s="21"/>
      <c r="C651">
        <v>6.9</v>
      </c>
      <c r="D651">
        <v>2.4</v>
      </c>
      <c r="E651">
        <v>30</v>
      </c>
      <c r="F651">
        <v>25</v>
      </c>
      <c r="H651">
        <v>25</v>
      </c>
      <c r="I651">
        <v>1.06</v>
      </c>
      <c r="J651">
        <v>269</v>
      </c>
    </row>
    <row r="652" spans="1:10" ht="14.25" customHeight="1" x14ac:dyDescent="0.25">
      <c r="A652" s="21">
        <v>27149</v>
      </c>
      <c r="B652" s="21"/>
      <c r="C652">
        <v>6.9</v>
      </c>
      <c r="D652">
        <v>2.9</v>
      </c>
      <c r="E652">
        <v>31</v>
      </c>
      <c r="F652">
        <v>25</v>
      </c>
      <c r="H652">
        <v>25</v>
      </c>
      <c r="I652">
        <v>0.98</v>
      </c>
      <c r="J652">
        <v>834</v>
      </c>
    </row>
    <row r="653" spans="1:10" ht="14.25" customHeight="1" x14ac:dyDescent="0.25">
      <c r="A653" s="21">
        <v>27151</v>
      </c>
      <c r="B653" s="21"/>
      <c r="C653">
        <v>2.2000000000000002</v>
      </c>
      <c r="D653">
        <v>2.4</v>
      </c>
      <c r="E653">
        <v>11</v>
      </c>
      <c r="F653">
        <v>18</v>
      </c>
      <c r="H653">
        <v>18</v>
      </c>
      <c r="I653">
        <v>1.22</v>
      </c>
      <c r="J653">
        <v>178</v>
      </c>
    </row>
    <row r="654" spans="1:10" ht="14.25" customHeight="1" x14ac:dyDescent="0.25">
      <c r="A654" s="21">
        <v>27151</v>
      </c>
      <c r="B654" s="21"/>
      <c r="C654">
        <v>3.3</v>
      </c>
      <c r="D654">
        <v>2.9</v>
      </c>
      <c r="E654">
        <v>6</v>
      </c>
      <c r="F654">
        <v>15</v>
      </c>
      <c r="H654">
        <v>15</v>
      </c>
      <c r="I654">
        <v>1.07</v>
      </c>
      <c r="J654">
        <v>96</v>
      </c>
    </row>
    <row r="655" spans="1:10" ht="14.25" customHeight="1" x14ac:dyDescent="0.25">
      <c r="A655" s="21">
        <v>27153</v>
      </c>
      <c r="B655" s="21"/>
      <c r="C655">
        <v>7.3</v>
      </c>
      <c r="D655">
        <v>3.2</v>
      </c>
      <c r="E655">
        <v>20</v>
      </c>
      <c r="F655">
        <v>14</v>
      </c>
      <c r="H655">
        <v>14</v>
      </c>
      <c r="I655">
        <v>1.04</v>
      </c>
      <c r="J655">
        <v>407</v>
      </c>
    </row>
    <row r="656" spans="1:10" ht="14.25" customHeight="1" x14ac:dyDescent="0.25">
      <c r="A656" s="21">
        <v>27155</v>
      </c>
      <c r="B656" s="21"/>
      <c r="C656">
        <v>1.5</v>
      </c>
      <c r="D656">
        <v>2.1</v>
      </c>
      <c r="E656">
        <v>8</v>
      </c>
      <c r="F656">
        <v>15</v>
      </c>
      <c r="H656">
        <v>15</v>
      </c>
      <c r="I656">
        <v>1.04</v>
      </c>
      <c r="J656">
        <v>73</v>
      </c>
    </row>
    <row r="657" spans="1:10" ht="14.25" customHeight="1" x14ac:dyDescent="0.25">
      <c r="A657" s="21">
        <v>27157</v>
      </c>
      <c r="B657" s="21"/>
      <c r="C657">
        <v>6.6</v>
      </c>
      <c r="D657">
        <v>2.8</v>
      </c>
      <c r="E657">
        <v>25</v>
      </c>
      <c r="F657">
        <v>18</v>
      </c>
      <c r="H657">
        <v>18</v>
      </c>
      <c r="I657">
        <v>1.3</v>
      </c>
      <c r="J657">
        <v>131</v>
      </c>
    </row>
    <row r="658" spans="1:10" ht="14.25" customHeight="1" x14ac:dyDescent="0.25">
      <c r="A658" s="21">
        <v>27157</v>
      </c>
      <c r="B658" s="21"/>
      <c r="C658">
        <v>3.6</v>
      </c>
      <c r="D658">
        <v>2.2999999999999998</v>
      </c>
      <c r="E658">
        <v>17</v>
      </c>
      <c r="F658">
        <v>14</v>
      </c>
      <c r="H658">
        <v>14</v>
      </c>
      <c r="I658">
        <v>1.1499999999999999</v>
      </c>
      <c r="J658">
        <v>184</v>
      </c>
    </row>
    <row r="659" spans="1:10" ht="14.25" customHeight="1" x14ac:dyDescent="0.25">
      <c r="A659" s="21">
        <v>27159</v>
      </c>
      <c r="B659" s="21"/>
      <c r="C659">
        <v>11.1</v>
      </c>
      <c r="D659">
        <v>2.7</v>
      </c>
      <c r="E659">
        <v>67</v>
      </c>
      <c r="F659">
        <v>25</v>
      </c>
      <c r="G659">
        <v>3</v>
      </c>
      <c r="H659">
        <v>25</v>
      </c>
      <c r="I659">
        <v>1.17</v>
      </c>
      <c r="J659" s="1">
        <v>1282</v>
      </c>
    </row>
    <row r="660" spans="1:10" ht="14.25" customHeight="1" x14ac:dyDescent="0.25">
      <c r="A660" s="21">
        <v>27159</v>
      </c>
      <c r="B660" s="21"/>
      <c r="C660">
        <v>6.5</v>
      </c>
      <c r="D660">
        <v>2.8</v>
      </c>
      <c r="E660">
        <v>51</v>
      </c>
      <c r="F660">
        <v>25</v>
      </c>
      <c r="G660">
        <v>2</v>
      </c>
      <c r="H660">
        <v>25</v>
      </c>
      <c r="I660">
        <v>1.24</v>
      </c>
      <c r="J660">
        <v>768</v>
      </c>
    </row>
    <row r="661" spans="1:10" ht="14.25" customHeight="1" x14ac:dyDescent="0.25">
      <c r="A661" s="21">
        <v>27161</v>
      </c>
      <c r="B661" s="21"/>
      <c r="C661">
        <v>6.8</v>
      </c>
      <c r="D661">
        <v>3.6</v>
      </c>
      <c r="E661">
        <v>22</v>
      </c>
      <c r="F661">
        <v>15</v>
      </c>
      <c r="H661">
        <v>15</v>
      </c>
      <c r="I661">
        <v>0.99</v>
      </c>
      <c r="J661">
        <v>102</v>
      </c>
    </row>
    <row r="662" spans="1:10" ht="14.25" customHeight="1" x14ac:dyDescent="0.25">
      <c r="A662" s="21">
        <v>27165</v>
      </c>
      <c r="B662" s="21"/>
      <c r="C662">
        <v>6</v>
      </c>
      <c r="D662">
        <v>2.6</v>
      </c>
      <c r="E662">
        <v>19</v>
      </c>
      <c r="F662">
        <v>25</v>
      </c>
      <c r="H662">
        <v>25</v>
      </c>
      <c r="I662">
        <v>0.96</v>
      </c>
      <c r="J662">
        <v>109</v>
      </c>
    </row>
    <row r="663" spans="1:10" ht="14.25" customHeight="1" x14ac:dyDescent="0.25">
      <c r="A663" s="21">
        <v>27165</v>
      </c>
      <c r="B663" s="21"/>
      <c r="C663">
        <v>3.4</v>
      </c>
      <c r="D663">
        <v>3.6</v>
      </c>
      <c r="E663">
        <v>20</v>
      </c>
      <c r="F663">
        <v>25</v>
      </c>
      <c r="H663">
        <v>25</v>
      </c>
      <c r="I663">
        <v>0.92</v>
      </c>
      <c r="J663">
        <v>88</v>
      </c>
    </row>
    <row r="664" spans="1:10" ht="14.25" customHeight="1" x14ac:dyDescent="0.25">
      <c r="A664" s="21">
        <v>27167</v>
      </c>
      <c r="B664" s="21"/>
      <c r="C664">
        <v>6.9</v>
      </c>
      <c r="D664">
        <v>3.3</v>
      </c>
      <c r="E664">
        <v>19</v>
      </c>
      <c r="F664">
        <v>25</v>
      </c>
      <c r="H664">
        <v>25</v>
      </c>
      <c r="I664">
        <v>1.1000000000000001</v>
      </c>
      <c r="J664">
        <v>443</v>
      </c>
    </row>
    <row r="665" spans="1:10" ht="14.25" customHeight="1" x14ac:dyDescent="0.25">
      <c r="A665" s="21">
        <v>27171</v>
      </c>
      <c r="B665" s="21"/>
      <c r="C665">
        <v>12</v>
      </c>
      <c r="D665">
        <v>2.5</v>
      </c>
      <c r="E665">
        <v>51</v>
      </c>
      <c r="F665">
        <v>25</v>
      </c>
      <c r="G665">
        <v>3</v>
      </c>
      <c r="H665">
        <v>25</v>
      </c>
      <c r="I665">
        <v>1.25</v>
      </c>
      <c r="J665">
        <v>856</v>
      </c>
    </row>
    <row r="666" spans="1:10" ht="14.25" customHeight="1" x14ac:dyDescent="0.25">
      <c r="A666" s="21">
        <v>27173</v>
      </c>
      <c r="B666" s="21"/>
      <c r="C666">
        <v>4</v>
      </c>
      <c r="D666">
        <v>2.6</v>
      </c>
      <c r="E666">
        <v>19</v>
      </c>
      <c r="F666">
        <v>25</v>
      </c>
      <c r="H666">
        <v>25</v>
      </c>
      <c r="I666">
        <v>0.95</v>
      </c>
      <c r="J666">
        <v>311</v>
      </c>
    </row>
    <row r="667" spans="1:10" ht="14.25" customHeight="1" x14ac:dyDescent="0.25">
      <c r="A667" s="21">
        <v>27173</v>
      </c>
      <c r="B667" s="21"/>
      <c r="C667">
        <v>4.5999999999999996</v>
      </c>
      <c r="D667">
        <v>3.2</v>
      </c>
      <c r="E667">
        <v>16</v>
      </c>
      <c r="F667">
        <v>22</v>
      </c>
      <c r="H667">
        <v>22</v>
      </c>
      <c r="I667">
        <v>0.95</v>
      </c>
      <c r="J667">
        <v>166</v>
      </c>
    </row>
    <row r="668" spans="1:10" ht="14.25" customHeight="1" x14ac:dyDescent="0.25">
      <c r="A668" s="21">
        <v>28007</v>
      </c>
      <c r="B668" s="21"/>
      <c r="C668">
        <v>9.1</v>
      </c>
      <c r="D668">
        <v>1.9</v>
      </c>
      <c r="E668">
        <v>22</v>
      </c>
      <c r="F668">
        <v>25</v>
      </c>
      <c r="H668">
        <v>25</v>
      </c>
      <c r="I668">
        <v>0.94</v>
      </c>
      <c r="J668">
        <v>456</v>
      </c>
    </row>
    <row r="669" spans="1:10" ht="14.25" customHeight="1" x14ac:dyDescent="0.25">
      <c r="A669" s="21">
        <v>28013</v>
      </c>
      <c r="B669" s="21"/>
      <c r="C669">
        <v>13.5</v>
      </c>
      <c r="D669">
        <v>3.4</v>
      </c>
      <c r="E669">
        <v>12</v>
      </c>
      <c r="F669">
        <v>25</v>
      </c>
      <c r="H669">
        <v>25</v>
      </c>
      <c r="I669">
        <v>0.92</v>
      </c>
      <c r="J669">
        <v>302</v>
      </c>
    </row>
    <row r="670" spans="1:10" ht="14.25" customHeight="1" x14ac:dyDescent="0.25">
      <c r="A670" s="21">
        <v>28019</v>
      </c>
      <c r="B670" s="21"/>
      <c r="C670">
        <v>0.2</v>
      </c>
      <c r="D670">
        <v>2.6</v>
      </c>
      <c r="J670">
        <v>39</v>
      </c>
    </row>
    <row r="671" spans="1:10" ht="14.25" customHeight="1" x14ac:dyDescent="0.25">
      <c r="A671" s="21">
        <v>28019</v>
      </c>
      <c r="B671" s="21"/>
      <c r="C671">
        <v>6.9</v>
      </c>
      <c r="D671">
        <v>3.2</v>
      </c>
      <c r="E671">
        <v>24</v>
      </c>
      <c r="F671">
        <v>15</v>
      </c>
      <c r="H671">
        <v>15</v>
      </c>
      <c r="I671">
        <v>1.01</v>
      </c>
      <c r="J671">
        <v>187</v>
      </c>
    </row>
    <row r="672" spans="1:10" ht="14.25" customHeight="1" x14ac:dyDescent="0.25">
      <c r="A672" s="21">
        <v>28021</v>
      </c>
      <c r="B672" s="21"/>
      <c r="C672">
        <v>8</v>
      </c>
      <c r="D672">
        <v>3.6</v>
      </c>
      <c r="E672">
        <v>12</v>
      </c>
      <c r="F672">
        <v>22</v>
      </c>
      <c r="H672">
        <v>22</v>
      </c>
      <c r="I672">
        <v>0.97</v>
      </c>
      <c r="J672">
        <v>366</v>
      </c>
    </row>
    <row r="673" spans="1:10" ht="14.25" customHeight="1" x14ac:dyDescent="0.25">
      <c r="A673" s="21">
        <v>28023</v>
      </c>
      <c r="B673" s="21"/>
      <c r="C673">
        <v>10.8</v>
      </c>
      <c r="D673">
        <v>3.8</v>
      </c>
      <c r="E673">
        <v>21</v>
      </c>
      <c r="F673">
        <v>25</v>
      </c>
      <c r="H673">
        <v>25</v>
      </c>
      <c r="I673">
        <v>0.93</v>
      </c>
      <c r="J673">
        <v>166</v>
      </c>
    </row>
    <row r="674" spans="1:10" ht="14.25" customHeight="1" x14ac:dyDescent="0.25">
      <c r="A674" s="21">
        <v>28029</v>
      </c>
      <c r="B674" s="21"/>
      <c r="C674">
        <v>11.4</v>
      </c>
      <c r="D674">
        <v>0.2</v>
      </c>
      <c r="J674">
        <v>808</v>
      </c>
    </row>
    <row r="675" spans="1:10" ht="14.25" customHeight="1" x14ac:dyDescent="0.25">
      <c r="A675" s="21">
        <v>28029</v>
      </c>
      <c r="B675" s="21"/>
      <c r="C675">
        <v>15.1</v>
      </c>
      <c r="D675">
        <v>3.8</v>
      </c>
      <c r="E675">
        <v>23</v>
      </c>
      <c r="F675">
        <v>25</v>
      </c>
      <c r="H675">
        <v>25</v>
      </c>
      <c r="I675">
        <v>0.88</v>
      </c>
      <c r="J675">
        <v>519</v>
      </c>
    </row>
    <row r="676" spans="1:10" ht="14.25" customHeight="1" x14ac:dyDescent="0.25">
      <c r="A676" s="21">
        <v>28031</v>
      </c>
      <c r="B676" s="21"/>
      <c r="C676">
        <v>14</v>
      </c>
      <c r="D676">
        <v>3.3</v>
      </c>
      <c r="E676">
        <v>29</v>
      </c>
      <c r="F676">
        <v>25</v>
      </c>
      <c r="H676">
        <v>25</v>
      </c>
      <c r="I676">
        <v>0.91</v>
      </c>
      <c r="J676">
        <v>249</v>
      </c>
    </row>
    <row r="677" spans="1:10" ht="14.25" customHeight="1" x14ac:dyDescent="0.25">
      <c r="A677" s="21">
        <v>28037</v>
      </c>
      <c r="B677" s="21"/>
      <c r="C677">
        <v>16.100000000000001</v>
      </c>
      <c r="D677">
        <v>2.8</v>
      </c>
      <c r="E677">
        <v>12</v>
      </c>
      <c r="F677">
        <v>24</v>
      </c>
      <c r="H677">
        <v>24</v>
      </c>
      <c r="I677">
        <v>0.9</v>
      </c>
      <c r="J677">
        <v>132</v>
      </c>
    </row>
    <row r="678" spans="1:10" ht="14.25" customHeight="1" x14ac:dyDescent="0.25">
      <c r="A678" s="21">
        <v>28041</v>
      </c>
      <c r="B678" s="21"/>
      <c r="C678">
        <v>3.8</v>
      </c>
      <c r="D678">
        <v>3</v>
      </c>
      <c r="E678">
        <v>7</v>
      </c>
      <c r="F678">
        <v>7</v>
      </c>
      <c r="H678">
        <v>7</v>
      </c>
      <c r="I678">
        <v>1.02</v>
      </c>
      <c r="J678">
        <v>34</v>
      </c>
    </row>
    <row r="679" spans="1:10" ht="14.25" customHeight="1" x14ac:dyDescent="0.25">
      <c r="A679" s="21">
        <v>28051</v>
      </c>
      <c r="B679" s="21"/>
      <c r="C679">
        <v>7.1</v>
      </c>
      <c r="D679">
        <v>3</v>
      </c>
      <c r="E679">
        <v>18</v>
      </c>
      <c r="F679">
        <v>25</v>
      </c>
      <c r="H679">
        <v>25</v>
      </c>
      <c r="I679">
        <v>0.96</v>
      </c>
      <c r="J679">
        <v>209</v>
      </c>
    </row>
    <row r="680" spans="1:10" ht="14.25" customHeight="1" x14ac:dyDescent="0.25">
      <c r="A680" s="21">
        <v>28053</v>
      </c>
      <c r="B680" s="21"/>
      <c r="C680">
        <v>4.9000000000000004</v>
      </c>
      <c r="D680">
        <v>2.8</v>
      </c>
      <c r="J680">
        <v>375</v>
      </c>
    </row>
    <row r="681" spans="1:10" ht="14.25" customHeight="1" x14ac:dyDescent="0.25">
      <c r="A681" s="21">
        <v>28065</v>
      </c>
      <c r="B681" s="21"/>
      <c r="C681">
        <v>3.5</v>
      </c>
      <c r="D681">
        <v>3.1</v>
      </c>
      <c r="E681">
        <v>17</v>
      </c>
      <c r="F681">
        <v>25</v>
      </c>
      <c r="H681">
        <v>25</v>
      </c>
      <c r="I681">
        <v>0.95</v>
      </c>
      <c r="J681">
        <v>97</v>
      </c>
    </row>
    <row r="682" spans="1:10" ht="14.25" customHeight="1" x14ac:dyDescent="0.25">
      <c r="A682" s="21">
        <v>28069</v>
      </c>
      <c r="B682" s="21"/>
      <c r="C682">
        <v>10.1</v>
      </c>
      <c r="D682">
        <v>2.8</v>
      </c>
      <c r="E682">
        <v>18</v>
      </c>
      <c r="F682">
        <v>25</v>
      </c>
      <c r="H682">
        <v>25</v>
      </c>
      <c r="I682">
        <v>0.85</v>
      </c>
      <c r="J682">
        <v>102</v>
      </c>
    </row>
    <row r="683" spans="1:10" ht="14.25" customHeight="1" x14ac:dyDescent="0.25">
      <c r="A683" s="21">
        <v>28077</v>
      </c>
      <c r="B683" s="21"/>
      <c r="C683">
        <v>7.5</v>
      </c>
      <c r="D683">
        <v>3.4</v>
      </c>
      <c r="E683">
        <v>13</v>
      </c>
      <c r="F683">
        <v>25</v>
      </c>
      <c r="H683">
        <v>25</v>
      </c>
      <c r="I683">
        <v>0.87</v>
      </c>
      <c r="J683">
        <v>322</v>
      </c>
    </row>
    <row r="684" spans="1:10" ht="14.25" customHeight="1" x14ac:dyDescent="0.25">
      <c r="A684" s="21">
        <v>28079</v>
      </c>
      <c r="B684" s="21"/>
      <c r="C684">
        <v>16.5</v>
      </c>
      <c r="D684">
        <v>3.6</v>
      </c>
      <c r="E684">
        <v>20</v>
      </c>
      <c r="F684">
        <v>25</v>
      </c>
      <c r="H684">
        <v>25</v>
      </c>
      <c r="I684">
        <v>0.93</v>
      </c>
      <c r="J684">
        <v>479</v>
      </c>
    </row>
    <row r="685" spans="1:10" ht="14.25" customHeight="1" x14ac:dyDescent="0.25">
      <c r="A685" s="21">
        <v>28095</v>
      </c>
      <c r="B685" s="21"/>
      <c r="C685">
        <v>13.3</v>
      </c>
      <c r="D685">
        <v>5.8</v>
      </c>
      <c r="E685">
        <v>33</v>
      </c>
      <c r="F685">
        <v>25</v>
      </c>
      <c r="H685">
        <v>25</v>
      </c>
      <c r="I685">
        <v>1.06</v>
      </c>
      <c r="J685">
        <v>460</v>
      </c>
    </row>
    <row r="686" spans="1:10" ht="14.25" customHeight="1" x14ac:dyDescent="0.25">
      <c r="A686" s="21">
        <v>28097</v>
      </c>
      <c r="B686" s="21"/>
      <c r="C686">
        <v>11.3</v>
      </c>
      <c r="D686">
        <v>3.4</v>
      </c>
      <c r="E686">
        <v>12</v>
      </c>
      <c r="F686">
        <v>25</v>
      </c>
      <c r="H686">
        <v>25</v>
      </c>
      <c r="I686">
        <v>0.9</v>
      </c>
      <c r="J686">
        <v>330</v>
      </c>
    </row>
    <row r="687" spans="1:10" ht="14.25" customHeight="1" x14ac:dyDescent="0.25">
      <c r="A687" s="21">
        <v>28099</v>
      </c>
      <c r="B687" s="21"/>
      <c r="C687">
        <v>14.6</v>
      </c>
      <c r="D687">
        <v>3</v>
      </c>
      <c r="E687">
        <v>34</v>
      </c>
      <c r="F687">
        <v>25</v>
      </c>
      <c r="H687">
        <v>25</v>
      </c>
      <c r="I687">
        <v>0.88</v>
      </c>
      <c r="J687">
        <v>214</v>
      </c>
    </row>
    <row r="688" spans="1:10" ht="14.25" customHeight="1" x14ac:dyDescent="0.25">
      <c r="A688" s="21">
        <v>28101</v>
      </c>
      <c r="B688" s="21"/>
      <c r="C688">
        <v>8.4</v>
      </c>
      <c r="D688">
        <v>3</v>
      </c>
      <c r="J688">
        <v>404</v>
      </c>
    </row>
    <row r="689" spans="1:10" ht="14.25" customHeight="1" x14ac:dyDescent="0.25">
      <c r="A689" s="21">
        <v>28103</v>
      </c>
      <c r="B689" s="21"/>
      <c r="C689">
        <v>8.5</v>
      </c>
      <c r="D689">
        <v>3.3</v>
      </c>
      <c r="E689">
        <v>16</v>
      </c>
      <c r="F689">
        <v>25</v>
      </c>
      <c r="H689">
        <v>25</v>
      </c>
      <c r="I689">
        <v>0.9</v>
      </c>
      <c r="J689">
        <v>357</v>
      </c>
    </row>
    <row r="690" spans="1:10" ht="14.25" customHeight="1" x14ac:dyDescent="0.25">
      <c r="A690" s="21">
        <v>28109</v>
      </c>
      <c r="B690" s="21"/>
      <c r="C690">
        <v>8.8000000000000007</v>
      </c>
      <c r="D690">
        <v>2.9</v>
      </c>
      <c r="E690">
        <v>15</v>
      </c>
      <c r="F690">
        <v>24</v>
      </c>
      <c r="H690">
        <v>24</v>
      </c>
      <c r="I690">
        <v>0.93</v>
      </c>
      <c r="J690">
        <v>79</v>
      </c>
    </row>
    <row r="691" spans="1:10" ht="14.25" customHeight="1" x14ac:dyDescent="0.25">
      <c r="A691" s="21">
        <v>28111</v>
      </c>
      <c r="B691" s="21"/>
      <c r="C691">
        <v>4.0999999999999996</v>
      </c>
      <c r="D691">
        <v>2.4</v>
      </c>
      <c r="E691">
        <v>9</v>
      </c>
      <c r="F691">
        <v>22</v>
      </c>
      <c r="H691">
        <v>22</v>
      </c>
      <c r="I691">
        <v>0.9</v>
      </c>
      <c r="J691">
        <v>59</v>
      </c>
    </row>
    <row r="692" spans="1:10" ht="14.25" customHeight="1" x14ac:dyDescent="0.25">
      <c r="A692" s="21">
        <v>28115</v>
      </c>
      <c r="B692" s="21"/>
      <c r="C692">
        <v>14.9</v>
      </c>
      <c r="D692">
        <v>2.5</v>
      </c>
      <c r="E692">
        <v>19</v>
      </c>
      <c r="F692">
        <v>25</v>
      </c>
      <c r="H692">
        <v>25</v>
      </c>
      <c r="I692">
        <v>0.95</v>
      </c>
      <c r="J692">
        <v>146</v>
      </c>
    </row>
    <row r="693" spans="1:10" ht="14.25" customHeight="1" x14ac:dyDescent="0.25">
      <c r="A693" s="21">
        <v>28119</v>
      </c>
      <c r="B693" s="21"/>
      <c r="C693">
        <v>4</v>
      </c>
      <c r="D693">
        <v>3.1</v>
      </c>
      <c r="J693">
        <v>229</v>
      </c>
    </row>
    <row r="694" spans="1:10" ht="14.25" customHeight="1" x14ac:dyDescent="0.25">
      <c r="A694" s="21">
        <v>28123</v>
      </c>
      <c r="B694" s="21"/>
      <c r="C694">
        <v>11.3</v>
      </c>
      <c r="D694">
        <v>2.7</v>
      </c>
      <c r="E694">
        <v>42</v>
      </c>
      <c r="F694">
        <v>25</v>
      </c>
      <c r="H694">
        <v>25</v>
      </c>
      <c r="I694">
        <v>1.08</v>
      </c>
      <c r="J694">
        <v>383</v>
      </c>
    </row>
    <row r="695" spans="1:10" ht="14.25" customHeight="1" x14ac:dyDescent="0.25">
      <c r="A695" s="21">
        <v>28123</v>
      </c>
      <c r="B695" s="21"/>
      <c r="C695">
        <v>9.9</v>
      </c>
      <c r="D695">
        <v>3.3</v>
      </c>
      <c r="E695">
        <v>16</v>
      </c>
      <c r="F695">
        <v>25</v>
      </c>
      <c r="H695">
        <v>25</v>
      </c>
      <c r="I695">
        <v>0.82</v>
      </c>
      <c r="J695">
        <v>137</v>
      </c>
    </row>
    <row r="696" spans="1:10" ht="14.25" customHeight="1" x14ac:dyDescent="0.25">
      <c r="A696" s="21">
        <v>28127</v>
      </c>
      <c r="B696" s="21"/>
      <c r="C696">
        <v>8.6</v>
      </c>
      <c r="D696">
        <v>3.4</v>
      </c>
      <c r="E696">
        <v>13</v>
      </c>
      <c r="F696">
        <v>25</v>
      </c>
      <c r="H696">
        <v>25</v>
      </c>
      <c r="I696">
        <v>1</v>
      </c>
      <c r="J696">
        <v>304</v>
      </c>
    </row>
    <row r="697" spans="1:10" ht="14.25" customHeight="1" x14ac:dyDescent="0.25">
      <c r="A697" s="21">
        <v>28131</v>
      </c>
      <c r="B697" s="21"/>
      <c r="C697">
        <v>13.5</v>
      </c>
      <c r="D697">
        <v>3.3</v>
      </c>
      <c r="E697">
        <v>23</v>
      </c>
      <c r="F697">
        <v>25</v>
      </c>
      <c r="H697">
        <v>25</v>
      </c>
      <c r="I697">
        <v>1.01</v>
      </c>
      <c r="J697">
        <v>287</v>
      </c>
    </row>
    <row r="698" spans="1:10" ht="14.25" customHeight="1" x14ac:dyDescent="0.25">
      <c r="A698" s="21">
        <v>28133</v>
      </c>
      <c r="B698" s="21"/>
      <c r="C698">
        <v>17.399999999999999</v>
      </c>
      <c r="D698">
        <v>3.6</v>
      </c>
      <c r="E698">
        <v>39</v>
      </c>
      <c r="F698">
        <v>25</v>
      </c>
      <c r="H698">
        <v>25</v>
      </c>
      <c r="I698">
        <v>1.01</v>
      </c>
      <c r="J698">
        <v>497</v>
      </c>
    </row>
    <row r="699" spans="1:10" ht="14.25" customHeight="1" x14ac:dyDescent="0.25">
      <c r="A699" s="21">
        <v>28135</v>
      </c>
      <c r="B699" s="21"/>
      <c r="C699">
        <v>12.9</v>
      </c>
      <c r="D699">
        <v>2.7</v>
      </c>
      <c r="E699">
        <v>24</v>
      </c>
      <c r="F699">
        <v>9</v>
      </c>
      <c r="H699">
        <v>9</v>
      </c>
      <c r="I699">
        <v>1.02</v>
      </c>
      <c r="J699">
        <v>105</v>
      </c>
    </row>
    <row r="700" spans="1:10" ht="14.25" customHeight="1" x14ac:dyDescent="0.25">
      <c r="A700" s="21">
        <v>28139</v>
      </c>
      <c r="B700" s="21"/>
      <c r="C700">
        <v>10.6</v>
      </c>
      <c r="D700">
        <v>3.2</v>
      </c>
      <c r="E700">
        <v>29</v>
      </c>
      <c r="F700">
        <v>25</v>
      </c>
      <c r="H700">
        <v>25</v>
      </c>
      <c r="I700">
        <v>1.02</v>
      </c>
      <c r="J700">
        <v>500</v>
      </c>
    </row>
    <row r="701" spans="1:10" ht="14.25" customHeight="1" x14ac:dyDescent="0.25">
      <c r="A701" s="21">
        <v>28147</v>
      </c>
      <c r="B701" s="21"/>
      <c r="C701">
        <v>4</v>
      </c>
      <c r="D701">
        <v>3.1</v>
      </c>
      <c r="E701">
        <v>9</v>
      </c>
      <c r="F701">
        <v>25</v>
      </c>
      <c r="H701">
        <v>25</v>
      </c>
      <c r="I701">
        <v>0.99</v>
      </c>
      <c r="J701">
        <v>106</v>
      </c>
    </row>
    <row r="702" spans="1:10" ht="14.25" customHeight="1" x14ac:dyDescent="0.25">
      <c r="A702" s="21">
        <v>28157</v>
      </c>
      <c r="B702" s="21"/>
      <c r="C702">
        <v>9</v>
      </c>
      <c r="D702">
        <v>3.6</v>
      </c>
      <c r="E702">
        <v>17</v>
      </c>
      <c r="F702">
        <v>16</v>
      </c>
      <c r="H702">
        <v>16</v>
      </c>
      <c r="I702">
        <v>1.08</v>
      </c>
      <c r="J702">
        <v>305</v>
      </c>
    </row>
    <row r="703" spans="1:10" ht="14.25" customHeight="1" x14ac:dyDescent="0.25">
      <c r="A703" s="21">
        <v>28163</v>
      </c>
      <c r="B703" s="21"/>
      <c r="C703">
        <v>11.6</v>
      </c>
      <c r="D703">
        <v>3.9</v>
      </c>
      <c r="E703">
        <v>29</v>
      </c>
      <c r="F703">
        <v>25</v>
      </c>
      <c r="H703">
        <v>25</v>
      </c>
      <c r="I703">
        <v>0.92</v>
      </c>
      <c r="J703">
        <v>417</v>
      </c>
    </row>
    <row r="704" spans="1:10" ht="14.25" customHeight="1" x14ac:dyDescent="0.25">
      <c r="A704" s="21">
        <v>29005</v>
      </c>
      <c r="B704" s="21"/>
      <c r="C704">
        <v>5.5</v>
      </c>
      <c r="D704">
        <v>3</v>
      </c>
      <c r="E704">
        <v>18</v>
      </c>
      <c r="F704">
        <v>16</v>
      </c>
      <c r="H704">
        <v>16</v>
      </c>
      <c r="I704">
        <v>0.91</v>
      </c>
      <c r="J704">
        <v>399</v>
      </c>
    </row>
    <row r="705" spans="1:10" ht="14.25" customHeight="1" x14ac:dyDescent="0.25">
      <c r="A705" s="21">
        <v>29009</v>
      </c>
      <c r="B705" s="21"/>
      <c r="C705">
        <v>2.9</v>
      </c>
      <c r="D705">
        <v>3.1</v>
      </c>
      <c r="E705">
        <v>27</v>
      </c>
      <c r="F705">
        <v>18</v>
      </c>
      <c r="H705">
        <v>18</v>
      </c>
      <c r="I705">
        <v>1.07</v>
      </c>
      <c r="J705">
        <v>236</v>
      </c>
    </row>
    <row r="706" spans="1:10" ht="14.25" customHeight="1" x14ac:dyDescent="0.25">
      <c r="A706" s="21">
        <v>29009</v>
      </c>
      <c r="B706" s="21"/>
      <c r="C706">
        <v>7.4</v>
      </c>
      <c r="D706">
        <v>2.5</v>
      </c>
      <c r="E706">
        <v>46</v>
      </c>
      <c r="F706">
        <v>25</v>
      </c>
      <c r="H706">
        <v>25</v>
      </c>
      <c r="I706">
        <v>1.17</v>
      </c>
      <c r="J706">
        <v>784</v>
      </c>
    </row>
    <row r="707" spans="1:10" ht="14.25" customHeight="1" x14ac:dyDescent="0.25">
      <c r="A707" s="21">
        <v>29011</v>
      </c>
      <c r="B707" s="21"/>
      <c r="C707">
        <v>6.4</v>
      </c>
      <c r="D707">
        <v>3.3</v>
      </c>
      <c r="E707">
        <v>28</v>
      </c>
      <c r="F707">
        <v>25</v>
      </c>
      <c r="H707">
        <v>25</v>
      </c>
      <c r="I707">
        <v>1.18</v>
      </c>
      <c r="J707">
        <v>390</v>
      </c>
    </row>
    <row r="708" spans="1:10" ht="14.25" customHeight="1" x14ac:dyDescent="0.25">
      <c r="A708" s="21">
        <v>29033</v>
      </c>
      <c r="B708" s="21"/>
      <c r="C708">
        <v>4.5999999999999996</v>
      </c>
      <c r="D708">
        <v>2.7</v>
      </c>
      <c r="E708">
        <v>26</v>
      </c>
      <c r="F708">
        <v>21</v>
      </c>
      <c r="H708">
        <v>21</v>
      </c>
      <c r="I708">
        <v>0.98</v>
      </c>
      <c r="J708">
        <v>232</v>
      </c>
    </row>
    <row r="709" spans="1:10" ht="14.25" customHeight="1" x14ac:dyDescent="0.25">
      <c r="A709" s="21">
        <v>29037</v>
      </c>
      <c r="B709" s="21"/>
      <c r="C709">
        <v>7.9</v>
      </c>
      <c r="D709">
        <v>3.2</v>
      </c>
      <c r="E709">
        <v>65</v>
      </c>
      <c r="F709">
        <v>25</v>
      </c>
      <c r="G709">
        <v>4</v>
      </c>
      <c r="H709">
        <v>25</v>
      </c>
      <c r="I709">
        <v>1.26</v>
      </c>
      <c r="J709">
        <v>939</v>
      </c>
    </row>
    <row r="710" spans="1:10" ht="14.25" customHeight="1" x14ac:dyDescent="0.25">
      <c r="A710" s="21">
        <v>29039</v>
      </c>
      <c r="B710" s="21"/>
      <c r="C710">
        <v>4.7</v>
      </c>
      <c r="D710">
        <v>3.4</v>
      </c>
      <c r="E710">
        <v>18</v>
      </c>
      <c r="F710">
        <v>25</v>
      </c>
      <c r="H710">
        <v>25</v>
      </c>
      <c r="I710">
        <v>0.93</v>
      </c>
      <c r="J710">
        <v>182</v>
      </c>
    </row>
    <row r="711" spans="1:10" ht="14.25" customHeight="1" x14ac:dyDescent="0.25">
      <c r="A711" s="21">
        <v>29047</v>
      </c>
      <c r="B711" s="21"/>
      <c r="C711">
        <v>3.6</v>
      </c>
      <c r="D711">
        <v>2.6</v>
      </c>
      <c r="E711">
        <v>48</v>
      </c>
      <c r="F711">
        <v>25</v>
      </c>
      <c r="H711">
        <v>25</v>
      </c>
      <c r="I711">
        <v>1.19</v>
      </c>
      <c r="J711">
        <v>187</v>
      </c>
    </row>
    <row r="712" spans="1:10" ht="14.25" customHeight="1" x14ac:dyDescent="0.25">
      <c r="A712" s="21">
        <v>29065</v>
      </c>
      <c r="B712" s="21"/>
      <c r="C712">
        <v>9.9</v>
      </c>
      <c r="D712">
        <v>3.4</v>
      </c>
      <c r="E712">
        <v>36</v>
      </c>
      <c r="F712">
        <v>25</v>
      </c>
      <c r="H712">
        <v>25</v>
      </c>
      <c r="I712">
        <v>0.98</v>
      </c>
      <c r="J712">
        <v>758</v>
      </c>
    </row>
    <row r="713" spans="1:10" ht="14.25" customHeight="1" x14ac:dyDescent="0.25">
      <c r="A713" s="21">
        <v>29071</v>
      </c>
      <c r="B713" s="21"/>
      <c r="C713">
        <v>13.1</v>
      </c>
      <c r="D713">
        <v>2.9</v>
      </c>
      <c r="E713">
        <v>47</v>
      </c>
      <c r="F713">
        <v>25</v>
      </c>
      <c r="H713">
        <v>25</v>
      </c>
      <c r="I713">
        <v>1.25</v>
      </c>
      <c r="J713" s="1">
        <v>1602</v>
      </c>
    </row>
    <row r="714" spans="1:10" ht="14.25" customHeight="1" x14ac:dyDescent="0.25">
      <c r="A714" s="21">
        <v>29073</v>
      </c>
      <c r="B714" s="21"/>
      <c r="C714">
        <v>9.8000000000000007</v>
      </c>
      <c r="D714">
        <v>3.3</v>
      </c>
      <c r="E714">
        <v>22</v>
      </c>
      <c r="F714">
        <v>24</v>
      </c>
      <c r="H714">
        <v>24</v>
      </c>
      <c r="I714">
        <v>1.04</v>
      </c>
      <c r="J714">
        <v>246</v>
      </c>
    </row>
    <row r="715" spans="1:10" ht="14.25" customHeight="1" x14ac:dyDescent="0.25">
      <c r="A715" s="21">
        <v>29075</v>
      </c>
      <c r="B715" s="21"/>
      <c r="C715">
        <v>5.7</v>
      </c>
      <c r="D715">
        <v>2</v>
      </c>
      <c r="E715">
        <v>11</v>
      </c>
      <c r="F715">
        <v>25</v>
      </c>
      <c r="H715">
        <v>25</v>
      </c>
      <c r="I715">
        <v>0.9</v>
      </c>
      <c r="J715">
        <v>432</v>
      </c>
    </row>
    <row r="716" spans="1:10" ht="14.25" customHeight="1" x14ac:dyDescent="0.25">
      <c r="A716" s="21">
        <v>29079</v>
      </c>
      <c r="B716" s="21"/>
      <c r="C716">
        <v>7.8</v>
      </c>
      <c r="D716">
        <v>3.5</v>
      </c>
      <c r="E716">
        <v>16</v>
      </c>
      <c r="F716">
        <v>21</v>
      </c>
      <c r="H716">
        <v>21</v>
      </c>
      <c r="I716">
        <v>1.23</v>
      </c>
      <c r="J716">
        <v>306</v>
      </c>
    </row>
    <row r="717" spans="1:10" ht="14.25" customHeight="1" x14ac:dyDescent="0.25">
      <c r="A717" s="21">
        <v>29081</v>
      </c>
      <c r="B717" s="21"/>
      <c r="C717">
        <v>6.4</v>
      </c>
      <c r="D717">
        <v>3.2</v>
      </c>
      <c r="E717">
        <v>22</v>
      </c>
      <c r="F717">
        <v>14</v>
      </c>
      <c r="H717">
        <v>14</v>
      </c>
      <c r="I717">
        <v>0.93</v>
      </c>
      <c r="J717">
        <v>219</v>
      </c>
    </row>
    <row r="718" spans="1:10" ht="14.25" customHeight="1" x14ac:dyDescent="0.25">
      <c r="A718" s="21">
        <v>29091</v>
      </c>
      <c r="B718" s="21"/>
      <c r="C718">
        <v>2.7</v>
      </c>
      <c r="D718">
        <v>3</v>
      </c>
      <c r="E718">
        <v>18</v>
      </c>
      <c r="F718">
        <v>25</v>
      </c>
      <c r="H718">
        <v>25</v>
      </c>
      <c r="I718">
        <v>1.18</v>
      </c>
      <c r="J718">
        <v>223</v>
      </c>
    </row>
    <row r="719" spans="1:10" ht="14.25" customHeight="1" x14ac:dyDescent="0.25">
      <c r="A719" s="21">
        <v>29093</v>
      </c>
      <c r="B719" s="21"/>
      <c r="C719">
        <v>4</v>
      </c>
      <c r="D719">
        <v>2.8</v>
      </c>
      <c r="E719">
        <v>23</v>
      </c>
      <c r="F719">
        <v>15</v>
      </c>
      <c r="H719">
        <v>15</v>
      </c>
      <c r="I719">
        <v>1.01</v>
      </c>
      <c r="J719">
        <v>149</v>
      </c>
    </row>
    <row r="720" spans="1:10" ht="14.25" customHeight="1" x14ac:dyDescent="0.25">
      <c r="A720" s="21">
        <v>29097</v>
      </c>
      <c r="B720" s="21"/>
      <c r="C720">
        <v>13.9</v>
      </c>
      <c r="D720">
        <v>3</v>
      </c>
      <c r="E720">
        <v>50</v>
      </c>
      <c r="F720">
        <v>25</v>
      </c>
      <c r="H720">
        <v>25</v>
      </c>
      <c r="I720">
        <v>1.36</v>
      </c>
      <c r="J720">
        <v>496</v>
      </c>
    </row>
    <row r="721" spans="1:10" ht="14.25" customHeight="1" x14ac:dyDescent="0.25">
      <c r="A721" s="21">
        <v>29107</v>
      </c>
      <c r="B721" s="21"/>
      <c r="C721">
        <v>7</v>
      </c>
      <c r="D721">
        <v>4.5</v>
      </c>
      <c r="E721">
        <v>34</v>
      </c>
      <c r="F721">
        <v>25</v>
      </c>
      <c r="G721">
        <v>2</v>
      </c>
      <c r="H721">
        <v>25</v>
      </c>
      <c r="I721">
        <v>1.1499999999999999</v>
      </c>
      <c r="J721">
        <v>775</v>
      </c>
    </row>
    <row r="722" spans="1:10" ht="14.25" customHeight="1" x14ac:dyDescent="0.25">
      <c r="A722" s="21">
        <v>29109</v>
      </c>
      <c r="B722" s="21"/>
      <c r="C722">
        <v>4.9000000000000004</v>
      </c>
      <c r="D722">
        <v>3.4</v>
      </c>
      <c r="E722">
        <v>24</v>
      </c>
      <c r="F722">
        <v>25</v>
      </c>
      <c r="H722">
        <v>25</v>
      </c>
      <c r="I722">
        <v>1.05</v>
      </c>
      <c r="J722">
        <v>499</v>
      </c>
    </row>
    <row r="723" spans="1:10" ht="14.25" customHeight="1" x14ac:dyDescent="0.25">
      <c r="A723" s="21">
        <v>29113</v>
      </c>
      <c r="B723" s="21"/>
      <c r="C723">
        <v>8.8000000000000007</v>
      </c>
      <c r="D723">
        <v>3.5</v>
      </c>
      <c r="E723">
        <v>58</v>
      </c>
      <c r="F723">
        <v>25</v>
      </c>
      <c r="G723">
        <v>4</v>
      </c>
      <c r="H723">
        <v>25</v>
      </c>
      <c r="I723">
        <v>1.17</v>
      </c>
      <c r="J723">
        <v>569</v>
      </c>
    </row>
    <row r="724" spans="1:10" ht="14.25" customHeight="1" x14ac:dyDescent="0.25">
      <c r="A724" s="21">
        <v>29115</v>
      </c>
      <c r="B724" s="21"/>
      <c r="C724">
        <v>3.1</v>
      </c>
      <c r="D724">
        <v>2.7</v>
      </c>
      <c r="E724">
        <v>28</v>
      </c>
      <c r="F724">
        <v>25</v>
      </c>
      <c r="H724">
        <v>25</v>
      </c>
      <c r="I724">
        <v>0.95</v>
      </c>
      <c r="J724">
        <v>191</v>
      </c>
    </row>
    <row r="725" spans="1:10" ht="14.25" customHeight="1" x14ac:dyDescent="0.25">
      <c r="A725" s="21">
        <v>29117</v>
      </c>
      <c r="B725" s="21"/>
      <c r="C725">
        <v>14.7</v>
      </c>
      <c r="D725">
        <v>2.9</v>
      </c>
      <c r="E725">
        <v>63</v>
      </c>
      <c r="F725">
        <v>25</v>
      </c>
      <c r="H725">
        <v>25</v>
      </c>
      <c r="I725">
        <v>1.2</v>
      </c>
      <c r="J725" s="1">
        <v>1194</v>
      </c>
    </row>
    <row r="726" spans="1:10" ht="14.25" customHeight="1" x14ac:dyDescent="0.25">
      <c r="A726" s="21">
        <v>29121</v>
      </c>
      <c r="B726" s="21"/>
      <c r="C726">
        <v>10.9</v>
      </c>
      <c r="D726">
        <v>3.6</v>
      </c>
      <c r="E726">
        <v>53</v>
      </c>
      <c r="F726">
        <v>25</v>
      </c>
      <c r="H726">
        <v>25</v>
      </c>
      <c r="I726">
        <v>0.91</v>
      </c>
      <c r="J726">
        <v>565</v>
      </c>
    </row>
    <row r="727" spans="1:10" ht="14.25" customHeight="1" x14ac:dyDescent="0.25">
      <c r="A727" s="21">
        <v>29123</v>
      </c>
      <c r="B727" s="21"/>
      <c r="C727">
        <v>5.9</v>
      </c>
      <c r="D727">
        <v>2.4</v>
      </c>
      <c r="E727">
        <v>37</v>
      </c>
      <c r="F727">
        <v>25</v>
      </c>
      <c r="H727">
        <v>25</v>
      </c>
      <c r="I727">
        <v>0.86</v>
      </c>
      <c r="J727">
        <v>203</v>
      </c>
    </row>
    <row r="728" spans="1:10" ht="14.25" customHeight="1" x14ac:dyDescent="0.25">
      <c r="A728" s="21">
        <v>29145</v>
      </c>
      <c r="B728" s="21"/>
      <c r="C728">
        <v>8.8000000000000007</v>
      </c>
      <c r="D728">
        <v>3.2</v>
      </c>
      <c r="E728">
        <v>31</v>
      </c>
      <c r="F728">
        <v>25</v>
      </c>
      <c r="H728">
        <v>25</v>
      </c>
      <c r="I728">
        <v>1.17</v>
      </c>
      <c r="J728">
        <v>718</v>
      </c>
    </row>
    <row r="729" spans="1:10" ht="14.25" customHeight="1" x14ac:dyDescent="0.25">
      <c r="A729" s="21">
        <v>29157</v>
      </c>
      <c r="B729" s="21"/>
      <c r="C729">
        <v>15.6</v>
      </c>
      <c r="D729">
        <v>3.1</v>
      </c>
      <c r="E729">
        <v>58</v>
      </c>
      <c r="F729">
        <v>25</v>
      </c>
      <c r="H729">
        <v>25</v>
      </c>
      <c r="I729">
        <v>1.22</v>
      </c>
      <c r="J729" s="1">
        <v>1506</v>
      </c>
    </row>
    <row r="730" spans="1:10" ht="14.25" customHeight="1" x14ac:dyDescent="0.25">
      <c r="A730" s="21">
        <v>29163</v>
      </c>
      <c r="B730" s="21"/>
      <c r="C730">
        <v>4.4000000000000004</v>
      </c>
      <c r="D730">
        <v>3.4</v>
      </c>
      <c r="E730">
        <v>36</v>
      </c>
      <c r="F730">
        <v>25</v>
      </c>
      <c r="H730">
        <v>25</v>
      </c>
      <c r="I730">
        <v>1.06</v>
      </c>
      <c r="J730">
        <v>212</v>
      </c>
    </row>
    <row r="731" spans="1:10" ht="14.25" customHeight="1" x14ac:dyDescent="0.25">
      <c r="A731" s="21">
        <v>29171</v>
      </c>
      <c r="B731" s="21"/>
      <c r="C731">
        <v>4.3</v>
      </c>
      <c r="D731">
        <v>2.8</v>
      </c>
      <c r="E731">
        <v>10</v>
      </c>
      <c r="F731">
        <v>15</v>
      </c>
      <c r="H731">
        <v>15</v>
      </c>
      <c r="I731">
        <v>0.93</v>
      </c>
      <c r="J731">
        <v>160</v>
      </c>
    </row>
    <row r="732" spans="1:10" ht="14.25" customHeight="1" x14ac:dyDescent="0.25">
      <c r="A732" s="21">
        <v>29177</v>
      </c>
      <c r="B732" s="21"/>
      <c r="C732">
        <v>8.4</v>
      </c>
      <c r="D732">
        <v>2.9</v>
      </c>
      <c r="E732">
        <v>35</v>
      </c>
      <c r="F732">
        <v>25</v>
      </c>
      <c r="H732">
        <v>25</v>
      </c>
      <c r="I732">
        <v>0.97</v>
      </c>
      <c r="J732">
        <v>597</v>
      </c>
    </row>
    <row r="733" spans="1:10" ht="14.25" customHeight="1" x14ac:dyDescent="0.25">
      <c r="A733" s="21">
        <v>29179</v>
      </c>
      <c r="B733" s="21"/>
      <c r="C733">
        <v>0.7</v>
      </c>
      <c r="D733">
        <v>0.6</v>
      </c>
      <c r="J733">
        <v>95</v>
      </c>
    </row>
    <row r="734" spans="1:10" ht="14.25" customHeight="1" x14ac:dyDescent="0.25">
      <c r="A734" s="21">
        <v>29185</v>
      </c>
      <c r="B734" s="21"/>
      <c r="C734">
        <v>1.6</v>
      </c>
      <c r="D734">
        <v>3.4</v>
      </c>
      <c r="E734">
        <v>7</v>
      </c>
      <c r="F734">
        <v>25</v>
      </c>
      <c r="H734">
        <v>12</v>
      </c>
      <c r="I734">
        <v>0.94</v>
      </c>
      <c r="J734">
        <v>93</v>
      </c>
    </row>
    <row r="735" spans="1:10" ht="14.25" customHeight="1" x14ac:dyDescent="0.25">
      <c r="A735" s="21">
        <v>29186</v>
      </c>
      <c r="B735" s="21"/>
      <c r="C735">
        <v>10.4</v>
      </c>
      <c r="D735">
        <v>2.9</v>
      </c>
      <c r="E735">
        <v>67</v>
      </c>
      <c r="F735">
        <v>25</v>
      </c>
      <c r="H735">
        <v>25</v>
      </c>
      <c r="I735">
        <v>1.18</v>
      </c>
      <c r="J735">
        <v>736</v>
      </c>
    </row>
    <row r="736" spans="1:10" ht="14.25" customHeight="1" x14ac:dyDescent="0.25">
      <c r="A736" s="21">
        <v>29187</v>
      </c>
      <c r="B736" s="21"/>
      <c r="C736">
        <v>0.1</v>
      </c>
      <c r="D736">
        <v>1.2</v>
      </c>
      <c r="E736">
        <v>11</v>
      </c>
      <c r="F736">
        <v>3</v>
      </c>
      <c r="H736">
        <v>3</v>
      </c>
      <c r="I736">
        <v>1.22</v>
      </c>
      <c r="J736">
        <v>15</v>
      </c>
    </row>
    <row r="737" spans="1:10" ht="14.25" customHeight="1" x14ac:dyDescent="0.25">
      <c r="A737" s="21">
        <v>29195</v>
      </c>
      <c r="B737" s="21"/>
      <c r="C737">
        <v>2.7</v>
      </c>
      <c r="D737">
        <v>4.9000000000000004</v>
      </c>
      <c r="I737">
        <v>0.9</v>
      </c>
      <c r="J737">
        <v>59</v>
      </c>
    </row>
    <row r="738" spans="1:10" ht="14.25" customHeight="1" x14ac:dyDescent="0.25">
      <c r="A738" s="21">
        <v>29199</v>
      </c>
      <c r="B738" s="21"/>
      <c r="C738">
        <v>8.6</v>
      </c>
      <c r="D738">
        <v>3.1</v>
      </c>
      <c r="E738">
        <v>29</v>
      </c>
      <c r="F738">
        <v>25</v>
      </c>
      <c r="H738">
        <v>25</v>
      </c>
      <c r="I738">
        <v>0.99</v>
      </c>
      <c r="J738">
        <v>490</v>
      </c>
    </row>
    <row r="739" spans="1:10" ht="14.25" customHeight="1" x14ac:dyDescent="0.25">
      <c r="A739" s="21">
        <v>29211</v>
      </c>
      <c r="B739" s="21"/>
      <c r="C739">
        <v>9.5</v>
      </c>
      <c r="D739">
        <v>2.7</v>
      </c>
      <c r="E739">
        <v>10</v>
      </c>
      <c r="F739">
        <v>16</v>
      </c>
      <c r="H739">
        <v>16</v>
      </c>
      <c r="I739">
        <v>0.86</v>
      </c>
      <c r="J739">
        <v>132</v>
      </c>
    </row>
    <row r="740" spans="1:10" ht="14.25" customHeight="1" x14ac:dyDescent="0.25">
      <c r="A740" s="21">
        <v>29221</v>
      </c>
      <c r="B740" s="21"/>
      <c r="C740">
        <v>11</v>
      </c>
      <c r="D740">
        <v>3.2</v>
      </c>
      <c r="E740">
        <v>57</v>
      </c>
      <c r="F740">
        <v>25</v>
      </c>
      <c r="H740">
        <v>25</v>
      </c>
      <c r="I740">
        <v>0.9</v>
      </c>
      <c r="J740">
        <v>647</v>
      </c>
    </row>
    <row r="741" spans="1:10" ht="14.25" customHeight="1" x14ac:dyDescent="0.25">
      <c r="A741" s="21">
        <v>30001</v>
      </c>
      <c r="B741" s="21"/>
      <c r="C741">
        <v>6.1</v>
      </c>
      <c r="D741">
        <v>3.2</v>
      </c>
      <c r="E741">
        <v>39</v>
      </c>
      <c r="F741">
        <v>18</v>
      </c>
      <c r="H741">
        <v>18</v>
      </c>
      <c r="I741">
        <v>1.2</v>
      </c>
      <c r="J741">
        <v>532</v>
      </c>
    </row>
    <row r="742" spans="1:10" ht="14.25" customHeight="1" x14ac:dyDescent="0.25">
      <c r="A742" s="21">
        <v>30003</v>
      </c>
      <c r="B742" s="21"/>
      <c r="C742">
        <v>4.9000000000000004</v>
      </c>
      <c r="D742">
        <v>2.4</v>
      </c>
      <c r="E742">
        <v>20</v>
      </c>
      <c r="F742">
        <v>25</v>
      </c>
      <c r="H742">
        <v>25</v>
      </c>
      <c r="I742">
        <v>0.92</v>
      </c>
      <c r="J742">
        <v>115</v>
      </c>
    </row>
    <row r="743" spans="1:10" ht="14.25" customHeight="1" x14ac:dyDescent="0.25">
      <c r="A743" s="21">
        <v>30003</v>
      </c>
      <c r="B743" s="21"/>
      <c r="C743">
        <v>2.6</v>
      </c>
      <c r="D743">
        <v>3.5</v>
      </c>
      <c r="E743">
        <v>32</v>
      </c>
      <c r="F743">
        <v>24</v>
      </c>
      <c r="H743">
        <v>24</v>
      </c>
      <c r="I743">
        <v>0.93</v>
      </c>
      <c r="J743">
        <v>271</v>
      </c>
    </row>
    <row r="744" spans="1:10" ht="14.25" customHeight="1" x14ac:dyDescent="0.25">
      <c r="A744" s="21">
        <v>30005</v>
      </c>
      <c r="B744" s="21"/>
      <c r="C744">
        <v>0.1</v>
      </c>
      <c r="D744">
        <v>1.2</v>
      </c>
      <c r="E744">
        <v>17</v>
      </c>
      <c r="F744">
        <v>6</v>
      </c>
      <c r="H744">
        <v>6</v>
      </c>
      <c r="I744">
        <v>0.78</v>
      </c>
      <c r="J744">
        <v>15</v>
      </c>
    </row>
    <row r="745" spans="1:10" ht="14.25" customHeight="1" x14ac:dyDescent="0.25">
      <c r="A745" s="21">
        <v>30007</v>
      </c>
      <c r="B745" s="21"/>
      <c r="C745">
        <v>20.7</v>
      </c>
      <c r="D745">
        <v>2.4</v>
      </c>
      <c r="E745">
        <v>12</v>
      </c>
      <c r="F745">
        <v>25</v>
      </c>
      <c r="H745">
        <v>25</v>
      </c>
      <c r="I745">
        <v>0.98</v>
      </c>
      <c r="J745">
        <v>53</v>
      </c>
    </row>
    <row r="746" spans="1:10" ht="14.25" customHeight="1" x14ac:dyDescent="0.25">
      <c r="A746" s="21">
        <v>30009</v>
      </c>
      <c r="B746" s="21"/>
      <c r="C746">
        <v>5.6</v>
      </c>
      <c r="D746">
        <v>3.4</v>
      </c>
      <c r="E746">
        <v>9</v>
      </c>
      <c r="F746">
        <v>10</v>
      </c>
      <c r="H746">
        <v>10</v>
      </c>
      <c r="I746">
        <v>0.98</v>
      </c>
      <c r="J746">
        <v>169</v>
      </c>
    </row>
    <row r="747" spans="1:10" ht="14.25" customHeight="1" x14ac:dyDescent="0.25">
      <c r="A747" s="21">
        <v>30011</v>
      </c>
      <c r="B747" s="21"/>
      <c r="C747">
        <v>15.8</v>
      </c>
      <c r="D747">
        <v>3.4</v>
      </c>
      <c r="E747">
        <v>5</v>
      </c>
      <c r="F747">
        <v>25</v>
      </c>
      <c r="H747">
        <v>25</v>
      </c>
      <c r="I747">
        <v>0.94</v>
      </c>
      <c r="J747">
        <v>13</v>
      </c>
    </row>
    <row r="748" spans="1:10" ht="14.25" customHeight="1" x14ac:dyDescent="0.25">
      <c r="A748" s="21">
        <v>30015</v>
      </c>
      <c r="B748" s="21"/>
      <c r="C748">
        <v>18.100000000000001</v>
      </c>
      <c r="D748">
        <v>2.5</v>
      </c>
      <c r="E748">
        <v>5</v>
      </c>
      <c r="F748">
        <v>25</v>
      </c>
      <c r="H748">
        <v>25</v>
      </c>
      <c r="I748">
        <v>0.79</v>
      </c>
      <c r="J748">
        <v>14</v>
      </c>
    </row>
    <row r="749" spans="1:10" ht="14.25" customHeight="1" x14ac:dyDescent="0.25">
      <c r="A749" s="21">
        <v>30015</v>
      </c>
      <c r="B749" s="21"/>
      <c r="C749">
        <v>0.9</v>
      </c>
      <c r="D749">
        <v>2.5</v>
      </c>
      <c r="E749">
        <v>2</v>
      </c>
      <c r="F749">
        <v>8</v>
      </c>
      <c r="H749">
        <v>8</v>
      </c>
      <c r="I749">
        <v>0.84</v>
      </c>
      <c r="J749">
        <v>18</v>
      </c>
    </row>
    <row r="750" spans="1:10" ht="14.25" customHeight="1" x14ac:dyDescent="0.25">
      <c r="A750" s="21">
        <v>30017</v>
      </c>
      <c r="B750" s="21"/>
      <c r="C750">
        <v>14</v>
      </c>
      <c r="D750">
        <v>2</v>
      </c>
      <c r="E750">
        <v>54</v>
      </c>
      <c r="F750">
        <v>25</v>
      </c>
      <c r="G750">
        <v>4</v>
      </c>
      <c r="H750">
        <v>25</v>
      </c>
      <c r="I750">
        <v>1.43</v>
      </c>
      <c r="J750" s="1">
        <v>1468</v>
      </c>
    </row>
    <row r="751" spans="1:10" ht="14.25" customHeight="1" x14ac:dyDescent="0.25">
      <c r="A751" s="21">
        <v>30019</v>
      </c>
      <c r="B751" s="21"/>
      <c r="C751">
        <v>20.8</v>
      </c>
      <c r="D751">
        <v>2.9</v>
      </c>
      <c r="E751">
        <v>4</v>
      </c>
      <c r="F751">
        <v>25</v>
      </c>
      <c r="H751">
        <v>25</v>
      </c>
      <c r="I751">
        <v>0.89</v>
      </c>
      <c r="J751">
        <v>54</v>
      </c>
    </row>
    <row r="752" spans="1:10" ht="14.25" customHeight="1" x14ac:dyDescent="0.25">
      <c r="A752" s="21">
        <v>30021</v>
      </c>
      <c r="B752" s="21"/>
      <c r="C752">
        <v>7.6</v>
      </c>
      <c r="D752">
        <v>2.6</v>
      </c>
      <c r="E752">
        <v>34</v>
      </c>
      <c r="F752">
        <v>25</v>
      </c>
      <c r="G752">
        <v>3</v>
      </c>
      <c r="H752">
        <v>25</v>
      </c>
      <c r="I752">
        <v>1.1299999999999999</v>
      </c>
      <c r="J752">
        <v>421</v>
      </c>
    </row>
    <row r="753" spans="1:10" ht="14.25" customHeight="1" x14ac:dyDescent="0.25">
      <c r="A753" s="21">
        <v>30023</v>
      </c>
      <c r="B753" s="21"/>
      <c r="C753">
        <v>13.9</v>
      </c>
      <c r="D753">
        <v>3</v>
      </c>
      <c r="E753">
        <v>51</v>
      </c>
      <c r="F753">
        <v>25</v>
      </c>
      <c r="H753">
        <v>25</v>
      </c>
      <c r="I753">
        <v>1.39</v>
      </c>
      <c r="J753" s="1">
        <v>1134</v>
      </c>
    </row>
    <row r="754" spans="1:10" ht="14.25" customHeight="1" x14ac:dyDescent="0.25">
      <c r="A754" s="21">
        <v>30025</v>
      </c>
      <c r="B754" s="21"/>
      <c r="C754">
        <v>14.9</v>
      </c>
      <c r="D754">
        <v>2.2999999999999998</v>
      </c>
      <c r="E754">
        <v>8</v>
      </c>
      <c r="F754">
        <v>25</v>
      </c>
      <c r="H754">
        <v>25</v>
      </c>
      <c r="I754">
        <v>0.87</v>
      </c>
      <c r="J754">
        <v>109</v>
      </c>
    </row>
    <row r="755" spans="1:10" ht="14.25" customHeight="1" x14ac:dyDescent="0.25">
      <c r="A755" s="21">
        <v>30027</v>
      </c>
      <c r="B755" s="21"/>
      <c r="C755">
        <v>9.1999999999999993</v>
      </c>
      <c r="D755">
        <v>3.1</v>
      </c>
      <c r="E755">
        <v>43</v>
      </c>
      <c r="F755">
        <v>23</v>
      </c>
      <c r="H755">
        <v>23</v>
      </c>
      <c r="I755">
        <v>1.1200000000000001</v>
      </c>
      <c r="J755">
        <v>594</v>
      </c>
    </row>
    <row r="756" spans="1:10" ht="14.25" customHeight="1" x14ac:dyDescent="0.25">
      <c r="A756" s="21">
        <v>30029</v>
      </c>
      <c r="B756" s="21"/>
      <c r="C756">
        <v>12.8</v>
      </c>
      <c r="D756">
        <v>2.9</v>
      </c>
      <c r="E756">
        <v>90</v>
      </c>
      <c r="F756">
        <v>25</v>
      </c>
      <c r="G756">
        <v>4</v>
      </c>
      <c r="H756">
        <v>25</v>
      </c>
      <c r="I756">
        <v>1.44</v>
      </c>
      <c r="J756" s="1">
        <v>1540</v>
      </c>
    </row>
    <row r="757" spans="1:10" ht="14.25" customHeight="1" x14ac:dyDescent="0.25">
      <c r="A757" s="21">
        <v>30031</v>
      </c>
      <c r="B757" s="21"/>
      <c r="C757">
        <v>0.2</v>
      </c>
      <c r="D757">
        <v>2.1</v>
      </c>
      <c r="E757">
        <v>6</v>
      </c>
      <c r="F757">
        <v>4</v>
      </c>
      <c r="H757">
        <v>4</v>
      </c>
      <c r="I757">
        <v>0.99</v>
      </c>
      <c r="J757">
        <v>49</v>
      </c>
    </row>
    <row r="758" spans="1:10" ht="14.25" customHeight="1" x14ac:dyDescent="0.25">
      <c r="A758" s="21">
        <v>30033</v>
      </c>
      <c r="B758" s="21"/>
      <c r="C758">
        <v>0</v>
      </c>
      <c r="D758">
        <v>2.2999999999999998</v>
      </c>
      <c r="E758">
        <v>3</v>
      </c>
      <c r="F758">
        <v>4</v>
      </c>
      <c r="H758">
        <v>4</v>
      </c>
      <c r="I758">
        <v>0.74</v>
      </c>
      <c r="J758">
        <v>4</v>
      </c>
    </row>
    <row r="759" spans="1:10" ht="14.25" customHeight="1" x14ac:dyDescent="0.25">
      <c r="A759" s="21">
        <v>30035</v>
      </c>
      <c r="B759" s="21"/>
      <c r="C759">
        <v>2.2000000000000002</v>
      </c>
      <c r="D759">
        <v>2.7</v>
      </c>
      <c r="E759">
        <v>19</v>
      </c>
      <c r="F759">
        <v>20</v>
      </c>
      <c r="H759">
        <v>20</v>
      </c>
      <c r="I759">
        <v>0.88</v>
      </c>
      <c r="J759">
        <v>123</v>
      </c>
    </row>
    <row r="760" spans="1:10" ht="14.25" customHeight="1" x14ac:dyDescent="0.25">
      <c r="A760" s="21">
        <v>30039</v>
      </c>
      <c r="B760" s="21"/>
      <c r="C760">
        <v>21</v>
      </c>
      <c r="D760">
        <v>2.7</v>
      </c>
      <c r="E760">
        <v>4</v>
      </c>
      <c r="F760">
        <v>25</v>
      </c>
      <c r="H760">
        <v>25</v>
      </c>
      <c r="I760">
        <v>0.95</v>
      </c>
      <c r="J760">
        <v>18</v>
      </c>
    </row>
    <row r="761" spans="1:10" ht="14.25" customHeight="1" x14ac:dyDescent="0.25">
      <c r="A761" s="21">
        <v>30047</v>
      </c>
      <c r="B761" s="21"/>
      <c r="C761">
        <v>11.3</v>
      </c>
      <c r="D761">
        <v>3.3</v>
      </c>
      <c r="E761">
        <v>47</v>
      </c>
      <c r="F761">
        <v>25</v>
      </c>
      <c r="H761">
        <v>25</v>
      </c>
      <c r="I761">
        <v>0.93</v>
      </c>
      <c r="J761">
        <v>750</v>
      </c>
    </row>
    <row r="762" spans="1:10" ht="14.25" customHeight="1" x14ac:dyDescent="0.25">
      <c r="A762" s="21">
        <v>30047</v>
      </c>
      <c r="B762" s="21"/>
      <c r="C762">
        <v>6.2</v>
      </c>
      <c r="D762">
        <v>3</v>
      </c>
      <c r="E762">
        <v>34</v>
      </c>
      <c r="F762">
        <v>22</v>
      </c>
      <c r="H762">
        <v>22</v>
      </c>
      <c r="I762">
        <v>1.39</v>
      </c>
      <c r="J762">
        <v>665</v>
      </c>
    </row>
    <row r="763" spans="1:10" ht="14.25" customHeight="1" x14ac:dyDescent="0.25">
      <c r="A763" s="21">
        <v>30051</v>
      </c>
      <c r="B763" s="21"/>
      <c r="C763">
        <v>21.1</v>
      </c>
      <c r="D763">
        <v>2.4</v>
      </c>
      <c r="E763">
        <v>5</v>
      </c>
      <c r="F763">
        <v>25</v>
      </c>
      <c r="H763">
        <v>25</v>
      </c>
      <c r="I763">
        <v>0.94</v>
      </c>
      <c r="J763">
        <v>49</v>
      </c>
    </row>
    <row r="764" spans="1:10" ht="14.25" customHeight="1" x14ac:dyDescent="0.25">
      <c r="A764" s="21">
        <v>30053</v>
      </c>
      <c r="B764" s="21"/>
      <c r="C764">
        <v>6.8</v>
      </c>
      <c r="D764">
        <v>2.2000000000000002</v>
      </c>
      <c r="E764">
        <v>46</v>
      </c>
      <c r="F764">
        <v>25</v>
      </c>
      <c r="H764">
        <v>25</v>
      </c>
      <c r="I764">
        <v>1.1299999999999999</v>
      </c>
      <c r="J764">
        <v>960</v>
      </c>
    </row>
    <row r="765" spans="1:10" ht="14.25" customHeight="1" x14ac:dyDescent="0.25">
      <c r="A765" s="21">
        <v>30055</v>
      </c>
      <c r="B765" s="21"/>
      <c r="C765">
        <v>16.100000000000001</v>
      </c>
      <c r="D765">
        <v>2.5</v>
      </c>
      <c r="E765">
        <v>2</v>
      </c>
      <c r="F765">
        <v>30</v>
      </c>
      <c r="H765">
        <v>25</v>
      </c>
      <c r="I765">
        <v>0.92</v>
      </c>
      <c r="J765">
        <v>33</v>
      </c>
    </row>
    <row r="766" spans="1:10" ht="14.25" customHeight="1" x14ac:dyDescent="0.25">
      <c r="A766" s="21">
        <v>30057</v>
      </c>
      <c r="B766" s="21"/>
      <c r="C766">
        <v>2.2999999999999998</v>
      </c>
      <c r="D766">
        <v>3.6</v>
      </c>
      <c r="E766">
        <v>7</v>
      </c>
      <c r="F766">
        <v>10</v>
      </c>
      <c r="H766">
        <v>10</v>
      </c>
      <c r="I766">
        <v>0.85</v>
      </c>
      <c r="J766">
        <v>99</v>
      </c>
    </row>
    <row r="767" spans="1:10" ht="14.25" customHeight="1" x14ac:dyDescent="0.25">
      <c r="A767" s="21">
        <v>30057</v>
      </c>
      <c r="B767" s="21"/>
      <c r="C767">
        <v>3.3</v>
      </c>
      <c r="D767">
        <v>3</v>
      </c>
      <c r="E767">
        <v>10</v>
      </c>
      <c r="F767">
        <v>10</v>
      </c>
      <c r="H767">
        <v>10</v>
      </c>
      <c r="I767">
        <v>1</v>
      </c>
      <c r="J767">
        <v>114</v>
      </c>
    </row>
    <row r="768" spans="1:10" ht="14.25" customHeight="1" x14ac:dyDescent="0.25">
      <c r="A768" s="21">
        <v>30059</v>
      </c>
      <c r="B768" s="21"/>
      <c r="C768">
        <v>17.3</v>
      </c>
      <c r="D768">
        <v>2.2999999999999998</v>
      </c>
      <c r="E768">
        <v>7</v>
      </c>
      <c r="F768">
        <v>25</v>
      </c>
      <c r="H768">
        <v>25</v>
      </c>
      <c r="I768">
        <v>0.88</v>
      </c>
      <c r="J768">
        <v>66</v>
      </c>
    </row>
    <row r="769" spans="1:10" ht="14.25" customHeight="1" x14ac:dyDescent="0.25">
      <c r="A769" s="21">
        <v>30061</v>
      </c>
      <c r="B769" s="21"/>
      <c r="C769">
        <v>15.7</v>
      </c>
      <c r="D769">
        <v>1.6</v>
      </c>
      <c r="E769">
        <v>6</v>
      </c>
      <c r="F769">
        <v>24</v>
      </c>
      <c r="H769">
        <v>24</v>
      </c>
      <c r="I769">
        <v>0.9</v>
      </c>
      <c r="J769">
        <v>144</v>
      </c>
    </row>
    <row r="770" spans="1:10" ht="14.25" customHeight="1" x14ac:dyDescent="0.25">
      <c r="A770" s="21">
        <v>30065</v>
      </c>
      <c r="B770" s="21"/>
      <c r="C770">
        <v>21.1</v>
      </c>
      <c r="D770">
        <v>2.8</v>
      </c>
      <c r="E770">
        <v>15</v>
      </c>
      <c r="F770">
        <v>25</v>
      </c>
      <c r="H770">
        <v>25</v>
      </c>
      <c r="I770">
        <v>0.97</v>
      </c>
      <c r="J770">
        <v>80</v>
      </c>
    </row>
    <row r="771" spans="1:10" ht="14.25" customHeight="1" x14ac:dyDescent="0.25">
      <c r="A771" s="21">
        <v>30067</v>
      </c>
      <c r="B771" s="21"/>
      <c r="C771">
        <v>10.8</v>
      </c>
      <c r="D771">
        <v>3.6</v>
      </c>
      <c r="E771">
        <v>53</v>
      </c>
      <c r="F771">
        <v>25</v>
      </c>
      <c r="G771">
        <v>4</v>
      </c>
      <c r="H771">
        <v>25</v>
      </c>
      <c r="I771">
        <v>1.1200000000000001</v>
      </c>
      <c r="J771">
        <v>931</v>
      </c>
    </row>
    <row r="772" spans="1:10" ht="14.25" customHeight="1" x14ac:dyDescent="0.25">
      <c r="A772" s="21">
        <v>30071</v>
      </c>
      <c r="B772" s="21"/>
      <c r="C772">
        <v>1.5</v>
      </c>
      <c r="D772">
        <v>2.7</v>
      </c>
      <c r="E772">
        <v>6</v>
      </c>
      <c r="F772">
        <v>6</v>
      </c>
      <c r="H772">
        <v>6</v>
      </c>
      <c r="I772">
        <v>0.83</v>
      </c>
      <c r="J772">
        <v>145</v>
      </c>
    </row>
    <row r="773" spans="1:10" ht="14.25" customHeight="1" x14ac:dyDescent="0.25">
      <c r="A773" s="21">
        <v>30073</v>
      </c>
      <c r="B773" s="21"/>
      <c r="C773">
        <v>2.7</v>
      </c>
      <c r="D773">
        <v>2.7</v>
      </c>
      <c r="E773">
        <v>9</v>
      </c>
      <c r="F773">
        <v>20</v>
      </c>
      <c r="H773">
        <v>20</v>
      </c>
      <c r="I773">
        <v>0.96</v>
      </c>
      <c r="J773">
        <v>63</v>
      </c>
    </row>
    <row r="774" spans="1:10" ht="14.25" customHeight="1" x14ac:dyDescent="0.25">
      <c r="A774" s="21">
        <v>30077</v>
      </c>
      <c r="B774" s="21"/>
      <c r="C774">
        <v>3.1</v>
      </c>
      <c r="D774">
        <v>3</v>
      </c>
      <c r="E774">
        <v>13</v>
      </c>
      <c r="F774">
        <v>16</v>
      </c>
      <c r="H774">
        <v>16</v>
      </c>
      <c r="I774">
        <v>0.93</v>
      </c>
      <c r="J774">
        <v>170</v>
      </c>
    </row>
    <row r="775" spans="1:10" ht="14.25" customHeight="1" x14ac:dyDescent="0.25">
      <c r="A775" s="21">
        <v>30079</v>
      </c>
      <c r="B775" s="21"/>
      <c r="C775">
        <v>20.8</v>
      </c>
      <c r="D775">
        <v>2.2000000000000002</v>
      </c>
      <c r="E775">
        <v>2</v>
      </c>
      <c r="F775">
        <v>22</v>
      </c>
      <c r="H775">
        <v>22</v>
      </c>
      <c r="I775">
        <v>0.85</v>
      </c>
      <c r="J775">
        <v>14</v>
      </c>
    </row>
    <row r="776" spans="1:10" ht="14.25" customHeight="1" x14ac:dyDescent="0.25">
      <c r="A776" s="21">
        <v>30081</v>
      </c>
      <c r="B776" s="21"/>
      <c r="C776">
        <v>14.2</v>
      </c>
      <c r="D776">
        <v>2.7</v>
      </c>
      <c r="E776">
        <v>76</v>
      </c>
      <c r="F776">
        <v>25</v>
      </c>
      <c r="G776">
        <v>5</v>
      </c>
      <c r="H776">
        <v>25</v>
      </c>
      <c r="I776">
        <v>1.27</v>
      </c>
      <c r="J776" s="1">
        <v>1517</v>
      </c>
    </row>
    <row r="777" spans="1:10" ht="14.25" customHeight="1" x14ac:dyDescent="0.25">
      <c r="A777" s="21">
        <v>30083</v>
      </c>
      <c r="B777" s="21"/>
      <c r="C777">
        <v>12.7</v>
      </c>
      <c r="D777">
        <v>2.7</v>
      </c>
      <c r="E777">
        <v>53</v>
      </c>
      <c r="F777">
        <v>25</v>
      </c>
      <c r="H777">
        <v>25</v>
      </c>
      <c r="I777">
        <v>1.1399999999999999</v>
      </c>
      <c r="J777" s="1">
        <v>1301</v>
      </c>
    </row>
    <row r="778" spans="1:10" ht="14.25" customHeight="1" x14ac:dyDescent="0.25">
      <c r="A778" s="21">
        <v>30085</v>
      </c>
      <c r="B778" s="21"/>
      <c r="C778">
        <v>3</v>
      </c>
      <c r="D778">
        <v>2.5</v>
      </c>
      <c r="E778">
        <v>16</v>
      </c>
      <c r="F778">
        <v>22</v>
      </c>
      <c r="H778">
        <v>22</v>
      </c>
      <c r="I778">
        <v>0.94</v>
      </c>
      <c r="J778">
        <v>305</v>
      </c>
    </row>
    <row r="779" spans="1:10" ht="14.25" customHeight="1" x14ac:dyDescent="0.25">
      <c r="A779" s="21">
        <v>30085</v>
      </c>
      <c r="B779" s="21"/>
      <c r="C779">
        <v>21.9</v>
      </c>
      <c r="D779">
        <v>2.8</v>
      </c>
      <c r="E779">
        <v>3</v>
      </c>
      <c r="F779">
        <v>33</v>
      </c>
      <c r="H779">
        <v>33</v>
      </c>
      <c r="I779">
        <v>0.98</v>
      </c>
      <c r="J779">
        <v>35</v>
      </c>
    </row>
    <row r="780" spans="1:10" ht="14.25" customHeight="1" x14ac:dyDescent="0.25">
      <c r="A780" s="21">
        <v>30085</v>
      </c>
      <c r="B780" s="21"/>
      <c r="C780">
        <v>4.8</v>
      </c>
      <c r="D780">
        <v>2.2000000000000002</v>
      </c>
      <c r="E780">
        <v>8</v>
      </c>
      <c r="F780">
        <v>20</v>
      </c>
      <c r="H780">
        <v>20</v>
      </c>
      <c r="I780">
        <v>0.91</v>
      </c>
      <c r="J780">
        <v>129</v>
      </c>
    </row>
    <row r="781" spans="1:10" ht="14.25" customHeight="1" x14ac:dyDescent="0.25">
      <c r="A781" s="21">
        <v>30087</v>
      </c>
      <c r="B781" s="21"/>
      <c r="C781">
        <v>8.6</v>
      </c>
      <c r="D781">
        <v>2.7</v>
      </c>
      <c r="E781">
        <v>5</v>
      </c>
      <c r="F781">
        <v>25</v>
      </c>
      <c r="G781">
        <v>1</v>
      </c>
      <c r="H781">
        <v>25</v>
      </c>
      <c r="I781">
        <v>0.94</v>
      </c>
      <c r="J781">
        <v>105</v>
      </c>
    </row>
    <row r="782" spans="1:10" ht="14.25" customHeight="1" x14ac:dyDescent="0.25">
      <c r="A782" s="21">
        <v>30089</v>
      </c>
      <c r="B782" s="21"/>
      <c r="C782">
        <v>5</v>
      </c>
      <c r="D782">
        <v>2.8</v>
      </c>
      <c r="E782">
        <v>20</v>
      </c>
      <c r="F782">
        <v>16</v>
      </c>
      <c r="H782">
        <v>16</v>
      </c>
      <c r="I782">
        <v>1.03</v>
      </c>
      <c r="J782">
        <v>420</v>
      </c>
    </row>
    <row r="783" spans="1:10" ht="14.25" customHeight="1" x14ac:dyDescent="0.25">
      <c r="A783" s="21">
        <v>30091</v>
      </c>
      <c r="B783" s="21"/>
      <c r="C783">
        <v>4.3</v>
      </c>
      <c r="D783">
        <v>3.1</v>
      </c>
      <c r="E783">
        <v>11</v>
      </c>
      <c r="F783">
        <v>19</v>
      </c>
      <c r="H783">
        <v>19</v>
      </c>
      <c r="I783">
        <v>1.01</v>
      </c>
      <c r="J783">
        <v>118</v>
      </c>
    </row>
    <row r="784" spans="1:10" ht="14.25" customHeight="1" x14ac:dyDescent="0.25">
      <c r="A784" s="21">
        <v>30095</v>
      </c>
      <c r="B784" s="21"/>
      <c r="C784">
        <v>3.6</v>
      </c>
      <c r="D784">
        <v>3.9</v>
      </c>
      <c r="E784">
        <v>6</v>
      </c>
      <c r="F784">
        <v>10</v>
      </c>
      <c r="H784">
        <v>10</v>
      </c>
      <c r="I784">
        <v>0.94</v>
      </c>
      <c r="J784">
        <v>107</v>
      </c>
    </row>
    <row r="785" spans="1:10" ht="14.25" customHeight="1" x14ac:dyDescent="0.25">
      <c r="A785" s="21">
        <v>30097</v>
      </c>
      <c r="B785" s="21"/>
      <c r="C785">
        <v>20.5</v>
      </c>
      <c r="D785">
        <v>3.1</v>
      </c>
      <c r="E785">
        <v>6</v>
      </c>
      <c r="F785">
        <v>25</v>
      </c>
      <c r="H785">
        <v>25</v>
      </c>
      <c r="I785">
        <v>0.87</v>
      </c>
      <c r="J785">
        <v>102</v>
      </c>
    </row>
    <row r="786" spans="1:10" ht="14.25" customHeight="1" x14ac:dyDescent="0.25">
      <c r="A786" s="21">
        <v>30099</v>
      </c>
      <c r="B786" s="21"/>
      <c r="C786">
        <v>22.5</v>
      </c>
      <c r="D786">
        <v>2.6</v>
      </c>
      <c r="E786">
        <v>8</v>
      </c>
      <c r="F786">
        <v>25</v>
      </c>
      <c r="H786">
        <v>25</v>
      </c>
      <c r="I786">
        <v>0.93</v>
      </c>
      <c r="J786">
        <v>43</v>
      </c>
    </row>
    <row r="787" spans="1:10" ht="14.25" customHeight="1" x14ac:dyDescent="0.25">
      <c r="A787" s="21">
        <v>30101</v>
      </c>
      <c r="B787" s="21"/>
      <c r="C787">
        <v>3.3</v>
      </c>
      <c r="D787">
        <v>2.1</v>
      </c>
      <c r="E787">
        <v>18</v>
      </c>
      <c r="F787">
        <v>21</v>
      </c>
      <c r="H787">
        <v>21</v>
      </c>
      <c r="I787">
        <v>0.87</v>
      </c>
      <c r="J787">
        <v>246</v>
      </c>
    </row>
    <row r="788" spans="1:10" ht="14.25" customHeight="1" x14ac:dyDescent="0.25">
      <c r="A788" s="21">
        <v>30105</v>
      </c>
      <c r="B788" s="21"/>
      <c r="C788">
        <v>4.3</v>
      </c>
      <c r="D788">
        <v>2.2000000000000002</v>
      </c>
      <c r="E788">
        <v>28</v>
      </c>
      <c r="F788">
        <v>25</v>
      </c>
      <c r="H788">
        <v>25</v>
      </c>
      <c r="I788">
        <v>1.29</v>
      </c>
      <c r="J788">
        <v>496</v>
      </c>
    </row>
    <row r="789" spans="1:10" ht="14.25" customHeight="1" x14ac:dyDescent="0.25">
      <c r="A789" s="21">
        <v>30107</v>
      </c>
      <c r="B789" s="21"/>
      <c r="C789">
        <v>19.399999999999999</v>
      </c>
      <c r="D789">
        <v>1.9</v>
      </c>
      <c r="E789">
        <v>7</v>
      </c>
      <c r="F789">
        <v>25</v>
      </c>
      <c r="H789">
        <v>25</v>
      </c>
      <c r="I789">
        <v>0.83</v>
      </c>
      <c r="J789">
        <v>24</v>
      </c>
    </row>
    <row r="790" spans="1:10" ht="14.25" customHeight="1" x14ac:dyDescent="0.25">
      <c r="A790" s="21">
        <v>31003</v>
      </c>
      <c r="B790" s="21"/>
      <c r="C790">
        <v>2.7</v>
      </c>
      <c r="D790">
        <v>2.7</v>
      </c>
      <c r="E790">
        <v>9</v>
      </c>
      <c r="F790">
        <v>23</v>
      </c>
      <c r="H790">
        <v>23</v>
      </c>
      <c r="I790">
        <v>0.97</v>
      </c>
      <c r="J790">
        <v>158</v>
      </c>
    </row>
    <row r="791" spans="1:10" ht="14.25" customHeight="1" x14ac:dyDescent="0.25">
      <c r="A791" s="21">
        <v>31011</v>
      </c>
      <c r="B791" s="21"/>
      <c r="C791">
        <v>8.6999999999999993</v>
      </c>
      <c r="D791">
        <v>3.2</v>
      </c>
      <c r="E791">
        <v>25</v>
      </c>
      <c r="F791">
        <v>25</v>
      </c>
      <c r="H791">
        <v>25</v>
      </c>
      <c r="I791">
        <v>1.02</v>
      </c>
      <c r="J791">
        <v>583</v>
      </c>
    </row>
    <row r="792" spans="1:10" ht="14.25" customHeight="1" x14ac:dyDescent="0.25">
      <c r="A792" s="21">
        <v>31013</v>
      </c>
      <c r="B792" s="21"/>
      <c r="C792">
        <v>8.3000000000000007</v>
      </c>
      <c r="D792">
        <v>2.6</v>
      </c>
      <c r="E792">
        <v>36</v>
      </c>
      <c r="F792">
        <v>25</v>
      </c>
      <c r="H792">
        <v>25</v>
      </c>
      <c r="I792">
        <v>1.27</v>
      </c>
      <c r="J792">
        <v>628</v>
      </c>
    </row>
    <row r="793" spans="1:10" ht="14.25" customHeight="1" x14ac:dyDescent="0.25">
      <c r="A793" s="21">
        <v>31015</v>
      </c>
      <c r="B793" s="21"/>
      <c r="C793">
        <v>0.8</v>
      </c>
      <c r="D793">
        <v>3.4</v>
      </c>
      <c r="E793">
        <v>5</v>
      </c>
      <c r="F793">
        <v>15</v>
      </c>
      <c r="H793">
        <v>15</v>
      </c>
      <c r="I793">
        <v>0.8</v>
      </c>
      <c r="J793">
        <v>19</v>
      </c>
    </row>
    <row r="794" spans="1:10" ht="14.25" customHeight="1" x14ac:dyDescent="0.25">
      <c r="A794" s="21">
        <v>31017</v>
      </c>
      <c r="B794" s="21"/>
      <c r="C794">
        <v>3.1</v>
      </c>
      <c r="D794">
        <v>2.8</v>
      </c>
      <c r="E794">
        <v>8</v>
      </c>
      <c r="F794">
        <v>23</v>
      </c>
      <c r="H794">
        <v>23</v>
      </c>
      <c r="I794">
        <v>0.95</v>
      </c>
      <c r="J794">
        <v>34</v>
      </c>
    </row>
    <row r="795" spans="1:10" ht="14.25" customHeight="1" x14ac:dyDescent="0.25">
      <c r="A795" s="21">
        <v>31021</v>
      </c>
      <c r="B795" s="21"/>
      <c r="C795">
        <v>0.8</v>
      </c>
      <c r="D795">
        <v>4.7</v>
      </c>
      <c r="E795">
        <v>9</v>
      </c>
      <c r="F795">
        <v>16</v>
      </c>
      <c r="H795">
        <v>16</v>
      </c>
      <c r="I795">
        <v>0.91</v>
      </c>
      <c r="J795">
        <v>60</v>
      </c>
    </row>
    <row r="796" spans="1:10" ht="14.25" customHeight="1" x14ac:dyDescent="0.25">
      <c r="A796" s="21">
        <v>31023</v>
      </c>
      <c r="B796" s="21"/>
      <c r="C796">
        <v>4.0999999999999996</v>
      </c>
      <c r="D796">
        <v>2.8</v>
      </c>
      <c r="E796">
        <v>9</v>
      </c>
      <c r="F796">
        <v>20</v>
      </c>
      <c r="H796">
        <v>20</v>
      </c>
      <c r="I796">
        <v>1.21</v>
      </c>
      <c r="J796">
        <v>277</v>
      </c>
    </row>
    <row r="797" spans="1:10" ht="14.25" customHeight="1" x14ac:dyDescent="0.25">
      <c r="A797" s="21">
        <v>31029</v>
      </c>
      <c r="B797" s="21"/>
      <c r="C797">
        <v>1.5</v>
      </c>
      <c r="D797">
        <v>2.1</v>
      </c>
      <c r="E797">
        <v>11</v>
      </c>
      <c r="F797">
        <v>20</v>
      </c>
      <c r="H797">
        <v>20</v>
      </c>
      <c r="I797">
        <v>1.1599999999999999</v>
      </c>
      <c r="J797">
        <v>86</v>
      </c>
    </row>
    <row r="798" spans="1:10" ht="14.25" customHeight="1" x14ac:dyDescent="0.25">
      <c r="A798" s="21">
        <v>31031</v>
      </c>
      <c r="B798" s="21"/>
      <c r="C798">
        <v>4.3</v>
      </c>
      <c r="D798">
        <v>2.9</v>
      </c>
      <c r="E798">
        <v>20</v>
      </c>
      <c r="F798">
        <v>25</v>
      </c>
      <c r="H798">
        <v>25</v>
      </c>
      <c r="I798">
        <v>1.1000000000000001</v>
      </c>
      <c r="J798">
        <v>387</v>
      </c>
    </row>
    <row r="799" spans="1:10" ht="14.25" customHeight="1" x14ac:dyDescent="0.25">
      <c r="A799" s="21">
        <v>31033</v>
      </c>
      <c r="B799" s="21"/>
      <c r="C799">
        <v>5.4</v>
      </c>
      <c r="D799">
        <v>1.8</v>
      </c>
      <c r="E799">
        <v>43</v>
      </c>
      <c r="F799">
        <v>19</v>
      </c>
      <c r="G799">
        <v>4</v>
      </c>
      <c r="H799">
        <v>19</v>
      </c>
      <c r="I799">
        <v>1.68</v>
      </c>
      <c r="J799">
        <v>534</v>
      </c>
    </row>
    <row r="800" spans="1:10" ht="14.25" customHeight="1" x14ac:dyDescent="0.25">
      <c r="A800" s="21">
        <v>31037</v>
      </c>
      <c r="B800" s="21"/>
      <c r="C800">
        <v>1</v>
      </c>
      <c r="D800">
        <v>1.5</v>
      </c>
      <c r="E800">
        <v>8</v>
      </c>
      <c r="F800">
        <v>25</v>
      </c>
      <c r="H800">
        <v>25</v>
      </c>
      <c r="I800">
        <v>1.1499999999999999</v>
      </c>
      <c r="J800">
        <v>140</v>
      </c>
    </row>
    <row r="801" spans="1:10" ht="14.25" customHeight="1" x14ac:dyDescent="0.25">
      <c r="A801" s="21">
        <v>31039</v>
      </c>
      <c r="B801" s="21"/>
      <c r="C801">
        <v>5.0999999999999996</v>
      </c>
      <c r="D801">
        <v>3.6</v>
      </c>
      <c r="E801">
        <v>17</v>
      </c>
      <c r="F801">
        <v>25</v>
      </c>
      <c r="H801">
        <v>25</v>
      </c>
      <c r="I801">
        <v>1.06</v>
      </c>
      <c r="J801">
        <v>350</v>
      </c>
    </row>
    <row r="802" spans="1:10" ht="14.25" customHeight="1" x14ac:dyDescent="0.25">
      <c r="A802" s="21">
        <v>31041</v>
      </c>
      <c r="B802" s="21"/>
      <c r="C802">
        <v>1.4</v>
      </c>
      <c r="D802">
        <v>2.5</v>
      </c>
      <c r="E802">
        <v>7</v>
      </c>
      <c r="F802">
        <v>12</v>
      </c>
      <c r="H802">
        <v>12</v>
      </c>
      <c r="I802">
        <v>0.86</v>
      </c>
      <c r="J802">
        <v>163</v>
      </c>
    </row>
    <row r="803" spans="1:10" ht="14.25" customHeight="1" x14ac:dyDescent="0.25">
      <c r="A803" s="21">
        <v>31041</v>
      </c>
      <c r="B803" s="21"/>
      <c r="C803">
        <v>2.2999999999999998</v>
      </c>
      <c r="D803">
        <v>3</v>
      </c>
      <c r="E803">
        <v>17</v>
      </c>
      <c r="F803">
        <v>23</v>
      </c>
      <c r="H803">
        <v>23</v>
      </c>
      <c r="I803">
        <v>0.92</v>
      </c>
      <c r="J803">
        <v>236</v>
      </c>
    </row>
    <row r="804" spans="1:10" ht="14.25" customHeight="1" x14ac:dyDescent="0.25">
      <c r="A804" s="21">
        <v>31045</v>
      </c>
      <c r="B804" s="21"/>
      <c r="C804">
        <v>4.5</v>
      </c>
      <c r="D804">
        <v>4.4000000000000004</v>
      </c>
      <c r="E804">
        <v>23</v>
      </c>
      <c r="F804">
        <v>25</v>
      </c>
      <c r="H804">
        <v>25</v>
      </c>
      <c r="I804">
        <v>0.98</v>
      </c>
      <c r="J804">
        <v>383</v>
      </c>
    </row>
    <row r="805" spans="1:10" ht="14.25" customHeight="1" x14ac:dyDescent="0.25">
      <c r="A805" s="21">
        <v>31047</v>
      </c>
      <c r="B805" s="21"/>
      <c r="C805">
        <v>6.8</v>
      </c>
      <c r="D805">
        <v>2.7</v>
      </c>
      <c r="E805">
        <v>30</v>
      </c>
      <c r="F805">
        <v>25</v>
      </c>
      <c r="H805">
        <v>25</v>
      </c>
      <c r="I805">
        <v>1.1200000000000001</v>
      </c>
      <c r="J805">
        <v>462</v>
      </c>
    </row>
    <row r="806" spans="1:10" ht="14.25" customHeight="1" x14ac:dyDescent="0.25">
      <c r="A806" s="21">
        <v>31047</v>
      </c>
      <c r="B806" s="21"/>
      <c r="C806">
        <v>3.3</v>
      </c>
      <c r="D806">
        <v>3.6</v>
      </c>
      <c r="E806">
        <v>13</v>
      </c>
      <c r="F806">
        <v>20</v>
      </c>
      <c r="H806">
        <v>20</v>
      </c>
      <c r="I806">
        <v>0.95</v>
      </c>
      <c r="J806">
        <v>190</v>
      </c>
    </row>
    <row r="807" spans="1:10" ht="14.25" customHeight="1" x14ac:dyDescent="0.25">
      <c r="A807" s="21">
        <v>31047</v>
      </c>
      <c r="B807" s="21"/>
      <c r="C807">
        <v>2.2999999999999998</v>
      </c>
      <c r="D807">
        <v>2.4</v>
      </c>
      <c r="E807">
        <v>16</v>
      </c>
      <c r="F807">
        <v>12</v>
      </c>
      <c r="H807">
        <v>12</v>
      </c>
      <c r="I807">
        <v>1.07</v>
      </c>
      <c r="J807">
        <v>176</v>
      </c>
    </row>
    <row r="808" spans="1:10" ht="14.25" customHeight="1" x14ac:dyDescent="0.25">
      <c r="A808" s="21">
        <v>31057</v>
      </c>
      <c r="B808" s="21"/>
      <c r="C808">
        <v>1.7</v>
      </c>
      <c r="D808">
        <v>3</v>
      </c>
      <c r="E808">
        <v>6</v>
      </c>
      <c r="F808">
        <v>14</v>
      </c>
      <c r="H808">
        <v>14</v>
      </c>
      <c r="I808">
        <v>0.97</v>
      </c>
      <c r="J808">
        <v>99</v>
      </c>
    </row>
    <row r="809" spans="1:10" ht="14.25" customHeight="1" x14ac:dyDescent="0.25">
      <c r="A809" s="21">
        <v>31059</v>
      </c>
      <c r="B809" s="21"/>
      <c r="C809">
        <v>4.2</v>
      </c>
      <c r="D809">
        <v>2.5</v>
      </c>
      <c r="E809">
        <v>22</v>
      </c>
      <c r="F809">
        <v>20</v>
      </c>
      <c r="H809">
        <v>20</v>
      </c>
      <c r="I809">
        <v>1.23</v>
      </c>
      <c r="J809">
        <v>331</v>
      </c>
    </row>
    <row r="810" spans="1:10" ht="14.25" customHeight="1" x14ac:dyDescent="0.25">
      <c r="A810" s="21">
        <v>31061</v>
      </c>
      <c r="B810" s="21"/>
      <c r="C810">
        <v>0.6</v>
      </c>
      <c r="D810">
        <v>2.4</v>
      </c>
      <c r="E810">
        <v>7</v>
      </c>
      <c r="F810">
        <v>14</v>
      </c>
      <c r="H810">
        <v>14</v>
      </c>
      <c r="I810">
        <v>0.88</v>
      </c>
      <c r="J810">
        <v>22</v>
      </c>
    </row>
    <row r="811" spans="1:10" ht="14.25" customHeight="1" x14ac:dyDescent="0.25">
      <c r="A811" s="21">
        <v>31065</v>
      </c>
      <c r="B811" s="21"/>
      <c r="C811">
        <v>5.3</v>
      </c>
      <c r="D811">
        <v>1</v>
      </c>
      <c r="E811">
        <v>19</v>
      </c>
      <c r="F811">
        <v>20</v>
      </c>
      <c r="H811">
        <v>20</v>
      </c>
      <c r="I811">
        <v>0.96</v>
      </c>
      <c r="J811">
        <v>536</v>
      </c>
    </row>
    <row r="812" spans="1:10" ht="14.25" customHeight="1" x14ac:dyDescent="0.25">
      <c r="A812" s="21">
        <v>31067</v>
      </c>
      <c r="B812" s="21"/>
      <c r="C812">
        <v>10.9</v>
      </c>
      <c r="D812">
        <v>3.6</v>
      </c>
      <c r="E812">
        <v>69</v>
      </c>
      <c r="F812">
        <v>25</v>
      </c>
      <c r="G812">
        <v>3</v>
      </c>
      <c r="H812">
        <v>25</v>
      </c>
      <c r="I812">
        <v>1.26</v>
      </c>
      <c r="J812">
        <v>926</v>
      </c>
    </row>
    <row r="813" spans="1:10" ht="14.25" customHeight="1" x14ac:dyDescent="0.25">
      <c r="A813" s="21">
        <v>31069</v>
      </c>
      <c r="B813" s="21"/>
      <c r="C813">
        <v>0.7</v>
      </c>
      <c r="D813">
        <v>1.9</v>
      </c>
      <c r="E813">
        <v>2</v>
      </c>
      <c r="F813">
        <v>10</v>
      </c>
      <c r="H813">
        <v>10</v>
      </c>
      <c r="I813">
        <v>0.88</v>
      </c>
      <c r="J813">
        <v>71</v>
      </c>
    </row>
    <row r="814" spans="1:10" ht="14.25" customHeight="1" x14ac:dyDescent="0.25">
      <c r="A814" s="21">
        <v>31081</v>
      </c>
      <c r="B814" s="21"/>
      <c r="C814">
        <v>3.8</v>
      </c>
      <c r="D814">
        <v>3</v>
      </c>
      <c r="E814">
        <v>24</v>
      </c>
      <c r="F814">
        <v>14</v>
      </c>
      <c r="H814">
        <v>14</v>
      </c>
      <c r="I814">
        <v>1.19</v>
      </c>
      <c r="J814">
        <v>246</v>
      </c>
    </row>
    <row r="815" spans="1:10" ht="14.25" customHeight="1" x14ac:dyDescent="0.25">
      <c r="A815" s="21">
        <v>31083</v>
      </c>
      <c r="B815" s="21"/>
      <c r="C815">
        <v>2.1</v>
      </c>
      <c r="D815">
        <v>2.5</v>
      </c>
      <c r="E815">
        <v>9</v>
      </c>
      <c r="F815">
        <v>19</v>
      </c>
      <c r="H815">
        <v>19</v>
      </c>
      <c r="I815">
        <v>0.97</v>
      </c>
      <c r="J815">
        <v>52</v>
      </c>
    </row>
    <row r="816" spans="1:10" ht="14.25" customHeight="1" x14ac:dyDescent="0.25">
      <c r="A816" s="21">
        <v>31089</v>
      </c>
      <c r="B816" s="21"/>
      <c r="C816">
        <v>9.8000000000000007</v>
      </c>
      <c r="D816">
        <v>3.7</v>
      </c>
      <c r="E816">
        <v>42</v>
      </c>
      <c r="F816">
        <v>25</v>
      </c>
      <c r="H816">
        <v>25</v>
      </c>
      <c r="I816">
        <v>1.1499999999999999</v>
      </c>
      <c r="J816">
        <v>782</v>
      </c>
    </row>
    <row r="817" spans="1:10" ht="14.25" customHeight="1" x14ac:dyDescent="0.25">
      <c r="A817" s="21">
        <v>31089</v>
      </c>
      <c r="B817" s="21"/>
      <c r="C817">
        <v>1.8</v>
      </c>
      <c r="D817">
        <v>3.4</v>
      </c>
      <c r="E817">
        <v>12</v>
      </c>
      <c r="F817">
        <v>17</v>
      </c>
      <c r="H817">
        <v>17</v>
      </c>
      <c r="I817">
        <v>0.89</v>
      </c>
      <c r="J817">
        <v>109</v>
      </c>
    </row>
    <row r="818" spans="1:10" ht="14.25" customHeight="1" x14ac:dyDescent="0.25">
      <c r="A818" s="21">
        <v>31093</v>
      </c>
      <c r="B818" s="21"/>
      <c r="C818">
        <v>2.4</v>
      </c>
      <c r="D818">
        <v>2.6</v>
      </c>
      <c r="E818">
        <v>15</v>
      </c>
      <c r="F818">
        <v>16</v>
      </c>
      <c r="H818">
        <v>16</v>
      </c>
      <c r="I818">
        <v>0.87</v>
      </c>
      <c r="J818">
        <v>191</v>
      </c>
    </row>
    <row r="819" spans="1:10" ht="14.25" customHeight="1" x14ac:dyDescent="0.25">
      <c r="A819" s="21">
        <v>31095</v>
      </c>
      <c r="B819" s="21"/>
      <c r="C819">
        <v>2.4</v>
      </c>
      <c r="D819">
        <v>2.6</v>
      </c>
      <c r="E819">
        <v>11</v>
      </c>
      <c r="F819">
        <v>17</v>
      </c>
      <c r="H819">
        <v>17</v>
      </c>
      <c r="I819">
        <v>1.07</v>
      </c>
      <c r="J819">
        <v>144</v>
      </c>
    </row>
    <row r="820" spans="1:10" ht="14.25" customHeight="1" x14ac:dyDescent="0.25">
      <c r="A820" s="21">
        <v>31097</v>
      </c>
      <c r="B820" s="21"/>
      <c r="C820">
        <v>3.5</v>
      </c>
      <c r="D820">
        <v>2.8</v>
      </c>
      <c r="E820">
        <v>11</v>
      </c>
      <c r="F820">
        <v>18</v>
      </c>
      <c r="H820">
        <v>18</v>
      </c>
      <c r="I820">
        <v>1.05</v>
      </c>
      <c r="J820">
        <v>180</v>
      </c>
    </row>
    <row r="821" spans="1:10" ht="14.25" customHeight="1" x14ac:dyDescent="0.25">
      <c r="A821" s="21">
        <v>31099</v>
      </c>
      <c r="B821" s="21"/>
      <c r="C821">
        <v>2</v>
      </c>
      <c r="D821">
        <v>2.2999999999999998</v>
      </c>
      <c r="E821">
        <v>9</v>
      </c>
      <c r="F821">
        <v>10</v>
      </c>
      <c r="H821">
        <v>10</v>
      </c>
      <c r="I821">
        <v>0.92</v>
      </c>
      <c r="J821">
        <v>81</v>
      </c>
    </row>
    <row r="822" spans="1:10" ht="14.25" customHeight="1" x14ac:dyDescent="0.25">
      <c r="A822" s="21">
        <v>31101</v>
      </c>
      <c r="B822" s="21"/>
      <c r="C822">
        <v>2.2000000000000002</v>
      </c>
      <c r="D822">
        <v>2.5</v>
      </c>
      <c r="E822">
        <v>22</v>
      </c>
      <c r="F822">
        <v>18</v>
      </c>
      <c r="H822">
        <v>18</v>
      </c>
      <c r="I822">
        <v>1.1100000000000001</v>
      </c>
      <c r="J822">
        <v>237</v>
      </c>
    </row>
    <row r="823" spans="1:10" ht="14.25" customHeight="1" x14ac:dyDescent="0.25">
      <c r="A823" s="21">
        <v>31105</v>
      </c>
      <c r="B823" s="21"/>
      <c r="C823">
        <v>3.4</v>
      </c>
      <c r="D823">
        <v>3.5</v>
      </c>
      <c r="E823">
        <v>9</v>
      </c>
      <c r="F823">
        <v>15</v>
      </c>
      <c r="H823">
        <v>15</v>
      </c>
      <c r="I823">
        <v>0.92</v>
      </c>
      <c r="J823">
        <v>136</v>
      </c>
    </row>
    <row r="824" spans="1:10" ht="14.25" customHeight="1" x14ac:dyDescent="0.25">
      <c r="A824" s="21">
        <v>31107</v>
      </c>
      <c r="B824" s="21"/>
      <c r="C824">
        <v>2.7</v>
      </c>
      <c r="D824">
        <v>3.1</v>
      </c>
      <c r="E824">
        <v>10</v>
      </c>
      <c r="F824">
        <v>23</v>
      </c>
      <c r="H824">
        <v>23</v>
      </c>
      <c r="I824">
        <v>1.03</v>
      </c>
      <c r="J824">
        <v>82</v>
      </c>
    </row>
    <row r="825" spans="1:10" ht="14.25" customHeight="1" x14ac:dyDescent="0.25">
      <c r="A825" s="21">
        <v>31119</v>
      </c>
      <c r="B825" s="21"/>
      <c r="C825">
        <v>1.2</v>
      </c>
      <c r="D825">
        <v>2.2999999999999998</v>
      </c>
      <c r="J825">
        <v>24</v>
      </c>
    </row>
    <row r="826" spans="1:10" ht="14.25" customHeight="1" x14ac:dyDescent="0.25">
      <c r="A826" s="21">
        <v>31121</v>
      </c>
      <c r="B826" s="21"/>
      <c r="C826">
        <v>3.3</v>
      </c>
      <c r="D826">
        <v>2.8</v>
      </c>
      <c r="E826">
        <v>12</v>
      </c>
      <c r="F826">
        <v>20</v>
      </c>
      <c r="H826">
        <v>20</v>
      </c>
      <c r="I826">
        <v>1.02</v>
      </c>
      <c r="J826">
        <v>189</v>
      </c>
    </row>
    <row r="827" spans="1:10" ht="14.25" customHeight="1" x14ac:dyDescent="0.25">
      <c r="A827" s="21">
        <v>31123</v>
      </c>
      <c r="B827" s="21"/>
      <c r="C827">
        <v>2</v>
      </c>
      <c r="D827">
        <v>3.9</v>
      </c>
      <c r="E827">
        <v>14</v>
      </c>
      <c r="F827">
        <v>20</v>
      </c>
      <c r="H827">
        <v>20</v>
      </c>
      <c r="I827">
        <v>0.92</v>
      </c>
      <c r="J827">
        <v>136</v>
      </c>
    </row>
    <row r="828" spans="1:10" ht="14.25" customHeight="1" x14ac:dyDescent="0.25">
      <c r="A828" s="21">
        <v>31125</v>
      </c>
      <c r="B828" s="21"/>
      <c r="C828">
        <v>1.6</v>
      </c>
      <c r="D828">
        <v>3</v>
      </c>
      <c r="E828">
        <v>4</v>
      </c>
      <c r="F828">
        <v>19</v>
      </c>
      <c r="H828">
        <v>19</v>
      </c>
      <c r="I828">
        <v>0.83</v>
      </c>
      <c r="J828">
        <v>65</v>
      </c>
    </row>
    <row r="829" spans="1:10" ht="14.25" customHeight="1" x14ac:dyDescent="0.25">
      <c r="A829" s="21">
        <v>31127</v>
      </c>
      <c r="B829" s="21"/>
      <c r="C829">
        <v>2.1</v>
      </c>
      <c r="D829">
        <v>3.1</v>
      </c>
      <c r="E829">
        <v>15</v>
      </c>
      <c r="F829">
        <v>16</v>
      </c>
      <c r="H829">
        <v>16</v>
      </c>
      <c r="I829">
        <v>0.86</v>
      </c>
      <c r="J829">
        <v>110</v>
      </c>
    </row>
    <row r="830" spans="1:10" ht="14.25" customHeight="1" x14ac:dyDescent="0.25">
      <c r="A830" s="21">
        <v>31129</v>
      </c>
      <c r="B830" s="21"/>
      <c r="C830">
        <v>4.5999999999999996</v>
      </c>
      <c r="D830">
        <v>2.9</v>
      </c>
      <c r="E830">
        <v>14</v>
      </c>
      <c r="F830">
        <v>25</v>
      </c>
      <c r="H830">
        <v>25</v>
      </c>
      <c r="I830">
        <v>1.05</v>
      </c>
      <c r="J830">
        <v>394</v>
      </c>
    </row>
    <row r="831" spans="1:10" ht="14.25" customHeight="1" x14ac:dyDescent="0.25">
      <c r="A831" s="21">
        <v>31131</v>
      </c>
      <c r="B831" s="21"/>
      <c r="C831">
        <v>1</v>
      </c>
      <c r="D831">
        <v>1.8</v>
      </c>
      <c r="E831">
        <v>16</v>
      </c>
      <c r="F831">
        <v>10</v>
      </c>
      <c r="H831">
        <v>10</v>
      </c>
      <c r="I831">
        <v>1.3</v>
      </c>
      <c r="J831">
        <v>158</v>
      </c>
    </row>
    <row r="832" spans="1:10" ht="14.25" customHeight="1" x14ac:dyDescent="0.25">
      <c r="A832" s="21">
        <v>31131</v>
      </c>
      <c r="B832" s="21"/>
      <c r="C832">
        <v>3</v>
      </c>
      <c r="D832">
        <v>2.2000000000000002</v>
      </c>
      <c r="E832">
        <v>30</v>
      </c>
      <c r="F832">
        <v>18</v>
      </c>
      <c r="H832">
        <v>18</v>
      </c>
      <c r="I832">
        <v>0.96</v>
      </c>
      <c r="J832">
        <v>341</v>
      </c>
    </row>
    <row r="833" spans="1:10" ht="14.25" customHeight="1" x14ac:dyDescent="0.25">
      <c r="A833" s="21">
        <v>31133</v>
      </c>
      <c r="B833" s="21"/>
      <c r="C833">
        <v>2</v>
      </c>
      <c r="D833">
        <v>1.9</v>
      </c>
      <c r="E833">
        <v>6</v>
      </c>
      <c r="F833">
        <v>17</v>
      </c>
      <c r="H833">
        <v>17</v>
      </c>
      <c r="I833">
        <v>0.88</v>
      </c>
      <c r="J833">
        <v>82</v>
      </c>
    </row>
    <row r="834" spans="1:10" ht="14.25" customHeight="1" x14ac:dyDescent="0.25">
      <c r="A834" s="21">
        <v>31135</v>
      </c>
      <c r="B834" s="21"/>
      <c r="C834">
        <v>4.7</v>
      </c>
      <c r="D834">
        <v>2.7</v>
      </c>
      <c r="E834">
        <v>18</v>
      </c>
      <c r="F834">
        <v>20</v>
      </c>
      <c r="H834">
        <v>20</v>
      </c>
      <c r="I834">
        <v>0.99</v>
      </c>
      <c r="J834">
        <v>291</v>
      </c>
    </row>
    <row r="835" spans="1:10" ht="14.25" customHeight="1" x14ac:dyDescent="0.25">
      <c r="A835" s="21">
        <v>31137</v>
      </c>
      <c r="B835" s="21"/>
      <c r="C835">
        <v>9.6</v>
      </c>
      <c r="D835">
        <v>4.0999999999999996</v>
      </c>
      <c r="E835">
        <v>36</v>
      </c>
      <c r="F835">
        <v>25</v>
      </c>
      <c r="H835">
        <v>25</v>
      </c>
      <c r="I835">
        <v>1.48</v>
      </c>
      <c r="J835">
        <v>866</v>
      </c>
    </row>
    <row r="836" spans="1:10" ht="14.25" customHeight="1" x14ac:dyDescent="0.25">
      <c r="A836" s="21">
        <v>31139</v>
      </c>
      <c r="B836" s="21"/>
      <c r="C836">
        <v>1.8</v>
      </c>
      <c r="D836">
        <v>2</v>
      </c>
      <c r="E836">
        <v>7</v>
      </c>
      <c r="F836">
        <v>15</v>
      </c>
      <c r="H836">
        <v>15</v>
      </c>
      <c r="I836">
        <v>1.08</v>
      </c>
      <c r="J836">
        <v>145</v>
      </c>
    </row>
    <row r="837" spans="1:10" ht="14.25" customHeight="1" x14ac:dyDescent="0.25">
      <c r="A837" s="21">
        <v>31139</v>
      </c>
      <c r="B837" s="21"/>
      <c r="C837">
        <v>5.0999999999999996</v>
      </c>
      <c r="D837">
        <v>3</v>
      </c>
      <c r="E837">
        <v>10</v>
      </c>
      <c r="F837">
        <v>20</v>
      </c>
      <c r="H837">
        <v>20</v>
      </c>
      <c r="I837">
        <v>1</v>
      </c>
      <c r="J837">
        <v>112</v>
      </c>
    </row>
    <row r="838" spans="1:10" ht="14.25" customHeight="1" x14ac:dyDescent="0.25">
      <c r="A838" s="21">
        <v>31143</v>
      </c>
      <c r="B838" s="21"/>
      <c r="C838">
        <v>1.1000000000000001</v>
      </c>
      <c r="D838">
        <v>2.2999999999999998</v>
      </c>
      <c r="E838">
        <v>6</v>
      </c>
      <c r="F838">
        <v>16</v>
      </c>
      <c r="H838">
        <v>16</v>
      </c>
      <c r="I838">
        <v>0.91</v>
      </c>
      <c r="J838">
        <v>108</v>
      </c>
    </row>
    <row r="839" spans="1:10" ht="14.25" customHeight="1" x14ac:dyDescent="0.25">
      <c r="A839" s="21">
        <v>31145</v>
      </c>
      <c r="B839" s="21"/>
      <c r="C839">
        <v>9.4</v>
      </c>
      <c r="D839">
        <v>3.3</v>
      </c>
      <c r="E839">
        <v>39</v>
      </c>
      <c r="F839">
        <v>25</v>
      </c>
      <c r="H839">
        <v>25</v>
      </c>
      <c r="I839">
        <v>1.1200000000000001</v>
      </c>
      <c r="J839">
        <v>840</v>
      </c>
    </row>
    <row r="840" spans="1:10" ht="14.25" customHeight="1" x14ac:dyDescent="0.25">
      <c r="A840" s="21">
        <v>31147</v>
      </c>
      <c r="B840" s="21"/>
      <c r="C840">
        <v>6.9</v>
      </c>
      <c r="D840">
        <v>3.1</v>
      </c>
      <c r="E840">
        <v>24</v>
      </c>
      <c r="F840">
        <v>24</v>
      </c>
      <c r="H840">
        <v>24</v>
      </c>
      <c r="I840">
        <v>1.21</v>
      </c>
      <c r="J840">
        <v>580</v>
      </c>
    </row>
    <row r="841" spans="1:10" ht="14.25" customHeight="1" x14ac:dyDescent="0.25">
      <c r="A841" s="21">
        <v>31149</v>
      </c>
      <c r="B841" s="21"/>
      <c r="C841">
        <v>2.2000000000000002</v>
      </c>
      <c r="D841">
        <v>2.7</v>
      </c>
      <c r="E841">
        <v>11</v>
      </c>
      <c r="F841">
        <v>24</v>
      </c>
      <c r="H841">
        <v>24</v>
      </c>
      <c r="I841">
        <v>0.79</v>
      </c>
      <c r="J841">
        <v>64</v>
      </c>
    </row>
    <row r="842" spans="1:10" ht="14.25" customHeight="1" x14ac:dyDescent="0.25">
      <c r="A842" s="21">
        <v>31151</v>
      </c>
      <c r="B842" s="21"/>
      <c r="C842">
        <v>2.2000000000000002</v>
      </c>
      <c r="D842">
        <v>2.2999999999999998</v>
      </c>
      <c r="E842">
        <v>8</v>
      </c>
      <c r="F842">
        <v>19</v>
      </c>
      <c r="H842">
        <v>19</v>
      </c>
      <c r="I842">
        <v>0.85</v>
      </c>
      <c r="J842">
        <v>14</v>
      </c>
    </row>
    <row r="843" spans="1:10" ht="14.25" customHeight="1" x14ac:dyDescent="0.25">
      <c r="A843" s="21">
        <v>31151</v>
      </c>
      <c r="B843" s="21"/>
      <c r="C843">
        <v>1.9</v>
      </c>
      <c r="D843">
        <v>2.2999999999999998</v>
      </c>
      <c r="E843">
        <v>27</v>
      </c>
      <c r="F843">
        <v>24</v>
      </c>
      <c r="H843">
        <v>24</v>
      </c>
      <c r="I843">
        <v>1.1200000000000001</v>
      </c>
      <c r="J843">
        <v>238</v>
      </c>
    </row>
    <row r="844" spans="1:10" ht="14.25" customHeight="1" x14ac:dyDescent="0.25">
      <c r="A844" s="21">
        <v>31155</v>
      </c>
      <c r="B844" s="21"/>
      <c r="C844">
        <v>2.1</v>
      </c>
      <c r="D844">
        <v>2.8</v>
      </c>
      <c r="E844">
        <v>12</v>
      </c>
      <c r="F844">
        <v>16</v>
      </c>
      <c r="H844">
        <v>16</v>
      </c>
      <c r="I844">
        <v>1.05</v>
      </c>
      <c r="J844">
        <v>121</v>
      </c>
    </row>
    <row r="845" spans="1:10" ht="14.25" customHeight="1" x14ac:dyDescent="0.25">
      <c r="A845" s="21">
        <v>31159</v>
      </c>
      <c r="B845" s="21"/>
      <c r="C845">
        <v>8.4</v>
      </c>
      <c r="D845">
        <v>2.6</v>
      </c>
      <c r="E845">
        <v>24</v>
      </c>
      <c r="F845">
        <v>24</v>
      </c>
      <c r="H845">
        <v>24</v>
      </c>
      <c r="I845">
        <v>0.88</v>
      </c>
      <c r="J845">
        <v>388</v>
      </c>
    </row>
    <row r="846" spans="1:10" ht="14.25" customHeight="1" x14ac:dyDescent="0.25">
      <c r="A846" s="21">
        <v>31161</v>
      </c>
      <c r="B846" s="21"/>
      <c r="C846">
        <v>4</v>
      </c>
      <c r="D846">
        <v>3</v>
      </c>
      <c r="E846">
        <v>5</v>
      </c>
      <c r="F846">
        <v>25</v>
      </c>
      <c r="H846">
        <v>25</v>
      </c>
      <c r="I846">
        <v>1</v>
      </c>
      <c r="J846">
        <v>226</v>
      </c>
    </row>
    <row r="847" spans="1:10" ht="14.25" customHeight="1" x14ac:dyDescent="0.25">
      <c r="A847" s="21">
        <v>31169</v>
      </c>
      <c r="B847" s="21"/>
      <c r="C847">
        <v>3.6</v>
      </c>
      <c r="D847">
        <v>3.1</v>
      </c>
      <c r="E847">
        <v>10</v>
      </c>
      <c r="F847">
        <v>19</v>
      </c>
      <c r="H847">
        <v>19</v>
      </c>
      <c r="I847">
        <v>1.04</v>
      </c>
      <c r="J847">
        <v>220</v>
      </c>
    </row>
    <row r="848" spans="1:10" ht="14.25" customHeight="1" x14ac:dyDescent="0.25">
      <c r="A848" s="21">
        <v>31173</v>
      </c>
      <c r="B848" s="21"/>
      <c r="C848">
        <v>5.8</v>
      </c>
      <c r="D848">
        <v>2.9</v>
      </c>
      <c r="E848">
        <v>14</v>
      </c>
      <c r="F848">
        <v>21</v>
      </c>
      <c r="H848">
        <v>21</v>
      </c>
      <c r="I848">
        <v>0.99</v>
      </c>
      <c r="J848">
        <v>395</v>
      </c>
    </row>
    <row r="849" spans="1:10" ht="14.25" customHeight="1" x14ac:dyDescent="0.25">
      <c r="A849" s="21">
        <v>31175</v>
      </c>
      <c r="B849" s="21"/>
      <c r="C849">
        <v>5.2</v>
      </c>
      <c r="D849">
        <v>3</v>
      </c>
      <c r="E849">
        <v>15</v>
      </c>
      <c r="F849">
        <v>16</v>
      </c>
      <c r="H849">
        <v>16</v>
      </c>
      <c r="I849">
        <v>0.97</v>
      </c>
      <c r="J849">
        <v>194</v>
      </c>
    </row>
    <row r="850" spans="1:10" ht="14.25" customHeight="1" x14ac:dyDescent="0.25">
      <c r="A850" s="21">
        <v>31177</v>
      </c>
      <c r="B850" s="21"/>
      <c r="C850">
        <v>1.8</v>
      </c>
      <c r="D850">
        <v>3</v>
      </c>
      <c r="E850">
        <v>32</v>
      </c>
      <c r="F850">
        <v>21</v>
      </c>
      <c r="H850">
        <v>21</v>
      </c>
      <c r="I850">
        <v>1.1000000000000001</v>
      </c>
      <c r="J850">
        <v>181</v>
      </c>
    </row>
    <row r="851" spans="1:10" ht="14.25" customHeight="1" x14ac:dyDescent="0.25">
      <c r="A851" s="21">
        <v>31179</v>
      </c>
      <c r="B851" s="21"/>
      <c r="C851">
        <v>4.0999999999999996</v>
      </c>
      <c r="D851">
        <v>3.1</v>
      </c>
      <c r="E851">
        <v>18</v>
      </c>
      <c r="F851">
        <v>21</v>
      </c>
      <c r="H851">
        <v>21</v>
      </c>
      <c r="I851">
        <v>1.1100000000000001</v>
      </c>
      <c r="J851">
        <v>338</v>
      </c>
    </row>
    <row r="852" spans="1:10" ht="14.25" customHeight="1" x14ac:dyDescent="0.25">
      <c r="A852" s="21">
        <v>31181</v>
      </c>
      <c r="B852" s="21"/>
      <c r="C852">
        <v>1.1000000000000001</v>
      </c>
      <c r="D852">
        <v>2.5</v>
      </c>
      <c r="E852">
        <v>8</v>
      </c>
      <c r="F852">
        <v>13</v>
      </c>
      <c r="H852">
        <v>13</v>
      </c>
      <c r="I852">
        <v>0.99</v>
      </c>
      <c r="J852">
        <v>57</v>
      </c>
    </row>
    <row r="853" spans="1:10" ht="14.25" customHeight="1" x14ac:dyDescent="0.25">
      <c r="A853" s="21">
        <v>31185</v>
      </c>
      <c r="B853" s="21"/>
      <c r="C853">
        <v>2</v>
      </c>
      <c r="D853">
        <v>2.9</v>
      </c>
      <c r="E853">
        <v>6</v>
      </c>
      <c r="F853">
        <v>13</v>
      </c>
      <c r="H853">
        <v>13</v>
      </c>
      <c r="I853">
        <v>1.05</v>
      </c>
      <c r="J853">
        <v>110</v>
      </c>
    </row>
    <row r="854" spans="1:10" ht="14.25" customHeight="1" x14ac:dyDescent="0.25">
      <c r="A854" s="21">
        <v>31185</v>
      </c>
      <c r="B854" s="21"/>
      <c r="C854">
        <v>6.8</v>
      </c>
      <c r="D854">
        <v>3</v>
      </c>
      <c r="E854">
        <v>43</v>
      </c>
      <c r="F854">
        <v>25</v>
      </c>
      <c r="H854">
        <v>25</v>
      </c>
      <c r="I854">
        <v>1.04</v>
      </c>
      <c r="J854">
        <v>773</v>
      </c>
    </row>
    <row r="855" spans="1:10" ht="14.25" customHeight="1" x14ac:dyDescent="0.25">
      <c r="A855" s="21">
        <v>32001</v>
      </c>
      <c r="B855" s="21"/>
      <c r="C855">
        <v>12.4</v>
      </c>
      <c r="D855">
        <v>3.2</v>
      </c>
      <c r="E855">
        <v>57</v>
      </c>
      <c r="F855">
        <v>25</v>
      </c>
      <c r="H855">
        <v>25</v>
      </c>
      <c r="I855">
        <v>1.32</v>
      </c>
      <c r="J855" s="1">
        <v>1427</v>
      </c>
    </row>
    <row r="856" spans="1:10" ht="14.25" customHeight="1" x14ac:dyDescent="0.25">
      <c r="A856" s="21">
        <v>32003</v>
      </c>
      <c r="B856" s="21"/>
      <c r="C856">
        <v>6.7</v>
      </c>
      <c r="D856">
        <v>2.9</v>
      </c>
      <c r="E856">
        <v>62</v>
      </c>
      <c r="F856">
        <v>25</v>
      </c>
      <c r="G856">
        <v>4</v>
      </c>
      <c r="H856">
        <v>25</v>
      </c>
      <c r="I856">
        <v>1.29</v>
      </c>
      <c r="J856">
        <v>744</v>
      </c>
    </row>
    <row r="857" spans="1:10" ht="14.25" customHeight="1" x14ac:dyDescent="0.25">
      <c r="A857" s="21">
        <v>32003</v>
      </c>
      <c r="B857" s="21"/>
      <c r="C857">
        <v>9.9</v>
      </c>
      <c r="D857">
        <v>2.4</v>
      </c>
      <c r="E857">
        <v>56</v>
      </c>
      <c r="F857">
        <v>25</v>
      </c>
      <c r="H857">
        <v>25</v>
      </c>
      <c r="I857">
        <v>1.05</v>
      </c>
      <c r="J857">
        <v>217</v>
      </c>
    </row>
    <row r="858" spans="1:10" ht="14.25" customHeight="1" x14ac:dyDescent="0.25">
      <c r="A858" s="21">
        <v>32005</v>
      </c>
      <c r="B858" s="21"/>
      <c r="C858">
        <v>11.6</v>
      </c>
      <c r="D858">
        <v>3.2</v>
      </c>
      <c r="E858">
        <v>72</v>
      </c>
      <c r="F858">
        <v>23</v>
      </c>
      <c r="H858">
        <v>23</v>
      </c>
      <c r="I858">
        <v>1.31</v>
      </c>
      <c r="J858" s="1">
        <v>1170</v>
      </c>
    </row>
    <row r="859" spans="1:10" ht="14.25" customHeight="1" x14ac:dyDescent="0.25">
      <c r="A859" s="21">
        <v>32007</v>
      </c>
      <c r="B859" s="21"/>
    </row>
    <row r="860" spans="1:10" ht="14.25" customHeight="1" x14ac:dyDescent="0.25">
      <c r="A860" s="21">
        <v>32013</v>
      </c>
      <c r="B860" s="21"/>
      <c r="C860">
        <v>7.7</v>
      </c>
      <c r="D860">
        <v>2.7</v>
      </c>
      <c r="E860">
        <v>44</v>
      </c>
      <c r="F860">
        <v>25</v>
      </c>
      <c r="G860">
        <v>3</v>
      </c>
      <c r="H860">
        <v>25</v>
      </c>
      <c r="I860">
        <v>1.33</v>
      </c>
      <c r="J860">
        <v>882</v>
      </c>
    </row>
    <row r="861" spans="1:10" ht="14.25" customHeight="1" x14ac:dyDescent="0.25">
      <c r="A861" s="21">
        <v>32015</v>
      </c>
      <c r="B861" s="21"/>
      <c r="C861">
        <v>1.1000000000000001</v>
      </c>
      <c r="D861">
        <v>3.8</v>
      </c>
      <c r="E861">
        <v>14</v>
      </c>
      <c r="F861">
        <v>5</v>
      </c>
      <c r="H861">
        <v>5</v>
      </c>
      <c r="I861">
        <v>1.03</v>
      </c>
      <c r="J861">
        <v>44</v>
      </c>
    </row>
    <row r="862" spans="1:10" ht="14.25" customHeight="1" x14ac:dyDescent="0.25">
      <c r="A862" s="21">
        <v>32017</v>
      </c>
      <c r="B862" s="21"/>
      <c r="C862">
        <v>2.9</v>
      </c>
      <c r="D862">
        <v>2.6</v>
      </c>
      <c r="E862">
        <v>10</v>
      </c>
      <c r="F862">
        <v>4</v>
      </c>
      <c r="H862">
        <v>4</v>
      </c>
      <c r="I862">
        <v>0.91</v>
      </c>
      <c r="J862">
        <v>143</v>
      </c>
    </row>
    <row r="863" spans="1:10" ht="14.25" customHeight="1" x14ac:dyDescent="0.25">
      <c r="A863" s="21">
        <v>32019</v>
      </c>
      <c r="B863" s="21"/>
      <c r="C863">
        <v>2.2999999999999998</v>
      </c>
      <c r="D863">
        <v>2.7</v>
      </c>
      <c r="E863">
        <v>22</v>
      </c>
      <c r="F863">
        <v>14</v>
      </c>
      <c r="H863">
        <v>14</v>
      </c>
      <c r="I863">
        <v>1</v>
      </c>
      <c r="J863">
        <v>147</v>
      </c>
    </row>
    <row r="864" spans="1:10" ht="14.25" customHeight="1" x14ac:dyDescent="0.25">
      <c r="A864" s="21">
        <v>32021</v>
      </c>
      <c r="B864" s="21"/>
      <c r="C864">
        <v>6.5</v>
      </c>
      <c r="D864">
        <v>3.8</v>
      </c>
      <c r="E864">
        <v>18</v>
      </c>
      <c r="F864">
        <v>11</v>
      </c>
      <c r="H864">
        <v>11</v>
      </c>
      <c r="I864">
        <v>0.99</v>
      </c>
      <c r="J864">
        <v>267</v>
      </c>
    </row>
    <row r="865" spans="1:10" ht="14.25" customHeight="1" x14ac:dyDescent="0.25">
      <c r="A865" s="21">
        <v>32023</v>
      </c>
      <c r="B865" s="21"/>
      <c r="C865">
        <v>9.6999999999999993</v>
      </c>
      <c r="D865">
        <v>2.6</v>
      </c>
      <c r="E865">
        <v>104</v>
      </c>
      <c r="F865">
        <v>25</v>
      </c>
      <c r="H865">
        <v>25</v>
      </c>
      <c r="I865">
        <v>1.01</v>
      </c>
      <c r="J865" s="1">
        <v>1358</v>
      </c>
    </row>
    <row r="866" spans="1:10" ht="14.25" customHeight="1" x14ac:dyDescent="0.25">
      <c r="A866" s="21">
        <v>32027</v>
      </c>
      <c r="B866" s="21"/>
      <c r="C866">
        <v>1.4</v>
      </c>
      <c r="D866">
        <v>3.7</v>
      </c>
      <c r="E866">
        <v>10</v>
      </c>
      <c r="F866">
        <v>13</v>
      </c>
      <c r="H866">
        <v>13</v>
      </c>
      <c r="I866">
        <v>0.96</v>
      </c>
      <c r="J866">
        <v>45</v>
      </c>
    </row>
    <row r="867" spans="1:10" ht="14.25" customHeight="1" x14ac:dyDescent="0.25">
      <c r="A867" s="21">
        <v>32031</v>
      </c>
      <c r="B867" s="21"/>
      <c r="C867">
        <v>0</v>
      </c>
      <c r="D867">
        <v>3.2</v>
      </c>
      <c r="E867">
        <v>24</v>
      </c>
      <c r="F867">
        <v>4</v>
      </c>
      <c r="H867">
        <v>4</v>
      </c>
      <c r="I867">
        <v>1.05</v>
      </c>
      <c r="J867">
        <v>5</v>
      </c>
    </row>
    <row r="868" spans="1:10" ht="14.25" customHeight="1" x14ac:dyDescent="0.25">
      <c r="A868" s="21">
        <v>32033</v>
      </c>
      <c r="B868" s="21"/>
      <c r="C868">
        <v>4.5999999999999996</v>
      </c>
      <c r="D868">
        <v>2.6</v>
      </c>
      <c r="E868">
        <v>50</v>
      </c>
      <c r="F868">
        <v>25</v>
      </c>
      <c r="H868">
        <v>25</v>
      </c>
      <c r="I868">
        <v>1.26</v>
      </c>
      <c r="J868">
        <v>521</v>
      </c>
    </row>
    <row r="869" spans="1:10" ht="14.25" customHeight="1" x14ac:dyDescent="0.25">
      <c r="A869" s="21">
        <v>33003</v>
      </c>
      <c r="B869" s="21"/>
      <c r="C869">
        <v>10.9</v>
      </c>
      <c r="D869">
        <v>3</v>
      </c>
      <c r="E869">
        <v>81</v>
      </c>
      <c r="F869">
        <v>25</v>
      </c>
      <c r="G869">
        <v>4</v>
      </c>
      <c r="H869">
        <v>25</v>
      </c>
      <c r="I869">
        <v>1.18</v>
      </c>
      <c r="J869" s="1">
        <v>1199</v>
      </c>
    </row>
    <row r="870" spans="1:10" ht="14.25" customHeight="1" x14ac:dyDescent="0.25">
      <c r="A870" s="21">
        <v>33003</v>
      </c>
      <c r="B870" s="21"/>
      <c r="C870">
        <v>10.5</v>
      </c>
      <c r="D870">
        <v>3.2</v>
      </c>
      <c r="E870">
        <v>80</v>
      </c>
      <c r="F870">
        <v>25</v>
      </c>
      <c r="G870">
        <v>4</v>
      </c>
      <c r="H870">
        <v>25</v>
      </c>
      <c r="I870">
        <v>1.32</v>
      </c>
      <c r="J870">
        <v>699</v>
      </c>
    </row>
    <row r="871" spans="1:10" ht="14.25" customHeight="1" x14ac:dyDescent="0.25">
      <c r="A871" s="21">
        <v>33007</v>
      </c>
      <c r="B871" s="21"/>
      <c r="C871">
        <v>11.7</v>
      </c>
      <c r="D871">
        <v>3.2</v>
      </c>
      <c r="E871">
        <v>81</v>
      </c>
      <c r="F871">
        <v>25</v>
      </c>
      <c r="H871">
        <v>25</v>
      </c>
      <c r="I871">
        <v>1.1200000000000001</v>
      </c>
      <c r="J871" s="1">
        <v>1002</v>
      </c>
    </row>
    <row r="872" spans="1:10" ht="14.25" customHeight="1" x14ac:dyDescent="0.25">
      <c r="A872" s="21">
        <v>33007</v>
      </c>
      <c r="B872" s="21"/>
      <c r="C872">
        <v>3</v>
      </c>
      <c r="D872">
        <v>3.5</v>
      </c>
      <c r="E872">
        <v>18</v>
      </c>
      <c r="F872">
        <v>16</v>
      </c>
      <c r="H872">
        <v>16</v>
      </c>
      <c r="I872">
        <v>0.99</v>
      </c>
      <c r="J872">
        <v>165</v>
      </c>
    </row>
    <row r="873" spans="1:10" ht="14.25" customHeight="1" x14ac:dyDescent="0.25">
      <c r="A873" s="21">
        <v>33007</v>
      </c>
      <c r="B873" s="21"/>
      <c r="C873">
        <v>8.3000000000000007</v>
      </c>
      <c r="D873">
        <v>3.2</v>
      </c>
      <c r="E873">
        <v>44</v>
      </c>
      <c r="F873">
        <v>25</v>
      </c>
      <c r="G873">
        <v>3</v>
      </c>
      <c r="H873">
        <v>25</v>
      </c>
      <c r="I873">
        <v>1.1100000000000001</v>
      </c>
      <c r="J873">
        <v>602</v>
      </c>
    </row>
    <row r="874" spans="1:10" ht="14.25" customHeight="1" x14ac:dyDescent="0.25">
      <c r="A874" s="21">
        <v>33009</v>
      </c>
      <c r="B874" s="21"/>
      <c r="C874">
        <v>11.1</v>
      </c>
      <c r="D874">
        <v>3.1</v>
      </c>
      <c r="E874">
        <v>54</v>
      </c>
      <c r="F874">
        <v>25</v>
      </c>
      <c r="H874">
        <v>25</v>
      </c>
      <c r="I874">
        <v>1.18</v>
      </c>
      <c r="J874">
        <v>607</v>
      </c>
    </row>
    <row r="875" spans="1:10" ht="14.25" customHeight="1" x14ac:dyDescent="0.25">
      <c r="A875" s="21">
        <v>33009</v>
      </c>
      <c r="B875" s="21"/>
      <c r="C875">
        <v>13</v>
      </c>
      <c r="D875">
        <v>2.7</v>
      </c>
      <c r="E875">
        <v>104</v>
      </c>
      <c r="F875">
        <v>25</v>
      </c>
      <c r="G875">
        <v>4</v>
      </c>
      <c r="H875">
        <v>25</v>
      </c>
      <c r="I875">
        <v>1.4</v>
      </c>
      <c r="J875" s="1">
        <v>1475</v>
      </c>
    </row>
    <row r="876" spans="1:10" ht="14.25" customHeight="1" x14ac:dyDescent="0.25">
      <c r="A876" s="21">
        <v>33009</v>
      </c>
      <c r="B876" s="21"/>
      <c r="C876">
        <v>13.4</v>
      </c>
      <c r="D876">
        <v>2.5</v>
      </c>
      <c r="E876">
        <v>76</v>
      </c>
      <c r="F876">
        <v>24</v>
      </c>
      <c r="H876">
        <v>24</v>
      </c>
      <c r="I876">
        <v>1.96</v>
      </c>
      <c r="J876">
        <v>855</v>
      </c>
    </row>
    <row r="877" spans="1:10" ht="14.25" customHeight="1" x14ac:dyDescent="0.25">
      <c r="A877" s="21">
        <v>33009</v>
      </c>
      <c r="B877" s="21"/>
      <c r="C877">
        <v>12.5</v>
      </c>
      <c r="D877">
        <v>3.1</v>
      </c>
      <c r="E877">
        <v>86</v>
      </c>
      <c r="F877">
        <v>25</v>
      </c>
      <c r="H877">
        <v>25</v>
      </c>
      <c r="I877">
        <v>1.22</v>
      </c>
      <c r="J877" s="1">
        <v>1230</v>
      </c>
    </row>
    <row r="878" spans="1:10" ht="14.25" customHeight="1" x14ac:dyDescent="0.25">
      <c r="A878" s="21">
        <v>33011</v>
      </c>
      <c r="B878" s="21"/>
      <c r="C878">
        <v>11.4</v>
      </c>
      <c r="D878">
        <v>2.9</v>
      </c>
      <c r="E878">
        <v>98</v>
      </c>
      <c r="F878">
        <v>25</v>
      </c>
      <c r="H878">
        <v>25</v>
      </c>
      <c r="I878">
        <v>1.29</v>
      </c>
      <c r="J878" s="1">
        <v>1180</v>
      </c>
    </row>
    <row r="879" spans="1:10" ht="14.25" customHeight="1" x14ac:dyDescent="0.25">
      <c r="A879" s="21">
        <v>33013</v>
      </c>
      <c r="B879" s="21"/>
      <c r="C879">
        <v>10.199999999999999</v>
      </c>
      <c r="D879">
        <v>3.4</v>
      </c>
      <c r="E879">
        <v>20</v>
      </c>
      <c r="F879">
        <v>25</v>
      </c>
      <c r="H879">
        <v>25</v>
      </c>
      <c r="I879">
        <v>1.2</v>
      </c>
      <c r="J879">
        <v>405</v>
      </c>
    </row>
    <row r="880" spans="1:10" ht="14.25" customHeight="1" x14ac:dyDescent="0.25">
      <c r="A880" s="21">
        <v>33013</v>
      </c>
      <c r="B880" s="21"/>
      <c r="C880">
        <v>13.9</v>
      </c>
      <c r="D880">
        <v>3.5</v>
      </c>
      <c r="E880">
        <v>72</v>
      </c>
      <c r="F880">
        <v>25</v>
      </c>
      <c r="H880">
        <v>25</v>
      </c>
      <c r="I880">
        <v>1.18</v>
      </c>
      <c r="J880">
        <v>759</v>
      </c>
    </row>
    <row r="881" spans="1:10" ht="14.25" customHeight="1" x14ac:dyDescent="0.25">
      <c r="A881" s="21">
        <v>33019</v>
      </c>
      <c r="B881" s="21"/>
      <c r="C881">
        <v>10</v>
      </c>
      <c r="D881">
        <v>3.1</v>
      </c>
      <c r="E881">
        <v>52</v>
      </c>
      <c r="F881">
        <v>25</v>
      </c>
      <c r="H881">
        <v>25</v>
      </c>
      <c r="I881">
        <v>1</v>
      </c>
      <c r="J881">
        <v>501</v>
      </c>
    </row>
    <row r="882" spans="1:10" ht="14.25" customHeight="1" x14ac:dyDescent="0.25">
      <c r="A882" s="21">
        <v>35006</v>
      </c>
      <c r="B882" s="21"/>
      <c r="C882">
        <v>6</v>
      </c>
      <c r="D882">
        <v>2.6</v>
      </c>
      <c r="E882">
        <v>43</v>
      </c>
      <c r="F882">
        <v>25</v>
      </c>
      <c r="G882">
        <v>4</v>
      </c>
      <c r="H882">
        <v>25</v>
      </c>
      <c r="I882">
        <v>1.1599999999999999</v>
      </c>
      <c r="J882">
        <v>808</v>
      </c>
    </row>
    <row r="883" spans="1:10" ht="14.25" customHeight="1" x14ac:dyDescent="0.25">
      <c r="A883" s="21">
        <v>35007</v>
      </c>
      <c r="B883" s="21"/>
      <c r="C883">
        <v>6</v>
      </c>
      <c r="D883">
        <v>3.6</v>
      </c>
      <c r="E883">
        <v>42</v>
      </c>
      <c r="F883">
        <v>25</v>
      </c>
      <c r="G883">
        <v>4</v>
      </c>
      <c r="H883">
        <v>25</v>
      </c>
      <c r="I883">
        <v>1.18</v>
      </c>
      <c r="J883">
        <v>393</v>
      </c>
    </row>
    <row r="884" spans="1:10" ht="14.25" customHeight="1" x14ac:dyDescent="0.25">
      <c r="A884" s="21">
        <v>35025</v>
      </c>
      <c r="B884" s="21"/>
      <c r="C884">
        <v>4.3</v>
      </c>
      <c r="D884">
        <v>2.4</v>
      </c>
      <c r="E884">
        <v>77</v>
      </c>
      <c r="F884">
        <v>25</v>
      </c>
      <c r="H884">
        <v>25</v>
      </c>
      <c r="I884">
        <v>1.1399999999999999</v>
      </c>
      <c r="J884">
        <v>439</v>
      </c>
    </row>
    <row r="885" spans="1:10" ht="14.25" customHeight="1" x14ac:dyDescent="0.25">
      <c r="A885" s="21">
        <v>35027</v>
      </c>
      <c r="B885" s="21"/>
      <c r="C885">
        <v>10</v>
      </c>
      <c r="D885">
        <v>3.2</v>
      </c>
      <c r="E885">
        <v>48</v>
      </c>
      <c r="F885">
        <v>25</v>
      </c>
      <c r="G885">
        <v>4</v>
      </c>
      <c r="H885">
        <v>25</v>
      </c>
      <c r="I885">
        <v>1.07</v>
      </c>
      <c r="J885" s="1">
        <v>1026</v>
      </c>
    </row>
    <row r="886" spans="1:10" ht="14.25" customHeight="1" x14ac:dyDescent="0.25">
      <c r="A886" s="21">
        <v>35029</v>
      </c>
      <c r="B886" s="21"/>
      <c r="C886">
        <v>11.6</v>
      </c>
      <c r="D886">
        <v>2.6</v>
      </c>
      <c r="E886">
        <v>38</v>
      </c>
      <c r="F886">
        <v>25</v>
      </c>
      <c r="G886">
        <v>6</v>
      </c>
      <c r="H886">
        <v>25</v>
      </c>
      <c r="I886">
        <v>1.37</v>
      </c>
      <c r="J886" s="1">
        <v>1630</v>
      </c>
    </row>
    <row r="887" spans="1:10" ht="14.25" customHeight="1" x14ac:dyDescent="0.25">
      <c r="A887" s="21">
        <v>35051</v>
      </c>
      <c r="B887" s="21"/>
      <c r="C887">
        <v>4.0999999999999996</v>
      </c>
      <c r="D887">
        <v>3.1</v>
      </c>
      <c r="E887">
        <v>40</v>
      </c>
      <c r="F887">
        <v>11</v>
      </c>
      <c r="H887">
        <v>11</v>
      </c>
      <c r="I887">
        <v>0.94</v>
      </c>
      <c r="J887">
        <v>338</v>
      </c>
    </row>
    <row r="888" spans="1:10" ht="14.25" customHeight="1" x14ac:dyDescent="0.25">
      <c r="A888" s="21">
        <v>35053</v>
      </c>
      <c r="B888" s="21"/>
      <c r="C888">
        <v>4.0999999999999996</v>
      </c>
      <c r="D888">
        <v>3.1</v>
      </c>
      <c r="E888">
        <v>42</v>
      </c>
      <c r="F888">
        <v>24</v>
      </c>
      <c r="H888">
        <v>24</v>
      </c>
      <c r="I888">
        <v>0.97</v>
      </c>
      <c r="J888">
        <v>338</v>
      </c>
    </row>
    <row r="889" spans="1:10" ht="14.25" customHeight="1" x14ac:dyDescent="0.25">
      <c r="A889" s="21">
        <v>35055</v>
      </c>
      <c r="B889" s="21"/>
      <c r="C889">
        <v>12.4</v>
      </c>
      <c r="D889">
        <v>3.7</v>
      </c>
      <c r="E889">
        <v>156</v>
      </c>
      <c r="F889">
        <v>25</v>
      </c>
      <c r="G889">
        <v>6</v>
      </c>
      <c r="H889">
        <v>6</v>
      </c>
      <c r="I889">
        <v>1.47</v>
      </c>
      <c r="J889" s="1">
        <v>1335</v>
      </c>
    </row>
    <row r="890" spans="1:10" ht="14.25" customHeight="1" x14ac:dyDescent="0.25">
      <c r="A890" s="21">
        <v>35059</v>
      </c>
      <c r="B890" s="21"/>
      <c r="C890">
        <v>2.2999999999999998</v>
      </c>
      <c r="D890">
        <v>3.3</v>
      </c>
      <c r="E890">
        <v>17</v>
      </c>
      <c r="F890">
        <v>25</v>
      </c>
      <c r="H890">
        <v>25</v>
      </c>
      <c r="I890">
        <v>1.06</v>
      </c>
      <c r="J890">
        <v>117</v>
      </c>
    </row>
    <row r="891" spans="1:10" ht="14.25" customHeight="1" x14ac:dyDescent="0.25">
      <c r="A891" s="21">
        <v>35059</v>
      </c>
      <c r="B891" s="21"/>
      <c r="C891">
        <v>2.1</v>
      </c>
      <c r="D891">
        <v>3.4</v>
      </c>
      <c r="E891">
        <v>6</v>
      </c>
      <c r="F891">
        <v>25</v>
      </c>
      <c r="H891">
        <v>25</v>
      </c>
      <c r="I891">
        <v>1.05</v>
      </c>
      <c r="J891">
        <v>131</v>
      </c>
    </row>
    <row r="892" spans="1:10" ht="14.25" customHeight="1" x14ac:dyDescent="0.25">
      <c r="A892" s="21">
        <v>36003</v>
      </c>
      <c r="B892" s="21"/>
      <c r="C892">
        <v>6.2</v>
      </c>
      <c r="D892">
        <v>8.6999999999999993</v>
      </c>
      <c r="E892">
        <v>7</v>
      </c>
      <c r="F892">
        <v>20</v>
      </c>
      <c r="H892">
        <v>20</v>
      </c>
      <c r="I892">
        <v>0.84</v>
      </c>
      <c r="J892">
        <v>32</v>
      </c>
    </row>
    <row r="893" spans="1:10" ht="14.25" customHeight="1" x14ac:dyDescent="0.25">
      <c r="A893" s="21">
        <v>36025</v>
      </c>
      <c r="B893" s="21"/>
      <c r="C893">
        <v>4.0999999999999996</v>
      </c>
      <c r="D893">
        <v>3</v>
      </c>
      <c r="E893">
        <v>66</v>
      </c>
      <c r="F893">
        <v>15</v>
      </c>
      <c r="H893">
        <v>15</v>
      </c>
      <c r="I893">
        <v>0.9</v>
      </c>
      <c r="J893">
        <v>165</v>
      </c>
    </row>
    <row r="894" spans="1:10" ht="14.25" customHeight="1" x14ac:dyDescent="0.25">
      <c r="A894" s="21">
        <v>36025</v>
      </c>
      <c r="B894" s="21"/>
      <c r="C894">
        <v>10.6</v>
      </c>
      <c r="D894">
        <v>2.4</v>
      </c>
      <c r="E894">
        <v>17</v>
      </c>
      <c r="F894">
        <v>25</v>
      </c>
      <c r="H894">
        <v>25</v>
      </c>
      <c r="I894">
        <v>1.03</v>
      </c>
      <c r="J894">
        <v>309</v>
      </c>
    </row>
    <row r="895" spans="1:10" ht="14.25" customHeight="1" x14ac:dyDescent="0.25">
      <c r="A895" s="21">
        <v>36025</v>
      </c>
      <c r="B895" s="21"/>
      <c r="C895">
        <v>5.7</v>
      </c>
      <c r="D895">
        <v>2.9</v>
      </c>
      <c r="E895">
        <v>20</v>
      </c>
      <c r="F895">
        <v>16</v>
      </c>
      <c r="H895">
        <v>16</v>
      </c>
      <c r="I895">
        <v>0.92</v>
      </c>
      <c r="J895">
        <v>162</v>
      </c>
    </row>
    <row r="896" spans="1:10" ht="14.25" customHeight="1" x14ac:dyDescent="0.25">
      <c r="A896" s="21">
        <v>36031</v>
      </c>
      <c r="B896" s="21"/>
      <c r="D896">
        <v>2.1</v>
      </c>
    </row>
    <row r="897" spans="1:10" ht="14.25" customHeight="1" x14ac:dyDescent="0.25">
      <c r="A897" s="21">
        <v>36031</v>
      </c>
      <c r="B897" s="21"/>
      <c r="C897">
        <v>10.8</v>
      </c>
      <c r="D897">
        <v>3.2</v>
      </c>
      <c r="E897">
        <v>51</v>
      </c>
      <c r="F897">
        <v>25</v>
      </c>
      <c r="H897">
        <v>25</v>
      </c>
      <c r="I897">
        <v>0.86</v>
      </c>
      <c r="J897">
        <v>354</v>
      </c>
    </row>
    <row r="898" spans="1:10" ht="14.25" customHeight="1" x14ac:dyDescent="0.25">
      <c r="A898" s="21">
        <v>36043</v>
      </c>
      <c r="B898" s="21"/>
      <c r="C898">
        <v>15.3</v>
      </c>
      <c r="D898">
        <v>4.5</v>
      </c>
      <c r="E898">
        <v>35</v>
      </c>
      <c r="F898">
        <v>25</v>
      </c>
      <c r="H898">
        <v>25</v>
      </c>
      <c r="I898">
        <v>0.92</v>
      </c>
      <c r="J898">
        <v>675</v>
      </c>
    </row>
    <row r="899" spans="1:10" ht="14.25" customHeight="1" x14ac:dyDescent="0.25">
      <c r="A899" s="21">
        <v>36045</v>
      </c>
      <c r="B899" s="21"/>
      <c r="C899">
        <v>4.5</v>
      </c>
      <c r="D899">
        <v>3.9</v>
      </c>
      <c r="E899">
        <v>35</v>
      </c>
      <c r="F899">
        <v>24</v>
      </c>
      <c r="H899">
        <v>24</v>
      </c>
      <c r="I899">
        <v>0.9</v>
      </c>
      <c r="J899">
        <v>86</v>
      </c>
    </row>
    <row r="900" spans="1:10" ht="14.25" customHeight="1" x14ac:dyDescent="0.25">
      <c r="A900" s="21">
        <v>36045</v>
      </c>
      <c r="B900" s="21"/>
      <c r="C900">
        <v>12.4</v>
      </c>
      <c r="D900">
        <v>2.7</v>
      </c>
      <c r="E900">
        <v>59</v>
      </c>
      <c r="F900">
        <v>25</v>
      </c>
      <c r="H900">
        <v>25</v>
      </c>
      <c r="I900">
        <v>0.97</v>
      </c>
      <c r="J900">
        <v>917</v>
      </c>
    </row>
    <row r="901" spans="1:10" ht="14.25" customHeight="1" x14ac:dyDescent="0.25">
      <c r="A901" s="21">
        <v>36049</v>
      </c>
      <c r="B901" s="21"/>
      <c r="C901">
        <v>11.6</v>
      </c>
      <c r="D901">
        <v>3</v>
      </c>
      <c r="E901">
        <v>99</v>
      </c>
      <c r="F901">
        <v>25</v>
      </c>
      <c r="G901">
        <v>6</v>
      </c>
      <c r="H901">
        <v>25</v>
      </c>
      <c r="I901">
        <v>1.1499999999999999</v>
      </c>
      <c r="J901" s="1">
        <v>1030</v>
      </c>
    </row>
    <row r="902" spans="1:10" ht="14.25" customHeight="1" x14ac:dyDescent="0.25">
      <c r="A902" s="21">
        <v>36053</v>
      </c>
      <c r="B902" s="21"/>
      <c r="C902">
        <v>13.9</v>
      </c>
      <c r="D902">
        <v>2.5</v>
      </c>
      <c r="E902">
        <v>85</v>
      </c>
      <c r="F902">
        <v>25</v>
      </c>
      <c r="H902">
        <v>25</v>
      </c>
      <c r="I902">
        <v>1.69</v>
      </c>
      <c r="J902" s="1">
        <v>1209</v>
      </c>
    </row>
    <row r="903" spans="1:10" ht="14.25" customHeight="1" x14ac:dyDescent="0.25">
      <c r="A903" s="21">
        <v>36073</v>
      </c>
      <c r="B903" s="21"/>
      <c r="C903">
        <v>7.6</v>
      </c>
      <c r="D903">
        <v>4.3</v>
      </c>
      <c r="E903">
        <v>58</v>
      </c>
      <c r="F903">
        <v>25</v>
      </c>
      <c r="H903">
        <v>25</v>
      </c>
      <c r="I903">
        <v>1.17</v>
      </c>
      <c r="J903">
        <v>291</v>
      </c>
    </row>
    <row r="904" spans="1:10" ht="14.25" customHeight="1" x14ac:dyDescent="0.25">
      <c r="A904" s="21">
        <v>36089</v>
      </c>
      <c r="B904" s="21"/>
      <c r="C904">
        <v>11.7</v>
      </c>
      <c r="D904">
        <v>3.6</v>
      </c>
      <c r="E904">
        <v>32</v>
      </c>
      <c r="F904">
        <v>25</v>
      </c>
      <c r="H904">
        <v>25</v>
      </c>
      <c r="I904">
        <v>1.02</v>
      </c>
      <c r="J904">
        <v>589</v>
      </c>
    </row>
    <row r="905" spans="1:10" ht="14.25" customHeight="1" x14ac:dyDescent="0.25">
      <c r="A905" s="21">
        <v>36089</v>
      </c>
      <c r="B905" s="21"/>
      <c r="C905">
        <v>15</v>
      </c>
      <c r="D905">
        <v>3.3</v>
      </c>
      <c r="E905">
        <v>6</v>
      </c>
      <c r="F905">
        <v>20</v>
      </c>
      <c r="H905">
        <v>20</v>
      </c>
      <c r="I905">
        <v>0.98</v>
      </c>
      <c r="J905">
        <v>40</v>
      </c>
    </row>
    <row r="906" spans="1:10" ht="14.25" customHeight="1" x14ac:dyDescent="0.25">
      <c r="A906" s="21">
        <v>36095</v>
      </c>
      <c r="B906" s="21"/>
      <c r="C906">
        <v>10.8</v>
      </c>
      <c r="D906">
        <v>10.1</v>
      </c>
      <c r="E906">
        <v>37</v>
      </c>
      <c r="F906">
        <v>40</v>
      </c>
      <c r="H906">
        <v>40</v>
      </c>
      <c r="I906">
        <v>0.95</v>
      </c>
      <c r="J906">
        <v>426</v>
      </c>
    </row>
    <row r="907" spans="1:10" ht="14.25" customHeight="1" x14ac:dyDescent="0.25">
      <c r="A907" s="21">
        <v>36097</v>
      </c>
      <c r="B907" s="21"/>
      <c r="C907">
        <v>9.9</v>
      </c>
      <c r="D907">
        <v>3.8</v>
      </c>
      <c r="E907">
        <v>30</v>
      </c>
      <c r="F907">
        <v>25</v>
      </c>
      <c r="H907">
        <v>25</v>
      </c>
      <c r="I907">
        <v>0.95</v>
      </c>
      <c r="J907">
        <v>483</v>
      </c>
    </row>
    <row r="908" spans="1:10" ht="14.25" customHeight="1" x14ac:dyDescent="0.25">
      <c r="A908" s="21">
        <v>36105</v>
      </c>
      <c r="B908" s="21"/>
      <c r="C908">
        <v>3.2</v>
      </c>
      <c r="D908">
        <v>1.7</v>
      </c>
      <c r="E908">
        <v>12</v>
      </c>
      <c r="F908">
        <v>15</v>
      </c>
      <c r="H908">
        <v>15</v>
      </c>
      <c r="I908">
        <v>0.85</v>
      </c>
      <c r="J908">
        <v>37</v>
      </c>
    </row>
    <row r="909" spans="1:10" ht="14.25" customHeight="1" x14ac:dyDescent="0.25">
      <c r="A909" s="21">
        <v>36111</v>
      </c>
      <c r="B909" s="21"/>
      <c r="C909">
        <v>12.9</v>
      </c>
      <c r="D909">
        <v>2.8</v>
      </c>
      <c r="E909">
        <v>40</v>
      </c>
      <c r="F909">
        <v>15</v>
      </c>
      <c r="H909">
        <v>15</v>
      </c>
      <c r="I909">
        <v>0.89</v>
      </c>
      <c r="J909">
        <v>208</v>
      </c>
    </row>
    <row r="910" spans="1:10" ht="14.25" customHeight="1" x14ac:dyDescent="0.25">
      <c r="A910" s="21">
        <v>36123</v>
      </c>
      <c r="B910" s="21"/>
      <c r="C910">
        <v>5.8</v>
      </c>
      <c r="D910">
        <v>2.9</v>
      </c>
      <c r="E910">
        <v>24</v>
      </c>
      <c r="F910">
        <v>25</v>
      </c>
      <c r="H910">
        <v>25</v>
      </c>
      <c r="I910">
        <v>1.03</v>
      </c>
      <c r="J910">
        <v>375</v>
      </c>
    </row>
    <row r="911" spans="1:10" ht="14.25" customHeight="1" x14ac:dyDescent="0.25">
      <c r="A911" s="21">
        <v>37005</v>
      </c>
      <c r="B911" s="21"/>
      <c r="C911">
        <v>2.2000000000000002</v>
      </c>
      <c r="D911">
        <v>3.6</v>
      </c>
      <c r="E911">
        <v>22</v>
      </c>
      <c r="F911">
        <v>25</v>
      </c>
      <c r="H911">
        <v>25</v>
      </c>
      <c r="I911">
        <v>0.91</v>
      </c>
      <c r="J911">
        <v>210</v>
      </c>
    </row>
    <row r="912" spans="1:10" ht="14.25" customHeight="1" x14ac:dyDescent="0.25">
      <c r="A912" s="21">
        <v>37009</v>
      </c>
      <c r="B912" s="21"/>
      <c r="C912">
        <v>11.7</v>
      </c>
      <c r="D912">
        <v>3.2</v>
      </c>
      <c r="E912">
        <v>61</v>
      </c>
      <c r="F912">
        <v>25</v>
      </c>
      <c r="H912">
        <v>25</v>
      </c>
      <c r="I912">
        <v>1.07</v>
      </c>
      <c r="J912" s="1">
        <v>1245</v>
      </c>
    </row>
    <row r="913" spans="1:10" ht="14.25" customHeight="1" x14ac:dyDescent="0.25">
      <c r="A913" s="21">
        <v>37011</v>
      </c>
      <c r="B913" s="21"/>
      <c r="C913">
        <v>4.5999999999999996</v>
      </c>
      <c r="D913">
        <v>2.8</v>
      </c>
      <c r="E913">
        <v>49</v>
      </c>
      <c r="F913">
        <v>21</v>
      </c>
      <c r="H913">
        <v>21</v>
      </c>
      <c r="I913">
        <v>1.1100000000000001</v>
      </c>
      <c r="J913">
        <v>415</v>
      </c>
    </row>
    <row r="914" spans="1:10" ht="14.25" customHeight="1" x14ac:dyDescent="0.25">
      <c r="A914" s="21">
        <v>37013</v>
      </c>
      <c r="B914" s="21"/>
      <c r="C914">
        <v>2</v>
      </c>
      <c r="D914">
        <v>1.6</v>
      </c>
      <c r="J914">
        <v>259</v>
      </c>
    </row>
    <row r="915" spans="1:10" ht="14.25" customHeight="1" x14ac:dyDescent="0.25">
      <c r="A915" s="21">
        <v>37015</v>
      </c>
      <c r="B915" s="21"/>
      <c r="C915">
        <v>4</v>
      </c>
      <c r="D915">
        <v>3.3</v>
      </c>
      <c r="E915">
        <v>28</v>
      </c>
      <c r="F915">
        <v>6</v>
      </c>
      <c r="H915">
        <v>6</v>
      </c>
      <c r="I915">
        <v>1.05</v>
      </c>
      <c r="J915">
        <v>393</v>
      </c>
    </row>
    <row r="916" spans="1:10" ht="14.25" customHeight="1" x14ac:dyDescent="0.25">
      <c r="A916" s="21">
        <v>37017</v>
      </c>
      <c r="B916" s="21"/>
      <c r="C916">
        <v>8.6</v>
      </c>
      <c r="D916">
        <v>2.8</v>
      </c>
      <c r="E916">
        <v>46</v>
      </c>
      <c r="F916">
        <v>25</v>
      </c>
      <c r="G916">
        <v>4</v>
      </c>
      <c r="H916">
        <v>25</v>
      </c>
      <c r="I916">
        <v>1.1100000000000001</v>
      </c>
      <c r="J916">
        <v>581</v>
      </c>
    </row>
    <row r="917" spans="1:10" ht="14.25" customHeight="1" x14ac:dyDescent="0.25">
      <c r="A917" s="21">
        <v>37019</v>
      </c>
      <c r="B917" s="21"/>
      <c r="C917">
        <v>5.9</v>
      </c>
      <c r="D917">
        <v>2.5</v>
      </c>
      <c r="E917">
        <v>72</v>
      </c>
      <c r="F917">
        <v>25</v>
      </c>
      <c r="H917">
        <v>25</v>
      </c>
      <c r="I917">
        <v>1.41</v>
      </c>
      <c r="J917">
        <v>756</v>
      </c>
    </row>
    <row r="918" spans="1:10" ht="14.25" customHeight="1" x14ac:dyDescent="0.25">
      <c r="A918" s="21">
        <v>37037</v>
      </c>
      <c r="B918" s="21"/>
      <c r="C918">
        <v>12.3</v>
      </c>
      <c r="D918">
        <v>3</v>
      </c>
      <c r="E918">
        <v>54</v>
      </c>
      <c r="F918">
        <v>25</v>
      </c>
      <c r="G918">
        <v>4</v>
      </c>
      <c r="H918">
        <v>25</v>
      </c>
      <c r="I918">
        <v>1.1299999999999999</v>
      </c>
      <c r="J918">
        <v>697</v>
      </c>
    </row>
    <row r="919" spans="1:10" ht="14.25" customHeight="1" x14ac:dyDescent="0.25">
      <c r="A919" s="21">
        <v>37039</v>
      </c>
      <c r="B919" s="21"/>
      <c r="C919">
        <v>16.5</v>
      </c>
      <c r="D919">
        <v>3.3</v>
      </c>
      <c r="E919">
        <v>93</v>
      </c>
      <c r="F919">
        <v>25</v>
      </c>
      <c r="H919">
        <v>25</v>
      </c>
      <c r="I919">
        <v>1.45</v>
      </c>
      <c r="J919" s="1">
        <v>1738</v>
      </c>
    </row>
    <row r="920" spans="1:10" ht="14.25" customHeight="1" x14ac:dyDescent="0.25">
      <c r="A920" s="21">
        <v>37041</v>
      </c>
      <c r="B920" s="21"/>
      <c r="C920">
        <v>14.1</v>
      </c>
      <c r="D920">
        <v>2.8</v>
      </c>
      <c r="E920">
        <v>77</v>
      </c>
      <c r="F920">
        <v>25</v>
      </c>
      <c r="G920">
        <v>4</v>
      </c>
      <c r="H920">
        <v>25</v>
      </c>
      <c r="I920">
        <v>1.33</v>
      </c>
      <c r="J920" s="1">
        <v>1541</v>
      </c>
    </row>
    <row r="921" spans="1:10" ht="14.25" customHeight="1" x14ac:dyDescent="0.25">
      <c r="A921" s="21">
        <v>37055</v>
      </c>
      <c r="B921" s="21"/>
      <c r="C921">
        <v>6.7</v>
      </c>
      <c r="D921">
        <v>1.4</v>
      </c>
      <c r="E921">
        <v>93</v>
      </c>
      <c r="F921">
        <v>21</v>
      </c>
      <c r="H921">
        <v>21</v>
      </c>
      <c r="I921">
        <v>1.35</v>
      </c>
      <c r="J921" s="1">
        <v>1158</v>
      </c>
    </row>
    <row r="922" spans="1:10" ht="14.25" customHeight="1" x14ac:dyDescent="0.25">
      <c r="A922" s="21">
        <v>37083</v>
      </c>
      <c r="B922" s="21"/>
      <c r="C922">
        <v>1.6</v>
      </c>
      <c r="D922">
        <v>2</v>
      </c>
      <c r="J922">
        <v>3</v>
      </c>
    </row>
    <row r="923" spans="1:10" ht="14.25" customHeight="1" x14ac:dyDescent="0.25">
      <c r="A923" s="21">
        <v>37113</v>
      </c>
      <c r="B923" s="21"/>
      <c r="C923">
        <v>17.3</v>
      </c>
      <c r="D923">
        <v>3.4</v>
      </c>
      <c r="E923">
        <v>67</v>
      </c>
      <c r="F923">
        <v>25</v>
      </c>
      <c r="G923">
        <v>5</v>
      </c>
      <c r="H923">
        <v>25</v>
      </c>
      <c r="I923">
        <v>1.26</v>
      </c>
      <c r="J923" s="1">
        <v>1671</v>
      </c>
    </row>
    <row r="924" spans="1:10" ht="14.25" customHeight="1" x14ac:dyDescent="0.25">
      <c r="A924" s="21">
        <v>37113</v>
      </c>
      <c r="B924" s="21"/>
      <c r="C924">
        <v>8.6</v>
      </c>
      <c r="D924">
        <v>0.9</v>
      </c>
      <c r="E924">
        <v>26</v>
      </c>
      <c r="F924">
        <v>24</v>
      </c>
      <c r="H924">
        <v>24</v>
      </c>
      <c r="I924">
        <v>1.06</v>
      </c>
      <c r="J924">
        <v>230</v>
      </c>
    </row>
    <row r="925" spans="1:10" ht="14.25" customHeight="1" x14ac:dyDescent="0.25">
      <c r="A925" s="21">
        <v>37121</v>
      </c>
      <c r="B925" s="21"/>
      <c r="C925">
        <v>13.1</v>
      </c>
      <c r="D925">
        <v>1.1000000000000001</v>
      </c>
      <c r="E925">
        <v>75</v>
      </c>
      <c r="F925">
        <v>25</v>
      </c>
      <c r="H925">
        <v>25</v>
      </c>
      <c r="I925">
        <v>1.1599999999999999</v>
      </c>
      <c r="J925" s="1">
        <v>1220</v>
      </c>
    </row>
    <row r="926" spans="1:10" ht="14.25" customHeight="1" x14ac:dyDescent="0.25">
      <c r="A926" s="21">
        <v>37123</v>
      </c>
      <c r="B926" s="21"/>
      <c r="C926">
        <v>1.9</v>
      </c>
      <c r="D926">
        <v>1.3</v>
      </c>
      <c r="E926">
        <v>16</v>
      </c>
      <c r="F926">
        <v>3</v>
      </c>
      <c r="H926">
        <v>3</v>
      </c>
      <c r="I926">
        <v>1.19</v>
      </c>
      <c r="J926">
        <v>184</v>
      </c>
    </row>
    <row r="927" spans="1:10" ht="14.25" customHeight="1" x14ac:dyDescent="0.25">
      <c r="A927" s="21">
        <v>37141</v>
      </c>
      <c r="B927" s="21"/>
      <c r="C927">
        <v>11.5</v>
      </c>
      <c r="D927">
        <v>3.5</v>
      </c>
      <c r="E927">
        <v>17</v>
      </c>
      <c r="F927">
        <v>25</v>
      </c>
      <c r="H927">
        <v>25</v>
      </c>
      <c r="I927">
        <v>1</v>
      </c>
      <c r="J927">
        <v>356</v>
      </c>
    </row>
    <row r="928" spans="1:10" ht="14.25" customHeight="1" x14ac:dyDescent="0.25">
      <c r="A928" s="21">
        <v>37149</v>
      </c>
      <c r="B928" s="21"/>
      <c r="C928">
        <v>12.8</v>
      </c>
      <c r="D928">
        <v>3.2</v>
      </c>
      <c r="E928">
        <v>52</v>
      </c>
      <c r="F928">
        <v>25</v>
      </c>
      <c r="G928">
        <v>6</v>
      </c>
      <c r="H928">
        <v>25</v>
      </c>
      <c r="I928">
        <v>1.46</v>
      </c>
      <c r="J928" s="1">
        <v>1283</v>
      </c>
    </row>
    <row r="929" spans="1:10" ht="14.25" customHeight="1" x14ac:dyDescent="0.25">
      <c r="A929" s="21">
        <v>37169</v>
      </c>
      <c r="B929" s="21"/>
      <c r="C929">
        <v>5</v>
      </c>
      <c r="D929">
        <v>3.4</v>
      </c>
      <c r="E929">
        <v>16</v>
      </c>
      <c r="F929">
        <v>25</v>
      </c>
      <c r="H929">
        <v>25</v>
      </c>
      <c r="I929">
        <v>0.97</v>
      </c>
      <c r="J929">
        <v>194</v>
      </c>
    </row>
    <row r="930" spans="1:10" ht="14.25" customHeight="1" x14ac:dyDescent="0.25">
      <c r="A930" s="21">
        <v>37173</v>
      </c>
      <c r="B930" s="21"/>
      <c r="C930">
        <v>9.8000000000000007</v>
      </c>
      <c r="D930">
        <v>3.2</v>
      </c>
      <c r="E930">
        <v>23</v>
      </c>
      <c r="F930">
        <v>24</v>
      </c>
      <c r="H930">
        <v>24</v>
      </c>
      <c r="I930">
        <v>0.94</v>
      </c>
      <c r="J930">
        <v>141</v>
      </c>
    </row>
    <row r="931" spans="1:10" ht="14.25" customHeight="1" x14ac:dyDescent="0.25">
      <c r="A931" s="21">
        <v>37175</v>
      </c>
      <c r="B931" s="21"/>
      <c r="C931">
        <v>14.6</v>
      </c>
      <c r="D931">
        <v>1</v>
      </c>
      <c r="E931">
        <v>84</v>
      </c>
      <c r="F931">
        <v>25</v>
      </c>
      <c r="G931">
        <v>4</v>
      </c>
      <c r="H931">
        <v>25</v>
      </c>
      <c r="I931">
        <v>1.24</v>
      </c>
      <c r="J931" s="1">
        <v>1510</v>
      </c>
    </row>
    <row r="932" spans="1:10" ht="14.25" customHeight="1" x14ac:dyDescent="0.25">
      <c r="A932" s="21">
        <v>37187</v>
      </c>
      <c r="B932" s="21"/>
      <c r="C932">
        <v>1.9</v>
      </c>
      <c r="D932">
        <v>3</v>
      </c>
      <c r="E932">
        <v>28</v>
      </c>
      <c r="F932">
        <v>33</v>
      </c>
      <c r="H932">
        <v>33</v>
      </c>
      <c r="I932">
        <v>0.88</v>
      </c>
      <c r="J932">
        <v>111</v>
      </c>
    </row>
    <row r="933" spans="1:10" ht="14.25" customHeight="1" x14ac:dyDescent="0.25">
      <c r="A933" s="21">
        <v>37189</v>
      </c>
      <c r="B933" s="21"/>
      <c r="C933">
        <v>13.2</v>
      </c>
      <c r="D933">
        <v>11.3</v>
      </c>
      <c r="J933">
        <v>167</v>
      </c>
    </row>
    <row r="934" spans="1:10" ht="14.25" customHeight="1" x14ac:dyDescent="0.25">
      <c r="A934" s="21">
        <v>37197</v>
      </c>
      <c r="B934" s="21"/>
      <c r="C934">
        <v>4.8</v>
      </c>
      <c r="D934">
        <v>3.1</v>
      </c>
      <c r="J934">
        <v>130</v>
      </c>
    </row>
    <row r="935" spans="1:10" ht="14.25" customHeight="1" x14ac:dyDescent="0.25">
      <c r="A935" s="21">
        <v>38001</v>
      </c>
      <c r="B935" s="21"/>
      <c r="C935">
        <v>6.8</v>
      </c>
      <c r="D935">
        <v>3.6</v>
      </c>
      <c r="E935">
        <v>29</v>
      </c>
      <c r="F935">
        <v>25</v>
      </c>
      <c r="H935">
        <v>25</v>
      </c>
      <c r="I935">
        <v>0.93</v>
      </c>
      <c r="J935">
        <v>468</v>
      </c>
    </row>
    <row r="936" spans="1:10" ht="14.25" customHeight="1" x14ac:dyDescent="0.25">
      <c r="A936" s="21">
        <v>38003</v>
      </c>
      <c r="B936" s="21"/>
      <c r="C936">
        <v>8.1</v>
      </c>
      <c r="D936">
        <v>3.1</v>
      </c>
      <c r="E936">
        <v>12</v>
      </c>
      <c r="F936">
        <v>25</v>
      </c>
      <c r="H936">
        <v>25</v>
      </c>
      <c r="I936">
        <v>1.2</v>
      </c>
      <c r="J936">
        <v>225</v>
      </c>
    </row>
    <row r="937" spans="1:10" ht="14.25" customHeight="1" x14ac:dyDescent="0.25">
      <c r="A937" s="21">
        <v>38009</v>
      </c>
      <c r="B937" s="21"/>
      <c r="C937">
        <v>15.1</v>
      </c>
      <c r="D937">
        <v>2.8</v>
      </c>
      <c r="E937">
        <v>13</v>
      </c>
      <c r="F937">
        <v>25</v>
      </c>
      <c r="H937">
        <v>25</v>
      </c>
      <c r="I937">
        <v>0.91</v>
      </c>
      <c r="J937">
        <v>104</v>
      </c>
    </row>
    <row r="938" spans="1:10" ht="14.25" customHeight="1" x14ac:dyDescent="0.25">
      <c r="A938" s="21">
        <v>38011</v>
      </c>
      <c r="B938" s="21"/>
      <c r="C938">
        <v>3.1</v>
      </c>
      <c r="D938">
        <v>2.7</v>
      </c>
      <c r="E938">
        <v>5</v>
      </c>
      <c r="F938">
        <v>23</v>
      </c>
      <c r="H938">
        <v>23</v>
      </c>
      <c r="I938">
        <v>0.92</v>
      </c>
      <c r="J938">
        <v>107</v>
      </c>
    </row>
    <row r="939" spans="1:10" ht="14.25" customHeight="1" x14ac:dyDescent="0.25">
      <c r="A939" s="21">
        <v>38019</v>
      </c>
      <c r="B939" s="21"/>
      <c r="C939">
        <v>1.3</v>
      </c>
      <c r="D939">
        <v>3.2</v>
      </c>
      <c r="E939">
        <v>11</v>
      </c>
      <c r="F939">
        <v>20</v>
      </c>
      <c r="H939">
        <v>20</v>
      </c>
      <c r="I939">
        <v>0.84</v>
      </c>
      <c r="J939">
        <v>83</v>
      </c>
    </row>
    <row r="940" spans="1:10" ht="14.25" customHeight="1" x14ac:dyDescent="0.25">
      <c r="A940" s="21">
        <v>38021</v>
      </c>
      <c r="B940" s="21"/>
      <c r="C940">
        <v>4.4000000000000004</v>
      </c>
      <c r="D940">
        <v>3.1</v>
      </c>
      <c r="E940">
        <v>16</v>
      </c>
      <c r="F940">
        <v>20</v>
      </c>
      <c r="H940">
        <v>20</v>
      </c>
      <c r="I940">
        <v>1.04</v>
      </c>
      <c r="J940">
        <v>215</v>
      </c>
    </row>
    <row r="941" spans="1:10" ht="14.25" customHeight="1" x14ac:dyDescent="0.25">
      <c r="A941" s="21">
        <v>38023</v>
      </c>
      <c r="B941" s="21"/>
      <c r="C941">
        <v>3.9</v>
      </c>
      <c r="D941">
        <v>3.2</v>
      </c>
      <c r="E941">
        <v>4</v>
      </c>
      <c r="F941">
        <v>15</v>
      </c>
      <c r="H941">
        <v>15</v>
      </c>
      <c r="I941">
        <v>0.94</v>
      </c>
      <c r="J941">
        <v>59</v>
      </c>
    </row>
    <row r="942" spans="1:10" ht="14.25" customHeight="1" x14ac:dyDescent="0.25">
      <c r="A942" s="21">
        <v>38029</v>
      </c>
      <c r="B942" s="21"/>
      <c r="C942">
        <v>1.4</v>
      </c>
      <c r="D942">
        <v>3.3</v>
      </c>
      <c r="E942">
        <v>12</v>
      </c>
      <c r="F942">
        <v>14</v>
      </c>
      <c r="H942">
        <v>14</v>
      </c>
      <c r="I942">
        <v>1.02</v>
      </c>
      <c r="J942">
        <v>107</v>
      </c>
    </row>
    <row r="943" spans="1:10" ht="14.25" customHeight="1" x14ac:dyDescent="0.25">
      <c r="A943" s="21">
        <v>38031</v>
      </c>
      <c r="B943" s="21"/>
      <c r="C943">
        <v>3.3</v>
      </c>
      <c r="D943">
        <v>2.8</v>
      </c>
      <c r="E943">
        <v>10</v>
      </c>
      <c r="F943">
        <v>25</v>
      </c>
      <c r="H943">
        <v>25</v>
      </c>
      <c r="I943">
        <v>0.94</v>
      </c>
      <c r="J943">
        <v>220</v>
      </c>
    </row>
    <row r="944" spans="1:10" ht="14.25" customHeight="1" x14ac:dyDescent="0.25">
      <c r="A944" s="21">
        <v>38035</v>
      </c>
      <c r="B944" s="21"/>
      <c r="C944">
        <v>4.0999999999999996</v>
      </c>
      <c r="D944">
        <v>3</v>
      </c>
      <c r="E944">
        <v>9</v>
      </c>
      <c r="F944">
        <v>12</v>
      </c>
      <c r="H944">
        <v>12</v>
      </c>
      <c r="I944">
        <v>0.9</v>
      </c>
      <c r="J944">
        <v>42</v>
      </c>
    </row>
    <row r="945" spans="1:10" ht="14.25" customHeight="1" x14ac:dyDescent="0.25">
      <c r="A945" s="21">
        <v>38037</v>
      </c>
      <c r="B945" s="21"/>
      <c r="C945">
        <v>24.9</v>
      </c>
      <c r="D945">
        <v>3</v>
      </c>
      <c r="E945">
        <v>16</v>
      </c>
      <c r="F945">
        <v>30</v>
      </c>
      <c r="H945">
        <v>30</v>
      </c>
      <c r="I945">
        <v>0.97</v>
      </c>
      <c r="J945">
        <v>113</v>
      </c>
    </row>
    <row r="946" spans="1:10" ht="14.25" customHeight="1" x14ac:dyDescent="0.25">
      <c r="A946" s="21">
        <v>38039</v>
      </c>
      <c r="B946" s="21"/>
      <c r="C946">
        <v>2.1</v>
      </c>
      <c r="D946">
        <v>3.4</v>
      </c>
      <c r="E946">
        <v>7</v>
      </c>
      <c r="F946">
        <v>18</v>
      </c>
      <c r="H946">
        <v>18</v>
      </c>
      <c r="I946">
        <v>0.94</v>
      </c>
      <c r="J946">
        <v>46</v>
      </c>
    </row>
    <row r="947" spans="1:10" ht="14.25" customHeight="1" x14ac:dyDescent="0.25">
      <c r="A947" s="21">
        <v>38051</v>
      </c>
      <c r="B947" s="21"/>
      <c r="C947">
        <v>2.6</v>
      </c>
      <c r="D947">
        <v>3</v>
      </c>
      <c r="E947">
        <v>7</v>
      </c>
      <c r="F947">
        <v>24</v>
      </c>
      <c r="H947">
        <v>24</v>
      </c>
      <c r="I947">
        <v>0.91</v>
      </c>
      <c r="J947">
        <v>182</v>
      </c>
    </row>
    <row r="948" spans="1:10" ht="14.25" customHeight="1" x14ac:dyDescent="0.25">
      <c r="A948" s="21">
        <v>38051</v>
      </c>
      <c r="B948" s="21"/>
      <c r="C948">
        <v>2.8</v>
      </c>
      <c r="D948">
        <v>2.7</v>
      </c>
      <c r="E948">
        <v>5</v>
      </c>
      <c r="F948">
        <v>20</v>
      </c>
      <c r="H948">
        <v>20</v>
      </c>
      <c r="I948">
        <v>0.9</v>
      </c>
      <c r="J948">
        <v>74</v>
      </c>
    </row>
    <row r="949" spans="1:10" ht="14.25" customHeight="1" x14ac:dyDescent="0.25">
      <c r="A949" s="21">
        <v>38053</v>
      </c>
      <c r="B949" s="21"/>
      <c r="C949">
        <v>2.5</v>
      </c>
      <c r="D949">
        <v>2.6</v>
      </c>
      <c r="E949">
        <v>25</v>
      </c>
      <c r="F949">
        <v>24</v>
      </c>
      <c r="H949">
        <v>24</v>
      </c>
      <c r="I949">
        <v>0.88</v>
      </c>
      <c r="J949">
        <v>105</v>
      </c>
    </row>
    <row r="950" spans="1:10" ht="14.25" customHeight="1" x14ac:dyDescent="0.25">
      <c r="A950" s="21">
        <v>38055</v>
      </c>
      <c r="B950" s="21"/>
      <c r="C950">
        <v>17.2</v>
      </c>
      <c r="D950">
        <v>3.2</v>
      </c>
      <c r="E950">
        <v>11</v>
      </c>
      <c r="F950">
        <v>25</v>
      </c>
      <c r="H950">
        <v>25</v>
      </c>
      <c r="I950">
        <v>0.96</v>
      </c>
      <c r="J950">
        <v>21</v>
      </c>
    </row>
    <row r="951" spans="1:10" ht="14.25" customHeight="1" x14ac:dyDescent="0.25">
      <c r="A951" s="21">
        <v>38055</v>
      </c>
      <c r="B951" s="21"/>
      <c r="C951">
        <v>12.2</v>
      </c>
      <c r="D951">
        <v>2.8</v>
      </c>
      <c r="E951">
        <v>8</v>
      </c>
      <c r="F951">
        <v>22</v>
      </c>
      <c r="H951">
        <v>22</v>
      </c>
      <c r="I951">
        <v>0.99</v>
      </c>
      <c r="J951">
        <v>122</v>
      </c>
    </row>
    <row r="952" spans="1:10" ht="14.25" customHeight="1" x14ac:dyDescent="0.25">
      <c r="A952" s="21">
        <v>38057</v>
      </c>
      <c r="B952" s="21"/>
      <c r="C952">
        <v>3.9</v>
      </c>
      <c r="D952">
        <v>3.2</v>
      </c>
      <c r="E952">
        <v>28</v>
      </c>
      <c r="F952">
        <v>13</v>
      </c>
      <c r="H952">
        <v>13</v>
      </c>
      <c r="I952">
        <v>0.92</v>
      </c>
      <c r="J952">
        <v>153</v>
      </c>
    </row>
    <row r="953" spans="1:10" ht="14.25" customHeight="1" x14ac:dyDescent="0.25">
      <c r="A953" s="21">
        <v>38061</v>
      </c>
      <c r="B953" s="21"/>
      <c r="C953">
        <v>1.6</v>
      </c>
      <c r="D953">
        <v>2.8</v>
      </c>
      <c r="E953">
        <v>14</v>
      </c>
      <c r="F953">
        <v>11</v>
      </c>
      <c r="H953">
        <v>11</v>
      </c>
      <c r="I953">
        <v>1.2</v>
      </c>
      <c r="J953">
        <v>28</v>
      </c>
    </row>
    <row r="954" spans="1:10" ht="14.25" customHeight="1" x14ac:dyDescent="0.25">
      <c r="A954" s="21">
        <v>38063</v>
      </c>
      <c r="B954" s="21"/>
      <c r="C954">
        <v>2.7</v>
      </c>
      <c r="D954">
        <v>3.4</v>
      </c>
      <c r="E954">
        <v>5</v>
      </c>
      <c r="F954">
        <v>19</v>
      </c>
      <c r="H954">
        <v>19</v>
      </c>
      <c r="I954">
        <v>0.83</v>
      </c>
      <c r="J954">
        <v>56</v>
      </c>
    </row>
    <row r="955" spans="1:10" ht="14.25" customHeight="1" x14ac:dyDescent="0.25">
      <c r="A955" s="21">
        <v>38067</v>
      </c>
      <c r="B955" s="21"/>
      <c r="C955">
        <v>2.1</v>
      </c>
      <c r="D955">
        <v>2.9</v>
      </c>
      <c r="E955">
        <v>7</v>
      </c>
      <c r="F955">
        <v>20</v>
      </c>
      <c r="H955">
        <v>20</v>
      </c>
      <c r="I955">
        <v>0.88</v>
      </c>
      <c r="J955">
        <v>211</v>
      </c>
    </row>
    <row r="956" spans="1:10" ht="14.25" customHeight="1" x14ac:dyDescent="0.25">
      <c r="A956" s="21">
        <v>38069</v>
      </c>
      <c r="B956" s="21"/>
      <c r="C956">
        <v>7.4</v>
      </c>
      <c r="D956">
        <v>2.5</v>
      </c>
      <c r="E956">
        <v>33</v>
      </c>
      <c r="F956">
        <v>25</v>
      </c>
      <c r="H956">
        <v>25</v>
      </c>
      <c r="I956">
        <v>0.92</v>
      </c>
      <c r="J956">
        <v>292</v>
      </c>
    </row>
    <row r="957" spans="1:10" ht="14.25" customHeight="1" x14ac:dyDescent="0.25">
      <c r="A957" s="21">
        <v>38071</v>
      </c>
      <c r="B957" s="21"/>
      <c r="C957">
        <v>8.6999999999999993</v>
      </c>
      <c r="D957">
        <v>2.5</v>
      </c>
      <c r="E957">
        <v>16</v>
      </c>
      <c r="F957">
        <v>25</v>
      </c>
      <c r="H957">
        <v>25</v>
      </c>
      <c r="I957">
        <v>1.17</v>
      </c>
      <c r="J957">
        <v>723</v>
      </c>
    </row>
    <row r="958" spans="1:10" ht="14.25" customHeight="1" x14ac:dyDescent="0.25">
      <c r="A958" s="21">
        <v>38073</v>
      </c>
      <c r="B958" s="21"/>
      <c r="C958">
        <v>9.6999999999999993</v>
      </c>
      <c r="D958">
        <v>3.2</v>
      </c>
      <c r="E958">
        <v>8</v>
      </c>
      <c r="F958">
        <v>25</v>
      </c>
      <c r="H958">
        <v>25</v>
      </c>
      <c r="I958">
        <v>1.1100000000000001</v>
      </c>
      <c r="J958">
        <v>175</v>
      </c>
    </row>
    <row r="959" spans="1:10" ht="14.25" customHeight="1" x14ac:dyDescent="0.25">
      <c r="A959" s="21">
        <v>38079</v>
      </c>
      <c r="B959" s="21"/>
      <c r="C959">
        <v>6.4</v>
      </c>
      <c r="D959">
        <v>2.6</v>
      </c>
      <c r="E959">
        <v>8</v>
      </c>
      <c r="F959">
        <v>25</v>
      </c>
      <c r="H959">
        <v>25</v>
      </c>
      <c r="I959">
        <v>0.84</v>
      </c>
      <c r="J959">
        <v>70</v>
      </c>
    </row>
    <row r="960" spans="1:10" ht="14.25" customHeight="1" x14ac:dyDescent="0.25">
      <c r="A960" s="21">
        <v>38089</v>
      </c>
      <c r="B960" s="21"/>
      <c r="C960">
        <v>12.4</v>
      </c>
      <c r="D960">
        <v>2.6</v>
      </c>
      <c r="E960">
        <v>75</v>
      </c>
      <c r="F960">
        <v>25</v>
      </c>
      <c r="G960">
        <v>4</v>
      </c>
      <c r="H960">
        <v>25</v>
      </c>
      <c r="I960">
        <v>1.18</v>
      </c>
      <c r="J960" s="1">
        <v>1754</v>
      </c>
    </row>
    <row r="961" spans="1:10" ht="14.25" customHeight="1" x14ac:dyDescent="0.25">
      <c r="A961" s="21">
        <v>38089</v>
      </c>
      <c r="B961" s="21"/>
      <c r="C961">
        <v>16.600000000000001</v>
      </c>
      <c r="D961">
        <v>264.5</v>
      </c>
      <c r="J961">
        <v>1</v>
      </c>
    </row>
    <row r="962" spans="1:10" ht="14.25" customHeight="1" x14ac:dyDescent="0.25">
      <c r="A962" s="21">
        <v>38093</v>
      </c>
      <c r="B962" s="21"/>
      <c r="C962">
        <v>7.7</v>
      </c>
      <c r="D962">
        <v>2.8</v>
      </c>
      <c r="E962">
        <v>52</v>
      </c>
      <c r="F962">
        <v>25</v>
      </c>
      <c r="G962">
        <v>6</v>
      </c>
      <c r="H962">
        <v>25</v>
      </c>
      <c r="I962">
        <v>1.37</v>
      </c>
      <c r="J962" s="1">
        <v>1036</v>
      </c>
    </row>
    <row r="963" spans="1:10" ht="14.25" customHeight="1" x14ac:dyDescent="0.25">
      <c r="A963" s="21">
        <v>38095</v>
      </c>
      <c r="B963" s="21"/>
      <c r="C963">
        <v>3.2</v>
      </c>
      <c r="D963">
        <v>2.2000000000000002</v>
      </c>
      <c r="E963">
        <v>11</v>
      </c>
      <c r="F963">
        <v>20</v>
      </c>
      <c r="H963">
        <v>20</v>
      </c>
      <c r="I963">
        <v>0.84</v>
      </c>
      <c r="J963">
        <v>119</v>
      </c>
    </row>
    <row r="964" spans="1:10" ht="14.25" customHeight="1" x14ac:dyDescent="0.25">
      <c r="A964" s="21">
        <v>38097</v>
      </c>
      <c r="B964" s="21"/>
      <c r="C964">
        <v>4.4000000000000004</v>
      </c>
      <c r="D964">
        <v>2.8</v>
      </c>
      <c r="E964">
        <v>4</v>
      </c>
      <c r="F964">
        <v>16</v>
      </c>
      <c r="H964">
        <v>16</v>
      </c>
      <c r="I964">
        <v>0.94</v>
      </c>
      <c r="J964">
        <v>53</v>
      </c>
    </row>
    <row r="965" spans="1:10" ht="14.25" customHeight="1" x14ac:dyDescent="0.25">
      <c r="A965" s="21">
        <v>38097</v>
      </c>
      <c r="B965" s="21"/>
      <c r="C965">
        <v>3.4</v>
      </c>
      <c r="D965">
        <v>2.4</v>
      </c>
      <c r="E965">
        <v>8</v>
      </c>
      <c r="F965">
        <v>25</v>
      </c>
      <c r="H965">
        <v>25</v>
      </c>
      <c r="I965">
        <v>0.99</v>
      </c>
      <c r="J965">
        <v>109</v>
      </c>
    </row>
    <row r="966" spans="1:10" ht="14.25" customHeight="1" x14ac:dyDescent="0.25">
      <c r="A966" s="21">
        <v>38099</v>
      </c>
      <c r="B966" s="21"/>
      <c r="C966">
        <v>4.2</v>
      </c>
      <c r="D966">
        <v>2.8</v>
      </c>
      <c r="E966">
        <v>16</v>
      </c>
      <c r="F966">
        <v>14</v>
      </c>
      <c r="H966">
        <v>14</v>
      </c>
      <c r="I966">
        <v>0.98</v>
      </c>
      <c r="J966">
        <v>173</v>
      </c>
    </row>
    <row r="967" spans="1:10" ht="14.25" customHeight="1" x14ac:dyDescent="0.25">
      <c r="A967" s="21">
        <v>38099</v>
      </c>
      <c r="B967" s="21"/>
      <c r="C967">
        <v>6.8</v>
      </c>
      <c r="D967">
        <v>3.4</v>
      </c>
      <c r="E967">
        <v>6</v>
      </c>
      <c r="F967">
        <v>14</v>
      </c>
      <c r="H967">
        <v>14</v>
      </c>
      <c r="I967">
        <v>0.92</v>
      </c>
      <c r="J967">
        <v>250</v>
      </c>
    </row>
    <row r="968" spans="1:10" ht="14.25" customHeight="1" x14ac:dyDescent="0.25">
      <c r="A968" s="21">
        <v>38101</v>
      </c>
      <c r="B968" s="21"/>
      <c r="C968">
        <v>16.5</v>
      </c>
      <c r="D968">
        <v>2.2000000000000002</v>
      </c>
      <c r="E968">
        <v>4</v>
      </c>
      <c r="F968">
        <v>25</v>
      </c>
      <c r="H968">
        <v>25</v>
      </c>
      <c r="I968">
        <v>1.05</v>
      </c>
      <c r="J968">
        <v>8</v>
      </c>
    </row>
    <row r="969" spans="1:10" ht="14.25" customHeight="1" x14ac:dyDescent="0.25">
      <c r="A969" s="21">
        <v>38103</v>
      </c>
      <c r="B969" s="21"/>
      <c r="C969">
        <v>5.4</v>
      </c>
      <c r="D969">
        <v>2.9</v>
      </c>
      <c r="E969">
        <v>16</v>
      </c>
      <c r="F969">
        <v>25</v>
      </c>
      <c r="H969">
        <v>25</v>
      </c>
      <c r="I969">
        <v>0.86</v>
      </c>
      <c r="J969">
        <v>194</v>
      </c>
    </row>
    <row r="970" spans="1:10" ht="14.25" customHeight="1" x14ac:dyDescent="0.25">
      <c r="A970" s="21">
        <v>38105</v>
      </c>
      <c r="B970" s="21"/>
      <c r="C970">
        <v>5</v>
      </c>
      <c r="D970">
        <v>3</v>
      </c>
      <c r="E970">
        <v>7</v>
      </c>
      <c r="F970">
        <v>25</v>
      </c>
      <c r="H970">
        <v>25</v>
      </c>
      <c r="I970">
        <v>0.86</v>
      </c>
      <c r="J970">
        <v>128</v>
      </c>
    </row>
    <row r="971" spans="1:10" ht="14.25" customHeight="1" x14ac:dyDescent="0.25">
      <c r="A971" s="21">
        <v>38105</v>
      </c>
      <c r="B971" s="21"/>
      <c r="C971">
        <v>9.9</v>
      </c>
      <c r="D971">
        <v>2.2000000000000002</v>
      </c>
      <c r="E971">
        <v>67</v>
      </c>
      <c r="F971">
        <v>25</v>
      </c>
      <c r="H971">
        <v>25</v>
      </c>
      <c r="I971">
        <v>1.2</v>
      </c>
      <c r="J971" s="1">
        <v>1674</v>
      </c>
    </row>
    <row r="972" spans="1:10" ht="14.25" customHeight="1" x14ac:dyDescent="0.25">
      <c r="A972" s="21">
        <v>39001</v>
      </c>
      <c r="B972" s="21"/>
      <c r="C972">
        <v>13.6</v>
      </c>
      <c r="D972">
        <v>3.3</v>
      </c>
      <c r="E972">
        <v>48</v>
      </c>
      <c r="F972">
        <v>25</v>
      </c>
      <c r="H972">
        <v>25</v>
      </c>
      <c r="I972">
        <v>0.95</v>
      </c>
      <c r="J972">
        <v>863</v>
      </c>
    </row>
    <row r="973" spans="1:10" ht="14.25" customHeight="1" x14ac:dyDescent="0.25">
      <c r="A973" s="21">
        <v>39003</v>
      </c>
      <c r="B973" s="21"/>
      <c r="C973">
        <v>1.3</v>
      </c>
      <c r="D973">
        <v>2.1</v>
      </c>
      <c r="E973">
        <v>22</v>
      </c>
      <c r="F973">
        <v>25</v>
      </c>
      <c r="H973">
        <v>25</v>
      </c>
      <c r="I973">
        <v>0.98</v>
      </c>
      <c r="J973">
        <v>433</v>
      </c>
    </row>
    <row r="974" spans="1:10" ht="14.25" customHeight="1" x14ac:dyDescent="0.25">
      <c r="A974" s="21">
        <v>39007</v>
      </c>
      <c r="B974" s="21"/>
      <c r="C974">
        <v>16.5</v>
      </c>
      <c r="D974">
        <v>3.7</v>
      </c>
      <c r="E974">
        <v>41</v>
      </c>
      <c r="F974">
        <v>25</v>
      </c>
      <c r="G974">
        <v>5</v>
      </c>
      <c r="H974">
        <v>25</v>
      </c>
      <c r="I974">
        <v>1.32</v>
      </c>
      <c r="J974" s="1">
        <v>1613</v>
      </c>
    </row>
    <row r="975" spans="1:10" ht="14.25" customHeight="1" x14ac:dyDescent="0.25">
      <c r="A975" s="21">
        <v>39007</v>
      </c>
      <c r="B975" s="21"/>
      <c r="C975">
        <v>5.2</v>
      </c>
      <c r="D975">
        <v>3.2</v>
      </c>
      <c r="E975">
        <v>30</v>
      </c>
      <c r="F975">
        <v>25</v>
      </c>
      <c r="G975">
        <v>5</v>
      </c>
      <c r="H975">
        <v>25</v>
      </c>
      <c r="I975">
        <v>1.35</v>
      </c>
      <c r="J975">
        <v>598</v>
      </c>
    </row>
    <row r="976" spans="1:10" ht="14.25" customHeight="1" x14ac:dyDescent="0.25">
      <c r="A976" s="21">
        <v>39009</v>
      </c>
      <c r="B976" s="21"/>
      <c r="C976">
        <v>4.5</v>
      </c>
      <c r="D976">
        <v>2.7</v>
      </c>
      <c r="J976">
        <v>191</v>
      </c>
    </row>
    <row r="977" spans="1:10" ht="14.25" customHeight="1" x14ac:dyDescent="0.25">
      <c r="A977" s="21">
        <v>39013</v>
      </c>
      <c r="B977" s="21"/>
      <c r="C977">
        <v>5.7</v>
      </c>
      <c r="D977">
        <v>3</v>
      </c>
      <c r="E977">
        <v>35</v>
      </c>
      <c r="F977">
        <v>25</v>
      </c>
      <c r="H977">
        <v>25</v>
      </c>
      <c r="I977">
        <v>1.03</v>
      </c>
      <c r="J977">
        <v>562</v>
      </c>
    </row>
    <row r="978" spans="1:10" ht="14.25" customHeight="1" x14ac:dyDescent="0.25">
      <c r="A978" s="21">
        <v>39021</v>
      </c>
      <c r="B978" s="21"/>
      <c r="C978">
        <v>8.1</v>
      </c>
      <c r="D978">
        <v>3.1</v>
      </c>
      <c r="E978">
        <v>23</v>
      </c>
      <c r="F978">
        <v>25</v>
      </c>
      <c r="H978">
        <v>25</v>
      </c>
      <c r="I978">
        <v>1.1399999999999999</v>
      </c>
      <c r="J978">
        <v>909</v>
      </c>
    </row>
    <row r="979" spans="1:10" ht="14.25" customHeight="1" x14ac:dyDescent="0.25">
      <c r="A979" s="21">
        <v>39033</v>
      </c>
      <c r="B979" s="21"/>
      <c r="C979">
        <v>8.4</v>
      </c>
      <c r="D979">
        <v>3.4</v>
      </c>
      <c r="E979">
        <v>82</v>
      </c>
      <c r="F979">
        <v>25</v>
      </c>
      <c r="G979">
        <v>6</v>
      </c>
      <c r="H979">
        <v>25</v>
      </c>
      <c r="I979">
        <v>1.39</v>
      </c>
      <c r="J979">
        <v>851</v>
      </c>
    </row>
    <row r="980" spans="1:10" ht="14.25" customHeight="1" x14ac:dyDescent="0.25">
      <c r="A980" s="21">
        <v>39033</v>
      </c>
      <c r="B980" s="21"/>
      <c r="C980">
        <v>11.5</v>
      </c>
      <c r="D980">
        <v>2.8</v>
      </c>
      <c r="E980">
        <v>68</v>
      </c>
      <c r="F980">
        <v>25</v>
      </c>
      <c r="G980">
        <v>3</v>
      </c>
      <c r="H980">
        <v>25</v>
      </c>
      <c r="I980">
        <v>1.31</v>
      </c>
      <c r="J980" s="1">
        <v>1510</v>
      </c>
    </row>
    <row r="981" spans="1:10" ht="14.25" customHeight="1" x14ac:dyDescent="0.25">
      <c r="A981" s="21">
        <v>39039</v>
      </c>
      <c r="B981" s="21"/>
      <c r="C981">
        <v>8.5</v>
      </c>
      <c r="D981">
        <v>3.6</v>
      </c>
      <c r="E981">
        <v>69</v>
      </c>
      <c r="F981">
        <v>25</v>
      </c>
      <c r="G981">
        <v>8</v>
      </c>
      <c r="H981">
        <v>25</v>
      </c>
      <c r="I981">
        <v>1.21</v>
      </c>
      <c r="J981" s="1">
        <v>1137</v>
      </c>
    </row>
    <row r="982" spans="1:10" ht="14.25" customHeight="1" x14ac:dyDescent="0.25">
      <c r="A982" s="21">
        <v>39039</v>
      </c>
      <c r="B982" s="21"/>
      <c r="C982">
        <v>4.5999999999999996</v>
      </c>
      <c r="D982">
        <v>2.5</v>
      </c>
      <c r="E982">
        <v>34</v>
      </c>
      <c r="F982">
        <v>25</v>
      </c>
      <c r="H982">
        <v>25</v>
      </c>
      <c r="I982">
        <v>1.1000000000000001</v>
      </c>
      <c r="J982">
        <v>495</v>
      </c>
    </row>
    <row r="983" spans="1:10" ht="14.25" customHeight="1" x14ac:dyDescent="0.25">
      <c r="A983" s="21">
        <v>39047</v>
      </c>
      <c r="B983" s="21"/>
      <c r="C983">
        <v>9.8000000000000007</v>
      </c>
      <c r="D983">
        <v>2.9</v>
      </c>
      <c r="E983">
        <v>94</v>
      </c>
      <c r="F983">
        <v>25</v>
      </c>
      <c r="H983">
        <v>25</v>
      </c>
      <c r="I983">
        <v>1.07</v>
      </c>
      <c r="J983">
        <v>871</v>
      </c>
    </row>
    <row r="984" spans="1:10" ht="14.25" customHeight="1" x14ac:dyDescent="0.25">
      <c r="A984" s="21">
        <v>39051</v>
      </c>
      <c r="B984" s="21"/>
      <c r="C984">
        <v>6.9</v>
      </c>
      <c r="D984">
        <v>2.1</v>
      </c>
      <c r="E984">
        <v>86</v>
      </c>
      <c r="F984">
        <v>25</v>
      </c>
      <c r="G984">
        <v>7</v>
      </c>
      <c r="H984">
        <v>25</v>
      </c>
      <c r="I984">
        <v>1.36</v>
      </c>
      <c r="J984" s="1">
        <v>1072</v>
      </c>
    </row>
    <row r="985" spans="1:10" ht="14.25" customHeight="1" x14ac:dyDescent="0.25">
      <c r="A985" s="21">
        <v>39065</v>
      </c>
      <c r="B985" s="21"/>
      <c r="C985">
        <v>3.7</v>
      </c>
      <c r="D985">
        <v>3.2</v>
      </c>
      <c r="E985">
        <v>37</v>
      </c>
      <c r="F985">
        <v>25</v>
      </c>
      <c r="H985">
        <v>25</v>
      </c>
      <c r="I985">
        <v>0.96</v>
      </c>
      <c r="J985">
        <v>421</v>
      </c>
    </row>
    <row r="986" spans="1:10" ht="14.25" customHeight="1" x14ac:dyDescent="0.25">
      <c r="A986" s="21">
        <v>39067</v>
      </c>
      <c r="B986" s="21"/>
      <c r="C986">
        <v>2.4</v>
      </c>
      <c r="D986">
        <v>2.5</v>
      </c>
      <c r="E986">
        <v>25</v>
      </c>
      <c r="F986">
        <v>25</v>
      </c>
      <c r="H986">
        <v>25</v>
      </c>
      <c r="I986">
        <v>1.07</v>
      </c>
      <c r="J986">
        <v>89</v>
      </c>
    </row>
    <row r="987" spans="1:10" ht="14.25" customHeight="1" x14ac:dyDescent="0.25">
      <c r="A987" s="21">
        <v>39069</v>
      </c>
      <c r="B987" s="21"/>
      <c r="C987">
        <v>7.2</v>
      </c>
      <c r="D987">
        <v>2.6</v>
      </c>
      <c r="E987">
        <v>35</v>
      </c>
      <c r="F987">
        <v>25</v>
      </c>
      <c r="G987">
        <v>5</v>
      </c>
      <c r="H987">
        <v>25</v>
      </c>
      <c r="I987">
        <v>1.1399999999999999</v>
      </c>
      <c r="J987">
        <v>648</v>
      </c>
    </row>
    <row r="988" spans="1:10" ht="14.25" customHeight="1" x14ac:dyDescent="0.25">
      <c r="A988" s="21">
        <v>39071</v>
      </c>
      <c r="B988" s="21"/>
      <c r="C988">
        <v>11.6</v>
      </c>
      <c r="D988">
        <v>2</v>
      </c>
      <c r="E988">
        <v>102</v>
      </c>
      <c r="F988">
        <v>25</v>
      </c>
      <c r="H988">
        <v>25</v>
      </c>
      <c r="I988">
        <v>1.18</v>
      </c>
      <c r="J988" s="1">
        <v>1378</v>
      </c>
    </row>
    <row r="989" spans="1:10" ht="14.25" customHeight="1" x14ac:dyDescent="0.25">
      <c r="A989" s="21">
        <v>39071</v>
      </c>
      <c r="B989" s="21"/>
      <c r="C989">
        <v>7.9</v>
      </c>
      <c r="D989">
        <v>3.2</v>
      </c>
      <c r="E989">
        <v>25</v>
      </c>
      <c r="F989">
        <v>25</v>
      </c>
      <c r="H989">
        <v>25</v>
      </c>
      <c r="I989">
        <v>1.01</v>
      </c>
      <c r="J989">
        <v>96</v>
      </c>
    </row>
    <row r="990" spans="1:10" ht="14.25" customHeight="1" x14ac:dyDescent="0.25">
      <c r="A990" s="21">
        <v>39073</v>
      </c>
      <c r="B990" s="21"/>
      <c r="C990">
        <v>10.3</v>
      </c>
      <c r="D990">
        <v>3.5</v>
      </c>
      <c r="E990">
        <v>60</v>
      </c>
      <c r="F990">
        <v>25</v>
      </c>
      <c r="H990">
        <v>25</v>
      </c>
      <c r="I990">
        <v>1.1399999999999999</v>
      </c>
      <c r="J990">
        <v>520</v>
      </c>
    </row>
    <row r="991" spans="1:10" ht="14.25" customHeight="1" x14ac:dyDescent="0.25">
      <c r="A991" s="21">
        <v>39077</v>
      </c>
      <c r="B991" s="21"/>
      <c r="C991">
        <v>6.2</v>
      </c>
      <c r="D991">
        <v>3</v>
      </c>
      <c r="E991">
        <v>26</v>
      </c>
      <c r="F991">
        <v>20</v>
      </c>
      <c r="G991">
        <v>2</v>
      </c>
      <c r="H991">
        <v>20</v>
      </c>
      <c r="I991">
        <v>1.19</v>
      </c>
      <c r="J991">
        <v>492</v>
      </c>
    </row>
    <row r="992" spans="1:10" ht="14.25" customHeight="1" x14ac:dyDescent="0.25">
      <c r="A992" s="21">
        <v>39079</v>
      </c>
      <c r="B992" s="21"/>
      <c r="C992">
        <v>7.5</v>
      </c>
      <c r="D992">
        <v>2.8</v>
      </c>
      <c r="E992">
        <v>27</v>
      </c>
      <c r="F992">
        <v>24</v>
      </c>
      <c r="H992">
        <v>24</v>
      </c>
      <c r="I992">
        <v>1.1100000000000001</v>
      </c>
      <c r="J992">
        <v>516</v>
      </c>
    </row>
    <row r="993" spans="1:10" ht="14.25" customHeight="1" x14ac:dyDescent="0.25">
      <c r="A993" s="21">
        <v>39093</v>
      </c>
      <c r="B993" s="21"/>
      <c r="C993">
        <v>14.7</v>
      </c>
      <c r="D993">
        <v>2.7</v>
      </c>
      <c r="E993">
        <v>21</v>
      </c>
      <c r="F993">
        <v>25</v>
      </c>
      <c r="H993">
        <v>25</v>
      </c>
      <c r="I993">
        <v>1.19</v>
      </c>
      <c r="J993">
        <v>488</v>
      </c>
    </row>
    <row r="994" spans="1:10" ht="14.25" customHeight="1" x14ac:dyDescent="0.25">
      <c r="A994" s="21">
        <v>39103</v>
      </c>
      <c r="B994" s="21"/>
      <c r="C994">
        <v>5.3</v>
      </c>
      <c r="D994">
        <v>2.5</v>
      </c>
      <c r="E994">
        <v>23</v>
      </c>
      <c r="F994">
        <v>20</v>
      </c>
      <c r="H994">
        <v>20</v>
      </c>
      <c r="I994">
        <v>1.02</v>
      </c>
      <c r="J994">
        <v>42</v>
      </c>
    </row>
    <row r="995" spans="1:10" ht="14.25" customHeight="1" x14ac:dyDescent="0.25">
      <c r="A995" s="21">
        <v>39117</v>
      </c>
      <c r="B995" s="21"/>
      <c r="C995">
        <v>3.8</v>
      </c>
      <c r="D995">
        <v>2.7</v>
      </c>
      <c r="E995">
        <v>40</v>
      </c>
      <c r="F995">
        <v>23</v>
      </c>
      <c r="G995">
        <v>3</v>
      </c>
      <c r="H995">
        <v>23</v>
      </c>
      <c r="I995">
        <v>1.06</v>
      </c>
      <c r="J995">
        <v>402</v>
      </c>
    </row>
    <row r="996" spans="1:10" ht="14.25" customHeight="1" x14ac:dyDescent="0.25">
      <c r="A996" s="21">
        <v>39123</v>
      </c>
      <c r="B996" s="21"/>
      <c r="C996">
        <v>3</v>
      </c>
      <c r="D996">
        <v>2.9</v>
      </c>
      <c r="E996">
        <v>52</v>
      </c>
      <c r="F996">
        <v>25</v>
      </c>
      <c r="G996">
        <v>4</v>
      </c>
      <c r="H996">
        <v>25</v>
      </c>
      <c r="I996">
        <v>1.29</v>
      </c>
      <c r="J996">
        <v>344</v>
      </c>
    </row>
    <row r="997" spans="1:10" ht="14.25" customHeight="1" x14ac:dyDescent="0.25">
      <c r="A997" s="21">
        <v>39125</v>
      </c>
      <c r="B997" s="21"/>
      <c r="C997">
        <v>4.5999999999999996</v>
      </c>
      <c r="D997">
        <v>3.1</v>
      </c>
      <c r="E997">
        <v>18</v>
      </c>
      <c r="F997">
        <v>25</v>
      </c>
      <c r="H997">
        <v>25</v>
      </c>
      <c r="I997">
        <v>0.98</v>
      </c>
      <c r="J997">
        <v>293</v>
      </c>
    </row>
    <row r="998" spans="1:10" ht="14.25" customHeight="1" x14ac:dyDescent="0.25">
      <c r="A998" s="21">
        <v>39131</v>
      </c>
      <c r="B998" s="21"/>
      <c r="C998">
        <v>7.2</v>
      </c>
      <c r="D998">
        <v>2.5</v>
      </c>
      <c r="E998">
        <v>19</v>
      </c>
      <c r="F998">
        <v>25</v>
      </c>
      <c r="H998">
        <v>25</v>
      </c>
      <c r="I998">
        <v>1</v>
      </c>
      <c r="J998">
        <v>297</v>
      </c>
    </row>
    <row r="999" spans="1:10" ht="14.25" customHeight="1" x14ac:dyDescent="0.25">
      <c r="A999" s="21">
        <v>39139</v>
      </c>
      <c r="B999" s="21"/>
      <c r="C999">
        <v>9.3000000000000007</v>
      </c>
      <c r="D999">
        <v>2.9</v>
      </c>
      <c r="E999">
        <v>17</v>
      </c>
      <c r="F999">
        <v>25</v>
      </c>
      <c r="H999">
        <v>25</v>
      </c>
      <c r="I999">
        <v>1.04</v>
      </c>
      <c r="J999">
        <v>442</v>
      </c>
    </row>
    <row r="1000" spans="1:10" ht="14.25" customHeight="1" x14ac:dyDescent="0.25">
      <c r="A1000" s="21">
        <v>39147</v>
      </c>
      <c r="B1000" s="21"/>
      <c r="C1000">
        <v>3.1</v>
      </c>
      <c r="D1000">
        <v>2.6</v>
      </c>
      <c r="E1000">
        <v>36</v>
      </c>
      <c r="F1000">
        <v>25</v>
      </c>
      <c r="G1000">
        <v>4</v>
      </c>
      <c r="H1000">
        <v>25</v>
      </c>
      <c r="I1000">
        <v>1.2</v>
      </c>
      <c r="J1000">
        <v>442</v>
      </c>
    </row>
    <row r="1001" spans="1:10" ht="14.25" customHeight="1" x14ac:dyDescent="0.25">
      <c r="A1001" s="21">
        <v>39157</v>
      </c>
      <c r="B1001" s="21"/>
      <c r="C1001">
        <v>1.2</v>
      </c>
      <c r="D1001">
        <v>2.5</v>
      </c>
      <c r="E1001">
        <v>32</v>
      </c>
      <c r="F1001">
        <v>25</v>
      </c>
      <c r="H1001">
        <v>25</v>
      </c>
      <c r="I1001">
        <v>1.1100000000000001</v>
      </c>
      <c r="J1001">
        <v>113</v>
      </c>
    </row>
    <row r="1002" spans="1:10" ht="14.25" customHeight="1" x14ac:dyDescent="0.25">
      <c r="A1002" s="21">
        <v>39167</v>
      </c>
      <c r="B1002" s="21"/>
      <c r="C1002">
        <v>7.9</v>
      </c>
      <c r="D1002">
        <v>2.9</v>
      </c>
      <c r="E1002">
        <v>17</v>
      </c>
      <c r="F1002">
        <v>25</v>
      </c>
      <c r="H1002">
        <v>25</v>
      </c>
      <c r="I1002">
        <v>1.77</v>
      </c>
      <c r="J1002">
        <v>852</v>
      </c>
    </row>
    <row r="1003" spans="1:10" ht="14.25" customHeight="1" x14ac:dyDescent="0.25">
      <c r="A1003" s="21">
        <v>39169</v>
      </c>
      <c r="B1003" s="21"/>
      <c r="C1003">
        <v>6.6</v>
      </c>
      <c r="D1003">
        <v>1.7</v>
      </c>
      <c r="E1003">
        <v>53</v>
      </c>
      <c r="F1003">
        <v>25</v>
      </c>
      <c r="H1003">
        <v>25</v>
      </c>
      <c r="I1003">
        <v>1.19</v>
      </c>
      <c r="J1003" s="1">
        <v>1028</v>
      </c>
    </row>
    <row r="1004" spans="1:10" ht="14.25" customHeight="1" x14ac:dyDescent="0.25">
      <c r="A1004" s="21">
        <v>39171</v>
      </c>
      <c r="B1004" s="21"/>
      <c r="C1004">
        <v>10.199999999999999</v>
      </c>
      <c r="D1004">
        <v>2.2999999999999998</v>
      </c>
      <c r="E1004">
        <v>9</v>
      </c>
      <c r="F1004">
        <v>25</v>
      </c>
      <c r="H1004">
        <v>25</v>
      </c>
      <c r="I1004">
        <v>0.9</v>
      </c>
      <c r="J1004">
        <v>12</v>
      </c>
    </row>
    <row r="1005" spans="1:10" ht="14.25" customHeight="1" x14ac:dyDescent="0.25">
      <c r="A1005" s="21">
        <v>39175</v>
      </c>
      <c r="B1005" s="21"/>
      <c r="C1005">
        <v>10.5</v>
      </c>
      <c r="D1005">
        <v>3.4</v>
      </c>
      <c r="E1005">
        <v>58</v>
      </c>
      <c r="F1005">
        <v>24</v>
      </c>
      <c r="H1005">
        <v>24</v>
      </c>
      <c r="I1005">
        <v>1.1399999999999999</v>
      </c>
      <c r="J1005">
        <v>742</v>
      </c>
    </row>
    <row r="1006" spans="1:10" ht="14.25" customHeight="1" x14ac:dyDescent="0.25">
      <c r="A1006" s="21">
        <v>40005</v>
      </c>
      <c r="B1006" s="21"/>
      <c r="C1006">
        <v>7.5</v>
      </c>
      <c r="D1006">
        <v>2.7</v>
      </c>
      <c r="E1006">
        <v>14</v>
      </c>
      <c r="F1006">
        <v>25</v>
      </c>
      <c r="H1006">
        <v>25</v>
      </c>
      <c r="I1006">
        <v>0.92</v>
      </c>
      <c r="J1006">
        <v>323</v>
      </c>
    </row>
    <row r="1007" spans="1:10" ht="14.25" customHeight="1" x14ac:dyDescent="0.25">
      <c r="A1007" s="21">
        <v>40007</v>
      </c>
      <c r="B1007" s="21"/>
      <c r="C1007">
        <v>1.8</v>
      </c>
      <c r="D1007">
        <v>3</v>
      </c>
      <c r="E1007">
        <v>1</v>
      </c>
      <c r="F1007">
        <v>24</v>
      </c>
      <c r="H1007">
        <v>24</v>
      </c>
      <c r="I1007">
        <v>0.94</v>
      </c>
      <c r="J1007">
        <v>80</v>
      </c>
    </row>
    <row r="1008" spans="1:10" ht="14.25" customHeight="1" x14ac:dyDescent="0.25">
      <c r="A1008" s="21">
        <v>40011</v>
      </c>
      <c r="B1008" s="21"/>
      <c r="C1008">
        <v>1.7</v>
      </c>
      <c r="D1008">
        <v>3.1</v>
      </c>
      <c r="E1008">
        <v>9</v>
      </c>
      <c r="F1008">
        <v>25</v>
      </c>
      <c r="H1008">
        <v>25</v>
      </c>
      <c r="I1008">
        <v>1.27</v>
      </c>
      <c r="J1008">
        <v>112</v>
      </c>
    </row>
    <row r="1009" spans="1:10" ht="14.25" customHeight="1" x14ac:dyDescent="0.25">
      <c r="A1009" s="21">
        <v>40011</v>
      </c>
      <c r="B1009" s="21"/>
      <c r="C1009">
        <v>2.4</v>
      </c>
      <c r="D1009">
        <v>2.5</v>
      </c>
      <c r="E1009">
        <v>8</v>
      </c>
      <c r="F1009">
        <v>17</v>
      </c>
      <c r="H1009">
        <v>17</v>
      </c>
      <c r="I1009">
        <v>1.03</v>
      </c>
      <c r="J1009">
        <v>101</v>
      </c>
    </row>
    <row r="1010" spans="1:10" ht="14.25" customHeight="1" x14ac:dyDescent="0.25">
      <c r="A1010" s="21">
        <v>40015</v>
      </c>
      <c r="B1010" s="21"/>
      <c r="C1010">
        <v>9.1</v>
      </c>
      <c r="D1010">
        <v>3.2</v>
      </c>
      <c r="E1010">
        <v>7</v>
      </c>
      <c r="F1010">
        <v>17</v>
      </c>
      <c r="H1010">
        <v>17</v>
      </c>
      <c r="I1010">
        <v>0.86</v>
      </c>
      <c r="J1010">
        <v>192</v>
      </c>
    </row>
    <row r="1011" spans="1:10" ht="14.25" customHeight="1" x14ac:dyDescent="0.25">
      <c r="A1011" s="21">
        <v>40015</v>
      </c>
      <c r="B1011" s="21"/>
      <c r="C1011">
        <v>17.8</v>
      </c>
      <c r="D1011">
        <v>2.9</v>
      </c>
      <c r="E1011">
        <v>26</v>
      </c>
      <c r="F1011">
        <v>25</v>
      </c>
      <c r="H1011">
        <v>25</v>
      </c>
      <c r="I1011">
        <v>0.98</v>
      </c>
      <c r="J1011">
        <v>179</v>
      </c>
    </row>
    <row r="1012" spans="1:10" ht="14.25" customHeight="1" x14ac:dyDescent="0.25">
      <c r="A1012" s="21">
        <v>40019</v>
      </c>
      <c r="B1012" s="21"/>
      <c r="C1012">
        <v>6.1</v>
      </c>
      <c r="D1012">
        <v>3.2</v>
      </c>
      <c r="E1012">
        <v>6</v>
      </c>
      <c r="F1012">
        <v>22</v>
      </c>
      <c r="H1012">
        <v>22</v>
      </c>
      <c r="I1012">
        <v>0.92</v>
      </c>
      <c r="J1012">
        <v>63</v>
      </c>
    </row>
    <row r="1013" spans="1:10" ht="14.25" customHeight="1" x14ac:dyDescent="0.25">
      <c r="A1013" s="21">
        <v>40025</v>
      </c>
      <c r="B1013" s="21"/>
      <c r="C1013">
        <v>2.6</v>
      </c>
      <c r="D1013">
        <v>3.4</v>
      </c>
      <c r="E1013">
        <v>3</v>
      </c>
      <c r="F1013">
        <v>25</v>
      </c>
      <c r="H1013">
        <v>25</v>
      </c>
      <c r="I1013">
        <v>0.89</v>
      </c>
      <c r="J1013">
        <v>151</v>
      </c>
    </row>
    <row r="1014" spans="1:10" ht="14.25" customHeight="1" x14ac:dyDescent="0.25">
      <c r="A1014" s="21">
        <v>40029</v>
      </c>
      <c r="B1014" s="21"/>
      <c r="C1014">
        <v>4.3</v>
      </c>
      <c r="D1014">
        <v>2.8</v>
      </c>
      <c r="E1014">
        <v>11</v>
      </c>
      <c r="F1014">
        <v>20</v>
      </c>
      <c r="H1014">
        <v>20</v>
      </c>
      <c r="I1014">
        <v>0.86</v>
      </c>
      <c r="J1014">
        <v>297</v>
      </c>
    </row>
    <row r="1015" spans="1:10" ht="14.25" customHeight="1" x14ac:dyDescent="0.25">
      <c r="A1015" s="21">
        <v>40037</v>
      </c>
      <c r="B1015" s="21"/>
      <c r="C1015">
        <v>15.2</v>
      </c>
      <c r="D1015">
        <v>1.6</v>
      </c>
      <c r="E1015">
        <v>23</v>
      </c>
      <c r="F1015">
        <v>25</v>
      </c>
      <c r="H1015">
        <v>25</v>
      </c>
      <c r="I1015">
        <v>1.1399999999999999</v>
      </c>
      <c r="J1015">
        <v>290</v>
      </c>
    </row>
    <row r="1016" spans="1:10" ht="14.25" customHeight="1" x14ac:dyDescent="0.25">
      <c r="A1016" s="21">
        <v>40037</v>
      </c>
      <c r="B1016" s="21"/>
      <c r="C1016">
        <v>8.1999999999999993</v>
      </c>
      <c r="D1016">
        <v>3</v>
      </c>
      <c r="E1016">
        <v>7</v>
      </c>
      <c r="F1016">
        <v>15</v>
      </c>
      <c r="H1016">
        <v>15</v>
      </c>
      <c r="I1016">
        <v>0.82</v>
      </c>
      <c r="J1016">
        <v>334</v>
      </c>
    </row>
    <row r="1017" spans="1:10" ht="14.25" customHeight="1" x14ac:dyDescent="0.25">
      <c r="A1017" s="21">
        <v>40039</v>
      </c>
      <c r="B1017" s="21"/>
      <c r="C1017">
        <v>5.0999999999999996</v>
      </c>
      <c r="D1017">
        <v>2.4</v>
      </c>
      <c r="E1017">
        <v>32</v>
      </c>
      <c r="F1017">
        <v>25</v>
      </c>
      <c r="H1017">
        <v>25</v>
      </c>
      <c r="I1017">
        <v>0.93</v>
      </c>
      <c r="J1017">
        <v>508</v>
      </c>
    </row>
    <row r="1018" spans="1:10" ht="14.25" customHeight="1" x14ac:dyDescent="0.25">
      <c r="A1018" s="21">
        <v>40043</v>
      </c>
      <c r="B1018" s="21"/>
      <c r="C1018">
        <v>4.4000000000000004</v>
      </c>
      <c r="D1018">
        <v>2.9</v>
      </c>
      <c r="E1018">
        <v>7</v>
      </c>
      <c r="F1018">
        <v>18</v>
      </c>
      <c r="H1018">
        <v>18</v>
      </c>
      <c r="I1018">
        <v>0.93</v>
      </c>
      <c r="J1018">
        <v>124</v>
      </c>
    </row>
    <row r="1019" spans="1:10" ht="14.25" customHeight="1" x14ac:dyDescent="0.25">
      <c r="A1019" s="21">
        <v>40045</v>
      </c>
      <c r="B1019" s="21"/>
      <c r="C1019">
        <v>2.2000000000000002</v>
      </c>
      <c r="D1019">
        <v>3.2</v>
      </c>
      <c r="E1019">
        <v>8</v>
      </c>
      <c r="F1019">
        <v>25</v>
      </c>
      <c r="H1019">
        <v>25</v>
      </c>
      <c r="I1019">
        <v>1.03</v>
      </c>
      <c r="J1019">
        <v>134</v>
      </c>
    </row>
    <row r="1020" spans="1:10" ht="14.25" customHeight="1" x14ac:dyDescent="0.25">
      <c r="A1020" s="21">
        <v>40055</v>
      </c>
      <c r="B1020" s="21"/>
      <c r="C1020">
        <v>4.5</v>
      </c>
      <c r="D1020">
        <v>2</v>
      </c>
      <c r="E1020">
        <v>9</v>
      </c>
      <c r="F1020">
        <v>18</v>
      </c>
      <c r="H1020">
        <v>18</v>
      </c>
      <c r="I1020">
        <v>0.96</v>
      </c>
      <c r="J1020">
        <v>350</v>
      </c>
    </row>
    <row r="1021" spans="1:10" ht="14.25" customHeight="1" x14ac:dyDescent="0.25">
      <c r="A1021" s="21">
        <v>40057</v>
      </c>
      <c r="B1021" s="21"/>
      <c r="C1021">
        <v>5</v>
      </c>
      <c r="D1021">
        <v>2.2000000000000002</v>
      </c>
      <c r="E1021">
        <v>5</v>
      </c>
      <c r="F1021">
        <v>22</v>
      </c>
      <c r="H1021">
        <v>22</v>
      </c>
      <c r="I1021">
        <v>0.93</v>
      </c>
      <c r="J1021">
        <v>337</v>
      </c>
    </row>
    <row r="1022" spans="1:10" ht="14.25" customHeight="1" x14ac:dyDescent="0.25">
      <c r="A1022" s="21">
        <v>40059</v>
      </c>
      <c r="B1022" s="21"/>
      <c r="C1022">
        <v>2.6</v>
      </c>
      <c r="D1022">
        <v>2.6</v>
      </c>
      <c r="E1022">
        <v>5</v>
      </c>
      <c r="F1022">
        <v>15</v>
      </c>
      <c r="H1022">
        <v>15</v>
      </c>
      <c r="I1022">
        <v>0.84</v>
      </c>
      <c r="J1022">
        <v>178</v>
      </c>
    </row>
    <row r="1023" spans="1:10" ht="14.25" customHeight="1" x14ac:dyDescent="0.25">
      <c r="A1023" s="21">
        <v>40061</v>
      </c>
      <c r="B1023" s="21"/>
      <c r="C1023">
        <v>4</v>
      </c>
      <c r="D1023">
        <v>2.4</v>
      </c>
      <c r="I1023">
        <v>0.92</v>
      </c>
      <c r="J1023">
        <v>142</v>
      </c>
    </row>
    <row r="1024" spans="1:10" ht="14.25" customHeight="1" x14ac:dyDescent="0.25">
      <c r="A1024" s="21">
        <v>40063</v>
      </c>
      <c r="B1024" s="21"/>
      <c r="C1024">
        <v>7.4</v>
      </c>
      <c r="D1024">
        <v>3.8</v>
      </c>
      <c r="E1024">
        <v>28</v>
      </c>
      <c r="F1024">
        <v>25</v>
      </c>
      <c r="H1024">
        <v>25</v>
      </c>
      <c r="I1024">
        <v>0.87</v>
      </c>
      <c r="J1024">
        <v>288</v>
      </c>
    </row>
    <row r="1025" spans="1:10" ht="14.25" customHeight="1" x14ac:dyDescent="0.25">
      <c r="A1025" s="21">
        <v>40067</v>
      </c>
      <c r="B1025" s="21"/>
      <c r="C1025">
        <v>2.8</v>
      </c>
      <c r="D1025">
        <v>2.7</v>
      </c>
      <c r="E1025">
        <v>6</v>
      </c>
      <c r="F1025">
        <v>25</v>
      </c>
      <c r="H1025">
        <v>25</v>
      </c>
      <c r="I1025">
        <v>0.96</v>
      </c>
      <c r="J1025">
        <v>39</v>
      </c>
    </row>
    <row r="1026" spans="1:10" ht="14.25" customHeight="1" x14ac:dyDescent="0.25">
      <c r="A1026" s="21">
        <v>40069</v>
      </c>
      <c r="B1026" s="21"/>
      <c r="C1026">
        <v>4.5</v>
      </c>
      <c r="D1026">
        <v>3.1</v>
      </c>
      <c r="E1026">
        <v>6</v>
      </c>
      <c r="F1026">
        <v>25</v>
      </c>
      <c r="H1026">
        <v>25</v>
      </c>
      <c r="I1026">
        <v>1.1299999999999999</v>
      </c>
      <c r="J1026">
        <v>126</v>
      </c>
    </row>
    <row r="1027" spans="1:10" ht="14.25" customHeight="1" x14ac:dyDescent="0.25">
      <c r="A1027" s="21">
        <v>40073</v>
      </c>
      <c r="B1027" s="21"/>
      <c r="C1027">
        <v>5.4</v>
      </c>
      <c r="D1027">
        <v>3.6</v>
      </c>
      <c r="E1027">
        <v>23</v>
      </c>
      <c r="F1027">
        <v>25</v>
      </c>
      <c r="H1027">
        <v>25</v>
      </c>
      <c r="I1027">
        <v>1.1399999999999999</v>
      </c>
      <c r="J1027">
        <v>228</v>
      </c>
    </row>
    <row r="1028" spans="1:10" ht="14.25" customHeight="1" x14ac:dyDescent="0.25">
      <c r="A1028" s="21">
        <v>40079</v>
      </c>
      <c r="B1028" s="21"/>
      <c r="C1028">
        <v>10.4</v>
      </c>
      <c r="D1028">
        <v>2.9</v>
      </c>
      <c r="E1028">
        <v>49</v>
      </c>
      <c r="F1028">
        <v>25</v>
      </c>
      <c r="G1028">
        <v>4</v>
      </c>
      <c r="H1028">
        <v>25</v>
      </c>
      <c r="I1028">
        <v>1.08</v>
      </c>
      <c r="J1028">
        <v>621</v>
      </c>
    </row>
    <row r="1029" spans="1:10" ht="14.25" customHeight="1" x14ac:dyDescent="0.25">
      <c r="A1029" s="21">
        <v>40081</v>
      </c>
      <c r="B1029" s="21"/>
      <c r="C1029">
        <v>21.5</v>
      </c>
      <c r="D1029">
        <v>3.3</v>
      </c>
      <c r="E1029">
        <v>13</v>
      </c>
      <c r="F1029">
        <v>25</v>
      </c>
      <c r="H1029">
        <v>25</v>
      </c>
      <c r="I1029">
        <v>1.04</v>
      </c>
      <c r="J1029">
        <v>93</v>
      </c>
    </row>
    <row r="1030" spans="1:10" ht="14.25" customHeight="1" x14ac:dyDescent="0.25">
      <c r="A1030" s="21">
        <v>40081</v>
      </c>
      <c r="B1030" s="21"/>
      <c r="C1030">
        <v>5.3</v>
      </c>
      <c r="D1030">
        <v>2.4</v>
      </c>
      <c r="E1030">
        <v>11</v>
      </c>
      <c r="F1030">
        <v>25</v>
      </c>
      <c r="H1030">
        <v>25</v>
      </c>
      <c r="I1030">
        <v>0.95</v>
      </c>
      <c r="J1030">
        <v>49</v>
      </c>
    </row>
    <row r="1031" spans="1:10" ht="14.25" customHeight="1" x14ac:dyDescent="0.25">
      <c r="A1031" s="21">
        <v>40083</v>
      </c>
      <c r="B1031" s="21"/>
      <c r="C1031">
        <v>6.2</v>
      </c>
      <c r="D1031">
        <v>3.4</v>
      </c>
      <c r="E1031">
        <v>33</v>
      </c>
      <c r="F1031">
        <v>25</v>
      </c>
      <c r="H1031">
        <v>25</v>
      </c>
      <c r="I1031">
        <v>1.32</v>
      </c>
      <c r="J1031">
        <v>308</v>
      </c>
    </row>
    <row r="1032" spans="1:10" ht="14.25" customHeight="1" x14ac:dyDescent="0.25">
      <c r="A1032" s="21">
        <v>40085</v>
      </c>
      <c r="B1032" s="21"/>
      <c r="C1032">
        <v>8.8000000000000007</v>
      </c>
      <c r="D1032">
        <v>3.4</v>
      </c>
      <c r="E1032">
        <v>6</v>
      </c>
      <c r="F1032">
        <v>25</v>
      </c>
      <c r="H1032">
        <v>25</v>
      </c>
      <c r="I1032">
        <v>0.88</v>
      </c>
      <c r="J1032">
        <v>150</v>
      </c>
    </row>
    <row r="1033" spans="1:10" ht="14.25" customHeight="1" x14ac:dyDescent="0.25">
      <c r="A1033" s="21">
        <v>40089</v>
      </c>
      <c r="B1033" s="21"/>
      <c r="C1033">
        <v>10.4</v>
      </c>
      <c r="D1033">
        <v>2.8</v>
      </c>
      <c r="E1033">
        <v>48</v>
      </c>
      <c r="F1033">
        <v>25</v>
      </c>
      <c r="H1033">
        <v>25</v>
      </c>
      <c r="I1033">
        <v>0.93</v>
      </c>
      <c r="J1033">
        <v>884</v>
      </c>
    </row>
    <row r="1034" spans="1:10" ht="14.25" customHeight="1" x14ac:dyDescent="0.25">
      <c r="A1034" s="21">
        <v>40093</v>
      </c>
      <c r="B1034" s="21"/>
      <c r="C1034">
        <v>2.2000000000000002</v>
      </c>
      <c r="D1034">
        <v>3.5</v>
      </c>
      <c r="E1034">
        <v>8</v>
      </c>
      <c r="F1034">
        <v>25</v>
      </c>
      <c r="H1034">
        <v>25</v>
      </c>
      <c r="I1034">
        <v>1.01</v>
      </c>
      <c r="J1034">
        <v>90</v>
      </c>
    </row>
    <row r="1035" spans="1:10" ht="14.25" customHeight="1" x14ac:dyDescent="0.25">
      <c r="A1035" s="21">
        <v>40095</v>
      </c>
      <c r="B1035" s="21"/>
      <c r="C1035">
        <v>4.5999999999999996</v>
      </c>
      <c r="D1035">
        <v>2.1</v>
      </c>
      <c r="E1035">
        <v>23</v>
      </c>
      <c r="F1035">
        <v>21</v>
      </c>
      <c r="H1035">
        <v>21</v>
      </c>
      <c r="I1035">
        <v>0.93</v>
      </c>
      <c r="J1035">
        <v>246</v>
      </c>
    </row>
    <row r="1036" spans="1:10" ht="14.25" customHeight="1" x14ac:dyDescent="0.25">
      <c r="A1036" s="21">
        <v>40099</v>
      </c>
      <c r="B1036" s="21"/>
      <c r="C1036">
        <v>16.399999999999999</v>
      </c>
      <c r="D1036">
        <v>3.4</v>
      </c>
      <c r="E1036">
        <v>26</v>
      </c>
      <c r="F1036">
        <v>25</v>
      </c>
      <c r="H1036">
        <v>25</v>
      </c>
      <c r="I1036">
        <v>0.85</v>
      </c>
      <c r="J1036">
        <v>440</v>
      </c>
    </row>
    <row r="1037" spans="1:10" ht="14.25" customHeight="1" x14ac:dyDescent="0.25">
      <c r="A1037" s="21">
        <v>40105</v>
      </c>
      <c r="B1037" s="21"/>
      <c r="C1037">
        <v>5.0999999999999996</v>
      </c>
      <c r="D1037">
        <v>2.2999999999999998</v>
      </c>
      <c r="E1037">
        <v>7</v>
      </c>
      <c r="F1037">
        <v>25</v>
      </c>
      <c r="H1037">
        <v>25</v>
      </c>
      <c r="I1037">
        <v>0.91</v>
      </c>
      <c r="J1037">
        <v>100</v>
      </c>
    </row>
    <row r="1038" spans="1:10" ht="14.25" customHeight="1" x14ac:dyDescent="0.25">
      <c r="A1038" s="21">
        <v>40107</v>
      </c>
      <c r="B1038" s="21"/>
      <c r="C1038">
        <v>1.9</v>
      </c>
      <c r="D1038">
        <v>2.2000000000000002</v>
      </c>
      <c r="E1038">
        <v>23</v>
      </c>
      <c r="F1038">
        <v>25</v>
      </c>
      <c r="H1038">
        <v>25</v>
      </c>
      <c r="I1038">
        <v>0.9</v>
      </c>
      <c r="J1038">
        <v>296</v>
      </c>
    </row>
    <row r="1039" spans="1:10" ht="14.25" customHeight="1" x14ac:dyDescent="0.25">
      <c r="A1039" s="21">
        <v>40113</v>
      </c>
      <c r="B1039" s="21"/>
      <c r="C1039">
        <v>2.4</v>
      </c>
      <c r="D1039">
        <v>3.1</v>
      </c>
      <c r="E1039">
        <v>9</v>
      </c>
      <c r="F1039">
        <v>15</v>
      </c>
      <c r="H1039">
        <v>15</v>
      </c>
      <c r="I1039">
        <v>0.98</v>
      </c>
      <c r="J1039">
        <v>33</v>
      </c>
    </row>
    <row r="1040" spans="1:10" ht="14.25" customHeight="1" x14ac:dyDescent="0.25">
      <c r="A1040" s="21">
        <v>40113</v>
      </c>
      <c r="B1040" s="21"/>
      <c r="C1040">
        <v>12.9</v>
      </c>
      <c r="D1040">
        <v>2.8</v>
      </c>
      <c r="E1040">
        <v>17</v>
      </c>
      <c r="F1040">
        <v>25</v>
      </c>
      <c r="H1040">
        <v>25</v>
      </c>
      <c r="I1040">
        <v>0.89</v>
      </c>
      <c r="J1040">
        <v>84</v>
      </c>
    </row>
    <row r="1041" spans="1:10" ht="14.25" customHeight="1" x14ac:dyDescent="0.25">
      <c r="A1041" s="21">
        <v>40117</v>
      </c>
      <c r="B1041" s="21"/>
      <c r="C1041">
        <v>6.3</v>
      </c>
      <c r="D1041">
        <v>2.6</v>
      </c>
      <c r="E1041">
        <v>31</v>
      </c>
      <c r="F1041">
        <v>14</v>
      </c>
      <c r="H1041">
        <v>14</v>
      </c>
      <c r="I1041">
        <v>0.96</v>
      </c>
      <c r="J1041">
        <v>77</v>
      </c>
    </row>
    <row r="1042" spans="1:10" ht="14.25" customHeight="1" x14ac:dyDescent="0.25">
      <c r="A1042" s="21">
        <v>40129</v>
      </c>
      <c r="B1042" s="21"/>
      <c r="C1042">
        <v>2.4</v>
      </c>
      <c r="D1042">
        <v>2.8</v>
      </c>
      <c r="E1042">
        <v>5</v>
      </c>
      <c r="F1042">
        <v>15</v>
      </c>
      <c r="H1042">
        <v>15</v>
      </c>
      <c r="I1042">
        <v>0.86</v>
      </c>
      <c r="J1042">
        <v>104</v>
      </c>
    </row>
    <row r="1043" spans="1:10" ht="14.25" customHeight="1" x14ac:dyDescent="0.25">
      <c r="A1043" s="21">
        <v>40149</v>
      </c>
      <c r="B1043" s="21"/>
      <c r="C1043">
        <v>2.7</v>
      </c>
      <c r="D1043">
        <v>2.8</v>
      </c>
      <c r="E1043">
        <v>6</v>
      </c>
      <c r="F1043">
        <v>14</v>
      </c>
      <c r="H1043">
        <v>14</v>
      </c>
      <c r="I1043">
        <v>0.99</v>
      </c>
      <c r="J1043">
        <v>158</v>
      </c>
    </row>
    <row r="1044" spans="1:10" ht="14.25" customHeight="1" x14ac:dyDescent="0.25">
      <c r="A1044" s="21">
        <v>40151</v>
      </c>
      <c r="B1044" s="21"/>
      <c r="C1044">
        <v>5.0999999999999996</v>
      </c>
      <c r="D1044">
        <v>2.5</v>
      </c>
      <c r="E1044">
        <v>16</v>
      </c>
      <c r="F1044">
        <v>25</v>
      </c>
      <c r="H1044">
        <v>25</v>
      </c>
      <c r="I1044">
        <v>0.97</v>
      </c>
      <c r="J1044">
        <v>209</v>
      </c>
    </row>
    <row r="1045" spans="1:10" ht="14.25" customHeight="1" x14ac:dyDescent="0.25">
      <c r="A1045" s="21">
        <v>41001</v>
      </c>
      <c r="B1045" s="21"/>
      <c r="C1045">
        <v>6</v>
      </c>
      <c r="D1045">
        <v>2</v>
      </c>
      <c r="E1045">
        <v>35</v>
      </c>
      <c r="F1045">
        <v>21</v>
      </c>
      <c r="G1045">
        <v>2</v>
      </c>
      <c r="H1045">
        <v>21</v>
      </c>
      <c r="I1045">
        <v>1.28</v>
      </c>
      <c r="J1045">
        <v>730</v>
      </c>
    </row>
    <row r="1046" spans="1:10" ht="14.25" customHeight="1" x14ac:dyDescent="0.25">
      <c r="A1046" s="21">
        <v>41007</v>
      </c>
      <c r="B1046" s="21"/>
      <c r="C1046">
        <v>8.1</v>
      </c>
      <c r="D1046">
        <v>2.9</v>
      </c>
      <c r="E1046">
        <v>74</v>
      </c>
      <c r="F1046">
        <v>23</v>
      </c>
      <c r="H1046">
        <v>23</v>
      </c>
      <c r="I1046">
        <v>1.23</v>
      </c>
      <c r="J1046">
        <v>727</v>
      </c>
    </row>
    <row r="1047" spans="1:10" ht="14.25" customHeight="1" x14ac:dyDescent="0.25">
      <c r="A1047" s="21">
        <v>41007</v>
      </c>
      <c r="B1047" s="21"/>
      <c r="C1047">
        <v>13.7</v>
      </c>
      <c r="D1047">
        <v>3.2</v>
      </c>
      <c r="E1047">
        <v>133</v>
      </c>
      <c r="F1047">
        <v>25</v>
      </c>
      <c r="G1047">
        <v>4</v>
      </c>
      <c r="H1047">
        <v>25</v>
      </c>
      <c r="I1047">
        <v>1.23</v>
      </c>
      <c r="J1047" s="1">
        <v>1692</v>
      </c>
    </row>
    <row r="1048" spans="1:10" ht="14.25" customHeight="1" x14ac:dyDescent="0.25">
      <c r="A1048" s="21">
        <v>41011</v>
      </c>
      <c r="B1048" s="21"/>
      <c r="C1048">
        <v>7.7</v>
      </c>
      <c r="D1048">
        <v>3.2</v>
      </c>
      <c r="E1048">
        <v>14</v>
      </c>
      <c r="F1048">
        <v>17</v>
      </c>
      <c r="H1048">
        <v>17</v>
      </c>
      <c r="I1048">
        <v>1.07</v>
      </c>
      <c r="J1048">
        <v>603</v>
      </c>
    </row>
    <row r="1049" spans="1:10" ht="14.25" customHeight="1" x14ac:dyDescent="0.25">
      <c r="A1049" s="21">
        <v>41011</v>
      </c>
      <c r="B1049" s="21"/>
      <c r="C1049">
        <v>5.3</v>
      </c>
      <c r="D1049">
        <v>3</v>
      </c>
      <c r="E1049">
        <v>31</v>
      </c>
      <c r="F1049">
        <v>19</v>
      </c>
      <c r="H1049">
        <v>19</v>
      </c>
      <c r="I1049">
        <v>1.1399999999999999</v>
      </c>
      <c r="J1049">
        <v>258</v>
      </c>
    </row>
    <row r="1050" spans="1:10" ht="14.25" customHeight="1" x14ac:dyDescent="0.25">
      <c r="A1050" s="21">
        <v>41013</v>
      </c>
      <c r="B1050" s="21"/>
      <c r="C1050">
        <v>7.4</v>
      </c>
      <c r="D1050">
        <v>3.2</v>
      </c>
      <c r="E1050">
        <v>51</v>
      </c>
      <c r="F1050">
        <v>16</v>
      </c>
      <c r="H1050">
        <v>16</v>
      </c>
      <c r="I1050">
        <v>1.24</v>
      </c>
      <c r="J1050">
        <v>536</v>
      </c>
    </row>
    <row r="1051" spans="1:10" ht="14.25" customHeight="1" x14ac:dyDescent="0.25">
      <c r="A1051" s="21">
        <v>41015</v>
      </c>
      <c r="B1051" s="21"/>
      <c r="C1051">
        <v>5</v>
      </c>
      <c r="D1051">
        <v>2.9</v>
      </c>
      <c r="E1051">
        <v>56</v>
      </c>
      <c r="F1051">
        <v>16</v>
      </c>
      <c r="H1051">
        <v>16</v>
      </c>
      <c r="I1051">
        <v>1.22</v>
      </c>
      <c r="J1051">
        <v>464</v>
      </c>
    </row>
    <row r="1052" spans="1:10" ht="14.25" customHeight="1" x14ac:dyDescent="0.25">
      <c r="A1052" s="21">
        <v>41019</v>
      </c>
      <c r="B1052" s="21"/>
      <c r="C1052">
        <v>4.8</v>
      </c>
      <c r="D1052">
        <v>3.1</v>
      </c>
      <c r="E1052">
        <v>32</v>
      </c>
      <c r="F1052">
        <v>16</v>
      </c>
      <c r="H1052">
        <v>16</v>
      </c>
      <c r="I1052">
        <v>1.21</v>
      </c>
      <c r="J1052">
        <v>383</v>
      </c>
    </row>
    <row r="1053" spans="1:10" ht="14.25" customHeight="1" x14ac:dyDescent="0.25">
      <c r="A1053" s="21">
        <v>41023</v>
      </c>
      <c r="B1053" s="21"/>
      <c r="C1053">
        <v>5.6</v>
      </c>
      <c r="D1053">
        <v>3.1</v>
      </c>
      <c r="E1053">
        <v>18</v>
      </c>
      <c r="F1053">
        <v>14</v>
      </c>
      <c r="H1053">
        <v>14</v>
      </c>
      <c r="I1053">
        <v>0.99</v>
      </c>
      <c r="J1053">
        <v>319</v>
      </c>
    </row>
    <row r="1054" spans="1:10" ht="14.25" customHeight="1" x14ac:dyDescent="0.25">
      <c r="A1054" s="21">
        <v>41025</v>
      </c>
      <c r="B1054" s="21"/>
      <c r="C1054">
        <v>4.7</v>
      </c>
      <c r="D1054">
        <v>2.9</v>
      </c>
      <c r="E1054">
        <v>31</v>
      </c>
      <c r="F1054">
        <v>19</v>
      </c>
      <c r="G1054">
        <v>2</v>
      </c>
      <c r="H1054">
        <v>19</v>
      </c>
      <c r="I1054">
        <v>1.05</v>
      </c>
      <c r="J1054">
        <v>321</v>
      </c>
    </row>
    <row r="1055" spans="1:10" ht="14.25" customHeight="1" x14ac:dyDescent="0.25">
      <c r="A1055" s="21">
        <v>41027</v>
      </c>
      <c r="B1055" s="21"/>
      <c r="C1055">
        <v>10.8</v>
      </c>
      <c r="D1055">
        <v>2.6</v>
      </c>
      <c r="E1055">
        <v>125</v>
      </c>
      <c r="F1055">
        <v>25</v>
      </c>
      <c r="H1055">
        <v>25</v>
      </c>
      <c r="I1055">
        <v>1.39</v>
      </c>
      <c r="J1055" s="1">
        <v>1559</v>
      </c>
    </row>
    <row r="1056" spans="1:10" ht="14.25" customHeight="1" x14ac:dyDescent="0.25">
      <c r="A1056" s="21">
        <v>41031</v>
      </c>
      <c r="B1056" s="21"/>
      <c r="C1056">
        <v>7.1</v>
      </c>
      <c r="D1056">
        <v>1.9</v>
      </c>
      <c r="E1056">
        <v>36</v>
      </c>
      <c r="F1056">
        <v>25</v>
      </c>
      <c r="H1056">
        <v>25</v>
      </c>
      <c r="I1056">
        <v>1.1399999999999999</v>
      </c>
      <c r="J1056">
        <v>598</v>
      </c>
    </row>
    <row r="1057" spans="1:10" ht="14.25" customHeight="1" x14ac:dyDescent="0.25">
      <c r="A1057" s="21">
        <v>41037</v>
      </c>
      <c r="B1057" s="21"/>
      <c r="C1057">
        <v>7.5</v>
      </c>
      <c r="D1057">
        <v>2.5</v>
      </c>
      <c r="E1057">
        <v>18</v>
      </c>
      <c r="F1057">
        <v>24</v>
      </c>
      <c r="H1057">
        <v>24</v>
      </c>
      <c r="I1057">
        <v>0.92</v>
      </c>
      <c r="J1057">
        <v>387</v>
      </c>
    </row>
    <row r="1058" spans="1:10" ht="14.25" customHeight="1" x14ac:dyDescent="0.25">
      <c r="A1058" s="21">
        <v>41039</v>
      </c>
      <c r="B1058" s="21"/>
      <c r="C1058">
        <v>4</v>
      </c>
      <c r="D1058">
        <v>2.4</v>
      </c>
      <c r="E1058">
        <v>60</v>
      </c>
      <c r="F1058">
        <v>14</v>
      </c>
      <c r="H1058">
        <v>14</v>
      </c>
      <c r="I1058">
        <v>1.02</v>
      </c>
      <c r="J1058">
        <v>320</v>
      </c>
    </row>
    <row r="1059" spans="1:10" ht="14.25" customHeight="1" x14ac:dyDescent="0.25">
      <c r="A1059" s="21">
        <v>41039</v>
      </c>
      <c r="B1059" s="21"/>
      <c r="C1059">
        <v>9.6999999999999993</v>
      </c>
      <c r="D1059">
        <v>2.2999999999999998</v>
      </c>
      <c r="E1059">
        <v>90</v>
      </c>
      <c r="F1059">
        <v>21</v>
      </c>
      <c r="H1059">
        <v>21</v>
      </c>
      <c r="I1059">
        <v>1.23</v>
      </c>
      <c r="J1059" s="1">
        <v>1097</v>
      </c>
    </row>
    <row r="1060" spans="1:10" ht="14.25" customHeight="1" x14ac:dyDescent="0.25">
      <c r="A1060" s="21">
        <v>41041</v>
      </c>
      <c r="B1060" s="21"/>
      <c r="C1060">
        <v>10.1</v>
      </c>
      <c r="D1060">
        <v>3.1</v>
      </c>
      <c r="E1060">
        <v>106</v>
      </c>
      <c r="F1060">
        <v>25</v>
      </c>
      <c r="H1060">
        <v>25</v>
      </c>
      <c r="I1060">
        <v>1.27</v>
      </c>
      <c r="J1060" s="1">
        <v>1172</v>
      </c>
    </row>
    <row r="1061" spans="1:10" ht="14.25" customHeight="1" x14ac:dyDescent="0.25">
      <c r="A1061" s="21">
        <v>41041</v>
      </c>
      <c r="B1061" s="21"/>
      <c r="C1061">
        <v>8.9</v>
      </c>
      <c r="D1061">
        <v>3</v>
      </c>
      <c r="E1061">
        <v>65</v>
      </c>
      <c r="F1061">
        <v>25</v>
      </c>
      <c r="H1061">
        <v>25</v>
      </c>
      <c r="I1061">
        <v>1.2</v>
      </c>
      <c r="J1061">
        <v>893</v>
      </c>
    </row>
    <row r="1062" spans="1:10" ht="14.25" customHeight="1" x14ac:dyDescent="0.25">
      <c r="A1062" s="21">
        <v>41043</v>
      </c>
      <c r="B1062" s="21"/>
      <c r="C1062">
        <v>15.6</v>
      </c>
      <c r="D1062">
        <v>3.6</v>
      </c>
      <c r="E1062">
        <v>126</v>
      </c>
      <c r="F1062">
        <v>25</v>
      </c>
      <c r="H1062">
        <v>25</v>
      </c>
      <c r="I1062">
        <v>1.3</v>
      </c>
      <c r="J1062" s="1">
        <v>1524</v>
      </c>
    </row>
    <row r="1063" spans="1:10" ht="14.25" customHeight="1" x14ac:dyDescent="0.25">
      <c r="A1063" s="21">
        <v>41049</v>
      </c>
      <c r="B1063" s="21"/>
      <c r="C1063">
        <v>6.1</v>
      </c>
      <c r="D1063">
        <v>2.9</v>
      </c>
      <c r="E1063">
        <v>20</v>
      </c>
      <c r="F1063">
        <v>21</v>
      </c>
      <c r="H1063">
        <v>21</v>
      </c>
      <c r="I1063">
        <v>0.96</v>
      </c>
      <c r="J1063">
        <v>49</v>
      </c>
    </row>
    <row r="1064" spans="1:10" ht="14.25" customHeight="1" x14ac:dyDescent="0.25">
      <c r="A1064" s="21">
        <v>41053</v>
      </c>
      <c r="B1064" s="21"/>
      <c r="C1064">
        <v>3.6</v>
      </c>
      <c r="D1064">
        <v>3.3</v>
      </c>
      <c r="E1064">
        <v>56</v>
      </c>
      <c r="F1064">
        <v>15</v>
      </c>
      <c r="H1064">
        <v>15</v>
      </c>
      <c r="I1064">
        <v>1.1499999999999999</v>
      </c>
      <c r="J1064">
        <v>173</v>
      </c>
    </row>
    <row r="1065" spans="1:10" ht="14.25" customHeight="1" x14ac:dyDescent="0.25">
      <c r="A1065" s="21">
        <v>41057</v>
      </c>
      <c r="B1065" s="21"/>
      <c r="C1065">
        <v>12.1</v>
      </c>
      <c r="D1065">
        <v>3.2</v>
      </c>
      <c r="E1065">
        <v>103</v>
      </c>
      <c r="F1065">
        <v>25</v>
      </c>
      <c r="G1065">
        <v>4</v>
      </c>
      <c r="H1065">
        <v>25</v>
      </c>
      <c r="I1065">
        <v>1.41</v>
      </c>
      <c r="J1065" s="1">
        <v>1228</v>
      </c>
    </row>
    <row r="1066" spans="1:10" ht="14.25" customHeight="1" x14ac:dyDescent="0.25">
      <c r="A1066" s="21">
        <v>41059</v>
      </c>
      <c r="B1066" s="21"/>
      <c r="C1066">
        <v>12.1</v>
      </c>
      <c r="D1066">
        <v>2.5</v>
      </c>
      <c r="E1066">
        <v>99</v>
      </c>
      <c r="F1066">
        <v>25</v>
      </c>
      <c r="G1066">
        <v>3</v>
      </c>
      <c r="H1066">
        <v>25</v>
      </c>
      <c r="I1066">
        <v>1.42</v>
      </c>
      <c r="J1066" s="1">
        <v>1558</v>
      </c>
    </row>
    <row r="1067" spans="1:10" ht="14.25" customHeight="1" x14ac:dyDescent="0.25">
      <c r="A1067" s="21">
        <v>41059</v>
      </c>
      <c r="B1067" s="21"/>
      <c r="C1067">
        <v>10.5</v>
      </c>
      <c r="D1067">
        <v>3.7</v>
      </c>
      <c r="E1067">
        <v>69</v>
      </c>
      <c r="F1067">
        <v>25</v>
      </c>
      <c r="G1067">
        <v>5</v>
      </c>
      <c r="H1067">
        <v>25</v>
      </c>
      <c r="I1067">
        <v>1.43</v>
      </c>
      <c r="J1067" s="1">
        <v>1076</v>
      </c>
    </row>
    <row r="1068" spans="1:10" ht="14.25" customHeight="1" x14ac:dyDescent="0.25">
      <c r="A1068" s="21">
        <v>41061</v>
      </c>
      <c r="B1068" s="21"/>
      <c r="C1068">
        <v>11.2</v>
      </c>
      <c r="D1068">
        <v>2.7</v>
      </c>
      <c r="E1068">
        <v>97</v>
      </c>
      <c r="F1068">
        <v>25</v>
      </c>
      <c r="G1068">
        <v>4</v>
      </c>
      <c r="H1068">
        <v>25</v>
      </c>
      <c r="I1068">
        <v>1.45</v>
      </c>
      <c r="J1068" s="1">
        <v>1602</v>
      </c>
    </row>
    <row r="1069" spans="1:10" ht="14.25" customHeight="1" x14ac:dyDescent="0.25">
      <c r="A1069" s="21">
        <v>41063</v>
      </c>
      <c r="B1069" s="21"/>
      <c r="C1069">
        <v>6.6</v>
      </c>
      <c r="D1069">
        <v>2.7</v>
      </c>
      <c r="E1069">
        <v>21</v>
      </c>
      <c r="F1069">
        <v>23</v>
      </c>
      <c r="H1069">
        <v>23</v>
      </c>
      <c r="I1069">
        <v>1.0900000000000001</v>
      </c>
      <c r="J1069">
        <v>471</v>
      </c>
    </row>
    <row r="1070" spans="1:10" ht="14.25" customHeight="1" x14ac:dyDescent="0.25">
      <c r="A1070" s="21">
        <v>42013</v>
      </c>
      <c r="B1070" s="21"/>
      <c r="C1070">
        <v>3.4</v>
      </c>
      <c r="D1070">
        <v>2.1</v>
      </c>
      <c r="E1070">
        <v>62</v>
      </c>
      <c r="F1070">
        <v>25</v>
      </c>
      <c r="G1070">
        <v>5</v>
      </c>
      <c r="H1070">
        <v>25</v>
      </c>
      <c r="I1070">
        <v>1.7</v>
      </c>
      <c r="J1070">
        <v>547</v>
      </c>
    </row>
    <row r="1071" spans="1:10" ht="14.25" customHeight="1" x14ac:dyDescent="0.25">
      <c r="A1071" s="21">
        <v>42015</v>
      </c>
      <c r="B1071" s="21"/>
      <c r="C1071">
        <v>17.600000000000001</v>
      </c>
      <c r="D1071">
        <v>3.6</v>
      </c>
      <c r="E1071">
        <v>33</v>
      </c>
      <c r="F1071">
        <v>25</v>
      </c>
      <c r="H1071">
        <v>25</v>
      </c>
      <c r="I1071">
        <v>1.06</v>
      </c>
      <c r="J1071">
        <v>687</v>
      </c>
    </row>
    <row r="1072" spans="1:10" ht="14.25" customHeight="1" x14ac:dyDescent="0.25">
      <c r="A1072" s="21">
        <v>42035</v>
      </c>
      <c r="B1072" s="21"/>
      <c r="C1072">
        <v>1.9</v>
      </c>
      <c r="D1072">
        <v>3.9</v>
      </c>
      <c r="E1072">
        <v>4</v>
      </c>
      <c r="F1072">
        <v>16</v>
      </c>
      <c r="H1072">
        <v>16</v>
      </c>
      <c r="I1072">
        <v>0.83</v>
      </c>
      <c r="J1072">
        <v>41</v>
      </c>
    </row>
    <row r="1073" spans="1:10" ht="14.25" customHeight="1" x14ac:dyDescent="0.25">
      <c r="A1073" s="21">
        <v>42039</v>
      </c>
      <c r="B1073" s="21"/>
      <c r="C1073">
        <v>13.2</v>
      </c>
      <c r="D1073">
        <v>3.7</v>
      </c>
      <c r="E1073">
        <v>61</v>
      </c>
      <c r="F1073">
        <v>25</v>
      </c>
      <c r="G1073">
        <v>4</v>
      </c>
      <c r="H1073">
        <v>25</v>
      </c>
      <c r="I1073">
        <v>1.07</v>
      </c>
      <c r="J1073">
        <v>645</v>
      </c>
    </row>
    <row r="1074" spans="1:10" ht="14.25" customHeight="1" x14ac:dyDescent="0.25">
      <c r="A1074" s="21">
        <v>42047</v>
      </c>
      <c r="B1074" s="21"/>
      <c r="C1074">
        <v>14.7</v>
      </c>
      <c r="D1074">
        <v>2.9</v>
      </c>
      <c r="E1074">
        <v>71</v>
      </c>
      <c r="F1074">
        <v>25</v>
      </c>
      <c r="H1074">
        <v>25</v>
      </c>
      <c r="I1074">
        <v>1.1100000000000001</v>
      </c>
      <c r="J1074" s="1">
        <v>1352</v>
      </c>
    </row>
    <row r="1075" spans="1:10" ht="14.25" customHeight="1" x14ac:dyDescent="0.25">
      <c r="A1075" s="21">
        <v>42049</v>
      </c>
      <c r="B1075" s="21"/>
      <c r="C1075">
        <v>6.5</v>
      </c>
      <c r="D1075">
        <v>3.3</v>
      </c>
      <c r="E1075">
        <v>111</v>
      </c>
      <c r="F1075">
        <v>20</v>
      </c>
      <c r="H1075">
        <v>20</v>
      </c>
      <c r="I1075">
        <v>1.1299999999999999</v>
      </c>
      <c r="J1075">
        <v>369</v>
      </c>
    </row>
    <row r="1076" spans="1:10" ht="14.25" customHeight="1" x14ac:dyDescent="0.25">
      <c r="A1076" s="21">
        <v>42057</v>
      </c>
      <c r="B1076" s="21"/>
      <c r="C1076">
        <v>7.1</v>
      </c>
      <c r="D1076">
        <v>4.0999999999999996</v>
      </c>
      <c r="E1076">
        <v>55</v>
      </c>
      <c r="F1076">
        <v>21</v>
      </c>
      <c r="H1076">
        <v>21</v>
      </c>
      <c r="I1076">
        <v>0.96</v>
      </c>
      <c r="J1076">
        <v>498</v>
      </c>
    </row>
    <row r="1077" spans="1:10" ht="14.25" customHeight="1" x14ac:dyDescent="0.25">
      <c r="A1077" s="21">
        <v>42065</v>
      </c>
      <c r="B1077" s="21"/>
      <c r="C1077">
        <v>10.5</v>
      </c>
      <c r="D1077">
        <v>3.6</v>
      </c>
      <c r="E1077">
        <v>43</v>
      </c>
      <c r="F1077">
        <v>25</v>
      </c>
      <c r="H1077">
        <v>25</v>
      </c>
      <c r="I1077">
        <v>1.26</v>
      </c>
      <c r="J1077">
        <v>541</v>
      </c>
    </row>
    <row r="1078" spans="1:10" ht="14.25" customHeight="1" x14ac:dyDescent="0.25">
      <c r="A1078" s="21">
        <v>42069</v>
      </c>
      <c r="B1078" s="21"/>
      <c r="C1078">
        <v>6.4</v>
      </c>
      <c r="J1078">
        <v>291</v>
      </c>
    </row>
    <row r="1079" spans="1:10" ht="14.25" customHeight="1" x14ac:dyDescent="0.25">
      <c r="A1079" s="21">
        <v>42081</v>
      </c>
      <c r="B1079" s="21"/>
      <c r="C1079">
        <v>4.5</v>
      </c>
      <c r="D1079">
        <v>2.4</v>
      </c>
      <c r="E1079">
        <v>106</v>
      </c>
      <c r="F1079">
        <v>25</v>
      </c>
      <c r="G1079">
        <v>4</v>
      </c>
      <c r="H1079">
        <v>25</v>
      </c>
      <c r="I1079">
        <v>1.04</v>
      </c>
      <c r="J1079">
        <v>549</v>
      </c>
    </row>
    <row r="1080" spans="1:10" ht="14.25" customHeight="1" x14ac:dyDescent="0.25">
      <c r="A1080" s="21">
        <v>42081</v>
      </c>
      <c r="B1080" s="21"/>
      <c r="C1080">
        <v>11.7</v>
      </c>
      <c r="D1080">
        <v>2.8</v>
      </c>
      <c r="E1080">
        <v>38</v>
      </c>
      <c r="F1080">
        <v>20</v>
      </c>
      <c r="H1080">
        <v>20</v>
      </c>
      <c r="I1080">
        <v>1.18</v>
      </c>
      <c r="J1080">
        <v>504</v>
      </c>
    </row>
    <row r="1081" spans="1:10" ht="14.25" customHeight="1" x14ac:dyDescent="0.25">
      <c r="A1081" s="21">
        <v>42105</v>
      </c>
      <c r="B1081" s="21"/>
      <c r="C1081">
        <v>13.4</v>
      </c>
      <c r="D1081">
        <v>2.8</v>
      </c>
      <c r="E1081">
        <v>86</v>
      </c>
      <c r="F1081">
        <v>25</v>
      </c>
      <c r="G1081">
        <v>4</v>
      </c>
      <c r="H1081">
        <v>25</v>
      </c>
      <c r="I1081">
        <v>1.32</v>
      </c>
      <c r="J1081" s="1">
        <v>1532</v>
      </c>
    </row>
    <row r="1082" spans="1:10" ht="14.25" customHeight="1" x14ac:dyDescent="0.25">
      <c r="A1082" s="21">
        <v>42111</v>
      </c>
      <c r="B1082" s="21"/>
      <c r="C1082">
        <v>4.2</v>
      </c>
      <c r="D1082">
        <v>8.6</v>
      </c>
      <c r="E1082">
        <v>12</v>
      </c>
      <c r="F1082">
        <v>20</v>
      </c>
      <c r="H1082">
        <v>20</v>
      </c>
      <c r="I1082">
        <v>1.02</v>
      </c>
      <c r="J1082">
        <v>151</v>
      </c>
    </row>
    <row r="1083" spans="1:10" ht="14.25" customHeight="1" x14ac:dyDescent="0.25">
      <c r="A1083" s="21">
        <v>42115</v>
      </c>
      <c r="B1083" s="21"/>
      <c r="C1083">
        <v>7.5</v>
      </c>
      <c r="D1083">
        <v>1.1000000000000001</v>
      </c>
      <c r="E1083">
        <v>23</v>
      </c>
      <c r="F1083">
        <v>25</v>
      </c>
      <c r="H1083">
        <v>25</v>
      </c>
      <c r="I1083">
        <v>1.04</v>
      </c>
      <c r="J1083">
        <v>727</v>
      </c>
    </row>
    <row r="1084" spans="1:10" ht="14.25" customHeight="1" x14ac:dyDescent="0.25">
      <c r="A1084" s="21">
        <v>42115</v>
      </c>
      <c r="B1084" s="21"/>
      <c r="C1084">
        <v>7.6</v>
      </c>
      <c r="D1084">
        <v>15.4</v>
      </c>
      <c r="E1084">
        <v>17</v>
      </c>
      <c r="F1084">
        <v>25</v>
      </c>
      <c r="G1084">
        <v>4</v>
      </c>
      <c r="H1084">
        <v>25</v>
      </c>
      <c r="I1084">
        <v>0.87</v>
      </c>
      <c r="J1084">
        <v>594</v>
      </c>
    </row>
    <row r="1085" spans="1:10" ht="14.25" customHeight="1" x14ac:dyDescent="0.25">
      <c r="A1085" s="21">
        <v>42117</v>
      </c>
      <c r="B1085" s="21"/>
      <c r="C1085">
        <v>15.4</v>
      </c>
      <c r="D1085">
        <v>3.6</v>
      </c>
      <c r="E1085">
        <v>92</v>
      </c>
      <c r="F1085">
        <v>25</v>
      </c>
      <c r="G1085">
        <v>6</v>
      </c>
      <c r="H1085">
        <v>25</v>
      </c>
      <c r="I1085">
        <v>1.43</v>
      </c>
      <c r="J1085" s="1">
        <v>1570</v>
      </c>
    </row>
    <row r="1086" spans="1:10" ht="14.25" customHeight="1" x14ac:dyDescent="0.25">
      <c r="A1086" s="21">
        <v>45001</v>
      </c>
      <c r="B1086" s="21"/>
      <c r="C1086">
        <v>8</v>
      </c>
      <c r="D1086">
        <v>3.4</v>
      </c>
      <c r="E1086">
        <v>37</v>
      </c>
      <c r="F1086">
        <v>25</v>
      </c>
      <c r="G1086">
        <v>6</v>
      </c>
      <c r="H1086">
        <v>25</v>
      </c>
      <c r="I1086">
        <v>1.21</v>
      </c>
      <c r="J1086">
        <v>465</v>
      </c>
    </row>
    <row r="1087" spans="1:10" ht="14.25" customHeight="1" x14ac:dyDescent="0.25">
      <c r="A1087" s="21">
        <v>45005</v>
      </c>
      <c r="B1087" s="21"/>
      <c r="C1087">
        <v>3.3</v>
      </c>
      <c r="D1087">
        <v>3</v>
      </c>
      <c r="E1087">
        <v>27</v>
      </c>
      <c r="F1087">
        <v>25</v>
      </c>
      <c r="H1087">
        <v>25</v>
      </c>
      <c r="I1087">
        <v>0.85</v>
      </c>
      <c r="J1087">
        <v>90</v>
      </c>
    </row>
    <row r="1088" spans="1:10" ht="14.25" customHeight="1" x14ac:dyDescent="0.25">
      <c r="A1088" s="21">
        <v>45037</v>
      </c>
      <c r="B1088" s="21"/>
      <c r="C1088">
        <v>13.2</v>
      </c>
      <c r="D1088">
        <v>2.8</v>
      </c>
      <c r="E1088">
        <v>15</v>
      </c>
      <c r="F1088">
        <v>25</v>
      </c>
      <c r="H1088">
        <v>25</v>
      </c>
      <c r="I1088">
        <v>0.9</v>
      </c>
      <c r="J1088">
        <v>98</v>
      </c>
    </row>
    <row r="1089" spans="1:10" ht="14.25" customHeight="1" x14ac:dyDescent="0.25">
      <c r="A1089" s="21">
        <v>45039</v>
      </c>
      <c r="B1089" s="21"/>
      <c r="C1089">
        <v>0</v>
      </c>
      <c r="D1089">
        <v>3</v>
      </c>
      <c r="J1089">
        <v>1</v>
      </c>
    </row>
    <row r="1090" spans="1:10" ht="14.25" customHeight="1" x14ac:dyDescent="0.25">
      <c r="A1090" s="21">
        <v>45089</v>
      </c>
      <c r="B1090" s="21"/>
      <c r="C1090">
        <v>6.6</v>
      </c>
      <c r="D1090">
        <v>2.6</v>
      </c>
      <c r="E1090">
        <v>37</v>
      </c>
      <c r="F1090">
        <v>25</v>
      </c>
      <c r="G1090">
        <v>4</v>
      </c>
      <c r="H1090">
        <v>25</v>
      </c>
      <c r="I1090">
        <v>1.07</v>
      </c>
      <c r="J1090">
        <v>609</v>
      </c>
    </row>
    <row r="1091" spans="1:10" ht="14.25" customHeight="1" x14ac:dyDescent="0.25">
      <c r="A1091" s="21">
        <v>46005</v>
      </c>
      <c r="B1091" s="21"/>
      <c r="C1091">
        <v>13.8</v>
      </c>
      <c r="D1091">
        <v>3.6</v>
      </c>
      <c r="E1091">
        <v>46</v>
      </c>
      <c r="F1091">
        <v>25</v>
      </c>
      <c r="G1091">
        <v>6</v>
      </c>
      <c r="H1091">
        <v>25</v>
      </c>
      <c r="I1091">
        <v>1.1000000000000001</v>
      </c>
      <c r="J1091" s="1">
        <v>1295</v>
      </c>
    </row>
    <row r="1092" spans="1:10" ht="14.25" customHeight="1" x14ac:dyDescent="0.25">
      <c r="A1092" s="21">
        <v>46007</v>
      </c>
      <c r="B1092" s="21"/>
      <c r="C1092">
        <v>3.1</v>
      </c>
      <c r="D1092">
        <v>3</v>
      </c>
      <c r="E1092">
        <v>8</v>
      </c>
      <c r="F1092">
        <v>14</v>
      </c>
      <c r="H1092">
        <v>14</v>
      </c>
      <c r="I1092">
        <v>0.87</v>
      </c>
      <c r="J1092">
        <v>80</v>
      </c>
    </row>
    <row r="1093" spans="1:10" ht="14.25" customHeight="1" x14ac:dyDescent="0.25">
      <c r="A1093" s="21">
        <v>46009</v>
      </c>
      <c r="B1093" s="21"/>
      <c r="C1093">
        <v>1.5</v>
      </c>
      <c r="D1093">
        <v>2.5</v>
      </c>
      <c r="E1093">
        <v>3</v>
      </c>
      <c r="F1093">
        <v>25</v>
      </c>
      <c r="H1093">
        <v>25</v>
      </c>
      <c r="I1093">
        <v>0.94</v>
      </c>
      <c r="J1093">
        <v>51</v>
      </c>
    </row>
    <row r="1094" spans="1:10" ht="14.25" customHeight="1" x14ac:dyDescent="0.25">
      <c r="A1094" s="21">
        <v>46009</v>
      </c>
      <c r="B1094" s="21"/>
      <c r="C1094">
        <v>5.0999999999999996</v>
      </c>
      <c r="D1094">
        <v>3</v>
      </c>
      <c r="E1094">
        <v>8</v>
      </c>
      <c r="F1094">
        <v>25</v>
      </c>
      <c r="H1094">
        <v>25</v>
      </c>
      <c r="I1094">
        <v>0.9</v>
      </c>
      <c r="J1094">
        <v>145</v>
      </c>
    </row>
    <row r="1095" spans="1:10" ht="14.25" customHeight="1" x14ac:dyDescent="0.25">
      <c r="A1095" s="21">
        <v>46015</v>
      </c>
      <c r="B1095" s="21"/>
      <c r="C1095">
        <v>4.8</v>
      </c>
      <c r="D1095">
        <v>3</v>
      </c>
      <c r="E1095">
        <v>34</v>
      </c>
      <c r="F1095">
        <v>25</v>
      </c>
      <c r="H1095">
        <v>25</v>
      </c>
      <c r="I1095">
        <v>0.95</v>
      </c>
      <c r="J1095">
        <v>303</v>
      </c>
    </row>
    <row r="1096" spans="1:10" ht="14.25" customHeight="1" x14ac:dyDescent="0.25">
      <c r="A1096" s="21">
        <v>46023</v>
      </c>
      <c r="B1096" s="21"/>
      <c r="C1096">
        <v>2.9</v>
      </c>
      <c r="D1096">
        <v>2.7</v>
      </c>
      <c r="E1096">
        <v>8</v>
      </c>
      <c r="F1096">
        <v>17</v>
      </c>
      <c r="H1096">
        <v>17</v>
      </c>
      <c r="I1096">
        <v>1.03</v>
      </c>
      <c r="J1096">
        <v>128</v>
      </c>
    </row>
    <row r="1097" spans="1:10" ht="14.25" customHeight="1" x14ac:dyDescent="0.25">
      <c r="A1097" s="21">
        <v>46023</v>
      </c>
      <c r="B1097" s="21"/>
      <c r="C1097">
        <v>2.5</v>
      </c>
      <c r="D1097">
        <v>2.7</v>
      </c>
      <c r="E1097">
        <v>13</v>
      </c>
      <c r="F1097">
        <v>20</v>
      </c>
      <c r="H1097">
        <v>20</v>
      </c>
      <c r="I1097">
        <v>0.94</v>
      </c>
      <c r="J1097">
        <v>133</v>
      </c>
    </row>
    <row r="1098" spans="1:10" ht="14.25" customHeight="1" x14ac:dyDescent="0.25">
      <c r="A1098" s="21">
        <v>46027</v>
      </c>
      <c r="B1098" s="21"/>
      <c r="C1098">
        <v>6.2</v>
      </c>
      <c r="D1098">
        <v>3.6</v>
      </c>
      <c r="E1098">
        <v>38</v>
      </c>
      <c r="F1098">
        <v>25</v>
      </c>
      <c r="H1098">
        <v>25</v>
      </c>
      <c r="I1098">
        <v>0.9</v>
      </c>
      <c r="J1098">
        <v>299</v>
      </c>
    </row>
    <row r="1099" spans="1:10" ht="14.25" customHeight="1" x14ac:dyDescent="0.25">
      <c r="A1099" s="21">
        <v>46033</v>
      </c>
      <c r="B1099" s="21"/>
      <c r="C1099">
        <v>3.6</v>
      </c>
      <c r="D1099">
        <v>3</v>
      </c>
      <c r="E1099">
        <v>16</v>
      </c>
      <c r="F1099">
        <v>11</v>
      </c>
      <c r="H1099">
        <v>11</v>
      </c>
      <c r="I1099">
        <v>1</v>
      </c>
      <c r="J1099">
        <v>271</v>
      </c>
    </row>
    <row r="1100" spans="1:10" ht="14.25" customHeight="1" x14ac:dyDescent="0.25">
      <c r="A1100" s="21">
        <v>46037</v>
      </c>
      <c r="B1100" s="21"/>
      <c r="C1100">
        <v>2.5</v>
      </c>
      <c r="D1100">
        <v>2.5</v>
      </c>
      <c r="E1100">
        <v>8</v>
      </c>
      <c r="F1100">
        <v>20</v>
      </c>
      <c r="H1100">
        <v>20</v>
      </c>
      <c r="I1100">
        <v>0.92</v>
      </c>
      <c r="J1100">
        <v>143</v>
      </c>
    </row>
    <row r="1101" spans="1:10" ht="14.25" customHeight="1" x14ac:dyDescent="0.25">
      <c r="A1101" s="21">
        <v>46039</v>
      </c>
      <c r="B1101" s="21"/>
      <c r="C1101">
        <v>3</v>
      </c>
      <c r="D1101">
        <v>2.9</v>
      </c>
      <c r="E1101">
        <v>5</v>
      </c>
      <c r="F1101">
        <v>10</v>
      </c>
      <c r="H1101">
        <v>10</v>
      </c>
      <c r="I1101">
        <v>0.91</v>
      </c>
      <c r="J1101">
        <v>145</v>
      </c>
    </row>
    <row r="1102" spans="1:10" ht="14.25" customHeight="1" x14ac:dyDescent="0.25">
      <c r="A1102" s="21">
        <v>46043</v>
      </c>
      <c r="B1102" s="21"/>
      <c r="C1102">
        <v>2.2000000000000002</v>
      </c>
      <c r="D1102">
        <v>3.6</v>
      </c>
      <c r="E1102">
        <v>9</v>
      </c>
      <c r="F1102">
        <v>11</v>
      </c>
      <c r="H1102">
        <v>11</v>
      </c>
      <c r="I1102">
        <v>1</v>
      </c>
      <c r="J1102">
        <v>135</v>
      </c>
    </row>
    <row r="1103" spans="1:10" ht="14.25" customHeight="1" x14ac:dyDescent="0.25">
      <c r="A1103" s="21">
        <v>46045</v>
      </c>
      <c r="B1103" s="21"/>
      <c r="C1103">
        <v>2.7</v>
      </c>
      <c r="D1103">
        <v>2.4</v>
      </c>
      <c r="E1103">
        <v>4</v>
      </c>
      <c r="F1103">
        <v>12</v>
      </c>
      <c r="H1103">
        <v>12</v>
      </c>
      <c r="I1103">
        <v>0.89</v>
      </c>
      <c r="J1103">
        <v>154</v>
      </c>
    </row>
    <row r="1104" spans="1:10" ht="14.25" customHeight="1" x14ac:dyDescent="0.25">
      <c r="A1104" s="21">
        <v>46047</v>
      </c>
      <c r="B1104" s="21"/>
      <c r="C1104">
        <v>7</v>
      </c>
      <c r="D1104">
        <v>3</v>
      </c>
      <c r="E1104">
        <v>14</v>
      </c>
      <c r="F1104">
        <v>25</v>
      </c>
      <c r="H1104">
        <v>25</v>
      </c>
      <c r="I1104">
        <v>0.88</v>
      </c>
      <c r="J1104">
        <v>185</v>
      </c>
    </row>
    <row r="1105" spans="1:10" ht="14.25" customHeight="1" x14ac:dyDescent="0.25">
      <c r="A1105" s="21">
        <v>46049</v>
      </c>
      <c r="B1105" s="21"/>
      <c r="C1105">
        <v>3</v>
      </c>
      <c r="D1105">
        <v>2.4</v>
      </c>
      <c r="E1105">
        <v>5</v>
      </c>
      <c r="F1105">
        <v>12</v>
      </c>
      <c r="H1105">
        <v>12</v>
      </c>
      <c r="I1105">
        <v>0.98</v>
      </c>
      <c r="J1105">
        <v>145</v>
      </c>
    </row>
    <row r="1106" spans="1:10" ht="14.25" customHeight="1" x14ac:dyDescent="0.25">
      <c r="A1106" s="21">
        <v>46051</v>
      </c>
      <c r="B1106" s="21"/>
      <c r="C1106">
        <v>3.8</v>
      </c>
      <c r="D1106">
        <v>2.6</v>
      </c>
      <c r="E1106">
        <v>15</v>
      </c>
      <c r="F1106">
        <v>25</v>
      </c>
      <c r="H1106">
        <v>25</v>
      </c>
      <c r="I1106">
        <v>1.0900000000000001</v>
      </c>
      <c r="J1106">
        <v>387</v>
      </c>
    </row>
    <row r="1107" spans="1:10" ht="14.25" customHeight="1" x14ac:dyDescent="0.25">
      <c r="A1107" s="21">
        <v>46053</v>
      </c>
      <c r="B1107" s="21"/>
      <c r="C1107">
        <v>6.2</v>
      </c>
      <c r="D1107">
        <v>2.7</v>
      </c>
      <c r="E1107">
        <v>10</v>
      </c>
      <c r="F1107">
        <v>25</v>
      </c>
      <c r="H1107">
        <v>25</v>
      </c>
      <c r="I1107">
        <v>1.05</v>
      </c>
      <c r="J1107">
        <v>424</v>
      </c>
    </row>
    <row r="1108" spans="1:10" ht="14.25" customHeight="1" x14ac:dyDescent="0.25">
      <c r="A1108" s="21">
        <v>46053</v>
      </c>
      <c r="B1108" s="21"/>
      <c r="C1108">
        <v>3.5</v>
      </c>
      <c r="D1108">
        <v>2.5</v>
      </c>
      <c r="E1108">
        <v>8</v>
      </c>
      <c r="F1108">
        <v>16</v>
      </c>
      <c r="H1108">
        <v>16</v>
      </c>
      <c r="I1108">
        <v>0.81</v>
      </c>
      <c r="J1108">
        <v>115</v>
      </c>
    </row>
    <row r="1109" spans="1:10" ht="14.25" customHeight="1" x14ac:dyDescent="0.25">
      <c r="A1109" s="21">
        <v>46055</v>
      </c>
      <c r="B1109" s="21"/>
      <c r="C1109">
        <v>11.3</v>
      </c>
      <c r="D1109">
        <v>2.9</v>
      </c>
      <c r="E1109">
        <v>4</v>
      </c>
      <c r="F1109">
        <v>18</v>
      </c>
      <c r="H1109">
        <v>18</v>
      </c>
      <c r="I1109">
        <v>0.82</v>
      </c>
      <c r="J1109">
        <v>186</v>
      </c>
    </row>
    <row r="1110" spans="1:10" ht="14.25" customHeight="1" x14ac:dyDescent="0.25">
      <c r="A1110" s="21">
        <v>46059</v>
      </c>
      <c r="B1110" s="21"/>
      <c r="C1110">
        <v>2.9</v>
      </c>
      <c r="D1110">
        <v>2.8</v>
      </c>
      <c r="E1110">
        <v>6</v>
      </c>
      <c r="F1110">
        <v>25</v>
      </c>
      <c r="H1110">
        <v>25</v>
      </c>
      <c r="I1110">
        <v>0.89</v>
      </c>
      <c r="J1110">
        <v>209</v>
      </c>
    </row>
    <row r="1111" spans="1:10" ht="14.25" customHeight="1" x14ac:dyDescent="0.25">
      <c r="A1111" s="21">
        <v>46067</v>
      </c>
      <c r="B1111" s="21"/>
      <c r="C1111">
        <v>6.6</v>
      </c>
      <c r="D1111">
        <v>2.8</v>
      </c>
      <c r="E1111">
        <v>9</v>
      </c>
      <c r="F1111">
        <v>25</v>
      </c>
      <c r="H1111">
        <v>25</v>
      </c>
      <c r="I1111">
        <v>0.95</v>
      </c>
      <c r="J1111">
        <v>413</v>
      </c>
    </row>
    <row r="1112" spans="1:10" ht="14.25" customHeight="1" x14ac:dyDescent="0.25">
      <c r="A1112" s="21">
        <v>46067</v>
      </c>
      <c r="B1112" s="21"/>
      <c r="C1112">
        <v>2.4</v>
      </c>
      <c r="D1112">
        <v>2.9</v>
      </c>
      <c r="E1112">
        <v>8</v>
      </c>
      <c r="F1112">
        <v>25</v>
      </c>
      <c r="H1112">
        <v>25</v>
      </c>
      <c r="I1112">
        <v>1.1299999999999999</v>
      </c>
      <c r="J1112">
        <v>185</v>
      </c>
    </row>
    <row r="1113" spans="1:10" ht="14.25" customHeight="1" x14ac:dyDescent="0.25">
      <c r="A1113" s="21">
        <v>46073</v>
      </c>
      <c r="B1113" s="21"/>
      <c r="C1113">
        <v>1.8</v>
      </c>
      <c r="D1113">
        <v>3.3</v>
      </c>
      <c r="E1113">
        <v>8</v>
      </c>
      <c r="F1113">
        <v>16</v>
      </c>
      <c r="H1113">
        <v>16</v>
      </c>
      <c r="I1113">
        <v>0.95</v>
      </c>
      <c r="J1113">
        <v>57</v>
      </c>
    </row>
    <row r="1114" spans="1:10" ht="14.25" customHeight="1" x14ac:dyDescent="0.25">
      <c r="A1114" s="21">
        <v>46077</v>
      </c>
      <c r="B1114" s="21"/>
      <c r="C1114">
        <v>0.6</v>
      </c>
      <c r="D1114">
        <v>2.6</v>
      </c>
      <c r="E1114">
        <v>9</v>
      </c>
      <c r="F1114">
        <v>6</v>
      </c>
      <c r="H1114">
        <v>6</v>
      </c>
      <c r="I1114">
        <v>0.97</v>
      </c>
      <c r="J1114">
        <v>32</v>
      </c>
    </row>
    <row r="1115" spans="1:10" ht="14.25" customHeight="1" x14ac:dyDescent="0.25">
      <c r="A1115" s="21">
        <v>46079</v>
      </c>
      <c r="B1115" s="21"/>
      <c r="C1115">
        <v>9.6</v>
      </c>
      <c r="D1115">
        <v>2.8</v>
      </c>
      <c r="E1115">
        <v>22</v>
      </c>
      <c r="F1115">
        <v>22</v>
      </c>
      <c r="H1115">
        <v>22</v>
      </c>
      <c r="I1115">
        <v>0.95</v>
      </c>
      <c r="J1115">
        <v>418</v>
      </c>
    </row>
    <row r="1116" spans="1:10" ht="14.25" customHeight="1" x14ac:dyDescent="0.25">
      <c r="A1116" s="21">
        <v>46081</v>
      </c>
      <c r="B1116" s="21"/>
      <c r="C1116">
        <v>7.6</v>
      </c>
      <c r="D1116">
        <v>3.1</v>
      </c>
      <c r="E1116">
        <v>13</v>
      </c>
      <c r="F1116">
        <v>18</v>
      </c>
      <c r="G1116">
        <v>2</v>
      </c>
      <c r="H1116">
        <v>18</v>
      </c>
      <c r="I1116">
        <v>0.91</v>
      </c>
      <c r="J1116">
        <v>186</v>
      </c>
    </row>
    <row r="1117" spans="1:10" ht="14.25" customHeight="1" x14ac:dyDescent="0.25">
      <c r="A1117" s="21">
        <v>46083</v>
      </c>
      <c r="B1117" s="21"/>
      <c r="C1117">
        <v>3.6</v>
      </c>
      <c r="D1117">
        <v>2.7</v>
      </c>
      <c r="E1117">
        <v>13</v>
      </c>
      <c r="F1117">
        <v>11</v>
      </c>
      <c r="H1117">
        <v>11</v>
      </c>
      <c r="I1117">
        <v>1.02</v>
      </c>
      <c r="J1117">
        <v>103</v>
      </c>
    </row>
    <row r="1118" spans="1:10" ht="14.25" customHeight="1" x14ac:dyDescent="0.25">
      <c r="A1118" s="21">
        <v>46089</v>
      </c>
      <c r="B1118" s="21"/>
      <c r="C1118">
        <v>0.8</v>
      </c>
      <c r="D1118">
        <v>2.7</v>
      </c>
      <c r="E1118">
        <v>4</v>
      </c>
      <c r="F1118">
        <v>4</v>
      </c>
      <c r="H1118">
        <v>4</v>
      </c>
      <c r="I1118">
        <v>0.86</v>
      </c>
      <c r="J1118">
        <v>67</v>
      </c>
    </row>
    <row r="1119" spans="1:10" ht="14.25" customHeight="1" x14ac:dyDescent="0.25">
      <c r="A1119" s="21">
        <v>46091</v>
      </c>
      <c r="B1119" s="21"/>
      <c r="C1119">
        <v>2.2999999999999998</v>
      </c>
      <c r="D1119">
        <v>3.1</v>
      </c>
      <c r="E1119">
        <v>5</v>
      </c>
      <c r="F1119">
        <v>20</v>
      </c>
      <c r="H1119">
        <v>20</v>
      </c>
      <c r="I1119">
        <v>0.87</v>
      </c>
      <c r="J1119">
        <v>118</v>
      </c>
    </row>
    <row r="1120" spans="1:10" ht="14.25" customHeight="1" x14ac:dyDescent="0.25">
      <c r="A1120" s="21">
        <v>46093</v>
      </c>
      <c r="B1120" s="21"/>
      <c r="C1120">
        <v>13.6</v>
      </c>
      <c r="D1120">
        <v>3</v>
      </c>
      <c r="E1120">
        <v>22</v>
      </c>
      <c r="F1120">
        <v>25</v>
      </c>
      <c r="G1120">
        <v>3</v>
      </c>
      <c r="H1120">
        <v>25</v>
      </c>
      <c r="I1120">
        <v>0.94</v>
      </c>
      <c r="J1120">
        <v>341</v>
      </c>
    </row>
    <row r="1121" spans="1:10" ht="14.25" customHeight="1" x14ac:dyDescent="0.25">
      <c r="A1121" s="21">
        <v>46099</v>
      </c>
      <c r="B1121" s="21"/>
      <c r="C1121">
        <v>2.2999999999999998</v>
      </c>
      <c r="D1121">
        <v>3.9</v>
      </c>
      <c r="E1121">
        <v>8</v>
      </c>
      <c r="F1121">
        <v>21</v>
      </c>
      <c r="H1121">
        <v>21</v>
      </c>
      <c r="I1121">
        <v>0.89</v>
      </c>
      <c r="J1121">
        <v>118</v>
      </c>
    </row>
    <row r="1122" spans="1:10" ht="14.25" customHeight="1" x14ac:dyDescent="0.25">
      <c r="A1122" s="21">
        <v>46101</v>
      </c>
      <c r="B1122" s="21"/>
      <c r="C1122">
        <v>1.4</v>
      </c>
      <c r="D1122">
        <v>2.7</v>
      </c>
      <c r="E1122">
        <v>5</v>
      </c>
      <c r="F1122">
        <v>18</v>
      </c>
      <c r="H1122">
        <v>18</v>
      </c>
      <c r="I1122">
        <v>0.9</v>
      </c>
      <c r="J1122">
        <v>126</v>
      </c>
    </row>
    <row r="1123" spans="1:10" ht="14.25" customHeight="1" x14ac:dyDescent="0.25">
      <c r="A1123" s="21">
        <v>46107</v>
      </c>
      <c r="B1123" s="21"/>
      <c r="C1123">
        <v>2.8</v>
      </c>
      <c r="D1123">
        <v>2.9</v>
      </c>
      <c r="E1123">
        <v>3</v>
      </c>
      <c r="F1123">
        <v>10</v>
      </c>
      <c r="H1123">
        <v>10</v>
      </c>
      <c r="I1123">
        <v>1.01</v>
      </c>
      <c r="J1123">
        <v>105</v>
      </c>
    </row>
    <row r="1124" spans="1:10" ht="14.25" customHeight="1" x14ac:dyDescent="0.25">
      <c r="A1124" s="21">
        <v>46109</v>
      </c>
      <c r="B1124" s="21"/>
      <c r="C1124">
        <v>4.7</v>
      </c>
      <c r="D1124">
        <v>3.3</v>
      </c>
      <c r="E1124">
        <v>24</v>
      </c>
      <c r="F1124">
        <v>25</v>
      </c>
      <c r="H1124">
        <v>25</v>
      </c>
      <c r="I1124">
        <v>0.97</v>
      </c>
      <c r="J1124">
        <v>414</v>
      </c>
    </row>
    <row r="1125" spans="1:10" ht="14.25" customHeight="1" x14ac:dyDescent="0.25">
      <c r="A1125" s="21">
        <v>46115</v>
      </c>
      <c r="B1125" s="21"/>
      <c r="C1125">
        <v>4</v>
      </c>
      <c r="D1125">
        <v>3</v>
      </c>
      <c r="E1125">
        <v>9</v>
      </c>
      <c r="F1125">
        <v>23</v>
      </c>
      <c r="H1125">
        <v>23</v>
      </c>
      <c r="I1125">
        <v>0.95</v>
      </c>
      <c r="J1125">
        <v>266</v>
      </c>
    </row>
    <row r="1126" spans="1:10" ht="14.25" customHeight="1" x14ac:dyDescent="0.25">
      <c r="A1126" s="21">
        <v>46123</v>
      </c>
      <c r="B1126" s="21"/>
      <c r="C1126">
        <v>7.6</v>
      </c>
      <c r="D1126">
        <v>2.9</v>
      </c>
      <c r="E1126">
        <v>20</v>
      </c>
      <c r="F1126">
        <v>25</v>
      </c>
      <c r="H1126">
        <v>25</v>
      </c>
      <c r="I1126">
        <v>1.04</v>
      </c>
      <c r="J1126">
        <v>551</v>
      </c>
    </row>
    <row r="1127" spans="1:10" ht="14.25" customHeight="1" x14ac:dyDescent="0.25">
      <c r="A1127" s="21">
        <v>46125</v>
      </c>
      <c r="B1127" s="21"/>
      <c r="C1127">
        <v>1.6</v>
      </c>
      <c r="D1127">
        <v>2.2999999999999998</v>
      </c>
      <c r="E1127">
        <v>6</v>
      </c>
      <c r="F1127">
        <v>12</v>
      </c>
      <c r="H1127">
        <v>12</v>
      </c>
      <c r="I1127">
        <v>0.88</v>
      </c>
      <c r="J1127">
        <v>69</v>
      </c>
    </row>
    <row r="1128" spans="1:10" ht="14.25" customHeight="1" x14ac:dyDescent="0.25">
      <c r="A1128" s="21">
        <v>46129</v>
      </c>
      <c r="B1128" s="21"/>
      <c r="C1128">
        <v>6.3</v>
      </c>
      <c r="D1128">
        <v>2.6</v>
      </c>
      <c r="E1128">
        <v>19</v>
      </c>
      <c r="F1128">
        <v>25</v>
      </c>
      <c r="G1128">
        <v>4</v>
      </c>
      <c r="H1128">
        <v>25</v>
      </c>
      <c r="I1128">
        <v>0.93</v>
      </c>
      <c r="J1128">
        <v>434</v>
      </c>
    </row>
    <row r="1129" spans="1:10" ht="14.25" customHeight="1" x14ac:dyDescent="0.25">
      <c r="A1129" s="21">
        <v>47005</v>
      </c>
      <c r="B1129" s="21"/>
      <c r="C1129">
        <v>3.5</v>
      </c>
      <c r="D1129">
        <v>2.4</v>
      </c>
      <c r="E1129">
        <v>23</v>
      </c>
      <c r="F1129">
        <v>25</v>
      </c>
      <c r="H1129">
        <v>25</v>
      </c>
      <c r="I1129">
        <v>1.27</v>
      </c>
      <c r="J1129">
        <v>218</v>
      </c>
    </row>
    <row r="1130" spans="1:10" ht="14.25" customHeight="1" x14ac:dyDescent="0.25">
      <c r="A1130" s="21">
        <v>47007</v>
      </c>
      <c r="B1130" s="21"/>
      <c r="C1130">
        <v>5.6</v>
      </c>
      <c r="D1130">
        <v>2</v>
      </c>
      <c r="E1130">
        <v>51</v>
      </c>
      <c r="F1130">
        <v>25</v>
      </c>
      <c r="H1130">
        <v>25</v>
      </c>
      <c r="I1130">
        <v>1.02</v>
      </c>
      <c r="J1130">
        <v>374</v>
      </c>
    </row>
    <row r="1131" spans="1:10" ht="14.25" customHeight="1" x14ac:dyDescent="0.25">
      <c r="A1131" s="21">
        <v>47021</v>
      </c>
      <c r="B1131" s="21"/>
      <c r="C1131">
        <v>5.8</v>
      </c>
      <c r="D1131">
        <v>1.7</v>
      </c>
      <c r="E1131">
        <v>19</v>
      </c>
      <c r="F1131">
        <v>12</v>
      </c>
      <c r="H1131">
        <v>12</v>
      </c>
      <c r="I1131">
        <v>0.94</v>
      </c>
      <c r="J1131">
        <v>280</v>
      </c>
    </row>
    <row r="1132" spans="1:10" ht="14.25" customHeight="1" x14ac:dyDescent="0.25">
      <c r="A1132" s="21">
        <v>47027</v>
      </c>
      <c r="B1132" s="21"/>
      <c r="C1132">
        <v>7.3</v>
      </c>
      <c r="D1132">
        <v>2.2999999999999998</v>
      </c>
      <c r="E1132">
        <v>6</v>
      </c>
      <c r="I1132">
        <v>1.1100000000000001</v>
      </c>
      <c r="J1132">
        <v>280</v>
      </c>
    </row>
    <row r="1133" spans="1:10" ht="14.25" customHeight="1" x14ac:dyDescent="0.25">
      <c r="A1133" s="21">
        <v>47067</v>
      </c>
      <c r="B1133" s="21"/>
      <c r="C1133">
        <v>1.9</v>
      </c>
      <c r="D1133">
        <v>2.8</v>
      </c>
      <c r="E1133">
        <v>12</v>
      </c>
      <c r="F1133">
        <v>10</v>
      </c>
      <c r="H1133">
        <v>10</v>
      </c>
      <c r="I1133">
        <v>1.01</v>
      </c>
      <c r="J1133">
        <v>210</v>
      </c>
    </row>
    <row r="1134" spans="1:10" ht="14.25" customHeight="1" x14ac:dyDescent="0.25">
      <c r="A1134" s="21">
        <v>47069</v>
      </c>
      <c r="B1134" s="21"/>
      <c r="C1134">
        <v>1.4</v>
      </c>
      <c r="D1134">
        <v>2.6</v>
      </c>
      <c r="E1134">
        <v>36</v>
      </c>
      <c r="F1134">
        <v>25</v>
      </c>
      <c r="H1134">
        <v>25</v>
      </c>
      <c r="I1134">
        <v>1.07</v>
      </c>
      <c r="J1134">
        <v>154</v>
      </c>
    </row>
    <row r="1135" spans="1:10" ht="14.25" customHeight="1" x14ac:dyDescent="0.25">
      <c r="A1135" s="21">
        <v>47081</v>
      </c>
      <c r="B1135" s="21"/>
      <c r="C1135">
        <v>1.7</v>
      </c>
      <c r="D1135">
        <v>3.8</v>
      </c>
      <c r="E1135">
        <v>19</v>
      </c>
      <c r="F1135">
        <v>25</v>
      </c>
      <c r="H1135">
        <v>25</v>
      </c>
      <c r="I1135">
        <v>1.2</v>
      </c>
      <c r="J1135">
        <v>18</v>
      </c>
    </row>
    <row r="1136" spans="1:10" ht="14.25" customHeight="1" x14ac:dyDescent="0.25">
      <c r="A1136" s="21">
        <v>47083</v>
      </c>
      <c r="B1136" s="21"/>
      <c r="C1136">
        <v>3.7</v>
      </c>
      <c r="D1136">
        <v>5.0999999999999996</v>
      </c>
      <c r="E1136">
        <v>59</v>
      </c>
      <c r="F1136">
        <v>25</v>
      </c>
      <c r="H1136">
        <v>25</v>
      </c>
      <c r="I1136">
        <v>0.95</v>
      </c>
      <c r="J1136">
        <v>205</v>
      </c>
    </row>
    <row r="1137" spans="1:10" ht="14.25" customHeight="1" x14ac:dyDescent="0.25">
      <c r="A1137" s="21">
        <v>47085</v>
      </c>
      <c r="B1137" s="21"/>
      <c r="C1137">
        <v>6.2</v>
      </c>
      <c r="D1137">
        <v>3.7</v>
      </c>
      <c r="E1137">
        <v>38</v>
      </c>
      <c r="F1137">
        <v>25</v>
      </c>
      <c r="H1137">
        <v>25</v>
      </c>
      <c r="I1137">
        <v>0.83</v>
      </c>
      <c r="J1137">
        <v>274</v>
      </c>
    </row>
    <row r="1138" spans="1:10" ht="14.25" customHeight="1" x14ac:dyDescent="0.25">
      <c r="A1138" s="21">
        <v>47091</v>
      </c>
      <c r="B1138" s="21"/>
      <c r="C1138">
        <v>0.2</v>
      </c>
      <c r="D1138">
        <v>2.2000000000000002</v>
      </c>
      <c r="E1138">
        <v>23</v>
      </c>
      <c r="F1138">
        <v>2</v>
      </c>
      <c r="H1138">
        <v>2</v>
      </c>
      <c r="I1138">
        <v>0.95</v>
      </c>
      <c r="J1138">
        <v>29</v>
      </c>
    </row>
    <row r="1139" spans="1:10" ht="14.25" customHeight="1" x14ac:dyDescent="0.25">
      <c r="A1139" s="21">
        <v>47097</v>
      </c>
      <c r="B1139" s="21"/>
      <c r="C1139">
        <v>4.2</v>
      </c>
      <c r="D1139">
        <v>3.9</v>
      </c>
      <c r="E1139">
        <v>40</v>
      </c>
      <c r="F1139">
        <v>25</v>
      </c>
      <c r="H1139">
        <v>25</v>
      </c>
      <c r="I1139">
        <v>0.91</v>
      </c>
      <c r="J1139">
        <v>115</v>
      </c>
    </row>
    <row r="1140" spans="1:10" ht="14.25" customHeight="1" x14ac:dyDescent="0.25">
      <c r="A1140" s="21">
        <v>47111</v>
      </c>
      <c r="B1140" s="21"/>
      <c r="C1140">
        <v>10</v>
      </c>
      <c r="D1140">
        <v>3.5</v>
      </c>
      <c r="E1140">
        <v>45</v>
      </c>
      <c r="F1140">
        <v>25</v>
      </c>
      <c r="H1140">
        <v>25</v>
      </c>
      <c r="I1140">
        <v>0.96</v>
      </c>
      <c r="J1140">
        <v>783</v>
      </c>
    </row>
    <row r="1141" spans="1:10" ht="14.25" customHeight="1" x14ac:dyDescent="0.25">
      <c r="A1141" s="21">
        <v>47117</v>
      </c>
      <c r="B1141" s="21"/>
      <c r="C1141">
        <v>1.9</v>
      </c>
      <c r="D1141">
        <v>3.2</v>
      </c>
      <c r="E1141">
        <v>30</v>
      </c>
      <c r="F1141">
        <v>25</v>
      </c>
      <c r="H1141">
        <v>25</v>
      </c>
      <c r="I1141">
        <v>1.07</v>
      </c>
      <c r="J1141">
        <v>149</v>
      </c>
    </row>
    <row r="1142" spans="1:10" ht="14.25" customHeight="1" x14ac:dyDescent="0.25">
      <c r="A1142" s="21">
        <v>47139</v>
      </c>
      <c r="B1142" s="21"/>
      <c r="C1142">
        <v>5.3</v>
      </c>
      <c r="D1142">
        <v>3.7</v>
      </c>
      <c r="J1142">
        <v>465</v>
      </c>
    </row>
    <row r="1143" spans="1:10" ht="14.25" customHeight="1" x14ac:dyDescent="0.25">
      <c r="A1143" s="21">
        <v>47143</v>
      </c>
      <c r="B1143" s="21"/>
      <c r="C1143">
        <v>7.9</v>
      </c>
      <c r="D1143">
        <v>2.8</v>
      </c>
      <c r="E1143">
        <v>80</v>
      </c>
      <c r="F1143">
        <v>25</v>
      </c>
      <c r="G1143">
        <v>3</v>
      </c>
      <c r="H1143">
        <v>25</v>
      </c>
      <c r="I1143">
        <v>1.17</v>
      </c>
      <c r="J1143">
        <v>790</v>
      </c>
    </row>
    <row r="1144" spans="1:10" ht="14.25" customHeight="1" x14ac:dyDescent="0.25">
      <c r="A1144" s="21">
        <v>47159</v>
      </c>
      <c r="B1144" s="21"/>
      <c r="C1144">
        <v>9.6</v>
      </c>
      <c r="D1144">
        <v>2.6</v>
      </c>
      <c r="E1144">
        <v>30</v>
      </c>
      <c r="F1144">
        <v>25</v>
      </c>
      <c r="G1144">
        <v>2</v>
      </c>
      <c r="H1144">
        <v>25</v>
      </c>
      <c r="I1144">
        <v>1.1499999999999999</v>
      </c>
      <c r="J1144">
        <v>793</v>
      </c>
    </row>
    <row r="1145" spans="1:10" ht="14.25" customHeight="1" x14ac:dyDescent="0.25">
      <c r="A1145" s="21">
        <v>47169</v>
      </c>
      <c r="B1145" s="21"/>
      <c r="C1145">
        <v>2.7</v>
      </c>
      <c r="D1145">
        <v>3</v>
      </c>
      <c r="E1145">
        <v>14</v>
      </c>
      <c r="F1145">
        <v>23</v>
      </c>
      <c r="H1145">
        <v>23</v>
      </c>
      <c r="I1145">
        <v>1.01</v>
      </c>
      <c r="J1145">
        <v>149</v>
      </c>
    </row>
    <row r="1146" spans="1:10" ht="14.25" customHeight="1" x14ac:dyDescent="0.25">
      <c r="A1146" s="21">
        <v>48017</v>
      </c>
      <c r="B1146" s="21"/>
      <c r="C1146">
        <v>3.9</v>
      </c>
      <c r="D1146">
        <v>3.1</v>
      </c>
      <c r="E1146">
        <v>10</v>
      </c>
      <c r="F1146">
        <v>25</v>
      </c>
      <c r="H1146">
        <v>25</v>
      </c>
      <c r="I1146">
        <v>0.97</v>
      </c>
      <c r="J1146">
        <v>162</v>
      </c>
    </row>
    <row r="1147" spans="1:10" ht="14.25" customHeight="1" x14ac:dyDescent="0.25">
      <c r="A1147" s="21">
        <v>48035</v>
      </c>
      <c r="B1147" s="21"/>
      <c r="C1147">
        <v>8.4</v>
      </c>
      <c r="D1147">
        <v>3.5</v>
      </c>
      <c r="E1147">
        <v>26</v>
      </c>
      <c r="F1147">
        <v>25</v>
      </c>
      <c r="H1147">
        <v>25</v>
      </c>
      <c r="I1147">
        <v>1.02</v>
      </c>
      <c r="J1147">
        <v>362</v>
      </c>
    </row>
    <row r="1148" spans="1:10" ht="14.25" customHeight="1" x14ac:dyDescent="0.25">
      <c r="A1148" s="21">
        <v>48039</v>
      </c>
      <c r="B1148" s="21"/>
      <c r="C1148">
        <v>2.8</v>
      </c>
      <c r="D1148">
        <v>3</v>
      </c>
      <c r="E1148">
        <v>17</v>
      </c>
      <c r="F1148">
        <v>14</v>
      </c>
      <c r="H1148">
        <v>14</v>
      </c>
      <c r="I1148">
        <v>1.22</v>
      </c>
      <c r="J1148">
        <v>216</v>
      </c>
    </row>
    <row r="1149" spans="1:10" ht="14.25" customHeight="1" x14ac:dyDescent="0.25">
      <c r="A1149" s="21">
        <v>48043</v>
      </c>
      <c r="B1149" s="21"/>
      <c r="C1149">
        <v>7.4</v>
      </c>
      <c r="D1149">
        <v>2.8</v>
      </c>
      <c r="E1149">
        <v>22</v>
      </c>
      <c r="F1149">
        <v>25</v>
      </c>
      <c r="G1149">
        <v>3</v>
      </c>
      <c r="H1149">
        <v>25</v>
      </c>
      <c r="I1149">
        <v>1.1200000000000001</v>
      </c>
      <c r="J1149">
        <v>635</v>
      </c>
    </row>
    <row r="1150" spans="1:10" ht="14.25" customHeight="1" x14ac:dyDescent="0.25">
      <c r="A1150" s="21">
        <v>48051</v>
      </c>
      <c r="B1150" s="21"/>
      <c r="C1150">
        <v>5.4</v>
      </c>
      <c r="D1150">
        <v>3.6</v>
      </c>
      <c r="E1150">
        <v>8</v>
      </c>
      <c r="F1150">
        <v>15</v>
      </c>
      <c r="H1150">
        <v>15</v>
      </c>
      <c r="I1150">
        <v>1</v>
      </c>
      <c r="J1150">
        <v>64</v>
      </c>
    </row>
    <row r="1151" spans="1:10" ht="14.25" customHeight="1" x14ac:dyDescent="0.25">
      <c r="A1151" s="21">
        <v>48053</v>
      </c>
      <c r="B1151" s="21"/>
      <c r="C1151">
        <v>7.4</v>
      </c>
      <c r="D1151">
        <v>2.4</v>
      </c>
      <c r="E1151">
        <v>75</v>
      </c>
      <c r="F1151">
        <v>25</v>
      </c>
      <c r="G1151">
        <v>4</v>
      </c>
      <c r="H1151">
        <v>25</v>
      </c>
      <c r="I1151">
        <v>1.32</v>
      </c>
      <c r="J1151">
        <v>680</v>
      </c>
    </row>
    <row r="1152" spans="1:10" ht="14.25" customHeight="1" x14ac:dyDescent="0.25">
      <c r="A1152" s="21">
        <v>48055</v>
      </c>
      <c r="B1152" s="21"/>
      <c r="C1152">
        <v>7</v>
      </c>
      <c r="D1152">
        <v>3.1</v>
      </c>
      <c r="E1152">
        <v>38</v>
      </c>
      <c r="F1152">
        <v>23</v>
      </c>
      <c r="H1152">
        <v>23</v>
      </c>
      <c r="I1152">
        <v>0.99</v>
      </c>
      <c r="J1152">
        <v>600</v>
      </c>
    </row>
    <row r="1153" spans="1:10" ht="14.25" customHeight="1" x14ac:dyDescent="0.25">
      <c r="A1153" s="21">
        <v>48057</v>
      </c>
      <c r="B1153" s="21"/>
      <c r="C1153">
        <v>9.5</v>
      </c>
      <c r="D1153">
        <v>3</v>
      </c>
      <c r="E1153">
        <v>41</v>
      </c>
      <c r="F1153">
        <v>25</v>
      </c>
      <c r="G1153">
        <v>6</v>
      </c>
      <c r="H1153">
        <v>25</v>
      </c>
      <c r="I1153">
        <v>1.04</v>
      </c>
      <c r="J1153">
        <v>841</v>
      </c>
    </row>
    <row r="1154" spans="1:10" ht="14.25" customHeight="1" x14ac:dyDescent="0.25">
      <c r="A1154" s="21">
        <v>48063</v>
      </c>
      <c r="B1154" s="21"/>
      <c r="C1154">
        <v>8.1999999999999993</v>
      </c>
      <c r="D1154">
        <v>2.2999999999999998</v>
      </c>
      <c r="E1154">
        <v>25</v>
      </c>
      <c r="F1154">
        <v>25</v>
      </c>
      <c r="H1154">
        <v>25</v>
      </c>
      <c r="I1154">
        <v>1.07</v>
      </c>
      <c r="J1154">
        <v>630</v>
      </c>
    </row>
    <row r="1155" spans="1:10" ht="14.25" customHeight="1" x14ac:dyDescent="0.25">
      <c r="A1155" s="21">
        <v>48067</v>
      </c>
      <c r="B1155" s="21"/>
      <c r="C1155">
        <v>3.4</v>
      </c>
      <c r="D1155">
        <v>2</v>
      </c>
      <c r="J1155">
        <v>189</v>
      </c>
    </row>
    <row r="1156" spans="1:10" ht="14.25" customHeight="1" x14ac:dyDescent="0.25">
      <c r="A1156" s="21">
        <v>48069</v>
      </c>
      <c r="B1156" s="21"/>
      <c r="C1156">
        <v>4.2</v>
      </c>
      <c r="D1156">
        <v>3.7</v>
      </c>
      <c r="E1156">
        <v>10</v>
      </c>
      <c r="F1156">
        <v>17</v>
      </c>
      <c r="H1156">
        <v>17</v>
      </c>
      <c r="I1156">
        <v>0.92</v>
      </c>
      <c r="J1156">
        <v>58</v>
      </c>
    </row>
    <row r="1157" spans="1:10" ht="14.25" customHeight="1" x14ac:dyDescent="0.25">
      <c r="A1157" s="21">
        <v>48071</v>
      </c>
      <c r="B1157" s="21"/>
      <c r="C1157">
        <v>0.9</v>
      </c>
      <c r="D1157">
        <v>3.1</v>
      </c>
      <c r="E1157">
        <v>15</v>
      </c>
      <c r="F1157">
        <v>14</v>
      </c>
      <c r="H1157">
        <v>14</v>
      </c>
      <c r="I1157">
        <v>0.87</v>
      </c>
      <c r="J1157">
        <v>104</v>
      </c>
    </row>
    <row r="1158" spans="1:10" ht="14.25" customHeight="1" x14ac:dyDescent="0.25">
      <c r="A1158" s="21">
        <v>48071</v>
      </c>
      <c r="B1158" s="21"/>
      <c r="C1158">
        <v>2.9</v>
      </c>
      <c r="D1158">
        <v>3.5</v>
      </c>
      <c r="E1158">
        <v>80</v>
      </c>
      <c r="F1158">
        <v>25</v>
      </c>
      <c r="H1158">
        <v>25</v>
      </c>
      <c r="I1158">
        <v>0.92</v>
      </c>
      <c r="J1158">
        <v>226</v>
      </c>
    </row>
    <row r="1159" spans="1:10" ht="14.25" customHeight="1" x14ac:dyDescent="0.25">
      <c r="A1159" s="21">
        <v>48073</v>
      </c>
      <c r="B1159" s="21"/>
      <c r="C1159">
        <v>10.5</v>
      </c>
      <c r="D1159">
        <v>3.4</v>
      </c>
      <c r="E1159">
        <v>37</v>
      </c>
      <c r="F1159">
        <v>23</v>
      </c>
      <c r="H1159">
        <v>23</v>
      </c>
      <c r="I1159">
        <v>1.1599999999999999</v>
      </c>
      <c r="J1159">
        <v>646</v>
      </c>
    </row>
    <row r="1160" spans="1:10" ht="14.25" customHeight="1" x14ac:dyDescent="0.25">
      <c r="A1160" s="21">
        <v>48077</v>
      </c>
      <c r="B1160" s="21"/>
      <c r="C1160">
        <v>1.4</v>
      </c>
      <c r="D1160">
        <v>2.5</v>
      </c>
      <c r="E1160">
        <v>8</v>
      </c>
      <c r="F1160">
        <v>25</v>
      </c>
      <c r="H1160">
        <v>25</v>
      </c>
      <c r="I1160">
        <v>0.98</v>
      </c>
      <c r="J1160">
        <v>142</v>
      </c>
    </row>
    <row r="1161" spans="1:10" ht="14.25" customHeight="1" x14ac:dyDescent="0.25">
      <c r="A1161" s="21">
        <v>48079</v>
      </c>
      <c r="B1161" s="21"/>
      <c r="C1161">
        <v>0</v>
      </c>
      <c r="D1161">
        <v>3.6</v>
      </c>
      <c r="E1161">
        <v>1</v>
      </c>
      <c r="F1161">
        <v>18</v>
      </c>
      <c r="H1161">
        <v>18</v>
      </c>
      <c r="I1161">
        <v>0.83</v>
      </c>
      <c r="J1161">
        <v>5</v>
      </c>
    </row>
    <row r="1162" spans="1:10" ht="14.25" customHeight="1" x14ac:dyDescent="0.25">
      <c r="A1162" s="21">
        <v>48083</v>
      </c>
      <c r="B1162" s="21"/>
      <c r="C1162">
        <v>8.4</v>
      </c>
      <c r="D1162">
        <v>3.1</v>
      </c>
      <c r="E1162">
        <v>7</v>
      </c>
      <c r="F1162">
        <v>25</v>
      </c>
      <c r="H1162">
        <v>25</v>
      </c>
      <c r="I1162">
        <v>0.86</v>
      </c>
      <c r="J1162">
        <v>499</v>
      </c>
    </row>
    <row r="1163" spans="1:10" ht="14.25" customHeight="1" x14ac:dyDescent="0.25">
      <c r="A1163" s="21">
        <v>48087</v>
      </c>
      <c r="B1163" s="21"/>
      <c r="C1163">
        <v>2.2000000000000002</v>
      </c>
      <c r="D1163">
        <v>2.9</v>
      </c>
      <c r="E1163">
        <v>5</v>
      </c>
      <c r="F1163">
        <v>13</v>
      </c>
      <c r="H1163">
        <v>13</v>
      </c>
      <c r="I1163">
        <v>0.98</v>
      </c>
      <c r="J1163">
        <v>107</v>
      </c>
    </row>
    <row r="1164" spans="1:10" ht="14.25" customHeight="1" x14ac:dyDescent="0.25">
      <c r="A1164" s="21">
        <v>48089</v>
      </c>
      <c r="B1164" s="21"/>
      <c r="C1164">
        <v>1.9</v>
      </c>
      <c r="D1164">
        <v>2.7</v>
      </c>
      <c r="E1164">
        <v>12</v>
      </c>
      <c r="F1164">
        <v>21</v>
      </c>
      <c r="H1164">
        <v>21</v>
      </c>
      <c r="I1164">
        <v>0.94</v>
      </c>
      <c r="J1164">
        <v>169</v>
      </c>
    </row>
    <row r="1165" spans="1:10" ht="14.25" customHeight="1" x14ac:dyDescent="0.25">
      <c r="A1165" s="21">
        <v>48093</v>
      </c>
      <c r="B1165" s="21"/>
      <c r="C1165">
        <v>7.3</v>
      </c>
      <c r="D1165">
        <v>3.8</v>
      </c>
      <c r="E1165">
        <v>22</v>
      </c>
      <c r="F1165">
        <v>25</v>
      </c>
      <c r="H1165">
        <v>25</v>
      </c>
      <c r="I1165">
        <v>0.96</v>
      </c>
      <c r="J1165">
        <v>580</v>
      </c>
    </row>
    <row r="1166" spans="1:10" ht="14.25" customHeight="1" x14ac:dyDescent="0.25">
      <c r="A1166" s="21">
        <v>48095</v>
      </c>
      <c r="B1166" s="21"/>
      <c r="C1166">
        <v>0.9</v>
      </c>
      <c r="D1166">
        <v>3.2</v>
      </c>
      <c r="E1166">
        <v>9</v>
      </c>
      <c r="F1166">
        <v>16</v>
      </c>
      <c r="H1166">
        <v>16</v>
      </c>
      <c r="I1166">
        <v>0.9</v>
      </c>
      <c r="J1166">
        <v>58</v>
      </c>
    </row>
    <row r="1167" spans="1:10" ht="14.25" customHeight="1" x14ac:dyDescent="0.25">
      <c r="A1167" s="21">
        <v>48097</v>
      </c>
      <c r="B1167" s="21"/>
      <c r="C1167">
        <v>9.1999999999999993</v>
      </c>
      <c r="D1167">
        <v>3.1</v>
      </c>
      <c r="E1167">
        <v>9</v>
      </c>
      <c r="F1167">
        <v>18</v>
      </c>
      <c r="H1167">
        <v>18</v>
      </c>
      <c r="I1167">
        <v>0.89</v>
      </c>
      <c r="J1167">
        <v>104</v>
      </c>
    </row>
    <row r="1168" spans="1:10" ht="14.25" customHeight="1" x14ac:dyDescent="0.25">
      <c r="A1168" s="21">
        <v>48099</v>
      </c>
      <c r="B1168" s="21"/>
      <c r="C1168">
        <v>7</v>
      </c>
      <c r="D1168">
        <v>2.4</v>
      </c>
      <c r="E1168">
        <v>45</v>
      </c>
      <c r="F1168">
        <v>25</v>
      </c>
      <c r="G1168">
        <v>4</v>
      </c>
      <c r="H1168">
        <v>25</v>
      </c>
      <c r="I1168">
        <v>1.2</v>
      </c>
      <c r="J1168">
        <v>771</v>
      </c>
    </row>
    <row r="1169" spans="1:10" ht="14.25" customHeight="1" x14ac:dyDescent="0.25">
      <c r="A1169" s="21">
        <v>48103</v>
      </c>
      <c r="B1169" s="21"/>
      <c r="C1169">
        <v>1.8</v>
      </c>
      <c r="D1169">
        <v>4</v>
      </c>
      <c r="E1169">
        <v>3</v>
      </c>
      <c r="F1169">
        <v>25</v>
      </c>
      <c r="H1169">
        <v>25</v>
      </c>
      <c r="I1169">
        <v>0.93</v>
      </c>
      <c r="J1169">
        <v>70</v>
      </c>
    </row>
    <row r="1170" spans="1:10" ht="14.25" customHeight="1" x14ac:dyDescent="0.25">
      <c r="A1170" s="21">
        <v>48107</v>
      </c>
      <c r="B1170" s="21"/>
      <c r="C1170">
        <v>1.8</v>
      </c>
      <c r="D1170">
        <v>3.5</v>
      </c>
      <c r="E1170">
        <v>5</v>
      </c>
      <c r="F1170">
        <v>25</v>
      </c>
      <c r="H1170">
        <v>25</v>
      </c>
      <c r="I1170">
        <v>0.99</v>
      </c>
      <c r="J1170">
        <v>116</v>
      </c>
    </row>
    <row r="1171" spans="1:10" ht="14.25" customHeight="1" x14ac:dyDescent="0.25">
      <c r="A1171" s="21">
        <v>48109</v>
      </c>
      <c r="B1171" s="21"/>
      <c r="C1171">
        <v>2.9</v>
      </c>
      <c r="D1171">
        <v>4.0999999999999996</v>
      </c>
      <c r="E1171">
        <v>8</v>
      </c>
      <c r="F1171">
        <v>14</v>
      </c>
      <c r="H1171">
        <v>14</v>
      </c>
      <c r="I1171">
        <v>0.95</v>
      </c>
      <c r="J1171">
        <v>113</v>
      </c>
    </row>
    <row r="1172" spans="1:10" ht="14.25" customHeight="1" x14ac:dyDescent="0.25">
      <c r="A1172" s="21">
        <v>48111</v>
      </c>
      <c r="B1172" s="21"/>
      <c r="C1172">
        <v>5.5</v>
      </c>
      <c r="D1172">
        <v>3.6</v>
      </c>
      <c r="E1172">
        <v>15</v>
      </c>
      <c r="F1172">
        <v>21</v>
      </c>
      <c r="H1172">
        <v>21</v>
      </c>
      <c r="I1172">
        <v>0.97</v>
      </c>
      <c r="J1172">
        <v>343</v>
      </c>
    </row>
    <row r="1173" spans="1:10" ht="14.25" customHeight="1" x14ac:dyDescent="0.25">
      <c r="A1173" s="21">
        <v>48147</v>
      </c>
      <c r="B1173" s="21"/>
      <c r="C1173">
        <v>12.4</v>
      </c>
      <c r="D1173">
        <v>3.4</v>
      </c>
      <c r="E1173">
        <v>21</v>
      </c>
      <c r="F1173">
        <v>25</v>
      </c>
      <c r="G1173">
        <v>2</v>
      </c>
      <c r="H1173">
        <v>25</v>
      </c>
      <c r="I1173">
        <v>1.07</v>
      </c>
      <c r="J1173">
        <v>510</v>
      </c>
    </row>
    <row r="1174" spans="1:10" ht="14.25" customHeight="1" x14ac:dyDescent="0.25">
      <c r="A1174" s="21">
        <v>48151</v>
      </c>
      <c r="B1174" s="21"/>
      <c r="C1174">
        <v>1.6</v>
      </c>
      <c r="D1174">
        <v>2.5</v>
      </c>
      <c r="E1174">
        <v>7</v>
      </c>
      <c r="F1174">
        <v>14</v>
      </c>
      <c r="H1174">
        <v>14</v>
      </c>
      <c r="I1174">
        <v>1</v>
      </c>
      <c r="J1174">
        <v>45</v>
      </c>
    </row>
    <row r="1175" spans="1:10" ht="14.25" customHeight="1" x14ac:dyDescent="0.25">
      <c r="A1175" s="21">
        <v>48153</v>
      </c>
      <c r="B1175" s="21"/>
      <c r="C1175">
        <v>3.2</v>
      </c>
      <c r="D1175">
        <v>3.6</v>
      </c>
      <c r="E1175">
        <v>11</v>
      </c>
      <c r="F1175">
        <v>25</v>
      </c>
      <c r="H1175">
        <v>25</v>
      </c>
      <c r="I1175">
        <v>0.99</v>
      </c>
      <c r="J1175">
        <v>228</v>
      </c>
    </row>
    <row r="1176" spans="1:10" ht="14.25" customHeight="1" x14ac:dyDescent="0.25">
      <c r="A1176" s="21">
        <v>48165</v>
      </c>
      <c r="B1176" s="21"/>
      <c r="C1176">
        <v>9.6</v>
      </c>
      <c r="D1176">
        <v>3</v>
      </c>
      <c r="E1176">
        <v>18</v>
      </c>
      <c r="F1176">
        <v>25</v>
      </c>
      <c r="H1176">
        <v>25</v>
      </c>
      <c r="I1176">
        <v>0.99</v>
      </c>
      <c r="J1176">
        <v>823</v>
      </c>
    </row>
    <row r="1177" spans="1:10" ht="14.25" customHeight="1" x14ac:dyDescent="0.25">
      <c r="A1177" s="21">
        <v>48185</v>
      </c>
      <c r="B1177" s="21"/>
      <c r="C1177">
        <v>5.9</v>
      </c>
      <c r="D1177">
        <v>3.8</v>
      </c>
      <c r="E1177">
        <v>6</v>
      </c>
      <c r="F1177">
        <v>18</v>
      </c>
      <c r="H1177">
        <v>18</v>
      </c>
      <c r="I1177">
        <v>1.04</v>
      </c>
      <c r="J1177">
        <v>40</v>
      </c>
    </row>
    <row r="1178" spans="1:10" ht="14.25" customHeight="1" x14ac:dyDescent="0.25">
      <c r="A1178" s="21">
        <v>48193</v>
      </c>
      <c r="B1178" s="21"/>
      <c r="C1178">
        <v>7.5</v>
      </c>
      <c r="D1178">
        <v>3.5</v>
      </c>
      <c r="E1178">
        <v>27</v>
      </c>
      <c r="F1178">
        <v>25</v>
      </c>
      <c r="H1178">
        <v>25</v>
      </c>
      <c r="I1178">
        <v>1.02</v>
      </c>
      <c r="J1178">
        <v>574</v>
      </c>
    </row>
    <row r="1179" spans="1:10" ht="14.25" customHeight="1" x14ac:dyDescent="0.25">
      <c r="A1179" s="21">
        <v>48195</v>
      </c>
      <c r="B1179" s="21"/>
      <c r="C1179">
        <v>2.7</v>
      </c>
      <c r="D1179">
        <v>3.2</v>
      </c>
      <c r="E1179">
        <v>6</v>
      </c>
      <c r="F1179">
        <v>14</v>
      </c>
      <c r="H1179">
        <v>14</v>
      </c>
      <c r="I1179">
        <v>0.9</v>
      </c>
      <c r="J1179">
        <v>74</v>
      </c>
    </row>
    <row r="1180" spans="1:10" ht="14.25" customHeight="1" x14ac:dyDescent="0.25">
      <c r="A1180" s="21">
        <v>48197</v>
      </c>
      <c r="B1180" s="21"/>
      <c r="C1180">
        <v>0.2</v>
      </c>
      <c r="D1180">
        <v>3.5</v>
      </c>
      <c r="I1180">
        <v>0.91</v>
      </c>
      <c r="J1180">
        <v>15</v>
      </c>
    </row>
    <row r="1181" spans="1:10" ht="14.25" customHeight="1" x14ac:dyDescent="0.25">
      <c r="A1181" s="21">
        <v>48197</v>
      </c>
      <c r="B1181" s="21"/>
      <c r="C1181">
        <v>2.7</v>
      </c>
      <c r="D1181">
        <v>3.4</v>
      </c>
      <c r="E1181">
        <v>6</v>
      </c>
      <c r="F1181">
        <v>24</v>
      </c>
      <c r="H1181">
        <v>24</v>
      </c>
      <c r="I1181">
        <v>0.89</v>
      </c>
      <c r="J1181">
        <v>135</v>
      </c>
    </row>
    <row r="1182" spans="1:10" ht="14.25" customHeight="1" x14ac:dyDescent="0.25">
      <c r="A1182" s="21">
        <v>48207</v>
      </c>
      <c r="B1182" s="21"/>
      <c r="C1182">
        <v>2.2999999999999998</v>
      </c>
      <c r="D1182">
        <v>2.8</v>
      </c>
      <c r="E1182">
        <v>11</v>
      </c>
      <c r="F1182">
        <v>25</v>
      </c>
      <c r="H1182">
        <v>25</v>
      </c>
      <c r="I1182">
        <v>0.92</v>
      </c>
      <c r="J1182">
        <v>129</v>
      </c>
    </row>
    <row r="1183" spans="1:10" ht="14.25" customHeight="1" x14ac:dyDescent="0.25">
      <c r="A1183" s="21">
        <v>48217</v>
      </c>
      <c r="B1183" s="21"/>
      <c r="C1183">
        <v>2.5</v>
      </c>
      <c r="D1183">
        <v>2.7</v>
      </c>
      <c r="E1183">
        <v>17</v>
      </c>
      <c r="F1183">
        <v>25</v>
      </c>
      <c r="H1183">
        <v>25</v>
      </c>
      <c r="I1183">
        <v>1.3</v>
      </c>
      <c r="J1183">
        <v>817</v>
      </c>
    </row>
    <row r="1184" spans="1:10" ht="14.25" customHeight="1" x14ac:dyDescent="0.25">
      <c r="A1184" s="21">
        <v>48225</v>
      </c>
      <c r="B1184" s="21"/>
      <c r="C1184">
        <v>1.5</v>
      </c>
      <c r="E1184">
        <v>20</v>
      </c>
      <c r="F1184">
        <v>25</v>
      </c>
      <c r="H1184">
        <v>25</v>
      </c>
      <c r="I1184">
        <v>0.81</v>
      </c>
      <c r="J1184">
        <v>344</v>
      </c>
    </row>
    <row r="1185" spans="1:10" ht="14.25" customHeight="1" x14ac:dyDescent="0.25">
      <c r="A1185" s="21">
        <v>48231</v>
      </c>
      <c r="B1185" s="21"/>
      <c r="C1185">
        <v>3.2</v>
      </c>
      <c r="D1185">
        <v>2.1</v>
      </c>
      <c r="J1185">
        <v>153</v>
      </c>
    </row>
    <row r="1186" spans="1:10" ht="14.25" customHeight="1" x14ac:dyDescent="0.25">
      <c r="A1186" s="21">
        <v>48233</v>
      </c>
      <c r="B1186" s="21"/>
      <c r="C1186">
        <v>6</v>
      </c>
      <c r="D1186">
        <v>3.2</v>
      </c>
      <c r="E1186">
        <v>24</v>
      </c>
      <c r="F1186">
        <v>25</v>
      </c>
      <c r="G1186">
        <v>4</v>
      </c>
      <c r="H1186">
        <v>25</v>
      </c>
      <c r="I1186">
        <v>1.23</v>
      </c>
      <c r="J1186">
        <v>627</v>
      </c>
    </row>
    <row r="1187" spans="1:10" ht="14.25" customHeight="1" x14ac:dyDescent="0.25">
      <c r="A1187" s="21">
        <v>48239</v>
      </c>
      <c r="B1187" s="21"/>
      <c r="C1187">
        <v>3.7</v>
      </c>
      <c r="D1187">
        <v>3</v>
      </c>
      <c r="E1187">
        <v>12</v>
      </c>
      <c r="F1187">
        <v>25</v>
      </c>
      <c r="H1187">
        <v>25</v>
      </c>
      <c r="I1187">
        <v>0.88</v>
      </c>
      <c r="J1187">
        <v>194</v>
      </c>
    </row>
    <row r="1188" spans="1:10" ht="14.25" customHeight="1" x14ac:dyDescent="0.25">
      <c r="A1188" s="21">
        <v>48255</v>
      </c>
      <c r="B1188" s="21"/>
      <c r="C1188">
        <v>4</v>
      </c>
      <c r="D1188">
        <v>3.7</v>
      </c>
      <c r="E1188">
        <v>31</v>
      </c>
      <c r="F1188">
        <v>25</v>
      </c>
      <c r="H1188">
        <v>25</v>
      </c>
      <c r="I1188">
        <v>0.97</v>
      </c>
      <c r="J1188">
        <v>152</v>
      </c>
    </row>
    <row r="1189" spans="1:10" ht="14.25" customHeight="1" x14ac:dyDescent="0.25">
      <c r="A1189" s="21">
        <v>48267</v>
      </c>
      <c r="B1189" s="21"/>
      <c r="C1189">
        <v>1.5</v>
      </c>
      <c r="D1189">
        <v>2.7</v>
      </c>
      <c r="E1189">
        <v>7</v>
      </c>
      <c r="F1189">
        <v>15</v>
      </c>
      <c r="H1189">
        <v>15</v>
      </c>
      <c r="I1189">
        <v>0.94</v>
      </c>
      <c r="J1189">
        <v>78</v>
      </c>
    </row>
    <row r="1190" spans="1:10" ht="14.25" customHeight="1" x14ac:dyDescent="0.25">
      <c r="A1190" s="21">
        <v>48281</v>
      </c>
      <c r="B1190" s="21"/>
      <c r="C1190">
        <v>8.6999999999999993</v>
      </c>
      <c r="D1190">
        <v>3.6</v>
      </c>
      <c r="E1190">
        <v>14</v>
      </c>
      <c r="F1190">
        <v>25</v>
      </c>
      <c r="H1190">
        <v>25</v>
      </c>
      <c r="I1190">
        <v>0.94</v>
      </c>
      <c r="J1190">
        <v>397</v>
      </c>
    </row>
    <row r="1191" spans="1:10" ht="14.25" customHeight="1" x14ac:dyDescent="0.25">
      <c r="A1191" s="21">
        <v>48285</v>
      </c>
      <c r="B1191" s="21"/>
      <c r="C1191">
        <v>6.2</v>
      </c>
      <c r="D1191">
        <v>3.8</v>
      </c>
      <c r="E1191">
        <v>20</v>
      </c>
      <c r="F1191">
        <v>25</v>
      </c>
      <c r="H1191">
        <v>25</v>
      </c>
      <c r="I1191">
        <v>0.94</v>
      </c>
      <c r="J1191">
        <v>430</v>
      </c>
    </row>
    <row r="1192" spans="1:10" ht="14.25" customHeight="1" x14ac:dyDescent="0.25">
      <c r="A1192" s="21">
        <v>48285</v>
      </c>
      <c r="B1192" s="21"/>
      <c r="C1192">
        <v>6</v>
      </c>
      <c r="D1192">
        <v>3.3</v>
      </c>
      <c r="E1192">
        <v>29</v>
      </c>
      <c r="F1192">
        <v>25</v>
      </c>
      <c r="G1192">
        <v>3</v>
      </c>
      <c r="H1192">
        <v>25</v>
      </c>
      <c r="I1192">
        <v>0.99</v>
      </c>
      <c r="J1192">
        <v>448</v>
      </c>
    </row>
    <row r="1193" spans="1:10" ht="14.25" customHeight="1" x14ac:dyDescent="0.25">
      <c r="A1193" s="21">
        <v>48291</v>
      </c>
      <c r="B1193" s="21"/>
      <c r="C1193">
        <v>1</v>
      </c>
      <c r="D1193">
        <v>3.4</v>
      </c>
      <c r="E1193">
        <v>40</v>
      </c>
      <c r="F1193">
        <v>25</v>
      </c>
      <c r="H1193">
        <v>25</v>
      </c>
      <c r="I1193">
        <v>1.04</v>
      </c>
      <c r="J1193">
        <v>90</v>
      </c>
    </row>
    <row r="1194" spans="1:10" ht="14.25" customHeight="1" x14ac:dyDescent="0.25">
      <c r="A1194" s="21">
        <v>48293</v>
      </c>
      <c r="B1194" s="21"/>
      <c r="C1194">
        <v>4.5999999999999996</v>
      </c>
      <c r="D1194">
        <v>3.1</v>
      </c>
      <c r="E1194">
        <v>40</v>
      </c>
      <c r="F1194">
        <v>20</v>
      </c>
      <c r="H1194">
        <v>20</v>
      </c>
      <c r="I1194">
        <v>0.97</v>
      </c>
      <c r="J1194">
        <v>157</v>
      </c>
    </row>
    <row r="1195" spans="1:10" ht="14.25" customHeight="1" x14ac:dyDescent="0.25">
      <c r="A1195" s="21">
        <v>48305</v>
      </c>
      <c r="B1195" s="21"/>
      <c r="C1195">
        <v>5.6</v>
      </c>
      <c r="D1195">
        <v>3.2</v>
      </c>
      <c r="E1195">
        <v>9</v>
      </c>
      <c r="F1195">
        <v>24</v>
      </c>
      <c r="H1195">
        <v>24</v>
      </c>
      <c r="I1195">
        <v>0.96</v>
      </c>
      <c r="J1195">
        <v>85</v>
      </c>
    </row>
    <row r="1196" spans="1:10" ht="14.25" customHeight="1" x14ac:dyDescent="0.25">
      <c r="A1196" s="21">
        <v>48307</v>
      </c>
      <c r="B1196" s="21"/>
      <c r="C1196">
        <v>3.1</v>
      </c>
      <c r="D1196">
        <v>3.2</v>
      </c>
      <c r="E1196">
        <v>16</v>
      </c>
      <c r="F1196">
        <v>14</v>
      </c>
      <c r="H1196">
        <v>14</v>
      </c>
      <c r="I1196">
        <v>1.0900000000000001</v>
      </c>
      <c r="J1196">
        <v>178</v>
      </c>
    </row>
    <row r="1197" spans="1:10" ht="14.25" customHeight="1" x14ac:dyDescent="0.25">
      <c r="A1197" s="21">
        <v>48313</v>
      </c>
      <c r="B1197" s="21"/>
      <c r="C1197">
        <v>8.9</v>
      </c>
      <c r="D1197">
        <v>3.1</v>
      </c>
      <c r="E1197">
        <v>11</v>
      </c>
      <c r="F1197">
        <v>15</v>
      </c>
      <c r="H1197">
        <v>15</v>
      </c>
      <c r="I1197">
        <v>0.95</v>
      </c>
      <c r="J1197">
        <v>55</v>
      </c>
    </row>
    <row r="1198" spans="1:10" ht="14.25" customHeight="1" x14ac:dyDescent="0.25">
      <c r="A1198" s="21">
        <v>48317</v>
      </c>
      <c r="B1198" s="21"/>
      <c r="C1198">
        <v>4.4000000000000004</v>
      </c>
      <c r="D1198">
        <v>3</v>
      </c>
      <c r="E1198">
        <v>21</v>
      </c>
      <c r="F1198">
        <v>18</v>
      </c>
      <c r="H1198">
        <v>18</v>
      </c>
      <c r="I1198">
        <v>0.85</v>
      </c>
      <c r="J1198">
        <v>120</v>
      </c>
    </row>
    <row r="1199" spans="1:10" ht="14.25" customHeight="1" x14ac:dyDescent="0.25">
      <c r="A1199" s="21">
        <v>48321</v>
      </c>
      <c r="B1199" s="21"/>
      <c r="C1199">
        <v>1.3</v>
      </c>
      <c r="D1199">
        <v>2</v>
      </c>
      <c r="E1199">
        <v>9</v>
      </c>
      <c r="F1199">
        <v>17</v>
      </c>
      <c r="H1199">
        <v>17</v>
      </c>
      <c r="I1199">
        <v>0.87</v>
      </c>
      <c r="J1199">
        <v>95</v>
      </c>
    </row>
    <row r="1200" spans="1:10" ht="14.25" customHeight="1" x14ac:dyDescent="0.25">
      <c r="A1200" s="21">
        <v>48325</v>
      </c>
      <c r="B1200" s="21"/>
      <c r="C1200">
        <v>7.2</v>
      </c>
      <c r="D1200">
        <v>2.5</v>
      </c>
      <c r="E1200">
        <v>57</v>
      </c>
      <c r="F1200">
        <v>25</v>
      </c>
      <c r="H1200">
        <v>25</v>
      </c>
      <c r="I1200">
        <v>0.87</v>
      </c>
      <c r="J1200">
        <v>549</v>
      </c>
    </row>
    <row r="1201" spans="1:10" ht="14.25" customHeight="1" x14ac:dyDescent="0.25">
      <c r="A1201" s="21">
        <v>48331</v>
      </c>
      <c r="B1201" s="21"/>
      <c r="C1201">
        <v>2.9</v>
      </c>
      <c r="D1201">
        <v>7.7</v>
      </c>
      <c r="I1201">
        <v>1.1200000000000001</v>
      </c>
      <c r="J1201">
        <v>182</v>
      </c>
    </row>
    <row r="1202" spans="1:10" ht="14.25" customHeight="1" x14ac:dyDescent="0.25">
      <c r="A1202" s="21">
        <v>48335</v>
      </c>
      <c r="B1202" s="21"/>
      <c r="C1202">
        <v>6.6</v>
      </c>
      <c r="D1202">
        <v>3.6</v>
      </c>
      <c r="E1202">
        <v>7</v>
      </c>
      <c r="F1202">
        <v>25</v>
      </c>
      <c r="H1202">
        <v>25</v>
      </c>
      <c r="I1202">
        <v>1.1000000000000001</v>
      </c>
      <c r="J1202">
        <v>372</v>
      </c>
    </row>
    <row r="1203" spans="1:10" ht="14.25" customHeight="1" x14ac:dyDescent="0.25">
      <c r="A1203" s="21">
        <v>48341</v>
      </c>
      <c r="B1203" s="21"/>
      <c r="C1203">
        <v>8.6</v>
      </c>
      <c r="D1203">
        <v>2.9</v>
      </c>
      <c r="E1203">
        <v>46</v>
      </c>
      <c r="F1203">
        <v>19</v>
      </c>
      <c r="G1203">
        <v>3</v>
      </c>
      <c r="H1203">
        <v>19</v>
      </c>
      <c r="I1203">
        <v>1.2</v>
      </c>
      <c r="J1203" s="1">
        <v>1285</v>
      </c>
    </row>
    <row r="1204" spans="1:10" ht="14.25" customHeight="1" x14ac:dyDescent="0.25">
      <c r="A1204" s="21">
        <v>48357</v>
      </c>
      <c r="B1204" s="21"/>
      <c r="C1204">
        <v>5.5</v>
      </c>
      <c r="D1204">
        <v>2.5</v>
      </c>
      <c r="E1204">
        <v>13</v>
      </c>
      <c r="F1204">
        <v>25</v>
      </c>
      <c r="H1204">
        <v>25</v>
      </c>
      <c r="I1204">
        <v>0.92</v>
      </c>
      <c r="J1204">
        <v>554</v>
      </c>
    </row>
    <row r="1205" spans="1:10" ht="14.25" customHeight="1" x14ac:dyDescent="0.25">
      <c r="A1205" s="21">
        <v>48369</v>
      </c>
      <c r="B1205" s="21"/>
      <c r="C1205">
        <v>3</v>
      </c>
      <c r="D1205">
        <v>3.3</v>
      </c>
      <c r="E1205">
        <v>8</v>
      </c>
      <c r="F1205">
        <v>25</v>
      </c>
      <c r="H1205">
        <v>25</v>
      </c>
      <c r="I1205">
        <v>0.97</v>
      </c>
      <c r="J1205">
        <v>42</v>
      </c>
    </row>
    <row r="1206" spans="1:10" ht="14.25" customHeight="1" x14ac:dyDescent="0.25">
      <c r="A1206" s="21">
        <v>48371</v>
      </c>
      <c r="B1206" s="21"/>
      <c r="C1206">
        <v>5</v>
      </c>
      <c r="D1206">
        <v>3.1</v>
      </c>
      <c r="E1206">
        <v>21</v>
      </c>
      <c r="F1206">
        <v>25</v>
      </c>
      <c r="H1206">
        <v>25</v>
      </c>
      <c r="I1206">
        <v>1.04</v>
      </c>
      <c r="J1206">
        <v>464</v>
      </c>
    </row>
    <row r="1207" spans="1:10" ht="14.25" customHeight="1" x14ac:dyDescent="0.25">
      <c r="A1207" s="21">
        <v>48371</v>
      </c>
      <c r="B1207" s="21"/>
      <c r="C1207">
        <v>1.9</v>
      </c>
      <c r="D1207">
        <v>3.3</v>
      </c>
      <c r="E1207">
        <v>4</v>
      </c>
      <c r="F1207">
        <v>14</v>
      </c>
      <c r="H1207">
        <v>14</v>
      </c>
      <c r="I1207">
        <v>0.94</v>
      </c>
      <c r="J1207">
        <v>26</v>
      </c>
    </row>
    <row r="1208" spans="1:10" ht="14.25" customHeight="1" x14ac:dyDescent="0.25">
      <c r="A1208" s="21">
        <v>48383</v>
      </c>
      <c r="B1208" s="21"/>
      <c r="C1208">
        <v>0.6</v>
      </c>
      <c r="D1208">
        <v>2.5</v>
      </c>
      <c r="E1208">
        <v>3</v>
      </c>
      <c r="F1208">
        <v>7</v>
      </c>
      <c r="H1208">
        <v>7</v>
      </c>
      <c r="I1208">
        <v>0.91</v>
      </c>
      <c r="J1208">
        <v>13</v>
      </c>
    </row>
    <row r="1209" spans="1:10" ht="14.25" customHeight="1" x14ac:dyDescent="0.25">
      <c r="A1209" s="21">
        <v>48389</v>
      </c>
      <c r="B1209" s="21"/>
      <c r="C1209">
        <v>8.1</v>
      </c>
      <c r="D1209">
        <v>3</v>
      </c>
      <c r="E1209">
        <v>19</v>
      </c>
      <c r="F1209">
        <v>25</v>
      </c>
      <c r="H1209">
        <v>25</v>
      </c>
      <c r="I1209">
        <v>0.92</v>
      </c>
      <c r="J1209">
        <v>748</v>
      </c>
    </row>
    <row r="1210" spans="1:10" ht="14.25" customHeight="1" x14ac:dyDescent="0.25">
      <c r="A1210" s="21">
        <v>48391</v>
      </c>
      <c r="B1210" s="21"/>
      <c r="C1210">
        <v>1.7</v>
      </c>
      <c r="D1210">
        <v>3.2</v>
      </c>
      <c r="E1210">
        <v>22</v>
      </c>
      <c r="F1210">
        <v>20</v>
      </c>
      <c r="H1210">
        <v>20</v>
      </c>
      <c r="I1210">
        <v>0.9</v>
      </c>
      <c r="J1210">
        <v>72</v>
      </c>
    </row>
    <row r="1211" spans="1:10" ht="14.25" customHeight="1" x14ac:dyDescent="0.25">
      <c r="A1211" s="21">
        <v>48399</v>
      </c>
      <c r="B1211" s="21"/>
      <c r="C1211">
        <v>1.4</v>
      </c>
      <c r="D1211">
        <v>3.1</v>
      </c>
      <c r="E1211">
        <v>3</v>
      </c>
      <c r="F1211">
        <v>15</v>
      </c>
      <c r="H1211">
        <v>15</v>
      </c>
      <c r="I1211">
        <v>0.83</v>
      </c>
      <c r="J1211">
        <v>101</v>
      </c>
    </row>
    <row r="1212" spans="1:10" ht="14.25" customHeight="1" x14ac:dyDescent="0.25">
      <c r="A1212" s="21">
        <v>48399</v>
      </c>
      <c r="B1212" s="21"/>
      <c r="C1212">
        <v>4</v>
      </c>
      <c r="D1212">
        <v>3.4</v>
      </c>
      <c r="E1212">
        <v>14</v>
      </c>
      <c r="F1212">
        <v>16</v>
      </c>
      <c r="H1212">
        <v>16</v>
      </c>
      <c r="I1212">
        <v>0.92</v>
      </c>
      <c r="J1212">
        <v>124</v>
      </c>
    </row>
    <row r="1213" spans="1:10" ht="14.25" customHeight="1" x14ac:dyDescent="0.25">
      <c r="A1213" s="21">
        <v>48403</v>
      </c>
      <c r="B1213" s="21"/>
      <c r="C1213">
        <v>3.6</v>
      </c>
      <c r="D1213">
        <v>3</v>
      </c>
      <c r="E1213">
        <v>13</v>
      </c>
      <c r="F1213">
        <v>25</v>
      </c>
      <c r="H1213">
        <v>25</v>
      </c>
      <c r="I1213">
        <v>0.94</v>
      </c>
      <c r="J1213">
        <v>234</v>
      </c>
    </row>
    <row r="1214" spans="1:10" ht="14.25" customHeight="1" x14ac:dyDescent="0.25">
      <c r="A1214" s="21">
        <v>48405</v>
      </c>
      <c r="B1214" s="21"/>
      <c r="C1214">
        <v>1.8</v>
      </c>
      <c r="D1214">
        <v>2.6</v>
      </c>
      <c r="E1214">
        <v>11</v>
      </c>
      <c r="F1214">
        <v>9</v>
      </c>
      <c r="H1214">
        <v>9</v>
      </c>
      <c r="I1214">
        <v>1.1200000000000001</v>
      </c>
      <c r="J1214">
        <v>234</v>
      </c>
    </row>
    <row r="1215" spans="1:10" ht="14.25" customHeight="1" x14ac:dyDescent="0.25">
      <c r="A1215" s="21">
        <v>48413</v>
      </c>
      <c r="B1215" s="21"/>
      <c r="C1215">
        <v>0.9</v>
      </c>
      <c r="D1215">
        <v>2.5</v>
      </c>
      <c r="E1215">
        <v>4</v>
      </c>
      <c r="F1215">
        <v>14</v>
      </c>
      <c r="H1215">
        <v>14</v>
      </c>
      <c r="I1215">
        <v>0.88</v>
      </c>
      <c r="J1215">
        <v>52</v>
      </c>
    </row>
    <row r="1216" spans="1:10" ht="14.25" customHeight="1" x14ac:dyDescent="0.25">
      <c r="A1216" s="21">
        <v>48415</v>
      </c>
      <c r="B1216" s="21"/>
      <c r="C1216">
        <v>6.6</v>
      </c>
      <c r="D1216">
        <v>2.8</v>
      </c>
      <c r="E1216">
        <v>41</v>
      </c>
      <c r="F1216">
        <v>25</v>
      </c>
      <c r="H1216">
        <v>25</v>
      </c>
      <c r="I1216">
        <v>1.03</v>
      </c>
      <c r="J1216">
        <v>693</v>
      </c>
    </row>
    <row r="1217" spans="1:10" ht="14.25" customHeight="1" x14ac:dyDescent="0.25">
      <c r="A1217" s="21">
        <v>48433</v>
      </c>
      <c r="B1217" s="21"/>
      <c r="C1217">
        <v>2</v>
      </c>
      <c r="D1217">
        <v>1.8</v>
      </c>
      <c r="E1217">
        <v>12</v>
      </c>
      <c r="F1217">
        <v>20</v>
      </c>
      <c r="H1217">
        <v>20</v>
      </c>
      <c r="I1217">
        <v>0.96</v>
      </c>
      <c r="J1217">
        <v>101</v>
      </c>
    </row>
    <row r="1218" spans="1:10" ht="14.25" customHeight="1" x14ac:dyDescent="0.25">
      <c r="A1218" s="21">
        <v>48435</v>
      </c>
      <c r="B1218" s="21"/>
      <c r="C1218">
        <v>1.2</v>
      </c>
      <c r="D1218">
        <v>2.9</v>
      </c>
      <c r="E1218">
        <v>7</v>
      </c>
      <c r="F1218">
        <v>12</v>
      </c>
      <c r="H1218">
        <v>12</v>
      </c>
      <c r="I1218">
        <v>0.95</v>
      </c>
      <c r="J1218">
        <v>101</v>
      </c>
    </row>
    <row r="1219" spans="1:10" ht="14.25" customHeight="1" x14ac:dyDescent="0.25">
      <c r="A1219" s="21">
        <v>48437</v>
      </c>
      <c r="B1219" s="21"/>
      <c r="C1219">
        <v>4.4000000000000004</v>
      </c>
      <c r="D1219">
        <v>3.2</v>
      </c>
      <c r="E1219">
        <v>5</v>
      </c>
      <c r="F1219">
        <v>20</v>
      </c>
      <c r="H1219">
        <v>20</v>
      </c>
      <c r="I1219">
        <v>0.92</v>
      </c>
      <c r="J1219">
        <v>211</v>
      </c>
    </row>
    <row r="1220" spans="1:10" ht="14.25" customHeight="1" x14ac:dyDescent="0.25">
      <c r="A1220" s="21">
        <v>48447</v>
      </c>
      <c r="B1220" s="21"/>
      <c r="C1220">
        <v>1.1000000000000001</v>
      </c>
      <c r="D1220">
        <v>2.7</v>
      </c>
      <c r="E1220">
        <v>5</v>
      </c>
      <c r="F1220">
        <v>14</v>
      </c>
      <c r="H1220">
        <v>14</v>
      </c>
      <c r="I1220">
        <v>0.95</v>
      </c>
      <c r="J1220">
        <v>44</v>
      </c>
    </row>
    <row r="1221" spans="1:10" ht="14.25" customHeight="1" x14ac:dyDescent="0.25">
      <c r="A1221" s="21">
        <v>48461</v>
      </c>
      <c r="B1221" s="21"/>
      <c r="C1221">
        <v>1</v>
      </c>
      <c r="D1221">
        <v>2.7</v>
      </c>
      <c r="E1221">
        <v>7</v>
      </c>
      <c r="F1221">
        <v>11</v>
      </c>
      <c r="H1221">
        <v>11</v>
      </c>
      <c r="I1221">
        <v>1.04</v>
      </c>
      <c r="J1221">
        <v>37</v>
      </c>
    </row>
    <row r="1222" spans="1:10" ht="14.25" customHeight="1" x14ac:dyDescent="0.25">
      <c r="A1222" s="21">
        <v>48461</v>
      </c>
      <c r="B1222" s="21"/>
      <c r="C1222">
        <v>0.9</v>
      </c>
      <c r="D1222">
        <v>2.8</v>
      </c>
      <c r="E1222">
        <v>5</v>
      </c>
      <c r="F1222">
        <v>15</v>
      </c>
      <c r="H1222">
        <v>15</v>
      </c>
      <c r="I1222">
        <v>0.84</v>
      </c>
      <c r="J1222">
        <v>39</v>
      </c>
    </row>
    <row r="1223" spans="1:10" ht="14.25" customHeight="1" x14ac:dyDescent="0.25">
      <c r="A1223" s="21">
        <v>48463</v>
      </c>
      <c r="B1223" s="21"/>
      <c r="C1223">
        <v>12</v>
      </c>
      <c r="D1223">
        <v>3.9</v>
      </c>
      <c r="E1223">
        <v>131</v>
      </c>
      <c r="F1223">
        <v>21</v>
      </c>
      <c r="G1223">
        <v>6</v>
      </c>
      <c r="H1223">
        <v>21</v>
      </c>
      <c r="I1223">
        <v>1.28</v>
      </c>
      <c r="J1223" s="1">
        <v>1154</v>
      </c>
    </row>
    <row r="1224" spans="1:10" ht="14.25" customHeight="1" x14ac:dyDescent="0.25">
      <c r="A1224" s="21">
        <v>48475</v>
      </c>
      <c r="B1224" s="21"/>
      <c r="C1224">
        <v>5.7</v>
      </c>
      <c r="D1224">
        <v>2.9</v>
      </c>
      <c r="E1224">
        <v>10</v>
      </c>
      <c r="F1224">
        <v>21</v>
      </c>
      <c r="H1224">
        <v>21</v>
      </c>
      <c r="I1224">
        <v>1.03</v>
      </c>
      <c r="J1224">
        <v>395</v>
      </c>
    </row>
    <row r="1225" spans="1:10" ht="14.25" customHeight="1" x14ac:dyDescent="0.25">
      <c r="A1225" s="21">
        <v>48483</v>
      </c>
      <c r="B1225" s="21"/>
      <c r="C1225">
        <v>1.6</v>
      </c>
      <c r="D1225">
        <v>2.7</v>
      </c>
      <c r="E1225">
        <v>6</v>
      </c>
      <c r="F1225">
        <v>16</v>
      </c>
      <c r="H1225">
        <v>16</v>
      </c>
      <c r="I1225">
        <v>0.85</v>
      </c>
      <c r="J1225">
        <v>91</v>
      </c>
    </row>
    <row r="1226" spans="1:10" ht="14.25" customHeight="1" x14ac:dyDescent="0.25">
      <c r="A1226" s="21">
        <v>48483</v>
      </c>
      <c r="B1226" s="21"/>
      <c r="C1226">
        <v>1.4</v>
      </c>
      <c r="D1226">
        <v>1.8</v>
      </c>
      <c r="E1226">
        <v>3</v>
      </c>
      <c r="F1226">
        <v>25</v>
      </c>
      <c r="H1226">
        <v>25</v>
      </c>
      <c r="I1226">
        <v>0.78</v>
      </c>
      <c r="J1226">
        <v>101</v>
      </c>
    </row>
    <row r="1227" spans="1:10" ht="14.25" customHeight="1" x14ac:dyDescent="0.25">
      <c r="A1227" s="21">
        <v>48485</v>
      </c>
      <c r="B1227" s="21"/>
      <c r="C1227">
        <v>5.9</v>
      </c>
      <c r="D1227">
        <v>3.2</v>
      </c>
      <c r="E1227">
        <v>15</v>
      </c>
      <c r="F1227">
        <v>19</v>
      </c>
      <c r="H1227">
        <v>19</v>
      </c>
      <c r="I1227">
        <v>0.88</v>
      </c>
      <c r="J1227">
        <v>227</v>
      </c>
    </row>
    <row r="1228" spans="1:10" ht="14.25" customHeight="1" x14ac:dyDescent="0.25">
      <c r="A1228" s="21">
        <v>48491</v>
      </c>
      <c r="B1228" s="21"/>
      <c r="C1228">
        <v>6.2</v>
      </c>
      <c r="D1228">
        <v>2.5</v>
      </c>
      <c r="E1228">
        <v>22</v>
      </c>
      <c r="F1228">
        <v>25</v>
      </c>
      <c r="H1228">
        <v>25</v>
      </c>
      <c r="I1228">
        <v>1</v>
      </c>
      <c r="J1228">
        <v>315</v>
      </c>
    </row>
    <row r="1229" spans="1:10" ht="14.25" customHeight="1" x14ac:dyDescent="0.25">
      <c r="A1229" s="21">
        <v>48495</v>
      </c>
      <c r="B1229" s="21"/>
      <c r="C1229">
        <v>2.2999999999999998</v>
      </c>
      <c r="D1229">
        <v>2.6</v>
      </c>
      <c r="E1229">
        <v>14</v>
      </c>
      <c r="F1229">
        <v>19</v>
      </c>
      <c r="H1229">
        <v>19</v>
      </c>
      <c r="I1229">
        <v>0.86</v>
      </c>
      <c r="J1229">
        <v>99</v>
      </c>
    </row>
    <row r="1230" spans="1:10" ht="14.25" customHeight="1" x14ac:dyDescent="0.25">
      <c r="A1230" s="21">
        <v>48499</v>
      </c>
      <c r="B1230" s="21"/>
      <c r="C1230">
        <v>6.3</v>
      </c>
      <c r="D1230">
        <v>3.1</v>
      </c>
      <c r="E1230">
        <v>27</v>
      </c>
      <c r="F1230">
        <v>23</v>
      </c>
      <c r="H1230">
        <v>23</v>
      </c>
      <c r="I1230">
        <v>1.1499999999999999</v>
      </c>
      <c r="J1230">
        <v>306</v>
      </c>
    </row>
    <row r="1231" spans="1:10" ht="14.25" customHeight="1" x14ac:dyDescent="0.25">
      <c r="A1231" s="21">
        <v>48499</v>
      </c>
      <c r="B1231" s="21"/>
      <c r="C1231">
        <v>9.1</v>
      </c>
      <c r="D1231">
        <v>1</v>
      </c>
      <c r="E1231">
        <v>18</v>
      </c>
      <c r="F1231">
        <v>25</v>
      </c>
      <c r="H1231">
        <v>25</v>
      </c>
      <c r="I1231">
        <v>1.23</v>
      </c>
      <c r="J1231">
        <v>881</v>
      </c>
    </row>
    <row r="1232" spans="1:10" ht="14.25" customHeight="1" x14ac:dyDescent="0.25">
      <c r="A1232" s="21">
        <v>48501</v>
      </c>
      <c r="B1232" s="21"/>
      <c r="C1232">
        <v>3.2</v>
      </c>
      <c r="D1232">
        <v>2.2000000000000002</v>
      </c>
      <c r="E1232">
        <v>10</v>
      </c>
      <c r="F1232">
        <v>24</v>
      </c>
      <c r="H1232">
        <v>24</v>
      </c>
      <c r="I1232">
        <v>1.08</v>
      </c>
      <c r="J1232">
        <v>365</v>
      </c>
    </row>
    <row r="1233" spans="1:10" ht="14.25" customHeight="1" x14ac:dyDescent="0.25">
      <c r="A1233" s="21">
        <v>48503</v>
      </c>
      <c r="B1233" s="21"/>
      <c r="C1233">
        <v>7.7</v>
      </c>
      <c r="D1233">
        <v>3.3</v>
      </c>
      <c r="E1233">
        <v>22</v>
      </c>
      <c r="F1233">
        <v>25</v>
      </c>
      <c r="H1233">
        <v>25</v>
      </c>
      <c r="I1233">
        <v>0.96</v>
      </c>
      <c r="J1233">
        <v>282</v>
      </c>
    </row>
    <row r="1234" spans="1:10" ht="14.25" customHeight="1" x14ac:dyDescent="0.25">
      <c r="A1234" s="21">
        <v>49001</v>
      </c>
      <c r="B1234" s="21"/>
      <c r="C1234">
        <v>16.3</v>
      </c>
      <c r="D1234">
        <v>2.9</v>
      </c>
      <c r="E1234">
        <v>13</v>
      </c>
      <c r="F1234">
        <v>25</v>
      </c>
      <c r="H1234">
        <v>25</v>
      </c>
      <c r="I1234">
        <v>1.07</v>
      </c>
      <c r="J1234">
        <v>221</v>
      </c>
    </row>
    <row r="1235" spans="1:10" ht="14.25" customHeight="1" x14ac:dyDescent="0.25">
      <c r="A1235" s="21">
        <v>49001</v>
      </c>
      <c r="B1235" s="21"/>
      <c r="C1235">
        <v>1</v>
      </c>
      <c r="D1235">
        <v>3.3</v>
      </c>
      <c r="E1235">
        <v>3</v>
      </c>
      <c r="F1235">
        <v>5</v>
      </c>
      <c r="H1235">
        <v>5</v>
      </c>
      <c r="I1235">
        <v>0.91</v>
      </c>
      <c r="J1235">
        <v>23</v>
      </c>
    </row>
    <row r="1236" spans="1:10" ht="14.25" customHeight="1" x14ac:dyDescent="0.25">
      <c r="A1236" s="21">
        <v>49017</v>
      </c>
      <c r="B1236" s="21"/>
      <c r="C1236">
        <v>2.9</v>
      </c>
      <c r="D1236">
        <v>2.7</v>
      </c>
      <c r="E1236">
        <v>9</v>
      </c>
      <c r="F1236">
        <v>15</v>
      </c>
      <c r="H1236">
        <v>15</v>
      </c>
      <c r="I1236">
        <v>0.92</v>
      </c>
      <c r="J1236">
        <v>265</v>
      </c>
    </row>
    <row r="1237" spans="1:10" ht="14.25" customHeight="1" x14ac:dyDescent="0.25">
      <c r="A1237" s="21">
        <v>49019</v>
      </c>
      <c r="B1237" s="21"/>
      <c r="C1237">
        <v>6</v>
      </c>
      <c r="D1237">
        <v>2.8</v>
      </c>
      <c r="E1237">
        <v>40</v>
      </c>
      <c r="F1237">
        <v>17</v>
      </c>
      <c r="H1237">
        <v>17</v>
      </c>
      <c r="I1237">
        <v>1.25</v>
      </c>
      <c r="J1237">
        <v>416</v>
      </c>
    </row>
    <row r="1238" spans="1:10" ht="14.25" customHeight="1" x14ac:dyDescent="0.25">
      <c r="A1238" s="21">
        <v>49023</v>
      </c>
      <c r="B1238" s="21"/>
      <c r="C1238">
        <v>10</v>
      </c>
      <c r="D1238">
        <v>3.5</v>
      </c>
      <c r="E1238">
        <v>34</v>
      </c>
      <c r="F1238">
        <v>25</v>
      </c>
      <c r="H1238">
        <v>25</v>
      </c>
      <c r="I1238">
        <v>1.21</v>
      </c>
      <c r="J1238">
        <v>772</v>
      </c>
    </row>
    <row r="1239" spans="1:10" ht="14.25" customHeight="1" x14ac:dyDescent="0.25">
      <c r="A1239" s="21">
        <v>49025</v>
      </c>
      <c r="B1239" s="21"/>
      <c r="C1239">
        <v>13.5</v>
      </c>
      <c r="D1239">
        <v>3.6</v>
      </c>
      <c r="E1239">
        <v>12</v>
      </c>
      <c r="F1239">
        <v>25</v>
      </c>
      <c r="H1239">
        <v>25</v>
      </c>
      <c r="I1239">
        <v>1.08</v>
      </c>
      <c r="J1239">
        <v>156</v>
      </c>
    </row>
    <row r="1240" spans="1:10" ht="14.25" customHeight="1" x14ac:dyDescent="0.25">
      <c r="A1240" s="21">
        <v>49027</v>
      </c>
      <c r="B1240" s="21"/>
      <c r="C1240">
        <v>2.7</v>
      </c>
      <c r="D1240">
        <v>2.9</v>
      </c>
      <c r="E1240">
        <v>9</v>
      </c>
      <c r="F1240">
        <v>18</v>
      </c>
      <c r="H1240">
        <v>18</v>
      </c>
      <c r="I1240">
        <v>1.01</v>
      </c>
      <c r="J1240">
        <v>245</v>
      </c>
    </row>
    <row r="1241" spans="1:10" ht="14.25" customHeight="1" x14ac:dyDescent="0.25">
      <c r="A1241" s="21">
        <v>49027</v>
      </c>
      <c r="B1241" s="21"/>
      <c r="C1241">
        <v>11.4</v>
      </c>
      <c r="D1241">
        <v>3.1</v>
      </c>
      <c r="E1241">
        <v>6</v>
      </c>
      <c r="F1241">
        <v>19</v>
      </c>
      <c r="H1241">
        <v>19</v>
      </c>
      <c r="I1241">
        <v>1.06</v>
      </c>
      <c r="J1241">
        <v>141</v>
      </c>
    </row>
    <row r="1242" spans="1:10" ht="14.25" customHeight="1" x14ac:dyDescent="0.25">
      <c r="A1242" s="21">
        <v>49037</v>
      </c>
      <c r="B1242" s="21"/>
      <c r="C1242">
        <v>3.3</v>
      </c>
      <c r="D1242">
        <v>2.7</v>
      </c>
      <c r="E1242">
        <v>17</v>
      </c>
      <c r="F1242">
        <v>11</v>
      </c>
      <c r="H1242">
        <v>11</v>
      </c>
      <c r="I1242">
        <v>1.2</v>
      </c>
      <c r="J1242">
        <v>388</v>
      </c>
    </row>
    <row r="1243" spans="1:10" ht="14.25" customHeight="1" x14ac:dyDescent="0.25">
      <c r="A1243" s="21">
        <v>49037</v>
      </c>
      <c r="B1243" s="21"/>
      <c r="C1243">
        <v>2.2000000000000002</v>
      </c>
      <c r="D1243">
        <v>2</v>
      </c>
      <c r="E1243">
        <v>16</v>
      </c>
      <c r="F1243">
        <v>21</v>
      </c>
      <c r="G1243">
        <v>1</v>
      </c>
      <c r="H1243">
        <v>21</v>
      </c>
      <c r="I1243">
        <v>1.34</v>
      </c>
      <c r="J1243">
        <v>277</v>
      </c>
    </row>
    <row r="1244" spans="1:10" ht="14.25" customHeight="1" x14ac:dyDescent="0.25">
      <c r="A1244" s="21">
        <v>49039</v>
      </c>
      <c r="B1244" s="21"/>
      <c r="C1244">
        <v>3.9</v>
      </c>
      <c r="D1244">
        <v>2.2000000000000002</v>
      </c>
      <c r="E1244">
        <v>27</v>
      </c>
      <c r="F1244">
        <v>18</v>
      </c>
      <c r="H1244">
        <v>18</v>
      </c>
      <c r="I1244">
        <v>1.0900000000000001</v>
      </c>
      <c r="J1244">
        <v>380</v>
      </c>
    </row>
    <row r="1245" spans="1:10" ht="14.25" customHeight="1" x14ac:dyDescent="0.25">
      <c r="A1245" s="21">
        <v>49039</v>
      </c>
      <c r="B1245" s="21"/>
      <c r="C1245">
        <v>8.6</v>
      </c>
      <c r="D1245">
        <v>2.8</v>
      </c>
      <c r="E1245">
        <v>31</v>
      </c>
      <c r="F1245">
        <v>25</v>
      </c>
      <c r="H1245">
        <v>25</v>
      </c>
      <c r="I1245">
        <v>1.21</v>
      </c>
      <c r="J1245">
        <v>706</v>
      </c>
    </row>
    <row r="1246" spans="1:10" ht="14.25" customHeight="1" x14ac:dyDescent="0.25">
      <c r="A1246" s="21">
        <v>49051</v>
      </c>
      <c r="B1246" s="21"/>
      <c r="C1246">
        <v>4.2</v>
      </c>
      <c r="D1246">
        <v>2</v>
      </c>
      <c r="E1246">
        <v>44</v>
      </c>
      <c r="F1246">
        <v>19</v>
      </c>
      <c r="H1246">
        <v>19</v>
      </c>
      <c r="I1246">
        <v>1.27</v>
      </c>
      <c r="J1246">
        <v>587</v>
      </c>
    </row>
    <row r="1247" spans="1:10" ht="14.25" customHeight="1" x14ac:dyDescent="0.25">
      <c r="A1247" s="21">
        <v>50001</v>
      </c>
      <c r="B1247" s="21"/>
      <c r="C1247">
        <v>14.8</v>
      </c>
      <c r="D1247">
        <v>3.2</v>
      </c>
      <c r="E1247">
        <v>119</v>
      </c>
      <c r="F1247">
        <v>25</v>
      </c>
      <c r="H1247">
        <v>25</v>
      </c>
      <c r="I1247">
        <v>1.25</v>
      </c>
      <c r="J1247" s="1">
        <v>1575</v>
      </c>
    </row>
    <row r="1248" spans="1:10" ht="14.25" customHeight="1" x14ac:dyDescent="0.25">
      <c r="A1248" s="21">
        <v>50005</v>
      </c>
      <c r="B1248" s="21"/>
      <c r="C1248">
        <v>17.8</v>
      </c>
      <c r="D1248">
        <v>3.6</v>
      </c>
      <c r="E1248">
        <v>114</v>
      </c>
      <c r="F1248">
        <v>25</v>
      </c>
      <c r="G1248">
        <v>4</v>
      </c>
      <c r="H1248">
        <v>25</v>
      </c>
      <c r="I1248">
        <v>1.3</v>
      </c>
      <c r="J1248" s="1">
        <v>1794</v>
      </c>
    </row>
    <row r="1249" spans="1:10" ht="14.25" customHeight="1" x14ac:dyDescent="0.25">
      <c r="A1249" s="21">
        <v>50015</v>
      </c>
      <c r="B1249" s="21"/>
      <c r="C1249">
        <v>13.1</v>
      </c>
      <c r="D1249">
        <v>2.8</v>
      </c>
      <c r="E1249">
        <v>88</v>
      </c>
      <c r="F1249">
        <v>25</v>
      </c>
      <c r="H1249">
        <v>25</v>
      </c>
      <c r="I1249">
        <v>1.4</v>
      </c>
      <c r="J1249" s="1">
        <v>1696</v>
      </c>
    </row>
    <row r="1250" spans="1:10" ht="14.25" customHeight="1" x14ac:dyDescent="0.25">
      <c r="A1250" s="21">
        <v>50017</v>
      </c>
      <c r="B1250" s="21"/>
      <c r="C1250">
        <v>12.8</v>
      </c>
      <c r="D1250">
        <v>3.1</v>
      </c>
      <c r="E1250">
        <v>88</v>
      </c>
      <c r="F1250">
        <v>25</v>
      </c>
      <c r="G1250">
        <v>2</v>
      </c>
      <c r="H1250">
        <v>25</v>
      </c>
      <c r="I1250">
        <v>1.07</v>
      </c>
      <c r="J1250" s="1">
        <v>1148</v>
      </c>
    </row>
    <row r="1251" spans="1:10" ht="14.25" customHeight="1" x14ac:dyDescent="0.25">
      <c r="A1251" s="21">
        <v>50019</v>
      </c>
      <c r="B1251" s="21"/>
      <c r="C1251">
        <v>15.2</v>
      </c>
      <c r="D1251">
        <v>3.4</v>
      </c>
      <c r="E1251">
        <v>57</v>
      </c>
      <c r="F1251">
        <v>25</v>
      </c>
      <c r="G1251">
        <v>5</v>
      </c>
      <c r="H1251">
        <v>25</v>
      </c>
      <c r="I1251">
        <v>1.1200000000000001</v>
      </c>
      <c r="J1251" s="1">
        <v>1372</v>
      </c>
    </row>
    <row r="1252" spans="1:10" ht="14.25" customHeight="1" x14ac:dyDescent="0.25">
      <c r="A1252" s="21">
        <v>50025</v>
      </c>
      <c r="B1252" s="21"/>
      <c r="C1252">
        <v>10.8</v>
      </c>
      <c r="D1252">
        <v>2.8</v>
      </c>
      <c r="E1252">
        <v>27</v>
      </c>
      <c r="F1252">
        <v>19</v>
      </c>
      <c r="H1252">
        <v>19</v>
      </c>
      <c r="I1252">
        <v>0.91</v>
      </c>
      <c r="J1252">
        <v>122</v>
      </c>
    </row>
    <row r="1253" spans="1:10" ht="14.25" customHeight="1" x14ac:dyDescent="0.25">
      <c r="A1253" s="21">
        <v>50027</v>
      </c>
      <c r="B1253" s="21"/>
      <c r="C1253">
        <v>19.600000000000001</v>
      </c>
      <c r="D1253">
        <v>3.4</v>
      </c>
      <c r="E1253">
        <v>52</v>
      </c>
      <c r="F1253">
        <v>25</v>
      </c>
      <c r="H1253">
        <v>25</v>
      </c>
      <c r="I1253">
        <v>1.04</v>
      </c>
      <c r="J1253">
        <v>415</v>
      </c>
    </row>
    <row r="1254" spans="1:10" ht="14.25" customHeight="1" x14ac:dyDescent="0.25">
      <c r="A1254" s="21">
        <v>50027</v>
      </c>
      <c r="B1254" s="21"/>
      <c r="C1254">
        <v>15.7</v>
      </c>
      <c r="D1254">
        <v>3.6</v>
      </c>
      <c r="E1254">
        <v>114</v>
      </c>
      <c r="F1254">
        <v>25</v>
      </c>
      <c r="H1254">
        <v>25</v>
      </c>
      <c r="I1254">
        <v>1.0900000000000001</v>
      </c>
      <c r="J1254" s="1">
        <v>1606</v>
      </c>
    </row>
    <row r="1255" spans="1:10" ht="14.25" customHeight="1" x14ac:dyDescent="0.25">
      <c r="A1255" s="21">
        <v>51017</v>
      </c>
      <c r="B1255" s="21"/>
      <c r="C1255">
        <v>5.2</v>
      </c>
      <c r="D1255">
        <v>3.6</v>
      </c>
      <c r="E1255">
        <v>21</v>
      </c>
      <c r="F1255">
        <v>14</v>
      </c>
      <c r="H1255">
        <v>14</v>
      </c>
      <c r="I1255">
        <v>0.96</v>
      </c>
      <c r="J1255">
        <v>266</v>
      </c>
    </row>
    <row r="1256" spans="1:10" ht="14.25" customHeight="1" x14ac:dyDescent="0.25">
      <c r="A1256" s="21">
        <v>51051</v>
      </c>
      <c r="B1256" s="21"/>
      <c r="C1256">
        <v>0.2</v>
      </c>
      <c r="D1256">
        <v>2.1</v>
      </c>
      <c r="E1256">
        <v>18</v>
      </c>
      <c r="F1256">
        <v>2</v>
      </c>
      <c r="H1256">
        <v>2</v>
      </c>
      <c r="I1256">
        <v>1.1599999999999999</v>
      </c>
      <c r="J1256">
        <v>18</v>
      </c>
    </row>
    <row r="1257" spans="1:10" ht="14.25" customHeight="1" x14ac:dyDescent="0.25">
      <c r="A1257" s="21">
        <v>51071</v>
      </c>
      <c r="B1257" s="21"/>
      <c r="C1257">
        <v>12.2</v>
      </c>
      <c r="D1257">
        <v>3.6</v>
      </c>
      <c r="E1257">
        <v>39</v>
      </c>
      <c r="F1257">
        <v>25</v>
      </c>
      <c r="H1257">
        <v>25</v>
      </c>
      <c r="I1257">
        <v>1.32</v>
      </c>
      <c r="J1257">
        <v>818</v>
      </c>
    </row>
    <row r="1258" spans="1:10" ht="14.25" customHeight="1" x14ac:dyDescent="0.25">
      <c r="A1258" s="21">
        <v>51103</v>
      </c>
      <c r="B1258" s="21"/>
      <c r="C1258">
        <v>9.6</v>
      </c>
      <c r="D1258">
        <v>3.2</v>
      </c>
      <c r="E1258">
        <v>58</v>
      </c>
      <c r="F1258">
        <v>25</v>
      </c>
      <c r="H1258">
        <v>25</v>
      </c>
      <c r="I1258">
        <v>1.18</v>
      </c>
      <c r="J1258">
        <v>756</v>
      </c>
    </row>
    <row r="1259" spans="1:10" ht="14.25" customHeight="1" x14ac:dyDescent="0.25">
      <c r="A1259" s="21">
        <v>51139</v>
      </c>
      <c r="B1259" s="21"/>
      <c r="C1259">
        <v>10.1</v>
      </c>
      <c r="D1259">
        <v>2.2000000000000002</v>
      </c>
      <c r="E1259">
        <v>33</v>
      </c>
      <c r="F1259">
        <v>25</v>
      </c>
      <c r="H1259">
        <v>25</v>
      </c>
      <c r="I1259">
        <v>1.0900000000000001</v>
      </c>
      <c r="J1259">
        <v>466</v>
      </c>
    </row>
    <row r="1260" spans="1:10" ht="14.25" customHeight="1" x14ac:dyDescent="0.25">
      <c r="A1260" s="21">
        <v>51141</v>
      </c>
      <c r="B1260" s="21"/>
      <c r="C1260">
        <v>8.1999999999999993</v>
      </c>
      <c r="D1260">
        <v>2.8</v>
      </c>
      <c r="J1260">
        <v>327</v>
      </c>
    </row>
    <row r="1261" spans="1:10" ht="14.25" customHeight="1" x14ac:dyDescent="0.25">
      <c r="A1261" s="21">
        <v>51171</v>
      </c>
      <c r="B1261" s="21"/>
      <c r="C1261">
        <v>13.8</v>
      </c>
      <c r="D1261">
        <v>2.2999999999999998</v>
      </c>
      <c r="E1261">
        <v>70</v>
      </c>
      <c r="F1261">
        <v>25</v>
      </c>
      <c r="H1261">
        <v>25</v>
      </c>
      <c r="I1261">
        <v>1.24</v>
      </c>
      <c r="J1261" s="1">
        <v>1449</v>
      </c>
    </row>
    <row r="1262" spans="1:10" ht="14.25" customHeight="1" x14ac:dyDescent="0.25">
      <c r="A1262" s="21">
        <v>51678</v>
      </c>
      <c r="B1262" s="21"/>
      <c r="C1262">
        <v>11.6</v>
      </c>
      <c r="D1262">
        <v>3.6</v>
      </c>
      <c r="E1262">
        <v>62</v>
      </c>
      <c r="F1262">
        <v>25</v>
      </c>
      <c r="H1262">
        <v>25</v>
      </c>
      <c r="I1262">
        <v>1.24</v>
      </c>
      <c r="J1262" s="1">
        <v>1167</v>
      </c>
    </row>
    <row r="1263" spans="1:10" ht="14.25" customHeight="1" x14ac:dyDescent="0.25">
      <c r="A1263" s="21">
        <v>53001</v>
      </c>
      <c r="B1263" s="21"/>
      <c r="C1263">
        <v>2.6</v>
      </c>
      <c r="D1263">
        <v>3.2</v>
      </c>
      <c r="E1263">
        <v>23</v>
      </c>
      <c r="F1263">
        <v>16</v>
      </c>
      <c r="H1263">
        <v>16</v>
      </c>
      <c r="I1263">
        <v>0.95</v>
      </c>
      <c r="J1263">
        <v>598</v>
      </c>
    </row>
    <row r="1264" spans="1:10" ht="14.25" customHeight="1" x14ac:dyDescent="0.25">
      <c r="A1264" s="21">
        <v>53001</v>
      </c>
      <c r="B1264" s="21"/>
      <c r="C1264">
        <v>5.0999999999999996</v>
      </c>
      <c r="D1264">
        <v>3.2</v>
      </c>
      <c r="E1264">
        <v>10</v>
      </c>
      <c r="F1264">
        <v>12</v>
      </c>
      <c r="H1264">
        <v>12</v>
      </c>
      <c r="I1264">
        <v>0.97</v>
      </c>
      <c r="J1264">
        <v>33</v>
      </c>
    </row>
    <row r="1265" spans="1:10" ht="14.25" customHeight="1" x14ac:dyDescent="0.25">
      <c r="A1265" s="21">
        <v>53003</v>
      </c>
      <c r="B1265" s="21"/>
      <c r="C1265">
        <v>12.2</v>
      </c>
      <c r="D1265">
        <v>3.4</v>
      </c>
      <c r="E1265">
        <v>102</v>
      </c>
      <c r="F1265">
        <v>25</v>
      </c>
      <c r="H1265">
        <v>25</v>
      </c>
      <c r="I1265">
        <v>1.79</v>
      </c>
      <c r="J1265" s="1">
        <v>1267</v>
      </c>
    </row>
    <row r="1266" spans="1:10" ht="14.25" customHeight="1" x14ac:dyDescent="0.25">
      <c r="A1266" s="21">
        <v>53005</v>
      </c>
      <c r="B1266" s="21"/>
      <c r="C1266">
        <v>10.9</v>
      </c>
      <c r="D1266">
        <v>2.6</v>
      </c>
      <c r="E1266">
        <v>69</v>
      </c>
      <c r="F1266">
        <v>25</v>
      </c>
      <c r="H1266">
        <v>25</v>
      </c>
      <c r="I1266">
        <v>1.18</v>
      </c>
      <c r="J1266">
        <v>876</v>
      </c>
    </row>
    <row r="1267" spans="1:10" ht="14.25" customHeight="1" x14ac:dyDescent="0.25">
      <c r="A1267" s="21">
        <v>53007</v>
      </c>
      <c r="B1267" s="21"/>
      <c r="C1267">
        <v>16.899999999999999</v>
      </c>
      <c r="D1267">
        <v>2.6</v>
      </c>
      <c r="E1267">
        <v>34</v>
      </c>
      <c r="F1267">
        <v>25</v>
      </c>
      <c r="H1267">
        <v>25</v>
      </c>
      <c r="I1267">
        <v>0.89</v>
      </c>
      <c r="J1267">
        <v>505</v>
      </c>
    </row>
    <row r="1268" spans="1:10" ht="14.25" customHeight="1" x14ac:dyDescent="0.25">
      <c r="A1268" s="21">
        <v>53007</v>
      </c>
      <c r="B1268" s="21"/>
      <c r="C1268">
        <v>5</v>
      </c>
      <c r="D1268">
        <v>2.8</v>
      </c>
      <c r="E1268">
        <v>18</v>
      </c>
      <c r="F1268">
        <v>9</v>
      </c>
      <c r="H1268">
        <v>9</v>
      </c>
      <c r="I1268">
        <v>0.85</v>
      </c>
      <c r="J1268">
        <v>70</v>
      </c>
    </row>
    <row r="1269" spans="1:10" ht="14.25" customHeight="1" x14ac:dyDescent="0.25">
      <c r="A1269" s="21">
        <v>53009</v>
      </c>
      <c r="B1269" s="21"/>
      <c r="C1269">
        <v>12</v>
      </c>
      <c r="D1269">
        <v>3.1</v>
      </c>
      <c r="E1269">
        <v>41</v>
      </c>
      <c r="F1269">
        <v>25</v>
      </c>
      <c r="H1269">
        <v>25</v>
      </c>
      <c r="I1269">
        <v>1.08</v>
      </c>
      <c r="J1269">
        <v>204</v>
      </c>
    </row>
    <row r="1270" spans="1:10" ht="14.25" customHeight="1" x14ac:dyDescent="0.25">
      <c r="A1270" s="21">
        <v>53013</v>
      </c>
      <c r="B1270" s="21"/>
      <c r="C1270">
        <v>18.3</v>
      </c>
      <c r="D1270">
        <v>2.5</v>
      </c>
      <c r="E1270">
        <v>22</v>
      </c>
      <c r="F1270">
        <v>25</v>
      </c>
      <c r="H1270">
        <v>25</v>
      </c>
      <c r="I1270">
        <v>0.95</v>
      </c>
      <c r="J1270">
        <v>138</v>
      </c>
    </row>
    <row r="1271" spans="1:10" ht="14.25" customHeight="1" x14ac:dyDescent="0.25">
      <c r="A1271" s="21">
        <v>53019</v>
      </c>
      <c r="B1271" s="21"/>
      <c r="C1271">
        <v>15.7</v>
      </c>
      <c r="D1271">
        <v>2.8</v>
      </c>
      <c r="E1271">
        <v>20</v>
      </c>
      <c r="F1271">
        <v>25</v>
      </c>
      <c r="H1271">
        <v>25</v>
      </c>
      <c r="I1271">
        <v>1.04</v>
      </c>
      <c r="J1271">
        <v>68</v>
      </c>
    </row>
    <row r="1272" spans="1:10" ht="14.25" customHeight="1" x14ac:dyDescent="0.25">
      <c r="A1272" s="21">
        <v>53021</v>
      </c>
      <c r="B1272" s="21"/>
      <c r="C1272">
        <v>16.2</v>
      </c>
      <c r="D1272">
        <v>2.2000000000000002</v>
      </c>
      <c r="E1272">
        <v>105</v>
      </c>
      <c r="F1272">
        <v>25</v>
      </c>
      <c r="H1272">
        <v>25</v>
      </c>
      <c r="I1272">
        <v>1.67</v>
      </c>
      <c r="J1272" s="1">
        <v>2279</v>
      </c>
    </row>
    <row r="1273" spans="1:10" ht="14.25" customHeight="1" x14ac:dyDescent="0.25">
      <c r="A1273" s="21">
        <v>53023</v>
      </c>
      <c r="B1273" s="21"/>
      <c r="C1273">
        <v>16.2</v>
      </c>
      <c r="D1273">
        <v>1.6</v>
      </c>
      <c r="E1273">
        <v>1</v>
      </c>
      <c r="F1273">
        <v>25</v>
      </c>
      <c r="H1273">
        <v>25</v>
      </c>
      <c r="I1273">
        <v>0.87</v>
      </c>
      <c r="J1273">
        <v>25</v>
      </c>
    </row>
    <row r="1274" spans="1:10" ht="14.25" customHeight="1" x14ac:dyDescent="0.25">
      <c r="A1274" s="21">
        <v>53025</v>
      </c>
      <c r="B1274" s="21"/>
      <c r="C1274">
        <v>16.2</v>
      </c>
      <c r="D1274">
        <v>2.8</v>
      </c>
      <c r="E1274">
        <v>35</v>
      </c>
      <c r="F1274">
        <v>25</v>
      </c>
      <c r="H1274">
        <v>25</v>
      </c>
      <c r="I1274">
        <v>1.01</v>
      </c>
      <c r="J1274">
        <v>427</v>
      </c>
    </row>
    <row r="1275" spans="1:10" ht="14.25" customHeight="1" x14ac:dyDescent="0.25">
      <c r="A1275" s="21">
        <v>53025</v>
      </c>
      <c r="B1275" s="21"/>
      <c r="C1275">
        <v>0.1</v>
      </c>
      <c r="D1275">
        <v>1.5</v>
      </c>
      <c r="E1275">
        <v>10</v>
      </c>
      <c r="F1275">
        <v>25</v>
      </c>
      <c r="H1275">
        <v>25</v>
      </c>
      <c r="I1275">
        <v>0.87</v>
      </c>
      <c r="J1275">
        <v>16</v>
      </c>
    </row>
    <row r="1276" spans="1:10" ht="14.25" customHeight="1" x14ac:dyDescent="0.25">
      <c r="A1276" s="21">
        <v>53025</v>
      </c>
      <c r="B1276" s="21"/>
      <c r="C1276">
        <v>15</v>
      </c>
      <c r="D1276">
        <v>2.6</v>
      </c>
      <c r="E1276">
        <v>23</v>
      </c>
      <c r="F1276">
        <v>25</v>
      </c>
      <c r="H1276">
        <v>25</v>
      </c>
      <c r="I1276">
        <v>0.97</v>
      </c>
      <c r="J1276">
        <v>173</v>
      </c>
    </row>
    <row r="1277" spans="1:10" ht="14.25" customHeight="1" x14ac:dyDescent="0.25">
      <c r="A1277" s="21">
        <v>53027</v>
      </c>
      <c r="B1277" s="21"/>
      <c r="C1277">
        <v>3.8</v>
      </c>
      <c r="D1277">
        <v>2.8</v>
      </c>
      <c r="E1277">
        <v>96</v>
      </c>
      <c r="F1277">
        <v>10</v>
      </c>
      <c r="H1277">
        <v>10</v>
      </c>
      <c r="I1277">
        <v>1</v>
      </c>
      <c r="J1277">
        <v>303</v>
      </c>
    </row>
    <row r="1278" spans="1:10" ht="14.25" customHeight="1" x14ac:dyDescent="0.25">
      <c r="A1278" s="21">
        <v>53029</v>
      </c>
      <c r="B1278" s="21"/>
      <c r="C1278">
        <v>14.8</v>
      </c>
      <c r="D1278">
        <v>2.8</v>
      </c>
      <c r="E1278">
        <v>143</v>
      </c>
      <c r="F1278">
        <v>25</v>
      </c>
      <c r="G1278">
        <v>6</v>
      </c>
      <c r="H1278">
        <v>25</v>
      </c>
      <c r="I1278">
        <v>1.29</v>
      </c>
      <c r="J1278" s="1">
        <v>1920</v>
      </c>
    </row>
    <row r="1279" spans="1:10" ht="14.25" customHeight="1" x14ac:dyDescent="0.25">
      <c r="A1279" s="21">
        <v>53031</v>
      </c>
      <c r="B1279" s="21"/>
      <c r="C1279">
        <v>12.1</v>
      </c>
      <c r="D1279">
        <v>3.1</v>
      </c>
      <c r="E1279">
        <v>117</v>
      </c>
      <c r="F1279">
        <v>25</v>
      </c>
      <c r="G1279">
        <v>6</v>
      </c>
      <c r="H1279">
        <v>25</v>
      </c>
      <c r="I1279">
        <v>1.29</v>
      </c>
      <c r="J1279" s="1">
        <v>1405</v>
      </c>
    </row>
    <row r="1280" spans="1:10" ht="14.25" customHeight="1" x14ac:dyDescent="0.25">
      <c r="A1280" s="21">
        <v>53033</v>
      </c>
      <c r="B1280" s="21"/>
      <c r="C1280">
        <v>13.9</v>
      </c>
      <c r="D1280">
        <v>3.8</v>
      </c>
      <c r="E1280">
        <v>62</v>
      </c>
      <c r="F1280">
        <v>25</v>
      </c>
      <c r="H1280">
        <v>25</v>
      </c>
      <c r="I1280">
        <v>1.41</v>
      </c>
      <c r="J1280" s="1">
        <v>1250</v>
      </c>
    </row>
    <row r="1281" spans="1:10" ht="14.25" customHeight="1" x14ac:dyDescent="0.25">
      <c r="A1281" s="21">
        <v>53033</v>
      </c>
      <c r="B1281" s="21"/>
      <c r="C1281">
        <v>22.9</v>
      </c>
      <c r="D1281">
        <v>3.8</v>
      </c>
      <c r="E1281">
        <v>44</v>
      </c>
      <c r="F1281">
        <v>25</v>
      </c>
      <c r="H1281">
        <v>25</v>
      </c>
      <c r="I1281">
        <v>0.87</v>
      </c>
      <c r="J1281">
        <v>39</v>
      </c>
    </row>
    <row r="1282" spans="1:10" ht="14.25" customHeight="1" x14ac:dyDescent="0.25">
      <c r="A1282" s="21">
        <v>53037</v>
      </c>
      <c r="B1282" s="21"/>
      <c r="C1282">
        <v>6.3</v>
      </c>
      <c r="D1282">
        <v>2.4</v>
      </c>
      <c r="E1282">
        <v>135</v>
      </c>
      <c r="F1282">
        <v>25</v>
      </c>
      <c r="G1282">
        <v>6</v>
      </c>
      <c r="H1282">
        <v>25</v>
      </c>
      <c r="I1282">
        <v>1.42</v>
      </c>
      <c r="J1282">
        <v>956</v>
      </c>
    </row>
    <row r="1283" spans="1:10" ht="14.25" customHeight="1" x14ac:dyDescent="0.25">
      <c r="A1283" s="21">
        <v>53039</v>
      </c>
      <c r="B1283" s="21"/>
      <c r="C1283">
        <v>2.5</v>
      </c>
      <c r="D1283">
        <v>2.8</v>
      </c>
      <c r="E1283">
        <v>33</v>
      </c>
      <c r="F1283">
        <v>14</v>
      </c>
      <c r="H1283">
        <v>14</v>
      </c>
      <c r="I1283">
        <v>1.18</v>
      </c>
      <c r="J1283">
        <v>138</v>
      </c>
    </row>
    <row r="1284" spans="1:10" ht="14.25" customHeight="1" x14ac:dyDescent="0.25">
      <c r="A1284" s="21">
        <v>53039</v>
      </c>
      <c r="B1284" s="21"/>
      <c r="C1284">
        <v>5.9</v>
      </c>
      <c r="D1284">
        <v>2.5</v>
      </c>
      <c r="E1284">
        <v>39</v>
      </c>
      <c r="F1284">
        <v>14</v>
      </c>
      <c r="H1284">
        <v>14</v>
      </c>
      <c r="I1284">
        <v>1.03</v>
      </c>
      <c r="J1284">
        <v>217</v>
      </c>
    </row>
    <row r="1285" spans="1:10" ht="14.25" customHeight="1" x14ac:dyDescent="0.25">
      <c r="A1285" s="21">
        <v>53041</v>
      </c>
      <c r="B1285" s="21"/>
      <c r="C1285">
        <v>14.6</v>
      </c>
      <c r="D1285">
        <v>3.1</v>
      </c>
      <c r="E1285">
        <v>29</v>
      </c>
      <c r="F1285">
        <v>25</v>
      </c>
      <c r="H1285">
        <v>25</v>
      </c>
      <c r="I1285">
        <v>1.07</v>
      </c>
      <c r="J1285">
        <v>183</v>
      </c>
    </row>
    <row r="1286" spans="1:10" ht="14.25" customHeight="1" x14ac:dyDescent="0.25">
      <c r="A1286" s="21">
        <v>53043</v>
      </c>
      <c r="B1286" s="21"/>
      <c r="C1286">
        <v>14.6</v>
      </c>
      <c r="D1286">
        <v>4</v>
      </c>
      <c r="E1286">
        <v>26</v>
      </c>
      <c r="F1286">
        <v>25</v>
      </c>
      <c r="H1286">
        <v>25</v>
      </c>
      <c r="I1286">
        <v>0.98</v>
      </c>
      <c r="J1286">
        <v>322</v>
      </c>
    </row>
    <row r="1287" spans="1:10" ht="14.25" customHeight="1" x14ac:dyDescent="0.25">
      <c r="A1287" s="21">
        <v>53043</v>
      </c>
      <c r="B1287" s="21"/>
      <c r="C1287">
        <v>21.5</v>
      </c>
      <c r="D1287">
        <v>3</v>
      </c>
      <c r="E1287">
        <v>12</v>
      </c>
      <c r="F1287">
        <v>25</v>
      </c>
      <c r="H1287">
        <v>25</v>
      </c>
      <c r="I1287">
        <v>0.83</v>
      </c>
      <c r="J1287">
        <v>9</v>
      </c>
    </row>
    <row r="1288" spans="1:10" ht="14.25" customHeight="1" x14ac:dyDescent="0.25">
      <c r="A1288" s="21">
        <v>53045</v>
      </c>
      <c r="B1288" s="21"/>
      <c r="C1288">
        <v>11.6</v>
      </c>
      <c r="D1288">
        <v>3.3</v>
      </c>
      <c r="E1288">
        <v>126</v>
      </c>
      <c r="F1288">
        <v>25</v>
      </c>
      <c r="G1288">
        <v>6</v>
      </c>
      <c r="H1288">
        <v>25</v>
      </c>
      <c r="I1288">
        <v>1.24</v>
      </c>
      <c r="J1288" s="1">
        <v>1444</v>
      </c>
    </row>
    <row r="1289" spans="1:10" ht="14.25" customHeight="1" x14ac:dyDescent="0.25">
      <c r="A1289" s="21">
        <v>53047</v>
      </c>
      <c r="B1289" s="21"/>
      <c r="C1289">
        <v>5.7</v>
      </c>
      <c r="D1289">
        <v>2.9</v>
      </c>
      <c r="E1289">
        <v>30</v>
      </c>
      <c r="F1289">
        <v>21</v>
      </c>
      <c r="H1289">
        <v>21</v>
      </c>
      <c r="I1289">
        <v>0.97</v>
      </c>
      <c r="J1289">
        <v>326</v>
      </c>
    </row>
    <row r="1290" spans="1:10" ht="14.25" customHeight="1" x14ac:dyDescent="0.25">
      <c r="A1290" s="21">
        <v>53047</v>
      </c>
      <c r="B1290" s="21"/>
      <c r="C1290">
        <v>4.8</v>
      </c>
      <c r="D1290">
        <v>2.5</v>
      </c>
      <c r="E1290">
        <v>42</v>
      </c>
      <c r="F1290">
        <v>25</v>
      </c>
      <c r="H1290">
        <v>25</v>
      </c>
      <c r="I1290">
        <v>1.21</v>
      </c>
      <c r="J1290">
        <v>690</v>
      </c>
    </row>
    <row r="1291" spans="1:10" ht="14.25" customHeight="1" x14ac:dyDescent="0.25">
      <c r="A1291" s="21">
        <v>53047</v>
      </c>
      <c r="B1291" s="21"/>
      <c r="C1291">
        <v>3.1</v>
      </c>
      <c r="D1291">
        <v>2.9</v>
      </c>
      <c r="E1291">
        <v>29</v>
      </c>
      <c r="F1291">
        <v>25</v>
      </c>
      <c r="H1291">
        <v>25</v>
      </c>
      <c r="I1291">
        <v>1.28</v>
      </c>
      <c r="J1291">
        <v>260</v>
      </c>
    </row>
    <row r="1292" spans="1:10" ht="14.25" customHeight="1" x14ac:dyDescent="0.25">
      <c r="A1292" s="21">
        <v>53049</v>
      </c>
      <c r="B1292" s="21"/>
      <c r="C1292">
        <v>4.5</v>
      </c>
      <c r="D1292">
        <v>2.6</v>
      </c>
      <c r="E1292">
        <v>25</v>
      </c>
      <c r="F1292">
        <v>25</v>
      </c>
      <c r="H1292">
        <v>25</v>
      </c>
      <c r="I1292">
        <v>1.1399999999999999</v>
      </c>
      <c r="J1292">
        <v>402</v>
      </c>
    </row>
    <row r="1293" spans="1:10" ht="14.25" customHeight="1" x14ac:dyDescent="0.25">
      <c r="A1293" s="21">
        <v>53049</v>
      </c>
      <c r="B1293" s="21"/>
      <c r="C1293">
        <v>2</v>
      </c>
      <c r="D1293">
        <v>2.6</v>
      </c>
      <c r="E1293">
        <v>25</v>
      </c>
      <c r="F1293">
        <v>10</v>
      </c>
      <c r="H1293">
        <v>10</v>
      </c>
      <c r="I1293">
        <v>1.1100000000000001</v>
      </c>
      <c r="J1293">
        <v>245</v>
      </c>
    </row>
    <row r="1294" spans="1:10" ht="14.25" customHeight="1" x14ac:dyDescent="0.25">
      <c r="A1294" s="21">
        <v>53051</v>
      </c>
      <c r="B1294" s="21"/>
      <c r="C1294">
        <v>5.3</v>
      </c>
      <c r="D1294">
        <v>3</v>
      </c>
      <c r="E1294">
        <v>45</v>
      </c>
      <c r="F1294">
        <v>20</v>
      </c>
      <c r="H1294">
        <v>20</v>
      </c>
      <c r="I1294">
        <v>1.1000000000000001</v>
      </c>
      <c r="J1294">
        <v>471</v>
      </c>
    </row>
    <row r="1295" spans="1:10" ht="14.25" customHeight="1" x14ac:dyDescent="0.25">
      <c r="A1295" s="21">
        <v>53055</v>
      </c>
      <c r="B1295" s="21"/>
      <c r="C1295">
        <v>0.6</v>
      </c>
      <c r="D1295">
        <v>2.8</v>
      </c>
      <c r="E1295">
        <v>51</v>
      </c>
      <c r="F1295">
        <v>10</v>
      </c>
      <c r="H1295">
        <v>10</v>
      </c>
      <c r="I1295">
        <v>0.99</v>
      </c>
      <c r="J1295">
        <v>82</v>
      </c>
    </row>
    <row r="1296" spans="1:10" ht="14.25" customHeight="1" x14ac:dyDescent="0.25">
      <c r="A1296" s="21">
        <v>53057</v>
      </c>
      <c r="B1296" s="21"/>
      <c r="C1296">
        <v>8.8000000000000007</v>
      </c>
      <c r="D1296">
        <v>2.7</v>
      </c>
      <c r="E1296">
        <v>58</v>
      </c>
      <c r="F1296">
        <v>25</v>
      </c>
      <c r="H1296">
        <v>25</v>
      </c>
      <c r="I1296">
        <v>1.1299999999999999</v>
      </c>
      <c r="J1296">
        <v>632</v>
      </c>
    </row>
    <row r="1297" spans="1:10" ht="14.25" customHeight="1" x14ac:dyDescent="0.25">
      <c r="A1297" s="21">
        <v>53063</v>
      </c>
      <c r="B1297" s="21"/>
      <c r="C1297">
        <v>4.4000000000000004</v>
      </c>
      <c r="D1297">
        <v>1.1000000000000001</v>
      </c>
      <c r="J1297">
        <v>69</v>
      </c>
    </row>
    <row r="1298" spans="1:10" ht="14.25" customHeight="1" x14ac:dyDescent="0.25">
      <c r="A1298" s="21">
        <v>53065</v>
      </c>
      <c r="B1298" s="21"/>
      <c r="C1298">
        <v>13.3</v>
      </c>
      <c r="D1298">
        <v>3.4</v>
      </c>
      <c r="E1298">
        <v>93</v>
      </c>
      <c r="F1298">
        <v>25</v>
      </c>
      <c r="H1298">
        <v>25</v>
      </c>
      <c r="I1298">
        <v>1.36</v>
      </c>
      <c r="J1298">
        <v>946</v>
      </c>
    </row>
    <row r="1299" spans="1:10" ht="14.25" customHeight="1" x14ac:dyDescent="0.25">
      <c r="A1299" s="21">
        <v>53065</v>
      </c>
      <c r="B1299" s="21"/>
      <c r="C1299">
        <v>8.6</v>
      </c>
      <c r="D1299">
        <v>3.5</v>
      </c>
      <c r="E1299">
        <v>26</v>
      </c>
      <c r="F1299">
        <v>23</v>
      </c>
      <c r="H1299">
        <v>23</v>
      </c>
      <c r="I1299">
        <v>1.08</v>
      </c>
      <c r="J1299">
        <v>312</v>
      </c>
    </row>
    <row r="1300" spans="1:10" ht="14.25" customHeight="1" x14ac:dyDescent="0.25">
      <c r="A1300" s="21">
        <v>53075</v>
      </c>
      <c r="B1300" s="21"/>
      <c r="C1300">
        <v>9.5</v>
      </c>
      <c r="D1300">
        <v>2.7</v>
      </c>
      <c r="E1300">
        <v>106</v>
      </c>
      <c r="F1300">
        <v>25</v>
      </c>
      <c r="G1300">
        <v>6</v>
      </c>
      <c r="H1300">
        <v>25</v>
      </c>
      <c r="I1300">
        <v>1.52</v>
      </c>
      <c r="J1300" s="1">
        <v>1269</v>
      </c>
    </row>
    <row r="1301" spans="1:10" ht="14.25" customHeight="1" x14ac:dyDescent="0.25">
      <c r="A1301" s="21">
        <v>53075</v>
      </c>
      <c r="B1301" s="21"/>
      <c r="C1301">
        <v>8</v>
      </c>
      <c r="D1301">
        <v>3.7</v>
      </c>
      <c r="E1301">
        <v>48</v>
      </c>
      <c r="F1301">
        <v>25</v>
      </c>
      <c r="H1301">
        <v>25</v>
      </c>
      <c r="I1301">
        <v>1.24</v>
      </c>
      <c r="J1301">
        <v>506</v>
      </c>
    </row>
    <row r="1302" spans="1:10" ht="14.25" customHeight="1" x14ac:dyDescent="0.25">
      <c r="A1302" s="21">
        <v>53077</v>
      </c>
      <c r="B1302" s="21"/>
      <c r="C1302">
        <v>14.5</v>
      </c>
      <c r="D1302">
        <v>3.4</v>
      </c>
      <c r="E1302">
        <v>131</v>
      </c>
      <c r="F1302">
        <v>25</v>
      </c>
      <c r="G1302">
        <v>7</v>
      </c>
      <c r="H1302">
        <v>25</v>
      </c>
      <c r="I1302">
        <v>1.42</v>
      </c>
      <c r="J1302" s="1">
        <v>1963</v>
      </c>
    </row>
    <row r="1303" spans="1:10" ht="14.25" customHeight="1" x14ac:dyDescent="0.25">
      <c r="A1303" s="21">
        <v>54001</v>
      </c>
      <c r="B1303" s="21"/>
      <c r="C1303">
        <v>5.5</v>
      </c>
      <c r="D1303">
        <v>3</v>
      </c>
      <c r="E1303">
        <v>24</v>
      </c>
      <c r="F1303">
        <v>12</v>
      </c>
      <c r="H1303">
        <v>12</v>
      </c>
      <c r="I1303">
        <v>0.93</v>
      </c>
      <c r="J1303">
        <v>33</v>
      </c>
    </row>
    <row r="1304" spans="1:10" ht="14.25" customHeight="1" x14ac:dyDescent="0.25">
      <c r="A1304" s="21">
        <v>54005</v>
      </c>
      <c r="B1304" s="21"/>
      <c r="C1304">
        <v>11</v>
      </c>
      <c r="D1304">
        <v>3.9</v>
      </c>
      <c r="E1304">
        <v>55</v>
      </c>
      <c r="F1304">
        <v>25</v>
      </c>
      <c r="H1304">
        <v>25</v>
      </c>
      <c r="I1304">
        <v>1.04</v>
      </c>
      <c r="J1304">
        <v>565</v>
      </c>
    </row>
    <row r="1305" spans="1:10" ht="14.25" customHeight="1" x14ac:dyDescent="0.25">
      <c r="A1305" s="21">
        <v>54007</v>
      </c>
      <c r="B1305" s="21"/>
      <c r="C1305">
        <v>2</v>
      </c>
      <c r="D1305">
        <v>4.0999999999999996</v>
      </c>
      <c r="E1305">
        <v>13</v>
      </c>
      <c r="F1305">
        <v>25</v>
      </c>
      <c r="H1305">
        <v>25</v>
      </c>
      <c r="I1305">
        <v>1.34</v>
      </c>
      <c r="J1305">
        <v>183</v>
      </c>
    </row>
    <row r="1306" spans="1:10" ht="14.25" customHeight="1" x14ac:dyDescent="0.25">
      <c r="A1306" s="21">
        <v>54013</v>
      </c>
      <c r="B1306" s="21"/>
      <c r="C1306">
        <v>4</v>
      </c>
      <c r="D1306">
        <v>3.8</v>
      </c>
      <c r="E1306">
        <v>22</v>
      </c>
      <c r="F1306">
        <v>25</v>
      </c>
      <c r="H1306">
        <v>25</v>
      </c>
      <c r="I1306">
        <v>0.92</v>
      </c>
      <c r="J1306">
        <v>191</v>
      </c>
    </row>
    <row r="1307" spans="1:10" ht="14.25" customHeight="1" x14ac:dyDescent="0.25">
      <c r="A1307" s="21">
        <v>54019</v>
      </c>
      <c r="B1307" s="21"/>
      <c r="C1307">
        <v>11.5</v>
      </c>
      <c r="D1307">
        <v>4.5</v>
      </c>
      <c r="E1307">
        <v>44</v>
      </c>
      <c r="F1307">
        <v>25</v>
      </c>
      <c r="G1307">
        <v>3</v>
      </c>
      <c r="H1307">
        <v>25</v>
      </c>
      <c r="I1307">
        <v>1.33</v>
      </c>
      <c r="J1307">
        <v>930</v>
      </c>
    </row>
    <row r="1308" spans="1:10" ht="14.25" customHeight="1" x14ac:dyDescent="0.25">
      <c r="A1308" s="21">
        <v>54019</v>
      </c>
      <c r="B1308" s="21"/>
      <c r="C1308">
        <v>8.1999999999999993</v>
      </c>
      <c r="D1308">
        <v>3.3</v>
      </c>
      <c r="E1308">
        <v>25</v>
      </c>
      <c r="F1308">
        <v>25</v>
      </c>
      <c r="H1308">
        <v>25</v>
      </c>
      <c r="I1308">
        <v>0.94</v>
      </c>
      <c r="J1308">
        <v>165</v>
      </c>
    </row>
    <row r="1309" spans="1:10" ht="14.25" customHeight="1" x14ac:dyDescent="0.25">
      <c r="A1309" s="21">
        <v>54023</v>
      </c>
      <c r="B1309" s="21"/>
      <c r="C1309">
        <v>14.2</v>
      </c>
      <c r="D1309">
        <v>3.3</v>
      </c>
      <c r="E1309">
        <v>48</v>
      </c>
      <c r="F1309">
        <v>25</v>
      </c>
      <c r="G1309">
        <v>3</v>
      </c>
      <c r="H1309">
        <v>25</v>
      </c>
      <c r="I1309">
        <v>1.1000000000000001</v>
      </c>
      <c r="J1309" s="1">
        <v>1183</v>
      </c>
    </row>
    <row r="1310" spans="1:10" ht="14.25" customHeight="1" x14ac:dyDescent="0.25">
      <c r="A1310" s="21">
        <v>54027</v>
      </c>
      <c r="B1310" s="21"/>
      <c r="C1310">
        <v>6.2</v>
      </c>
      <c r="D1310">
        <v>1.9</v>
      </c>
      <c r="E1310">
        <v>31</v>
      </c>
      <c r="F1310">
        <v>14</v>
      </c>
      <c r="H1310">
        <v>14</v>
      </c>
      <c r="I1310">
        <v>1.02</v>
      </c>
      <c r="J1310">
        <v>281</v>
      </c>
    </row>
    <row r="1311" spans="1:10" ht="14.25" customHeight="1" x14ac:dyDescent="0.25">
      <c r="A1311" s="21">
        <v>54035</v>
      </c>
      <c r="B1311" s="21"/>
      <c r="C1311">
        <v>8.1999999999999993</v>
      </c>
      <c r="D1311">
        <v>3.8</v>
      </c>
      <c r="E1311">
        <v>51</v>
      </c>
      <c r="F1311">
        <v>25</v>
      </c>
      <c r="H1311">
        <v>25</v>
      </c>
      <c r="I1311">
        <v>1.08</v>
      </c>
      <c r="J1311">
        <v>416</v>
      </c>
    </row>
    <row r="1312" spans="1:10" ht="14.25" customHeight="1" x14ac:dyDescent="0.25">
      <c r="A1312" s="21">
        <v>54037</v>
      </c>
      <c r="B1312" s="21"/>
      <c r="C1312">
        <v>10.4</v>
      </c>
      <c r="D1312">
        <v>2.8</v>
      </c>
      <c r="E1312">
        <v>114</v>
      </c>
      <c r="F1312">
        <v>25</v>
      </c>
      <c r="G1312">
        <v>5</v>
      </c>
      <c r="H1312">
        <v>25</v>
      </c>
      <c r="I1312">
        <v>1.24</v>
      </c>
      <c r="J1312" s="1">
        <v>1358</v>
      </c>
    </row>
    <row r="1313" spans="1:10" ht="14.25" customHeight="1" x14ac:dyDescent="0.25">
      <c r="A1313" s="21">
        <v>54057</v>
      </c>
      <c r="B1313" s="21"/>
      <c r="C1313">
        <v>6</v>
      </c>
      <c r="D1313">
        <v>3.3</v>
      </c>
      <c r="E1313">
        <v>41</v>
      </c>
      <c r="F1313">
        <v>25</v>
      </c>
      <c r="G1313">
        <v>4</v>
      </c>
      <c r="H1313">
        <v>25</v>
      </c>
      <c r="I1313">
        <v>1.0900000000000001</v>
      </c>
      <c r="J1313">
        <v>550</v>
      </c>
    </row>
    <row r="1314" spans="1:10" ht="14.25" customHeight="1" x14ac:dyDescent="0.25">
      <c r="A1314" s="21">
        <v>54065</v>
      </c>
      <c r="B1314" s="21"/>
      <c r="C1314">
        <v>8.6</v>
      </c>
      <c r="D1314">
        <v>2.1</v>
      </c>
      <c r="E1314">
        <v>38</v>
      </c>
      <c r="F1314">
        <v>25</v>
      </c>
      <c r="H1314">
        <v>25</v>
      </c>
      <c r="I1314">
        <v>0.98</v>
      </c>
      <c r="J1314">
        <v>336</v>
      </c>
    </row>
    <row r="1315" spans="1:10" ht="14.25" customHeight="1" x14ac:dyDescent="0.25">
      <c r="A1315" s="21">
        <v>54067</v>
      </c>
      <c r="B1315" s="21"/>
      <c r="C1315">
        <v>24.7</v>
      </c>
      <c r="D1315">
        <v>6</v>
      </c>
      <c r="E1315">
        <v>74</v>
      </c>
      <c r="F1315">
        <v>49</v>
      </c>
      <c r="G1315">
        <v>6</v>
      </c>
      <c r="H1315">
        <v>49</v>
      </c>
      <c r="I1315">
        <v>1.21</v>
      </c>
      <c r="J1315" s="1">
        <v>1152</v>
      </c>
    </row>
    <row r="1316" spans="1:10" ht="14.25" customHeight="1" x14ac:dyDescent="0.25">
      <c r="A1316" s="21">
        <v>54067</v>
      </c>
      <c r="B1316" s="21"/>
      <c r="C1316">
        <v>2.4</v>
      </c>
      <c r="D1316">
        <v>0.9</v>
      </c>
      <c r="J1316">
        <v>189</v>
      </c>
    </row>
    <row r="1317" spans="1:10" ht="14.25" customHeight="1" x14ac:dyDescent="0.25">
      <c r="A1317" s="21">
        <v>54075</v>
      </c>
      <c r="B1317" s="21"/>
      <c r="C1317">
        <v>4.0999999999999996</v>
      </c>
      <c r="D1317">
        <v>2.8</v>
      </c>
      <c r="E1317">
        <v>19</v>
      </c>
      <c r="F1317">
        <v>25</v>
      </c>
      <c r="H1317">
        <v>25</v>
      </c>
      <c r="I1317">
        <v>1</v>
      </c>
      <c r="J1317">
        <v>190</v>
      </c>
    </row>
    <row r="1318" spans="1:10" ht="14.25" customHeight="1" x14ac:dyDescent="0.25">
      <c r="A1318" s="21">
        <v>54077</v>
      </c>
      <c r="B1318" s="21"/>
      <c r="C1318">
        <v>9.1</v>
      </c>
      <c r="D1318">
        <v>3.1</v>
      </c>
      <c r="E1318">
        <v>52</v>
      </c>
      <c r="F1318">
        <v>25</v>
      </c>
      <c r="H1318">
        <v>25</v>
      </c>
      <c r="I1318">
        <v>1.05</v>
      </c>
      <c r="J1318">
        <v>646</v>
      </c>
    </row>
    <row r="1319" spans="1:10" ht="14.25" customHeight="1" x14ac:dyDescent="0.25">
      <c r="A1319" s="21">
        <v>54087</v>
      </c>
      <c r="B1319" s="21"/>
      <c r="C1319">
        <v>7.5</v>
      </c>
      <c r="D1319">
        <v>3</v>
      </c>
      <c r="E1319">
        <v>32</v>
      </c>
      <c r="F1319">
        <v>25</v>
      </c>
      <c r="H1319">
        <v>25</v>
      </c>
      <c r="I1319">
        <v>1.3</v>
      </c>
      <c r="J1319">
        <v>181</v>
      </c>
    </row>
    <row r="1320" spans="1:10" ht="14.25" customHeight="1" x14ac:dyDescent="0.25">
      <c r="A1320" s="21">
        <v>54089</v>
      </c>
      <c r="B1320" s="21"/>
      <c r="C1320">
        <v>7.5</v>
      </c>
      <c r="D1320">
        <v>4</v>
      </c>
      <c r="E1320">
        <v>36</v>
      </c>
      <c r="F1320">
        <v>25</v>
      </c>
      <c r="H1320">
        <v>25</v>
      </c>
      <c r="I1320">
        <v>0.94</v>
      </c>
      <c r="J1320">
        <v>255</v>
      </c>
    </row>
    <row r="1321" spans="1:10" ht="14.25" customHeight="1" x14ac:dyDescent="0.25">
      <c r="A1321" s="21">
        <v>54091</v>
      </c>
      <c r="B1321" s="21"/>
      <c r="C1321">
        <v>7.7</v>
      </c>
      <c r="D1321">
        <v>3.4</v>
      </c>
      <c r="E1321">
        <v>17</v>
      </c>
      <c r="F1321">
        <v>25</v>
      </c>
      <c r="H1321">
        <v>25</v>
      </c>
      <c r="I1321">
        <v>0.89</v>
      </c>
      <c r="J1321">
        <v>299</v>
      </c>
    </row>
    <row r="1322" spans="1:10" ht="14.25" customHeight="1" x14ac:dyDescent="0.25">
      <c r="A1322" s="21">
        <v>54095</v>
      </c>
      <c r="B1322" s="21"/>
      <c r="C1322">
        <v>0.8</v>
      </c>
      <c r="D1322">
        <v>2.6</v>
      </c>
      <c r="E1322">
        <v>23</v>
      </c>
      <c r="F1322">
        <v>25</v>
      </c>
      <c r="H1322">
        <v>25</v>
      </c>
      <c r="I1322">
        <v>0.92</v>
      </c>
      <c r="J1322">
        <v>66</v>
      </c>
    </row>
    <row r="1323" spans="1:10" ht="14.25" customHeight="1" x14ac:dyDescent="0.25">
      <c r="A1323" s="21">
        <v>54097</v>
      </c>
      <c r="B1323" s="21"/>
      <c r="C1323">
        <v>8.6999999999999993</v>
      </c>
      <c r="D1323">
        <v>2.6</v>
      </c>
      <c r="E1323">
        <v>116</v>
      </c>
      <c r="F1323">
        <v>25</v>
      </c>
      <c r="G1323">
        <v>4</v>
      </c>
      <c r="H1323">
        <v>25</v>
      </c>
      <c r="I1323">
        <v>1.08</v>
      </c>
      <c r="J1323">
        <v>797</v>
      </c>
    </row>
    <row r="1324" spans="1:10" ht="14.25" customHeight="1" x14ac:dyDescent="0.25">
      <c r="A1324" s="21">
        <v>54101</v>
      </c>
      <c r="B1324" s="21"/>
      <c r="C1324">
        <v>1.5</v>
      </c>
      <c r="D1324">
        <v>3.1</v>
      </c>
      <c r="E1324">
        <v>12</v>
      </c>
      <c r="F1324">
        <v>25</v>
      </c>
      <c r="H1324">
        <v>25</v>
      </c>
      <c r="I1324">
        <v>0.94</v>
      </c>
      <c r="J1324">
        <v>109</v>
      </c>
    </row>
    <row r="1325" spans="1:10" ht="14.25" customHeight="1" x14ac:dyDescent="0.25">
      <c r="A1325" s="21">
        <v>55001</v>
      </c>
      <c r="B1325" s="21"/>
      <c r="C1325">
        <v>2</v>
      </c>
      <c r="D1325">
        <v>2.5</v>
      </c>
      <c r="E1325">
        <v>27</v>
      </c>
      <c r="F1325">
        <v>25</v>
      </c>
      <c r="H1325">
        <v>25</v>
      </c>
      <c r="I1325">
        <v>0.93</v>
      </c>
      <c r="J1325">
        <v>177</v>
      </c>
    </row>
    <row r="1326" spans="1:10" ht="14.25" customHeight="1" x14ac:dyDescent="0.25">
      <c r="A1326" s="21">
        <v>55003</v>
      </c>
      <c r="B1326" s="21"/>
      <c r="C1326">
        <v>10.9</v>
      </c>
      <c r="D1326">
        <v>2.4</v>
      </c>
      <c r="E1326">
        <v>83</v>
      </c>
      <c r="F1326">
        <v>25</v>
      </c>
      <c r="H1326">
        <v>25</v>
      </c>
      <c r="I1326">
        <v>1.17</v>
      </c>
      <c r="J1326" s="1">
        <v>1635</v>
      </c>
    </row>
    <row r="1327" spans="1:10" ht="14.25" customHeight="1" x14ac:dyDescent="0.25">
      <c r="A1327" s="21">
        <v>55005</v>
      </c>
      <c r="B1327" s="21"/>
      <c r="C1327">
        <v>12.4</v>
      </c>
      <c r="D1327">
        <v>1.9</v>
      </c>
      <c r="E1327">
        <v>63</v>
      </c>
      <c r="F1327">
        <v>25</v>
      </c>
      <c r="H1327">
        <v>25</v>
      </c>
      <c r="I1327">
        <v>1.23</v>
      </c>
      <c r="J1327">
        <v>709</v>
      </c>
    </row>
    <row r="1328" spans="1:10" ht="14.25" customHeight="1" x14ac:dyDescent="0.25">
      <c r="A1328" s="21">
        <v>55005</v>
      </c>
      <c r="B1328" s="21"/>
      <c r="C1328">
        <v>5.9</v>
      </c>
      <c r="D1328">
        <v>3.7</v>
      </c>
      <c r="E1328">
        <v>26</v>
      </c>
      <c r="F1328">
        <v>25</v>
      </c>
      <c r="H1328">
        <v>25</v>
      </c>
      <c r="I1328">
        <v>0.93</v>
      </c>
      <c r="J1328">
        <v>343</v>
      </c>
    </row>
    <row r="1329" spans="1:10" ht="14.25" customHeight="1" x14ac:dyDescent="0.25">
      <c r="A1329" s="21">
        <v>55013</v>
      </c>
      <c r="B1329" s="21"/>
      <c r="C1329">
        <v>1.7</v>
      </c>
      <c r="D1329">
        <v>2.5</v>
      </c>
      <c r="E1329">
        <v>18</v>
      </c>
      <c r="F1329">
        <v>25</v>
      </c>
      <c r="H1329">
        <v>25</v>
      </c>
      <c r="I1329">
        <v>0.94</v>
      </c>
      <c r="J1329">
        <v>162</v>
      </c>
    </row>
    <row r="1330" spans="1:10" ht="14.25" customHeight="1" x14ac:dyDescent="0.25">
      <c r="A1330" s="21">
        <v>55015</v>
      </c>
      <c r="B1330" s="21"/>
      <c r="C1330">
        <v>3.2</v>
      </c>
      <c r="D1330">
        <v>1.9</v>
      </c>
      <c r="E1330">
        <v>33</v>
      </c>
      <c r="F1330">
        <v>25</v>
      </c>
      <c r="H1330">
        <v>25</v>
      </c>
      <c r="I1330">
        <v>1.32</v>
      </c>
      <c r="J1330">
        <v>282</v>
      </c>
    </row>
    <row r="1331" spans="1:10" ht="14.25" customHeight="1" x14ac:dyDescent="0.25">
      <c r="A1331" s="21">
        <v>55017</v>
      </c>
      <c r="B1331" s="21"/>
      <c r="C1331">
        <v>13.3</v>
      </c>
      <c r="D1331">
        <v>3.4</v>
      </c>
      <c r="E1331">
        <v>33</v>
      </c>
      <c r="F1331">
        <v>25</v>
      </c>
      <c r="H1331">
        <v>25</v>
      </c>
      <c r="I1331">
        <v>1.1000000000000001</v>
      </c>
      <c r="J1331">
        <v>164</v>
      </c>
    </row>
    <row r="1332" spans="1:10" ht="14.25" customHeight="1" x14ac:dyDescent="0.25">
      <c r="A1332" s="21">
        <v>55017</v>
      </c>
      <c r="B1332" s="21"/>
      <c r="C1332">
        <v>2.9</v>
      </c>
      <c r="D1332">
        <v>2.5</v>
      </c>
      <c r="E1332">
        <v>22</v>
      </c>
      <c r="F1332">
        <v>24</v>
      </c>
      <c r="H1332">
        <v>24</v>
      </c>
      <c r="I1332">
        <v>1.1399999999999999</v>
      </c>
      <c r="J1332">
        <v>167</v>
      </c>
    </row>
    <row r="1333" spans="1:10" ht="14.25" customHeight="1" x14ac:dyDescent="0.25">
      <c r="A1333" s="21">
        <v>55019</v>
      </c>
      <c r="B1333" s="21"/>
      <c r="C1333">
        <v>2.6</v>
      </c>
      <c r="D1333">
        <v>2.8</v>
      </c>
      <c r="E1333">
        <v>29</v>
      </c>
      <c r="F1333">
        <v>25</v>
      </c>
      <c r="H1333">
        <v>25</v>
      </c>
      <c r="I1333">
        <v>1.3</v>
      </c>
      <c r="J1333">
        <v>327</v>
      </c>
    </row>
    <row r="1334" spans="1:10" ht="14.25" customHeight="1" x14ac:dyDescent="0.25">
      <c r="A1334" s="21">
        <v>55021</v>
      </c>
      <c r="B1334" s="21"/>
      <c r="C1334">
        <v>6.8</v>
      </c>
      <c r="D1334">
        <v>2.9</v>
      </c>
      <c r="E1334">
        <v>46</v>
      </c>
      <c r="F1334">
        <v>25</v>
      </c>
      <c r="G1334">
        <v>4</v>
      </c>
      <c r="H1334">
        <v>25</v>
      </c>
      <c r="I1334">
        <v>1.27</v>
      </c>
      <c r="J1334">
        <v>836</v>
      </c>
    </row>
    <row r="1335" spans="1:10" ht="14.25" customHeight="1" x14ac:dyDescent="0.25">
      <c r="A1335" s="21">
        <v>55023</v>
      </c>
      <c r="B1335" s="21"/>
      <c r="C1335">
        <v>8.8000000000000007</v>
      </c>
      <c r="D1335">
        <v>3.2</v>
      </c>
      <c r="E1335">
        <v>40</v>
      </c>
      <c r="F1335">
        <v>24</v>
      </c>
      <c r="H1335">
        <v>24</v>
      </c>
      <c r="I1335">
        <v>1.1299999999999999</v>
      </c>
      <c r="J1335">
        <v>750</v>
      </c>
    </row>
    <row r="1336" spans="1:10" ht="14.25" customHeight="1" x14ac:dyDescent="0.25">
      <c r="A1336" s="21">
        <v>55025</v>
      </c>
      <c r="B1336" s="21"/>
      <c r="C1336">
        <v>7</v>
      </c>
      <c r="D1336">
        <v>2.6</v>
      </c>
      <c r="E1336">
        <v>56</v>
      </c>
      <c r="F1336">
        <v>22</v>
      </c>
      <c r="G1336">
        <v>4</v>
      </c>
      <c r="H1336">
        <v>22</v>
      </c>
      <c r="I1336">
        <v>1.29</v>
      </c>
      <c r="J1336">
        <v>721</v>
      </c>
    </row>
    <row r="1337" spans="1:10" ht="14.25" customHeight="1" x14ac:dyDescent="0.25">
      <c r="A1337" s="21">
        <v>55027</v>
      </c>
      <c r="B1337" s="21"/>
      <c r="C1337">
        <v>6.9</v>
      </c>
      <c r="D1337">
        <v>3</v>
      </c>
      <c r="E1337">
        <v>43</v>
      </c>
      <c r="F1337">
        <v>25</v>
      </c>
      <c r="H1337">
        <v>25</v>
      </c>
      <c r="I1337">
        <v>1.39</v>
      </c>
      <c r="J1337" s="1">
        <v>1045</v>
      </c>
    </row>
    <row r="1338" spans="1:10" ht="14.25" customHeight="1" x14ac:dyDescent="0.25">
      <c r="A1338" s="21">
        <v>55029</v>
      </c>
      <c r="B1338" s="21"/>
      <c r="C1338">
        <v>10.6</v>
      </c>
      <c r="D1338">
        <v>3.6</v>
      </c>
      <c r="E1338">
        <v>86</v>
      </c>
      <c r="F1338">
        <v>25</v>
      </c>
      <c r="G1338">
        <v>4</v>
      </c>
      <c r="H1338">
        <v>25</v>
      </c>
      <c r="I1338">
        <v>1.36</v>
      </c>
      <c r="J1338">
        <v>966</v>
      </c>
    </row>
    <row r="1339" spans="1:10" ht="14.25" customHeight="1" x14ac:dyDescent="0.25">
      <c r="A1339" s="21">
        <v>55031</v>
      </c>
      <c r="B1339" s="21"/>
      <c r="C1339">
        <v>7.5</v>
      </c>
      <c r="D1339">
        <v>2.6</v>
      </c>
      <c r="E1339">
        <v>82</v>
      </c>
      <c r="F1339">
        <v>25</v>
      </c>
      <c r="H1339">
        <v>25</v>
      </c>
      <c r="I1339">
        <v>0.99</v>
      </c>
      <c r="J1339">
        <v>638</v>
      </c>
    </row>
    <row r="1340" spans="1:10" ht="14.25" customHeight="1" x14ac:dyDescent="0.25">
      <c r="A1340" s="21">
        <v>55033</v>
      </c>
      <c r="B1340" s="21"/>
      <c r="C1340">
        <v>9.8000000000000007</v>
      </c>
      <c r="D1340">
        <v>2.9</v>
      </c>
      <c r="E1340">
        <v>97</v>
      </c>
      <c r="F1340">
        <v>25</v>
      </c>
      <c r="H1340">
        <v>25</v>
      </c>
      <c r="I1340">
        <v>1.23</v>
      </c>
      <c r="J1340">
        <v>976</v>
      </c>
    </row>
    <row r="1341" spans="1:10" ht="14.25" customHeight="1" x14ac:dyDescent="0.25">
      <c r="A1341" s="21">
        <v>55039</v>
      </c>
      <c r="B1341" s="21"/>
      <c r="C1341">
        <v>5.0999999999999996</v>
      </c>
      <c r="D1341">
        <v>3.6</v>
      </c>
      <c r="E1341">
        <v>23</v>
      </c>
      <c r="F1341">
        <v>18</v>
      </c>
      <c r="G1341">
        <v>3</v>
      </c>
      <c r="H1341">
        <v>18</v>
      </c>
      <c r="I1341">
        <v>1.56</v>
      </c>
      <c r="J1341">
        <v>548</v>
      </c>
    </row>
    <row r="1342" spans="1:10" ht="14.25" customHeight="1" x14ac:dyDescent="0.25">
      <c r="A1342" s="21">
        <v>55043</v>
      </c>
      <c r="B1342" s="21"/>
      <c r="C1342">
        <v>4.5</v>
      </c>
      <c r="D1342">
        <v>3.3</v>
      </c>
      <c r="E1342">
        <v>35</v>
      </c>
      <c r="F1342">
        <v>25</v>
      </c>
      <c r="H1342">
        <v>25</v>
      </c>
      <c r="I1342">
        <v>1.1200000000000001</v>
      </c>
      <c r="J1342">
        <v>458</v>
      </c>
    </row>
    <row r="1343" spans="1:10" ht="14.25" customHeight="1" x14ac:dyDescent="0.25">
      <c r="A1343" s="21">
        <v>55043</v>
      </c>
      <c r="B1343" s="21"/>
      <c r="C1343">
        <v>7.5</v>
      </c>
      <c r="D1343">
        <v>2.2999999999999998</v>
      </c>
      <c r="E1343">
        <v>73</v>
      </c>
      <c r="F1343">
        <v>25</v>
      </c>
      <c r="H1343">
        <v>25</v>
      </c>
      <c r="I1343">
        <v>1.3</v>
      </c>
      <c r="J1343">
        <v>776</v>
      </c>
    </row>
    <row r="1344" spans="1:10" ht="14.25" customHeight="1" x14ac:dyDescent="0.25">
      <c r="A1344" s="21">
        <v>55043</v>
      </c>
      <c r="B1344" s="21"/>
      <c r="C1344">
        <v>1.7</v>
      </c>
      <c r="D1344">
        <v>2.6</v>
      </c>
      <c r="E1344">
        <v>18</v>
      </c>
      <c r="F1344">
        <v>25</v>
      </c>
      <c r="H1344">
        <v>25</v>
      </c>
      <c r="I1344">
        <v>1.25</v>
      </c>
      <c r="J1344">
        <v>146</v>
      </c>
    </row>
    <row r="1345" spans="1:10" ht="14.25" customHeight="1" x14ac:dyDescent="0.25">
      <c r="A1345" s="21">
        <v>55047</v>
      </c>
      <c r="B1345" s="21"/>
      <c r="C1345">
        <v>9.8000000000000007</v>
      </c>
      <c r="D1345">
        <v>3</v>
      </c>
      <c r="E1345">
        <v>81</v>
      </c>
      <c r="F1345">
        <v>25</v>
      </c>
      <c r="G1345">
        <v>5</v>
      </c>
      <c r="H1345">
        <v>25</v>
      </c>
      <c r="I1345">
        <v>1.39</v>
      </c>
      <c r="J1345" s="1">
        <v>1180</v>
      </c>
    </row>
    <row r="1346" spans="1:10" ht="14.25" customHeight="1" x14ac:dyDescent="0.25">
      <c r="A1346" s="21">
        <v>55049</v>
      </c>
      <c r="B1346" s="21"/>
      <c r="C1346">
        <v>8.1</v>
      </c>
      <c r="D1346">
        <v>4.5</v>
      </c>
      <c r="E1346">
        <v>71</v>
      </c>
      <c r="F1346">
        <v>25</v>
      </c>
      <c r="H1346">
        <v>25</v>
      </c>
      <c r="I1346">
        <v>1.1499999999999999</v>
      </c>
      <c r="J1346">
        <v>568</v>
      </c>
    </row>
    <row r="1347" spans="1:10" ht="14.25" customHeight="1" x14ac:dyDescent="0.25">
      <c r="A1347" s="21">
        <v>55053</v>
      </c>
      <c r="B1347" s="21"/>
      <c r="C1347">
        <v>5.5</v>
      </c>
      <c r="D1347">
        <v>2</v>
      </c>
      <c r="E1347">
        <v>61</v>
      </c>
      <c r="F1347">
        <v>25</v>
      </c>
      <c r="H1347">
        <v>25</v>
      </c>
      <c r="I1347">
        <v>1.19</v>
      </c>
      <c r="J1347">
        <v>822</v>
      </c>
    </row>
    <row r="1348" spans="1:10" ht="14.25" customHeight="1" x14ac:dyDescent="0.25">
      <c r="A1348" s="21">
        <v>55065</v>
      </c>
      <c r="B1348" s="21"/>
      <c r="C1348">
        <v>3</v>
      </c>
      <c r="D1348">
        <v>2.2000000000000002</v>
      </c>
      <c r="E1348">
        <v>20</v>
      </c>
      <c r="F1348">
        <v>25</v>
      </c>
      <c r="H1348">
        <v>25</v>
      </c>
      <c r="I1348">
        <v>1.17</v>
      </c>
      <c r="J1348">
        <v>255</v>
      </c>
    </row>
    <row r="1349" spans="1:10" ht="14.25" customHeight="1" x14ac:dyDescent="0.25">
      <c r="A1349" s="21">
        <v>55067</v>
      </c>
      <c r="B1349" s="21"/>
      <c r="C1349">
        <v>11.1</v>
      </c>
      <c r="D1349">
        <v>3.3</v>
      </c>
      <c r="E1349">
        <v>89</v>
      </c>
      <c r="F1349">
        <v>25</v>
      </c>
      <c r="G1349">
        <v>4</v>
      </c>
      <c r="H1349">
        <v>25</v>
      </c>
      <c r="I1349">
        <v>1.29</v>
      </c>
      <c r="J1349" s="1">
        <v>1238</v>
      </c>
    </row>
    <row r="1350" spans="1:10" ht="14.25" customHeight="1" x14ac:dyDescent="0.25">
      <c r="A1350" s="21">
        <v>55069</v>
      </c>
      <c r="B1350" s="21"/>
      <c r="C1350">
        <v>2.6</v>
      </c>
      <c r="D1350">
        <v>2.5</v>
      </c>
      <c r="E1350">
        <v>34</v>
      </c>
      <c r="F1350">
        <v>25</v>
      </c>
      <c r="H1350">
        <v>25</v>
      </c>
      <c r="I1350">
        <v>1.26</v>
      </c>
      <c r="J1350">
        <v>368</v>
      </c>
    </row>
    <row r="1351" spans="1:10" ht="14.25" customHeight="1" x14ac:dyDescent="0.25">
      <c r="A1351" s="21">
        <v>55069</v>
      </c>
      <c r="B1351" s="21"/>
      <c r="C1351">
        <v>1.9</v>
      </c>
      <c r="D1351">
        <v>2.8</v>
      </c>
      <c r="E1351">
        <v>26</v>
      </c>
      <c r="F1351">
        <v>15</v>
      </c>
      <c r="H1351">
        <v>15</v>
      </c>
      <c r="I1351">
        <v>1</v>
      </c>
      <c r="J1351">
        <v>237</v>
      </c>
    </row>
    <row r="1352" spans="1:10" ht="14.25" customHeight="1" x14ac:dyDescent="0.25">
      <c r="A1352" s="21">
        <v>55081</v>
      </c>
      <c r="B1352" s="21"/>
      <c r="C1352">
        <v>9.6</v>
      </c>
      <c r="D1352">
        <v>3.3</v>
      </c>
      <c r="E1352">
        <v>20</v>
      </c>
      <c r="F1352">
        <v>25</v>
      </c>
      <c r="H1352">
        <v>25</v>
      </c>
      <c r="I1352">
        <v>1.1200000000000001</v>
      </c>
      <c r="J1352">
        <v>115</v>
      </c>
    </row>
    <row r="1353" spans="1:10" ht="14.25" customHeight="1" x14ac:dyDescent="0.25">
      <c r="A1353" s="21">
        <v>55081</v>
      </c>
      <c r="B1353" s="21"/>
      <c r="C1353">
        <v>7.8</v>
      </c>
      <c r="D1353">
        <v>3.1</v>
      </c>
      <c r="E1353">
        <v>42</v>
      </c>
      <c r="F1353">
        <v>25</v>
      </c>
      <c r="H1353">
        <v>25</v>
      </c>
      <c r="I1353">
        <v>1.1499999999999999</v>
      </c>
      <c r="J1353">
        <v>931</v>
      </c>
    </row>
    <row r="1354" spans="1:10" ht="14.25" customHeight="1" x14ac:dyDescent="0.25">
      <c r="A1354" s="21">
        <v>55083</v>
      </c>
      <c r="B1354" s="21"/>
      <c r="C1354">
        <v>4.8</v>
      </c>
      <c r="D1354">
        <v>3</v>
      </c>
      <c r="E1354">
        <v>35</v>
      </c>
      <c r="F1354">
        <v>22</v>
      </c>
      <c r="H1354">
        <v>22</v>
      </c>
      <c r="I1354">
        <v>1.34</v>
      </c>
      <c r="J1354">
        <v>292</v>
      </c>
    </row>
    <row r="1355" spans="1:10" ht="14.25" customHeight="1" x14ac:dyDescent="0.25">
      <c r="A1355" s="21">
        <v>55083</v>
      </c>
      <c r="B1355" s="21"/>
      <c r="C1355">
        <v>1.6</v>
      </c>
      <c r="D1355">
        <v>2.7</v>
      </c>
      <c r="E1355">
        <v>34</v>
      </c>
      <c r="F1355">
        <v>10</v>
      </c>
      <c r="H1355">
        <v>10</v>
      </c>
      <c r="I1355">
        <v>0.98</v>
      </c>
      <c r="J1355">
        <v>127</v>
      </c>
    </row>
    <row r="1356" spans="1:10" ht="14.25" customHeight="1" x14ac:dyDescent="0.25">
      <c r="A1356" s="21">
        <v>55091</v>
      </c>
      <c r="B1356" s="21"/>
      <c r="C1356">
        <v>3.6</v>
      </c>
      <c r="D1356">
        <v>3.6</v>
      </c>
      <c r="E1356">
        <v>11</v>
      </c>
      <c r="F1356">
        <v>25</v>
      </c>
      <c r="H1356">
        <v>25</v>
      </c>
      <c r="I1356">
        <v>0.93</v>
      </c>
      <c r="J1356">
        <v>251</v>
      </c>
    </row>
    <row r="1357" spans="1:10" ht="14.25" customHeight="1" x14ac:dyDescent="0.25">
      <c r="A1357" s="21">
        <v>55093</v>
      </c>
      <c r="B1357" s="21"/>
      <c r="C1357">
        <v>5.0999999999999996</v>
      </c>
      <c r="D1357">
        <v>2.9</v>
      </c>
      <c r="E1357">
        <v>43</v>
      </c>
      <c r="F1357">
        <v>25</v>
      </c>
      <c r="H1357">
        <v>25</v>
      </c>
      <c r="I1357">
        <v>1.29</v>
      </c>
      <c r="J1357">
        <v>726</v>
      </c>
    </row>
    <row r="1358" spans="1:10" ht="14.25" customHeight="1" x14ac:dyDescent="0.25">
      <c r="A1358" s="21">
        <v>55095</v>
      </c>
      <c r="B1358" s="21"/>
      <c r="C1358">
        <v>12.5</v>
      </c>
      <c r="D1358">
        <v>2.9</v>
      </c>
      <c r="E1358">
        <v>117</v>
      </c>
      <c r="F1358">
        <v>25</v>
      </c>
      <c r="G1358">
        <v>3</v>
      </c>
      <c r="H1358">
        <v>25</v>
      </c>
      <c r="I1358">
        <v>1.49</v>
      </c>
      <c r="J1358" s="1">
        <v>1534</v>
      </c>
    </row>
    <row r="1359" spans="1:10" ht="14.25" customHeight="1" x14ac:dyDescent="0.25">
      <c r="A1359" s="21">
        <v>55095</v>
      </c>
      <c r="B1359" s="21"/>
      <c r="C1359">
        <v>7.5</v>
      </c>
      <c r="D1359">
        <v>2.8</v>
      </c>
      <c r="E1359">
        <v>84</v>
      </c>
      <c r="F1359">
        <v>25</v>
      </c>
      <c r="H1359">
        <v>25</v>
      </c>
      <c r="I1359">
        <v>1.28</v>
      </c>
      <c r="J1359">
        <v>823</v>
      </c>
    </row>
    <row r="1360" spans="1:10" ht="14.25" customHeight="1" x14ac:dyDescent="0.25">
      <c r="A1360" s="21">
        <v>55095</v>
      </c>
      <c r="B1360" s="21"/>
      <c r="C1360">
        <v>4.0999999999999996</v>
      </c>
      <c r="D1360">
        <v>3</v>
      </c>
      <c r="E1360">
        <v>33</v>
      </c>
      <c r="F1360">
        <v>25</v>
      </c>
      <c r="H1360">
        <v>20</v>
      </c>
      <c r="I1360">
        <v>1.1299999999999999</v>
      </c>
      <c r="J1360">
        <v>432</v>
      </c>
    </row>
    <row r="1361" spans="1:10" ht="14.25" customHeight="1" x14ac:dyDescent="0.25">
      <c r="A1361" s="21">
        <v>55099</v>
      </c>
      <c r="B1361" s="21"/>
      <c r="C1361">
        <v>3.6</v>
      </c>
      <c r="D1361">
        <v>2.6</v>
      </c>
      <c r="E1361">
        <v>31</v>
      </c>
      <c r="F1361">
        <v>24</v>
      </c>
      <c r="G1361">
        <v>4</v>
      </c>
      <c r="H1361">
        <v>24</v>
      </c>
      <c r="I1361">
        <v>1.04</v>
      </c>
      <c r="J1361">
        <v>500</v>
      </c>
    </row>
    <row r="1362" spans="1:10" ht="14.25" customHeight="1" x14ac:dyDescent="0.25">
      <c r="A1362" s="21">
        <v>55103</v>
      </c>
      <c r="B1362" s="21"/>
      <c r="C1362">
        <v>10.5</v>
      </c>
      <c r="D1362">
        <v>3.2</v>
      </c>
      <c r="E1362">
        <v>53</v>
      </c>
      <c r="F1362">
        <v>25</v>
      </c>
      <c r="G1362">
        <v>4</v>
      </c>
      <c r="H1362">
        <v>25</v>
      </c>
      <c r="I1362">
        <v>1.1499999999999999</v>
      </c>
      <c r="J1362" s="1">
        <v>1015</v>
      </c>
    </row>
    <row r="1363" spans="1:10" ht="14.25" customHeight="1" x14ac:dyDescent="0.25">
      <c r="A1363" s="21">
        <v>55105</v>
      </c>
      <c r="B1363" s="21"/>
      <c r="C1363">
        <v>7.5</v>
      </c>
      <c r="D1363">
        <v>3.1</v>
      </c>
      <c r="E1363">
        <v>11</v>
      </c>
      <c r="F1363">
        <v>18</v>
      </c>
      <c r="H1363">
        <v>18</v>
      </c>
      <c r="I1363">
        <v>1.0900000000000001</v>
      </c>
      <c r="J1363">
        <v>160</v>
      </c>
    </row>
    <row r="1364" spans="1:10" ht="14.25" customHeight="1" x14ac:dyDescent="0.25">
      <c r="A1364" s="21">
        <v>55107</v>
      </c>
      <c r="B1364" s="21"/>
      <c r="C1364">
        <v>3.4</v>
      </c>
      <c r="D1364">
        <v>1.2</v>
      </c>
      <c r="E1364">
        <v>30</v>
      </c>
      <c r="F1364">
        <v>25</v>
      </c>
      <c r="H1364">
        <v>25</v>
      </c>
      <c r="I1364">
        <v>1.1299999999999999</v>
      </c>
      <c r="J1364">
        <v>322</v>
      </c>
    </row>
    <row r="1365" spans="1:10" ht="14.25" customHeight="1" x14ac:dyDescent="0.25">
      <c r="A1365" s="21">
        <v>55109</v>
      </c>
      <c r="B1365" s="21"/>
      <c r="C1365">
        <v>9.1999999999999993</v>
      </c>
      <c r="D1365">
        <v>2.5</v>
      </c>
      <c r="E1365">
        <v>76</v>
      </c>
      <c r="F1365">
        <v>25</v>
      </c>
      <c r="H1365">
        <v>25</v>
      </c>
      <c r="I1365">
        <v>1.31</v>
      </c>
      <c r="J1365" s="1">
        <v>1365</v>
      </c>
    </row>
    <row r="1366" spans="1:10" ht="14.25" customHeight="1" x14ac:dyDescent="0.25">
      <c r="A1366" s="21">
        <v>55109</v>
      </c>
      <c r="B1366" s="21"/>
      <c r="C1366">
        <v>3.9</v>
      </c>
      <c r="D1366">
        <v>3.2</v>
      </c>
      <c r="E1366">
        <v>68</v>
      </c>
      <c r="F1366">
        <v>25</v>
      </c>
      <c r="H1366">
        <v>25</v>
      </c>
      <c r="I1366">
        <v>1.28</v>
      </c>
      <c r="J1366">
        <v>489</v>
      </c>
    </row>
    <row r="1367" spans="1:10" ht="14.25" customHeight="1" x14ac:dyDescent="0.25">
      <c r="A1367" s="21">
        <v>55109</v>
      </c>
      <c r="B1367" s="21"/>
      <c r="C1367">
        <v>6.8</v>
      </c>
      <c r="D1367">
        <v>2.5</v>
      </c>
      <c r="E1367">
        <v>76</v>
      </c>
      <c r="F1367">
        <v>25</v>
      </c>
      <c r="H1367">
        <v>25</v>
      </c>
      <c r="I1367">
        <v>1.38</v>
      </c>
      <c r="J1367">
        <v>911</v>
      </c>
    </row>
    <row r="1368" spans="1:10" ht="14.25" customHeight="1" x14ac:dyDescent="0.25">
      <c r="A1368" s="21">
        <v>55111</v>
      </c>
      <c r="B1368" s="21"/>
      <c r="C1368">
        <v>5.8</v>
      </c>
      <c r="D1368">
        <v>2.5</v>
      </c>
      <c r="E1368">
        <v>65</v>
      </c>
      <c r="F1368">
        <v>25</v>
      </c>
      <c r="G1368">
        <v>4</v>
      </c>
      <c r="H1368">
        <v>25</v>
      </c>
      <c r="I1368">
        <v>1.1599999999999999</v>
      </c>
      <c r="J1368">
        <v>812</v>
      </c>
    </row>
    <row r="1369" spans="1:10" ht="14.25" customHeight="1" x14ac:dyDescent="0.25">
      <c r="A1369" s="21">
        <v>55113</v>
      </c>
      <c r="B1369" s="21"/>
      <c r="C1369">
        <v>7.7</v>
      </c>
      <c r="D1369">
        <v>3</v>
      </c>
      <c r="E1369">
        <v>37</v>
      </c>
      <c r="F1369">
        <v>25</v>
      </c>
      <c r="H1369">
        <v>25</v>
      </c>
      <c r="I1369">
        <v>1.1299999999999999</v>
      </c>
      <c r="J1369">
        <v>750</v>
      </c>
    </row>
    <row r="1370" spans="1:10" ht="14.25" customHeight="1" x14ac:dyDescent="0.25">
      <c r="A1370" s="21">
        <v>55115</v>
      </c>
      <c r="B1370" s="21"/>
      <c r="C1370">
        <v>12</v>
      </c>
      <c r="D1370">
        <v>2.8</v>
      </c>
      <c r="E1370">
        <v>101</v>
      </c>
      <c r="F1370">
        <v>25</v>
      </c>
      <c r="H1370">
        <v>25</v>
      </c>
      <c r="I1370">
        <v>1.27</v>
      </c>
      <c r="J1370" s="1">
        <v>1501</v>
      </c>
    </row>
    <row r="1371" spans="1:10" ht="14.25" customHeight="1" x14ac:dyDescent="0.25">
      <c r="A1371" s="21">
        <v>55119</v>
      </c>
      <c r="B1371" s="21"/>
      <c r="C1371">
        <v>5.9</v>
      </c>
      <c r="D1371">
        <v>2.6</v>
      </c>
      <c r="E1371">
        <v>95</v>
      </c>
      <c r="F1371">
        <v>25</v>
      </c>
      <c r="H1371">
        <v>25</v>
      </c>
      <c r="I1371">
        <v>1.2</v>
      </c>
      <c r="J1371">
        <v>652</v>
      </c>
    </row>
    <row r="1372" spans="1:10" ht="14.25" customHeight="1" x14ac:dyDescent="0.25">
      <c r="A1372" s="21">
        <v>55121</v>
      </c>
      <c r="B1372" s="21"/>
      <c r="C1372">
        <v>6.4</v>
      </c>
      <c r="D1372">
        <v>3</v>
      </c>
      <c r="E1372">
        <v>13</v>
      </c>
      <c r="F1372">
        <v>25</v>
      </c>
      <c r="H1372">
        <v>25</v>
      </c>
      <c r="I1372">
        <v>0.98</v>
      </c>
      <c r="J1372">
        <v>216</v>
      </c>
    </row>
    <row r="1373" spans="1:10" ht="14.25" customHeight="1" x14ac:dyDescent="0.25">
      <c r="A1373" s="21">
        <v>55121</v>
      </c>
      <c r="B1373" s="21"/>
      <c r="C1373">
        <v>6.5</v>
      </c>
      <c r="D1373">
        <v>0.5</v>
      </c>
      <c r="J1373">
        <v>200</v>
      </c>
    </row>
    <row r="1374" spans="1:10" ht="14.25" customHeight="1" x14ac:dyDescent="0.25">
      <c r="A1374" s="21">
        <v>55121</v>
      </c>
      <c r="B1374" s="21"/>
      <c r="C1374">
        <v>11.1</v>
      </c>
      <c r="D1374">
        <v>2.8</v>
      </c>
      <c r="E1374">
        <v>23</v>
      </c>
      <c r="F1374">
        <v>18</v>
      </c>
      <c r="H1374">
        <v>18</v>
      </c>
      <c r="I1374">
        <v>1.1200000000000001</v>
      </c>
      <c r="J1374">
        <v>129</v>
      </c>
    </row>
    <row r="1375" spans="1:10" ht="14.25" customHeight="1" x14ac:dyDescent="0.25">
      <c r="A1375" s="21">
        <v>55123</v>
      </c>
      <c r="B1375" s="21"/>
      <c r="C1375">
        <v>2.9</v>
      </c>
      <c r="D1375">
        <v>3.1</v>
      </c>
      <c r="E1375">
        <v>18</v>
      </c>
      <c r="F1375">
        <v>25</v>
      </c>
      <c r="H1375">
        <v>25</v>
      </c>
      <c r="I1375">
        <v>1.18</v>
      </c>
      <c r="J1375">
        <v>263</v>
      </c>
    </row>
    <row r="1376" spans="1:10" ht="14.25" customHeight="1" x14ac:dyDescent="0.25">
      <c r="A1376" s="21">
        <v>55123</v>
      </c>
      <c r="B1376" s="21"/>
      <c r="C1376">
        <v>10</v>
      </c>
      <c r="D1376">
        <v>2.2999999999999998</v>
      </c>
      <c r="E1376">
        <v>59</v>
      </c>
      <c r="F1376">
        <v>25</v>
      </c>
      <c r="H1376">
        <v>25</v>
      </c>
      <c r="I1376">
        <v>1.54</v>
      </c>
      <c r="J1376" s="1">
        <v>1429</v>
      </c>
    </row>
    <row r="1377" spans="1:10" ht="14.25" customHeight="1" x14ac:dyDescent="0.25">
      <c r="A1377" s="21">
        <v>55125</v>
      </c>
      <c r="B1377" s="21"/>
      <c r="C1377">
        <v>4.2</v>
      </c>
      <c r="D1377">
        <v>2.5</v>
      </c>
      <c r="E1377">
        <v>20</v>
      </c>
      <c r="F1377">
        <v>14</v>
      </c>
      <c r="H1377">
        <v>14</v>
      </c>
      <c r="I1377">
        <v>1.1299999999999999</v>
      </c>
      <c r="J1377">
        <v>377</v>
      </c>
    </row>
    <row r="1378" spans="1:10" ht="14.25" customHeight="1" x14ac:dyDescent="0.25">
      <c r="A1378" s="21">
        <v>55127</v>
      </c>
      <c r="B1378" s="21"/>
      <c r="C1378">
        <v>10.199999999999999</v>
      </c>
      <c r="D1378">
        <v>3</v>
      </c>
      <c r="E1378">
        <v>66</v>
      </c>
      <c r="F1378">
        <v>25</v>
      </c>
      <c r="G1378">
        <v>4</v>
      </c>
      <c r="H1378">
        <v>25</v>
      </c>
      <c r="I1378">
        <v>1.38</v>
      </c>
      <c r="J1378" s="1">
        <v>1355</v>
      </c>
    </row>
    <row r="1379" spans="1:10" ht="14.25" customHeight="1" x14ac:dyDescent="0.25">
      <c r="A1379" s="21">
        <v>55129</v>
      </c>
      <c r="B1379" s="21"/>
      <c r="C1379">
        <v>4.0999999999999996</v>
      </c>
      <c r="D1379">
        <v>1.4</v>
      </c>
      <c r="E1379">
        <v>8</v>
      </c>
      <c r="F1379">
        <v>25</v>
      </c>
      <c r="H1379">
        <v>25</v>
      </c>
      <c r="I1379">
        <v>0.87</v>
      </c>
      <c r="J1379">
        <v>268</v>
      </c>
    </row>
    <row r="1380" spans="1:10" ht="14.25" customHeight="1" x14ac:dyDescent="0.25">
      <c r="A1380" s="21">
        <v>55129</v>
      </c>
      <c r="B1380" s="21"/>
      <c r="C1380">
        <v>6</v>
      </c>
      <c r="D1380">
        <v>3.6</v>
      </c>
      <c r="E1380">
        <v>14</v>
      </c>
      <c r="F1380">
        <v>20</v>
      </c>
      <c r="H1380">
        <v>20</v>
      </c>
      <c r="I1380">
        <v>1.1599999999999999</v>
      </c>
      <c r="J1380">
        <v>289</v>
      </c>
    </row>
    <row r="1381" spans="1:10" ht="14.25" customHeight="1" x14ac:dyDescent="0.25">
      <c r="A1381" s="21">
        <v>55135</v>
      </c>
      <c r="B1381" s="21"/>
      <c r="C1381">
        <v>8</v>
      </c>
      <c r="D1381">
        <v>2</v>
      </c>
      <c r="E1381">
        <v>60</v>
      </c>
      <c r="F1381">
        <v>25</v>
      </c>
      <c r="H1381">
        <v>25</v>
      </c>
      <c r="I1381">
        <v>1.31</v>
      </c>
      <c r="J1381">
        <v>887</v>
      </c>
    </row>
    <row r="1382" spans="1:10" ht="14.25" customHeight="1" x14ac:dyDescent="0.25">
      <c r="A1382" s="21">
        <v>55135</v>
      </c>
      <c r="B1382" s="21"/>
      <c r="C1382">
        <v>8.5</v>
      </c>
      <c r="D1382">
        <v>2.7</v>
      </c>
      <c r="E1382">
        <v>71</v>
      </c>
      <c r="F1382">
        <v>25</v>
      </c>
      <c r="G1382">
        <v>4</v>
      </c>
      <c r="H1382">
        <v>25</v>
      </c>
      <c r="I1382">
        <v>1.1499999999999999</v>
      </c>
      <c r="J1382">
        <v>970</v>
      </c>
    </row>
    <row r="1383" spans="1:10" ht="14.25" customHeight="1" x14ac:dyDescent="0.25">
      <c r="A1383" s="21">
        <v>55137</v>
      </c>
      <c r="B1383" s="21"/>
      <c r="C1383">
        <v>5.0999999999999996</v>
      </c>
      <c r="D1383">
        <v>3.2</v>
      </c>
      <c r="E1383">
        <v>15</v>
      </c>
      <c r="F1383">
        <v>25</v>
      </c>
      <c r="H1383">
        <v>25</v>
      </c>
      <c r="I1383">
        <v>1.01</v>
      </c>
      <c r="J1383">
        <v>191</v>
      </c>
    </row>
    <row r="1384" spans="1:10" ht="14.25" customHeight="1" x14ac:dyDescent="0.25">
      <c r="A1384" s="21">
        <v>56003</v>
      </c>
      <c r="B1384" s="21"/>
      <c r="C1384">
        <v>2.2000000000000002</v>
      </c>
      <c r="D1384">
        <v>3.5</v>
      </c>
      <c r="E1384">
        <v>4</v>
      </c>
      <c r="F1384">
        <v>10</v>
      </c>
      <c r="H1384">
        <v>10</v>
      </c>
      <c r="I1384">
        <v>0.93</v>
      </c>
      <c r="J1384">
        <v>65</v>
      </c>
    </row>
    <row r="1385" spans="1:10" ht="14.25" customHeight="1" x14ac:dyDescent="0.25">
      <c r="A1385" s="21">
        <v>56003</v>
      </c>
      <c r="B1385" s="21"/>
      <c r="C1385">
        <v>7</v>
      </c>
      <c r="D1385">
        <v>2.9</v>
      </c>
      <c r="E1385">
        <v>14</v>
      </c>
      <c r="F1385">
        <v>12</v>
      </c>
      <c r="H1385">
        <v>12</v>
      </c>
      <c r="I1385">
        <v>1</v>
      </c>
      <c r="J1385">
        <v>263</v>
      </c>
    </row>
    <row r="1386" spans="1:10" ht="14.25" customHeight="1" x14ac:dyDescent="0.25">
      <c r="A1386" s="21">
        <v>56007</v>
      </c>
      <c r="B1386" s="21"/>
      <c r="C1386">
        <v>4.7</v>
      </c>
      <c r="D1386">
        <v>2.6</v>
      </c>
      <c r="E1386">
        <v>33</v>
      </c>
      <c r="F1386">
        <v>25</v>
      </c>
      <c r="G1386">
        <v>6</v>
      </c>
      <c r="H1386">
        <v>25</v>
      </c>
      <c r="I1386">
        <v>1.08</v>
      </c>
      <c r="J1386">
        <v>622</v>
      </c>
    </row>
    <row r="1387" spans="1:10" ht="14.25" customHeight="1" x14ac:dyDescent="0.25">
      <c r="A1387" s="21">
        <v>56009</v>
      </c>
      <c r="B1387" s="21"/>
      <c r="C1387">
        <v>7.2</v>
      </c>
      <c r="D1387">
        <v>2.7</v>
      </c>
      <c r="E1387">
        <v>54</v>
      </c>
      <c r="F1387">
        <v>25</v>
      </c>
      <c r="H1387">
        <v>25</v>
      </c>
      <c r="I1387">
        <v>1.32</v>
      </c>
      <c r="J1387">
        <v>758</v>
      </c>
    </row>
    <row r="1388" spans="1:10" ht="14.25" customHeight="1" x14ac:dyDescent="0.25">
      <c r="A1388" s="21">
        <v>56011</v>
      </c>
      <c r="B1388" s="21"/>
      <c r="C1388">
        <v>3</v>
      </c>
      <c r="D1388">
        <v>2.2000000000000002</v>
      </c>
      <c r="E1388">
        <v>9</v>
      </c>
      <c r="F1388">
        <v>16</v>
      </c>
      <c r="H1388">
        <v>16</v>
      </c>
      <c r="I1388">
        <v>0.94</v>
      </c>
      <c r="J1388">
        <v>65</v>
      </c>
    </row>
    <row r="1389" spans="1:10" ht="14.25" customHeight="1" x14ac:dyDescent="0.25">
      <c r="A1389" s="21">
        <v>56015</v>
      </c>
      <c r="B1389" s="21"/>
      <c r="C1389">
        <v>4.8</v>
      </c>
      <c r="D1389">
        <v>2.7</v>
      </c>
      <c r="E1389">
        <v>28</v>
      </c>
      <c r="F1389">
        <v>25</v>
      </c>
      <c r="H1389">
        <v>25</v>
      </c>
      <c r="I1389">
        <v>1.1399999999999999</v>
      </c>
      <c r="J1389">
        <v>437</v>
      </c>
    </row>
    <row r="1390" spans="1:10" ht="14.25" customHeight="1" x14ac:dyDescent="0.25">
      <c r="A1390" s="21">
        <v>56017</v>
      </c>
      <c r="B1390" s="21"/>
      <c r="C1390">
        <v>4.3</v>
      </c>
      <c r="D1390">
        <v>2.5</v>
      </c>
      <c r="E1390">
        <v>20</v>
      </c>
      <c r="F1390">
        <v>25</v>
      </c>
      <c r="H1390">
        <v>25</v>
      </c>
      <c r="I1390">
        <v>1.03</v>
      </c>
      <c r="J1390">
        <v>489</v>
      </c>
    </row>
    <row r="1391" spans="1:10" ht="14.25" customHeight="1" x14ac:dyDescent="0.25">
      <c r="A1391" s="21">
        <v>56019</v>
      </c>
      <c r="B1391" s="21"/>
      <c r="C1391">
        <v>6.1</v>
      </c>
      <c r="D1391">
        <v>3.1</v>
      </c>
      <c r="E1391">
        <v>15</v>
      </c>
      <c r="F1391">
        <v>22</v>
      </c>
      <c r="H1391">
        <v>22</v>
      </c>
      <c r="I1391">
        <v>0.9</v>
      </c>
      <c r="J1391">
        <v>332</v>
      </c>
    </row>
    <row r="1392" spans="1:10" ht="14.25" customHeight="1" x14ac:dyDescent="0.25">
      <c r="A1392" s="21">
        <v>56023</v>
      </c>
      <c r="B1392" s="21"/>
      <c r="C1392">
        <v>6.8</v>
      </c>
      <c r="D1392">
        <v>2.2999999999999998</v>
      </c>
      <c r="E1392">
        <v>61</v>
      </c>
      <c r="F1392">
        <v>22</v>
      </c>
      <c r="H1392">
        <v>22</v>
      </c>
      <c r="I1392">
        <v>1.64</v>
      </c>
      <c r="J1392">
        <v>739</v>
      </c>
    </row>
    <row r="1393" spans="1:10" ht="14.25" customHeight="1" x14ac:dyDescent="0.25">
      <c r="A1393" s="21">
        <v>56023</v>
      </c>
      <c r="B1393" s="21"/>
      <c r="C1393">
        <v>1.5</v>
      </c>
      <c r="D1393">
        <v>2.4</v>
      </c>
      <c r="E1393">
        <v>14</v>
      </c>
      <c r="F1393">
        <v>13</v>
      </c>
      <c r="H1393">
        <v>13</v>
      </c>
      <c r="I1393">
        <v>0.9</v>
      </c>
      <c r="J1393">
        <v>123</v>
      </c>
    </row>
    <row r="1394" spans="1:10" ht="14.25" customHeight="1" x14ac:dyDescent="0.25">
      <c r="A1394" s="21">
        <v>56027</v>
      </c>
      <c r="B1394" s="21"/>
      <c r="C1394">
        <v>20</v>
      </c>
      <c r="D1394">
        <v>2.6</v>
      </c>
      <c r="E1394">
        <v>7</v>
      </c>
      <c r="F1394">
        <v>24</v>
      </c>
      <c r="H1394">
        <v>24</v>
      </c>
      <c r="I1394">
        <v>0.98</v>
      </c>
      <c r="J1394">
        <v>51</v>
      </c>
    </row>
    <row r="1395" spans="1:10" ht="14.25" customHeight="1" x14ac:dyDescent="0.25">
      <c r="A1395" s="21">
        <v>56029</v>
      </c>
      <c r="B1395" s="21"/>
      <c r="C1395">
        <v>5.9</v>
      </c>
      <c r="D1395">
        <v>1.8</v>
      </c>
      <c r="E1395">
        <v>40</v>
      </c>
      <c r="F1395">
        <v>25</v>
      </c>
      <c r="H1395">
        <v>25</v>
      </c>
      <c r="I1395">
        <v>1.35</v>
      </c>
      <c r="J1395">
        <v>492</v>
      </c>
    </row>
    <row r="1396" spans="1:10" ht="14.25" customHeight="1" x14ac:dyDescent="0.25">
      <c r="A1396" s="21">
        <v>56029</v>
      </c>
      <c r="B1396" s="21"/>
      <c r="C1396">
        <v>11.7</v>
      </c>
      <c r="D1396">
        <v>3.3</v>
      </c>
      <c r="E1396">
        <v>79</v>
      </c>
      <c r="F1396">
        <v>25</v>
      </c>
      <c r="G1396">
        <v>4</v>
      </c>
      <c r="H1396">
        <v>25</v>
      </c>
      <c r="I1396">
        <v>1.58</v>
      </c>
      <c r="J1396" s="1">
        <v>1274</v>
      </c>
    </row>
    <row r="1397" spans="1:10" ht="14.25" customHeight="1" x14ac:dyDescent="0.25">
      <c r="A1397" s="21">
        <v>56031</v>
      </c>
      <c r="B1397" s="21"/>
      <c r="C1397">
        <v>4.2</v>
      </c>
      <c r="D1397">
        <v>3</v>
      </c>
      <c r="E1397">
        <v>19</v>
      </c>
      <c r="F1397">
        <v>25</v>
      </c>
      <c r="H1397">
        <v>25</v>
      </c>
      <c r="I1397">
        <v>1.07</v>
      </c>
      <c r="J1397">
        <v>370</v>
      </c>
    </row>
    <row r="1398" spans="1:10" ht="14.25" customHeight="1" x14ac:dyDescent="0.25">
      <c r="A1398" s="21">
        <v>56043</v>
      </c>
      <c r="B1398" s="21"/>
      <c r="C1398">
        <v>5.2</v>
      </c>
      <c r="D1398">
        <v>2.9</v>
      </c>
      <c r="E1398">
        <v>26</v>
      </c>
      <c r="F1398">
        <v>18</v>
      </c>
      <c r="H1398">
        <v>18</v>
      </c>
      <c r="I1398">
        <v>1.32</v>
      </c>
      <c r="J1398">
        <v>418</v>
      </c>
    </row>
    <row r="1399" spans="1:10" ht="14.25" customHeight="1" x14ac:dyDescent="0.25">
      <c r="A1399" s="21">
        <v>56045</v>
      </c>
      <c r="B1399" s="21"/>
      <c r="C1399">
        <v>5.3</v>
      </c>
      <c r="D1399">
        <v>3.2</v>
      </c>
      <c r="E1399">
        <v>11</v>
      </c>
      <c r="F1399">
        <v>12</v>
      </c>
      <c r="H1399">
        <v>12</v>
      </c>
      <c r="I1399">
        <v>0.93</v>
      </c>
      <c r="J1399">
        <v>110</v>
      </c>
    </row>
    <row r="1400" spans="1:10" ht="14.25" customHeight="1" x14ac:dyDescent="0.25">
      <c r="A1400" s="21" t="str">
        <f>"01001"</f>
        <v>01001</v>
      </c>
      <c r="B1400" s="21"/>
      <c r="C1400">
        <v>34.299999999999997</v>
      </c>
      <c r="D1400">
        <v>4.3</v>
      </c>
      <c r="E1400">
        <v>84</v>
      </c>
      <c r="F1400">
        <v>55</v>
      </c>
      <c r="G1400">
        <v>6</v>
      </c>
      <c r="H1400">
        <v>55</v>
      </c>
      <c r="I1400">
        <v>1.19</v>
      </c>
      <c r="J1400" s="1">
        <v>2887</v>
      </c>
    </row>
    <row r="1401" spans="1:10" ht="14.25" customHeight="1" x14ac:dyDescent="0.25">
      <c r="A1401" s="21" t="str">
        <f>"01003"</f>
        <v>01003</v>
      </c>
      <c r="B1401" s="21"/>
      <c r="C1401">
        <v>99.3</v>
      </c>
      <c r="D1401">
        <v>3.7</v>
      </c>
      <c r="E1401">
        <v>293</v>
      </c>
      <c r="F1401">
        <v>129</v>
      </c>
      <c r="G1401">
        <v>10</v>
      </c>
      <c r="H1401">
        <v>129</v>
      </c>
      <c r="I1401">
        <v>1.79</v>
      </c>
      <c r="J1401" s="1">
        <v>10337</v>
      </c>
    </row>
    <row r="1402" spans="1:10" ht="14.25" customHeight="1" x14ac:dyDescent="0.25">
      <c r="A1402" s="21" t="str">
        <f>"01003"</f>
        <v>01003</v>
      </c>
      <c r="B1402" s="21"/>
      <c r="C1402">
        <v>15.7</v>
      </c>
      <c r="D1402">
        <v>3.2</v>
      </c>
      <c r="E1402">
        <v>44</v>
      </c>
      <c r="F1402">
        <v>55</v>
      </c>
      <c r="G1402">
        <v>4</v>
      </c>
      <c r="H1402">
        <v>55</v>
      </c>
      <c r="I1402">
        <v>1.31</v>
      </c>
      <c r="J1402" s="1">
        <v>1922</v>
      </c>
    </row>
    <row r="1403" spans="1:10" ht="14.25" customHeight="1" x14ac:dyDescent="0.25">
      <c r="A1403" s="21" t="str">
        <f>"01003"</f>
        <v>01003</v>
      </c>
      <c r="B1403" s="21"/>
      <c r="C1403">
        <v>67.3</v>
      </c>
      <c r="D1403">
        <v>5</v>
      </c>
      <c r="E1403">
        <v>180</v>
      </c>
      <c r="F1403">
        <v>112</v>
      </c>
      <c r="G1403">
        <v>30</v>
      </c>
      <c r="H1403">
        <v>112</v>
      </c>
      <c r="I1403">
        <v>1.57</v>
      </c>
      <c r="J1403" s="1">
        <v>5246</v>
      </c>
    </row>
    <row r="1404" spans="1:10" ht="14.25" customHeight="1" x14ac:dyDescent="0.25">
      <c r="A1404" s="21" t="str">
        <f>"01005"</f>
        <v>01005</v>
      </c>
      <c r="B1404" s="21"/>
      <c r="C1404">
        <v>12.9</v>
      </c>
      <c r="D1404">
        <v>4.7</v>
      </c>
      <c r="E1404">
        <v>37</v>
      </c>
      <c r="F1404">
        <v>30</v>
      </c>
      <c r="G1404">
        <v>5</v>
      </c>
      <c r="H1404">
        <v>30</v>
      </c>
      <c r="I1404">
        <v>1.1100000000000001</v>
      </c>
      <c r="J1404" s="1">
        <v>1005</v>
      </c>
    </row>
    <row r="1405" spans="1:10" ht="14.25" customHeight="1" x14ac:dyDescent="0.25">
      <c r="A1405" s="21" t="str">
        <f>"01007"</f>
        <v>01007</v>
      </c>
      <c r="B1405" s="21"/>
      <c r="C1405">
        <v>10.8</v>
      </c>
      <c r="D1405">
        <v>10.199999999999999</v>
      </c>
      <c r="E1405">
        <v>27</v>
      </c>
      <c r="F1405">
        <v>25</v>
      </c>
      <c r="H1405">
        <v>25</v>
      </c>
      <c r="I1405">
        <v>1.02</v>
      </c>
      <c r="J1405">
        <v>385</v>
      </c>
    </row>
    <row r="1406" spans="1:10" ht="14.25" customHeight="1" x14ac:dyDescent="0.25">
      <c r="A1406" s="21" t="str">
        <f>"01011"</f>
        <v>01011</v>
      </c>
      <c r="B1406" s="21"/>
      <c r="C1406">
        <v>6.4</v>
      </c>
      <c r="D1406">
        <v>4.9000000000000004</v>
      </c>
      <c r="E1406">
        <v>5</v>
      </c>
      <c r="F1406">
        <v>30</v>
      </c>
      <c r="H1406">
        <v>30</v>
      </c>
      <c r="I1406">
        <v>1.0900000000000001</v>
      </c>
      <c r="J1406">
        <v>473</v>
      </c>
    </row>
    <row r="1407" spans="1:10" ht="14.25" customHeight="1" x14ac:dyDescent="0.25">
      <c r="A1407" s="21" t="str">
        <f>"01013"</f>
        <v>01013</v>
      </c>
      <c r="B1407" s="21"/>
      <c r="C1407">
        <v>3.8</v>
      </c>
      <c r="D1407">
        <v>3</v>
      </c>
      <c r="I1407">
        <v>0.88</v>
      </c>
      <c r="J1407">
        <v>458</v>
      </c>
    </row>
    <row r="1408" spans="1:10" ht="14.25" customHeight="1" x14ac:dyDescent="0.25">
      <c r="A1408" s="21" t="str">
        <f>"01013"</f>
        <v>01013</v>
      </c>
      <c r="B1408" s="21"/>
      <c r="C1408">
        <v>8.1999999999999993</v>
      </c>
      <c r="D1408">
        <v>3.8</v>
      </c>
      <c r="E1408">
        <v>22</v>
      </c>
      <c r="F1408">
        <v>44</v>
      </c>
      <c r="G1408">
        <v>7</v>
      </c>
      <c r="H1408">
        <v>44</v>
      </c>
      <c r="I1408">
        <v>1.1399999999999999</v>
      </c>
      <c r="J1408">
        <v>790</v>
      </c>
    </row>
    <row r="1409" spans="1:10" ht="14.25" customHeight="1" x14ac:dyDescent="0.25">
      <c r="A1409" s="21" t="str">
        <f>"01015"</f>
        <v>01015</v>
      </c>
      <c r="B1409" s="21"/>
      <c r="C1409">
        <v>12.3</v>
      </c>
      <c r="D1409">
        <v>4.8</v>
      </c>
      <c r="I1409">
        <v>1.03</v>
      </c>
      <c r="J1409">
        <v>933</v>
      </c>
    </row>
    <row r="1410" spans="1:10" ht="14.25" customHeight="1" x14ac:dyDescent="0.25">
      <c r="A1410" s="21" t="str">
        <f>"01015"</f>
        <v>01015</v>
      </c>
      <c r="B1410" s="21"/>
      <c r="C1410">
        <v>32.4</v>
      </c>
      <c r="D1410">
        <v>4.4000000000000004</v>
      </c>
      <c r="E1410">
        <v>41</v>
      </c>
      <c r="F1410">
        <v>125</v>
      </c>
      <c r="G1410">
        <v>6</v>
      </c>
      <c r="H1410">
        <v>125</v>
      </c>
      <c r="I1410">
        <v>1.3</v>
      </c>
      <c r="J1410" s="1">
        <v>2716</v>
      </c>
    </row>
    <row r="1411" spans="1:10" ht="14.25" customHeight="1" x14ac:dyDescent="0.25">
      <c r="A1411" s="21" t="str">
        <f>"01015"</f>
        <v>01015</v>
      </c>
      <c r="B1411" s="21"/>
      <c r="C1411">
        <v>138.9</v>
      </c>
      <c r="D1411">
        <v>4.3</v>
      </c>
      <c r="E1411">
        <v>228</v>
      </c>
      <c r="F1411">
        <v>272</v>
      </c>
      <c r="G1411">
        <v>18</v>
      </c>
      <c r="H1411">
        <v>272</v>
      </c>
      <c r="I1411">
        <v>1.61</v>
      </c>
      <c r="J1411" s="1">
        <v>13011</v>
      </c>
    </row>
    <row r="1412" spans="1:10" ht="14.25" customHeight="1" x14ac:dyDescent="0.25">
      <c r="A1412" s="21" t="str">
        <f>"01017"</f>
        <v>01017</v>
      </c>
      <c r="B1412" s="21"/>
      <c r="C1412">
        <v>33.5</v>
      </c>
      <c r="D1412">
        <v>5.2</v>
      </c>
      <c r="E1412">
        <v>7</v>
      </c>
      <c r="F1412">
        <v>84</v>
      </c>
      <c r="G1412">
        <v>10</v>
      </c>
      <c r="H1412">
        <v>84</v>
      </c>
      <c r="J1412" s="1">
        <v>2538</v>
      </c>
    </row>
    <row r="1413" spans="1:10" ht="14.25" customHeight="1" x14ac:dyDescent="0.25">
      <c r="A1413" s="21" t="str">
        <f>"01019"</f>
        <v>01019</v>
      </c>
      <c r="B1413" s="21"/>
      <c r="C1413">
        <v>10.9</v>
      </c>
      <c r="D1413">
        <v>6.6</v>
      </c>
      <c r="E1413">
        <v>22</v>
      </c>
      <c r="F1413">
        <v>45</v>
      </c>
      <c r="H1413">
        <v>45</v>
      </c>
      <c r="I1413">
        <v>0.89</v>
      </c>
      <c r="J1413">
        <v>604</v>
      </c>
    </row>
    <row r="1414" spans="1:10" ht="14.25" customHeight="1" x14ac:dyDescent="0.25">
      <c r="A1414" s="21" t="str">
        <f>"01021"</f>
        <v>01021</v>
      </c>
      <c r="B1414" s="21"/>
      <c r="C1414">
        <v>6.9</v>
      </c>
      <c r="D1414">
        <v>4.7</v>
      </c>
      <c r="J1414">
        <v>538</v>
      </c>
    </row>
    <row r="1415" spans="1:10" ht="14.25" customHeight="1" x14ac:dyDescent="0.25">
      <c r="A1415" s="21" t="str">
        <f>"01021"</f>
        <v>01021</v>
      </c>
      <c r="B1415" s="21"/>
      <c r="C1415">
        <v>7.4</v>
      </c>
      <c r="D1415">
        <v>3.7</v>
      </c>
      <c r="E1415">
        <v>34</v>
      </c>
      <c r="F1415">
        <v>26</v>
      </c>
      <c r="G1415">
        <v>6</v>
      </c>
      <c r="H1415">
        <v>26</v>
      </c>
      <c r="I1415">
        <v>1.17</v>
      </c>
      <c r="J1415">
        <v>723</v>
      </c>
    </row>
    <row r="1416" spans="1:10" ht="14.25" customHeight="1" x14ac:dyDescent="0.25">
      <c r="A1416" s="21" t="str">
        <f>"01025"</f>
        <v>01025</v>
      </c>
      <c r="B1416" s="21"/>
      <c r="C1416">
        <v>5.6</v>
      </c>
      <c r="D1416">
        <v>2.7</v>
      </c>
      <c r="J1416">
        <v>764</v>
      </c>
    </row>
    <row r="1417" spans="1:10" ht="14.25" customHeight="1" x14ac:dyDescent="0.25">
      <c r="A1417" s="21" t="str">
        <f>"01025"</f>
        <v>01025</v>
      </c>
      <c r="B1417" s="21"/>
      <c r="C1417">
        <v>6.6</v>
      </c>
      <c r="D1417">
        <v>3.4</v>
      </c>
      <c r="E1417">
        <v>26</v>
      </c>
      <c r="F1417">
        <v>21</v>
      </c>
      <c r="H1417">
        <v>21</v>
      </c>
      <c r="I1417">
        <v>1.07</v>
      </c>
      <c r="J1417">
        <v>840</v>
      </c>
    </row>
    <row r="1418" spans="1:10" ht="14.25" customHeight="1" x14ac:dyDescent="0.25">
      <c r="A1418" s="21" t="str">
        <f>"01025"</f>
        <v>01025</v>
      </c>
      <c r="B1418" s="21"/>
      <c r="C1418">
        <v>9.3000000000000007</v>
      </c>
      <c r="D1418">
        <v>4.5999999999999996</v>
      </c>
      <c r="E1418">
        <v>14</v>
      </c>
      <c r="F1418">
        <v>35</v>
      </c>
      <c r="H1418">
        <v>35</v>
      </c>
      <c r="I1418">
        <v>0.97</v>
      </c>
      <c r="J1418">
        <v>746</v>
      </c>
    </row>
    <row r="1419" spans="1:10" ht="14.25" customHeight="1" x14ac:dyDescent="0.25">
      <c r="A1419" s="21" t="str">
        <f>"01025"</f>
        <v>01025</v>
      </c>
      <c r="B1419" s="21"/>
    </row>
    <row r="1420" spans="1:10" ht="14.25" customHeight="1" x14ac:dyDescent="0.25">
      <c r="A1420" s="21" t="str">
        <f>"01027"</f>
        <v>01027</v>
      </c>
      <c r="B1420" s="21"/>
      <c r="C1420">
        <v>12.9</v>
      </c>
      <c r="D1420">
        <v>5.0999999999999996</v>
      </c>
      <c r="E1420">
        <v>23</v>
      </c>
      <c r="F1420">
        <v>46</v>
      </c>
      <c r="G1420">
        <v>4</v>
      </c>
      <c r="H1420">
        <v>46</v>
      </c>
      <c r="I1420">
        <v>1.1399999999999999</v>
      </c>
      <c r="J1420">
        <v>927</v>
      </c>
    </row>
    <row r="1421" spans="1:10" ht="14.25" customHeight="1" x14ac:dyDescent="0.25">
      <c r="A1421" s="21" t="str">
        <f>"01031"</f>
        <v>01031</v>
      </c>
      <c r="B1421" s="21"/>
      <c r="C1421">
        <v>0.7</v>
      </c>
      <c r="D1421">
        <v>3.6</v>
      </c>
      <c r="J1421">
        <v>77</v>
      </c>
    </row>
    <row r="1422" spans="1:10" ht="14.25" customHeight="1" x14ac:dyDescent="0.25">
      <c r="A1422" s="21" t="str">
        <f>"01031"</f>
        <v>01031</v>
      </c>
      <c r="B1422" s="21"/>
      <c r="C1422">
        <v>23.6</v>
      </c>
      <c r="D1422">
        <v>3</v>
      </c>
      <c r="E1422">
        <v>91</v>
      </c>
      <c r="F1422">
        <v>99</v>
      </c>
      <c r="G1422">
        <v>7</v>
      </c>
      <c r="H1422">
        <v>99</v>
      </c>
      <c r="I1422">
        <v>1.39</v>
      </c>
      <c r="J1422" s="1">
        <v>3392</v>
      </c>
    </row>
    <row r="1423" spans="1:10" ht="14.25" customHeight="1" x14ac:dyDescent="0.25">
      <c r="A1423" s="21" t="str">
        <f>"01033"</f>
        <v>01033</v>
      </c>
      <c r="B1423" s="21"/>
      <c r="C1423">
        <v>14.9</v>
      </c>
      <c r="D1423">
        <v>4.5999999999999996</v>
      </c>
      <c r="E1423">
        <v>70</v>
      </c>
      <c r="F1423">
        <v>122</v>
      </c>
      <c r="G1423">
        <v>10</v>
      </c>
      <c r="H1423">
        <v>122</v>
      </c>
      <c r="I1423">
        <v>1.17</v>
      </c>
      <c r="J1423" s="1">
        <v>1194</v>
      </c>
    </row>
    <row r="1424" spans="1:10" ht="14.25" customHeight="1" x14ac:dyDescent="0.25">
      <c r="A1424" s="21" t="str">
        <f>"01033"</f>
        <v>01033</v>
      </c>
      <c r="B1424" s="21"/>
      <c r="C1424">
        <v>69.3</v>
      </c>
      <c r="D1424">
        <v>3.9</v>
      </c>
      <c r="E1424">
        <v>157</v>
      </c>
      <c r="F1424">
        <v>178</v>
      </c>
      <c r="G1424">
        <v>12</v>
      </c>
      <c r="H1424">
        <v>178</v>
      </c>
      <c r="I1424">
        <v>1.37</v>
      </c>
      <c r="J1424" s="1">
        <v>6996</v>
      </c>
    </row>
    <row r="1425" spans="1:10" ht="14.25" customHeight="1" x14ac:dyDescent="0.25">
      <c r="A1425" s="21" t="str">
        <f>"01035"</f>
        <v>01035</v>
      </c>
      <c r="B1425" s="21"/>
      <c r="C1425">
        <v>12.9</v>
      </c>
      <c r="D1425">
        <v>3.1</v>
      </c>
      <c r="E1425">
        <v>12</v>
      </c>
      <c r="F1425">
        <v>44</v>
      </c>
      <c r="H1425">
        <v>44</v>
      </c>
      <c r="I1425">
        <v>0.98</v>
      </c>
      <c r="J1425" s="1">
        <v>1543</v>
      </c>
    </row>
    <row r="1426" spans="1:10" ht="14.25" customHeight="1" x14ac:dyDescent="0.25">
      <c r="A1426" s="21" t="str">
        <f>"01039"</f>
        <v>01039</v>
      </c>
      <c r="B1426" s="21"/>
      <c r="C1426">
        <v>27.7</v>
      </c>
      <c r="D1426">
        <v>3.8</v>
      </c>
      <c r="E1426">
        <v>63</v>
      </c>
      <c r="F1426">
        <v>83</v>
      </c>
      <c r="G1426">
        <v>8</v>
      </c>
      <c r="H1426">
        <v>83</v>
      </c>
      <c r="I1426">
        <v>1.3</v>
      </c>
      <c r="J1426" s="1">
        <v>2882</v>
      </c>
    </row>
    <row r="1427" spans="1:10" ht="14.25" customHeight="1" x14ac:dyDescent="0.25">
      <c r="A1427" s="21" t="str">
        <f>"01039"</f>
        <v>01039</v>
      </c>
      <c r="B1427" s="21"/>
      <c r="C1427">
        <v>13.8</v>
      </c>
      <c r="D1427">
        <v>4.7</v>
      </c>
      <c r="E1427">
        <v>32</v>
      </c>
      <c r="F1427">
        <v>45</v>
      </c>
      <c r="G1427">
        <v>5</v>
      </c>
      <c r="H1427">
        <v>45</v>
      </c>
      <c r="I1427">
        <v>1.1299999999999999</v>
      </c>
      <c r="J1427" s="1">
        <v>1077</v>
      </c>
    </row>
    <row r="1428" spans="1:10" ht="14.25" customHeight="1" x14ac:dyDescent="0.25">
      <c r="A1428" s="21" t="str">
        <f>"01039"</f>
        <v>01039</v>
      </c>
      <c r="B1428" s="21"/>
      <c r="C1428">
        <v>0.9</v>
      </c>
      <c r="D1428">
        <v>3.2</v>
      </c>
      <c r="J1428">
        <v>99</v>
      </c>
    </row>
    <row r="1429" spans="1:10" ht="14.25" customHeight="1" x14ac:dyDescent="0.25">
      <c r="A1429" s="21" t="str">
        <f>"01041"</f>
        <v>01041</v>
      </c>
      <c r="B1429" s="21"/>
      <c r="C1429">
        <v>3.7</v>
      </c>
      <c r="D1429">
        <v>4.2</v>
      </c>
      <c r="E1429">
        <v>8</v>
      </c>
      <c r="F1429">
        <v>29</v>
      </c>
      <c r="H1429">
        <v>29</v>
      </c>
      <c r="I1429">
        <v>1.0900000000000001</v>
      </c>
      <c r="J1429">
        <v>314</v>
      </c>
    </row>
    <row r="1430" spans="1:10" ht="14.25" customHeight="1" x14ac:dyDescent="0.25">
      <c r="A1430" s="21" t="str">
        <f>"01043"</f>
        <v>01043</v>
      </c>
      <c r="B1430" s="21"/>
      <c r="C1430">
        <v>73.7</v>
      </c>
      <c r="D1430">
        <v>3.5</v>
      </c>
      <c r="E1430">
        <v>217</v>
      </c>
      <c r="F1430">
        <v>145</v>
      </c>
      <c r="G1430">
        <v>12</v>
      </c>
      <c r="H1430">
        <v>145</v>
      </c>
      <c r="I1430">
        <v>1.37</v>
      </c>
      <c r="J1430" s="1">
        <v>7771</v>
      </c>
    </row>
    <row r="1431" spans="1:10" ht="14.25" customHeight="1" x14ac:dyDescent="0.25">
      <c r="A1431" s="21" t="str">
        <f>"01043"</f>
        <v>01043</v>
      </c>
      <c r="B1431" s="21"/>
      <c r="C1431">
        <v>14.7</v>
      </c>
      <c r="D1431">
        <v>3.7</v>
      </c>
      <c r="J1431" s="1">
        <v>1442</v>
      </c>
    </row>
    <row r="1432" spans="1:10" ht="14.25" customHeight="1" x14ac:dyDescent="0.25">
      <c r="A1432" s="21" t="str">
        <f>"01045"</f>
        <v>01045</v>
      </c>
      <c r="B1432" s="21"/>
      <c r="C1432">
        <v>20.399999999999999</v>
      </c>
      <c r="D1432">
        <v>6.6</v>
      </c>
      <c r="E1432">
        <v>43</v>
      </c>
      <c r="F1432">
        <v>77</v>
      </c>
      <c r="G1432">
        <v>6</v>
      </c>
      <c r="H1432">
        <v>77</v>
      </c>
      <c r="I1432">
        <v>1.28</v>
      </c>
      <c r="J1432" s="1">
        <v>1132</v>
      </c>
    </row>
    <row r="1433" spans="1:10" ht="14.25" customHeight="1" x14ac:dyDescent="0.25">
      <c r="A1433" s="21" t="str">
        <f>"01047"</f>
        <v>01047</v>
      </c>
      <c r="B1433" s="21"/>
      <c r="C1433">
        <v>44.1</v>
      </c>
      <c r="D1433">
        <v>3.3</v>
      </c>
      <c r="E1433">
        <v>81</v>
      </c>
      <c r="F1433">
        <v>109</v>
      </c>
      <c r="G1433">
        <v>23</v>
      </c>
      <c r="H1433">
        <v>109</v>
      </c>
      <c r="I1433">
        <v>1.32</v>
      </c>
      <c r="J1433" s="1">
        <v>5216</v>
      </c>
    </row>
    <row r="1434" spans="1:10" ht="14.25" customHeight="1" x14ac:dyDescent="0.25">
      <c r="A1434" s="21" t="str">
        <f>"01049"</f>
        <v>01049</v>
      </c>
      <c r="B1434" s="21"/>
      <c r="C1434">
        <v>28.3</v>
      </c>
      <c r="D1434">
        <v>3.6</v>
      </c>
      <c r="E1434">
        <v>78</v>
      </c>
      <c r="F1434">
        <v>97</v>
      </c>
      <c r="G1434">
        <v>12</v>
      </c>
      <c r="H1434">
        <v>97</v>
      </c>
      <c r="I1434">
        <v>1.42</v>
      </c>
      <c r="J1434" s="1">
        <v>3207</v>
      </c>
    </row>
    <row r="1435" spans="1:10" ht="14.25" customHeight="1" x14ac:dyDescent="0.25">
      <c r="A1435" s="21" t="str">
        <f>"01051"</f>
        <v>01051</v>
      </c>
      <c r="B1435" s="21"/>
      <c r="C1435">
        <v>10.9</v>
      </c>
      <c r="D1435">
        <v>5.7</v>
      </c>
      <c r="E1435">
        <v>28</v>
      </c>
      <c r="F1435">
        <v>37</v>
      </c>
      <c r="G1435">
        <v>5</v>
      </c>
      <c r="H1435">
        <v>37</v>
      </c>
      <c r="I1435">
        <v>1.19</v>
      </c>
      <c r="J1435">
        <v>694</v>
      </c>
    </row>
    <row r="1436" spans="1:10" ht="14.25" customHeight="1" x14ac:dyDescent="0.25">
      <c r="A1436" s="21" t="str">
        <f>"01051"</f>
        <v>01051</v>
      </c>
      <c r="B1436" s="21"/>
      <c r="C1436">
        <v>9.8000000000000007</v>
      </c>
      <c r="D1436">
        <v>4.5999999999999996</v>
      </c>
      <c r="E1436">
        <v>42</v>
      </c>
      <c r="F1436">
        <v>33</v>
      </c>
      <c r="H1436">
        <v>33</v>
      </c>
      <c r="I1436">
        <v>1.1200000000000001</v>
      </c>
      <c r="J1436">
        <v>789</v>
      </c>
    </row>
    <row r="1437" spans="1:10" ht="14.25" customHeight="1" x14ac:dyDescent="0.25">
      <c r="A1437" s="21" t="str">
        <f>"01053"</f>
        <v>01053</v>
      </c>
      <c r="B1437" s="21"/>
      <c r="C1437">
        <v>15.4</v>
      </c>
      <c r="D1437">
        <v>4</v>
      </c>
      <c r="E1437">
        <v>36</v>
      </c>
      <c r="F1437">
        <v>46</v>
      </c>
      <c r="G1437">
        <v>8</v>
      </c>
      <c r="H1437">
        <v>46</v>
      </c>
      <c r="I1437">
        <v>1.07</v>
      </c>
      <c r="J1437" s="1">
        <v>1586</v>
      </c>
    </row>
    <row r="1438" spans="1:10" ht="14.25" customHeight="1" x14ac:dyDescent="0.25">
      <c r="A1438" s="21" t="str">
        <f>"01053"</f>
        <v>01053</v>
      </c>
      <c r="B1438" s="21"/>
      <c r="C1438">
        <v>17.5</v>
      </c>
      <c r="D1438">
        <v>4.8</v>
      </c>
      <c r="E1438">
        <v>24</v>
      </c>
      <c r="F1438">
        <v>49</v>
      </c>
      <c r="G1438">
        <v>6</v>
      </c>
      <c r="H1438">
        <v>49</v>
      </c>
      <c r="I1438">
        <v>1.18</v>
      </c>
      <c r="J1438" s="1">
        <v>1333</v>
      </c>
    </row>
    <row r="1439" spans="1:10" ht="14.25" customHeight="1" x14ac:dyDescent="0.25">
      <c r="A1439" s="21" t="str">
        <f>"01055"</f>
        <v>01055</v>
      </c>
      <c r="B1439" s="21"/>
      <c r="C1439">
        <v>163</v>
      </c>
      <c r="D1439">
        <v>4.8</v>
      </c>
      <c r="E1439">
        <v>191</v>
      </c>
      <c r="F1439">
        <v>222</v>
      </c>
      <c r="G1439">
        <v>40</v>
      </c>
      <c r="H1439">
        <v>222</v>
      </c>
      <c r="I1439">
        <v>1.74</v>
      </c>
      <c r="J1439" s="1">
        <v>12898</v>
      </c>
    </row>
    <row r="1440" spans="1:10" ht="14.25" customHeight="1" x14ac:dyDescent="0.25">
      <c r="A1440" s="21" t="str">
        <f>"01055"</f>
        <v>01055</v>
      </c>
      <c r="B1440" s="21"/>
      <c r="C1440">
        <v>67.400000000000006</v>
      </c>
      <c r="D1440">
        <v>3.8</v>
      </c>
      <c r="E1440">
        <v>76</v>
      </c>
      <c r="F1440">
        <v>256</v>
      </c>
      <c r="H1440">
        <v>256</v>
      </c>
      <c r="I1440">
        <v>1.65</v>
      </c>
      <c r="J1440" s="1">
        <v>6497</v>
      </c>
    </row>
    <row r="1441" spans="1:10" ht="14.25" customHeight="1" x14ac:dyDescent="0.25">
      <c r="A1441" s="21" t="str">
        <f>"01057"</f>
        <v>01057</v>
      </c>
      <c r="B1441" s="21"/>
      <c r="C1441">
        <v>10.5</v>
      </c>
      <c r="D1441">
        <v>5.5</v>
      </c>
      <c r="E1441">
        <v>41</v>
      </c>
      <c r="F1441">
        <v>45</v>
      </c>
      <c r="G1441">
        <v>8</v>
      </c>
      <c r="H1441">
        <v>45</v>
      </c>
      <c r="I1441">
        <v>1.1200000000000001</v>
      </c>
      <c r="J1441">
        <v>693</v>
      </c>
    </row>
    <row r="1442" spans="1:10" ht="14.25" customHeight="1" x14ac:dyDescent="0.25">
      <c r="A1442" s="21" t="str">
        <f>"01059"</f>
        <v>01059</v>
      </c>
      <c r="B1442" s="21"/>
      <c r="C1442">
        <v>19.5</v>
      </c>
      <c r="D1442">
        <v>4.2</v>
      </c>
      <c r="E1442">
        <v>29</v>
      </c>
      <c r="F1442">
        <v>49</v>
      </c>
      <c r="G1442">
        <v>7</v>
      </c>
      <c r="H1442">
        <v>49</v>
      </c>
      <c r="I1442">
        <v>1.22</v>
      </c>
      <c r="J1442" s="1">
        <v>1699</v>
      </c>
    </row>
    <row r="1443" spans="1:10" ht="14.25" customHeight="1" x14ac:dyDescent="0.25">
      <c r="A1443" s="21" t="str">
        <f>"01061"</f>
        <v>01061</v>
      </c>
      <c r="B1443" s="21"/>
      <c r="C1443">
        <v>9.6</v>
      </c>
      <c r="D1443">
        <v>4.4000000000000004</v>
      </c>
      <c r="E1443">
        <v>17</v>
      </c>
      <c r="F1443">
        <v>73</v>
      </c>
      <c r="G1443">
        <v>6</v>
      </c>
      <c r="H1443">
        <v>73</v>
      </c>
      <c r="I1443">
        <v>1.2</v>
      </c>
      <c r="J1443">
        <v>805</v>
      </c>
    </row>
    <row r="1444" spans="1:10" ht="14.25" customHeight="1" x14ac:dyDescent="0.25">
      <c r="A1444" s="21" t="str">
        <f>"01063"</f>
        <v>01063</v>
      </c>
      <c r="B1444" s="21"/>
      <c r="C1444">
        <v>4.8</v>
      </c>
      <c r="D1444">
        <v>5</v>
      </c>
      <c r="E1444">
        <v>5</v>
      </c>
      <c r="F1444">
        <v>20</v>
      </c>
      <c r="H1444">
        <v>20</v>
      </c>
      <c r="I1444">
        <v>0.93</v>
      </c>
      <c r="J1444">
        <v>355</v>
      </c>
    </row>
    <row r="1445" spans="1:10" ht="14.25" customHeight="1" x14ac:dyDescent="0.25">
      <c r="A1445" s="21" t="str">
        <f>"01065"</f>
        <v>01065</v>
      </c>
      <c r="B1445" s="21"/>
      <c r="C1445">
        <v>7.3</v>
      </c>
      <c r="D1445">
        <v>7</v>
      </c>
      <c r="E1445">
        <v>12</v>
      </c>
      <c r="F1445">
        <v>28</v>
      </c>
      <c r="H1445">
        <v>28</v>
      </c>
      <c r="I1445">
        <v>0.95</v>
      </c>
      <c r="J1445">
        <v>380</v>
      </c>
    </row>
    <row r="1446" spans="1:10" ht="14.25" customHeight="1" x14ac:dyDescent="0.25">
      <c r="A1446" s="21" t="str">
        <f>"01069"</f>
        <v>01069</v>
      </c>
      <c r="B1446" s="21"/>
      <c r="C1446">
        <v>149.19999999999999</v>
      </c>
      <c r="D1446">
        <v>4.5999999999999996</v>
      </c>
      <c r="E1446">
        <v>285</v>
      </c>
      <c r="F1446">
        <v>235</v>
      </c>
      <c r="G1446">
        <v>32</v>
      </c>
      <c r="H1446">
        <v>235</v>
      </c>
      <c r="I1446">
        <v>1.86</v>
      </c>
      <c r="J1446" s="1">
        <v>12538</v>
      </c>
    </row>
    <row r="1447" spans="1:10" ht="14.25" customHeight="1" x14ac:dyDescent="0.25">
      <c r="A1447" s="21" t="str">
        <f>"01069"</f>
        <v>01069</v>
      </c>
      <c r="B1447" s="21"/>
      <c r="C1447">
        <v>263.60000000000002</v>
      </c>
      <c r="D1447">
        <v>4.8</v>
      </c>
      <c r="E1447">
        <v>302</v>
      </c>
      <c r="F1447">
        <v>342</v>
      </c>
      <c r="G1447">
        <v>42</v>
      </c>
      <c r="H1447">
        <v>342</v>
      </c>
      <c r="I1447">
        <v>1.93</v>
      </c>
      <c r="J1447" s="1">
        <v>20694</v>
      </c>
    </row>
    <row r="1448" spans="1:10" ht="14.25" customHeight="1" x14ac:dyDescent="0.25">
      <c r="A1448" s="21" t="str">
        <f>"01071"</f>
        <v>01071</v>
      </c>
      <c r="B1448" s="21"/>
      <c r="C1448">
        <v>28.3</v>
      </c>
      <c r="D1448">
        <v>4.0999999999999996</v>
      </c>
      <c r="E1448">
        <v>80</v>
      </c>
      <c r="F1448">
        <v>45</v>
      </c>
      <c r="G1448">
        <v>10</v>
      </c>
      <c r="H1448">
        <v>92</v>
      </c>
      <c r="I1448">
        <v>1.21</v>
      </c>
      <c r="J1448" s="1">
        <v>2622</v>
      </c>
    </row>
    <row r="1449" spans="1:10" ht="14.25" customHeight="1" x14ac:dyDescent="0.25">
      <c r="A1449" s="21" t="str">
        <f t="shared" ref="A1449:A1460" si="0">"01073"</f>
        <v>01073</v>
      </c>
      <c r="B1449" s="21"/>
      <c r="C1449">
        <v>269.60000000000002</v>
      </c>
      <c r="D1449">
        <v>4.9000000000000004</v>
      </c>
      <c r="E1449">
        <v>513</v>
      </c>
      <c r="F1449">
        <v>400</v>
      </c>
      <c r="G1449">
        <v>83</v>
      </c>
      <c r="H1449">
        <v>400</v>
      </c>
      <c r="I1449">
        <v>1.96</v>
      </c>
      <c r="J1449" s="1">
        <v>21302</v>
      </c>
    </row>
    <row r="1450" spans="1:10" ht="14.25" customHeight="1" x14ac:dyDescent="0.25">
      <c r="A1450" s="21" t="str">
        <f t="shared" si="0"/>
        <v>01073</v>
      </c>
      <c r="B1450" s="21"/>
      <c r="C1450">
        <v>191.2</v>
      </c>
      <c r="D1450">
        <v>5.0999999999999996</v>
      </c>
      <c r="E1450">
        <v>256</v>
      </c>
      <c r="F1450">
        <v>279</v>
      </c>
      <c r="G1450">
        <v>12</v>
      </c>
      <c r="H1450">
        <v>279</v>
      </c>
      <c r="I1450">
        <v>2.21</v>
      </c>
      <c r="J1450" s="1">
        <v>13790</v>
      </c>
    </row>
    <row r="1451" spans="1:10" ht="14.25" customHeight="1" x14ac:dyDescent="0.25">
      <c r="A1451" s="21" t="str">
        <f t="shared" si="0"/>
        <v>01073</v>
      </c>
      <c r="B1451" s="21"/>
      <c r="C1451">
        <v>295.8</v>
      </c>
      <c r="D1451">
        <v>4.8</v>
      </c>
      <c r="E1451">
        <v>557</v>
      </c>
      <c r="F1451">
        <v>373</v>
      </c>
      <c r="G1451">
        <v>72</v>
      </c>
      <c r="H1451">
        <v>373</v>
      </c>
      <c r="I1451">
        <v>1.91</v>
      </c>
      <c r="J1451" s="1">
        <v>21858</v>
      </c>
    </row>
    <row r="1452" spans="1:10" ht="14.25" customHeight="1" x14ac:dyDescent="0.25">
      <c r="A1452" s="21" t="str">
        <f t="shared" si="0"/>
        <v>01073</v>
      </c>
      <c r="B1452" s="21"/>
      <c r="C1452">
        <v>226.2</v>
      </c>
      <c r="D1452">
        <v>5.9</v>
      </c>
      <c r="E1452">
        <v>294</v>
      </c>
      <c r="F1452">
        <v>309</v>
      </c>
      <c r="G1452">
        <v>30</v>
      </c>
      <c r="H1452">
        <v>309</v>
      </c>
      <c r="I1452">
        <v>1.73</v>
      </c>
      <c r="J1452" s="1">
        <v>14059</v>
      </c>
    </row>
    <row r="1453" spans="1:10" ht="14.25" customHeight="1" x14ac:dyDescent="0.25">
      <c r="A1453" s="21" t="str">
        <f t="shared" si="0"/>
        <v>01073</v>
      </c>
      <c r="B1453" s="21"/>
      <c r="C1453">
        <v>0.7</v>
      </c>
      <c r="D1453">
        <v>2.4</v>
      </c>
      <c r="E1453">
        <v>101</v>
      </c>
      <c r="F1453">
        <v>12</v>
      </c>
      <c r="H1453">
        <v>12</v>
      </c>
      <c r="I1453">
        <v>1.27</v>
      </c>
      <c r="J1453">
        <v>110</v>
      </c>
    </row>
    <row r="1454" spans="1:10" ht="14.25" customHeight="1" x14ac:dyDescent="0.25">
      <c r="A1454" s="21" t="str">
        <f t="shared" si="0"/>
        <v>01073</v>
      </c>
      <c r="B1454" s="21"/>
      <c r="C1454">
        <v>897</v>
      </c>
      <c r="D1454">
        <v>6.2</v>
      </c>
      <c r="E1454" s="1">
        <v>1413</v>
      </c>
      <c r="F1454" s="1">
        <v>1100</v>
      </c>
      <c r="G1454">
        <v>37</v>
      </c>
      <c r="H1454" s="1">
        <v>1100</v>
      </c>
      <c r="I1454">
        <v>2.31</v>
      </c>
      <c r="J1454" s="1">
        <v>53894</v>
      </c>
    </row>
    <row r="1455" spans="1:10" ht="14.25" customHeight="1" x14ac:dyDescent="0.25">
      <c r="A1455" s="21" t="str">
        <f t="shared" si="0"/>
        <v>01073</v>
      </c>
      <c r="B1455" s="21"/>
      <c r="C1455">
        <v>85.5</v>
      </c>
      <c r="D1455">
        <v>4.8</v>
      </c>
      <c r="E1455">
        <v>133</v>
      </c>
      <c r="F1455">
        <v>187</v>
      </c>
      <c r="G1455">
        <v>21</v>
      </c>
      <c r="H1455">
        <v>187</v>
      </c>
      <c r="I1455">
        <v>1.51</v>
      </c>
      <c r="J1455" s="1">
        <v>6652</v>
      </c>
    </row>
    <row r="1456" spans="1:10" ht="14.25" customHeight="1" x14ac:dyDescent="0.25">
      <c r="A1456" s="21" t="str">
        <f t="shared" si="0"/>
        <v>01073</v>
      </c>
      <c r="B1456" s="21"/>
      <c r="C1456">
        <v>33.6</v>
      </c>
      <c r="D1456">
        <v>5.0999999999999996</v>
      </c>
      <c r="J1456" s="1">
        <v>2488</v>
      </c>
    </row>
    <row r="1457" spans="1:10" ht="14.25" customHeight="1" x14ac:dyDescent="0.25">
      <c r="A1457" s="21" t="str">
        <f t="shared" si="0"/>
        <v>01073</v>
      </c>
      <c r="B1457" s="21"/>
      <c r="C1457">
        <v>188.6</v>
      </c>
      <c r="D1457">
        <v>4.8</v>
      </c>
      <c r="E1457">
        <v>386</v>
      </c>
      <c r="F1457">
        <v>425</v>
      </c>
      <c r="G1457">
        <v>26</v>
      </c>
      <c r="H1457">
        <v>425</v>
      </c>
      <c r="I1457">
        <v>1.66</v>
      </c>
      <c r="J1457" s="1">
        <v>15775</v>
      </c>
    </row>
    <row r="1458" spans="1:10" ht="14.25" customHeight="1" x14ac:dyDescent="0.25">
      <c r="A1458" s="21" t="str">
        <f t="shared" si="0"/>
        <v>01073</v>
      </c>
      <c r="B1458" s="21"/>
      <c r="H1458">
        <v>110</v>
      </c>
    </row>
    <row r="1459" spans="1:10" ht="14.25" customHeight="1" x14ac:dyDescent="0.25">
      <c r="A1459" s="21" t="str">
        <f t="shared" si="0"/>
        <v>01073</v>
      </c>
      <c r="B1459" s="21"/>
      <c r="C1459">
        <v>77.2</v>
      </c>
      <c r="D1459">
        <v>6.2</v>
      </c>
      <c r="J1459" s="1">
        <v>4571</v>
      </c>
    </row>
    <row r="1460" spans="1:10" ht="14.25" customHeight="1" x14ac:dyDescent="0.25">
      <c r="A1460" s="21" t="str">
        <f t="shared" si="0"/>
        <v>01073</v>
      </c>
      <c r="B1460" s="21"/>
      <c r="H1460">
        <v>56</v>
      </c>
    </row>
    <row r="1461" spans="1:10" ht="14.25" customHeight="1" x14ac:dyDescent="0.25">
      <c r="A1461" s="21" t="str">
        <f>"01077"</f>
        <v>01077</v>
      </c>
      <c r="B1461" s="21"/>
      <c r="C1461">
        <v>129.9</v>
      </c>
      <c r="D1461">
        <v>5</v>
      </c>
      <c r="E1461">
        <v>215</v>
      </c>
      <c r="F1461">
        <v>233</v>
      </c>
      <c r="G1461">
        <v>36</v>
      </c>
      <c r="H1461">
        <v>233</v>
      </c>
      <c r="I1461">
        <v>1.74</v>
      </c>
      <c r="J1461" s="1">
        <v>12472</v>
      </c>
    </row>
    <row r="1462" spans="1:10" ht="14.25" customHeight="1" x14ac:dyDescent="0.25">
      <c r="A1462" s="21" t="str">
        <f>"01079"</f>
        <v>01079</v>
      </c>
      <c r="B1462" s="21"/>
      <c r="C1462">
        <v>6.5</v>
      </c>
      <c r="D1462">
        <v>4.0999999999999996</v>
      </c>
      <c r="E1462">
        <v>27</v>
      </c>
      <c r="F1462">
        <v>43</v>
      </c>
      <c r="G1462">
        <v>6</v>
      </c>
      <c r="H1462">
        <v>43</v>
      </c>
      <c r="I1462">
        <v>1.18</v>
      </c>
      <c r="J1462">
        <v>573</v>
      </c>
    </row>
    <row r="1463" spans="1:10" ht="14.25" customHeight="1" x14ac:dyDescent="0.25">
      <c r="A1463" s="21" t="str">
        <f>"01081"</f>
        <v>01081</v>
      </c>
      <c r="B1463" s="21"/>
      <c r="C1463">
        <v>205.7</v>
      </c>
      <c r="D1463">
        <v>4.5999999999999996</v>
      </c>
      <c r="E1463">
        <v>338</v>
      </c>
      <c r="F1463">
        <v>299</v>
      </c>
      <c r="G1463">
        <v>20</v>
      </c>
      <c r="H1463">
        <v>299</v>
      </c>
      <c r="I1463">
        <v>1.74</v>
      </c>
      <c r="J1463" s="1">
        <v>17291</v>
      </c>
    </row>
    <row r="1464" spans="1:10" ht="14.25" customHeight="1" x14ac:dyDescent="0.25">
      <c r="A1464" s="21" t="str">
        <f>"01083"</f>
        <v>01083</v>
      </c>
      <c r="B1464" s="21"/>
      <c r="C1464">
        <v>34.200000000000003</v>
      </c>
      <c r="D1464">
        <v>3.2</v>
      </c>
      <c r="E1464">
        <v>129</v>
      </c>
      <c r="F1464">
        <v>66</v>
      </c>
      <c r="G1464">
        <v>10</v>
      </c>
      <c r="H1464">
        <v>66</v>
      </c>
      <c r="I1464">
        <v>1.6</v>
      </c>
      <c r="J1464" s="1">
        <v>4144</v>
      </c>
    </row>
    <row r="1465" spans="1:10" ht="14.25" customHeight="1" x14ac:dyDescent="0.25">
      <c r="A1465" s="21" t="str">
        <f>"01089"</f>
        <v>01089</v>
      </c>
      <c r="B1465" s="21"/>
      <c r="C1465">
        <v>627.1</v>
      </c>
      <c r="D1465">
        <v>4.8</v>
      </c>
      <c r="E1465" s="1">
        <v>1206</v>
      </c>
      <c r="F1465">
        <v>877</v>
      </c>
      <c r="G1465">
        <v>42</v>
      </c>
      <c r="H1465">
        <v>877</v>
      </c>
      <c r="I1465">
        <v>1.87</v>
      </c>
      <c r="J1465" s="1">
        <v>49884</v>
      </c>
    </row>
    <row r="1466" spans="1:10" ht="14.25" customHeight="1" x14ac:dyDescent="0.25">
      <c r="A1466" s="21" t="str">
        <f>"01089"</f>
        <v>01089</v>
      </c>
      <c r="B1466" s="21"/>
      <c r="C1466">
        <v>105.5</v>
      </c>
      <c r="D1466">
        <v>3.7</v>
      </c>
      <c r="E1466">
        <v>238</v>
      </c>
      <c r="F1466">
        <v>183</v>
      </c>
      <c r="G1466">
        <v>16</v>
      </c>
      <c r="H1466">
        <v>183</v>
      </c>
      <c r="I1466">
        <v>1.82</v>
      </c>
      <c r="J1466" s="1">
        <v>10985</v>
      </c>
    </row>
    <row r="1467" spans="1:10" ht="14.25" customHeight="1" x14ac:dyDescent="0.25">
      <c r="A1467" s="21" t="str">
        <f>"01089"</f>
        <v>01089</v>
      </c>
      <c r="B1467" s="21"/>
      <c r="H1467">
        <v>90</v>
      </c>
    </row>
    <row r="1468" spans="1:10" ht="14.25" customHeight="1" x14ac:dyDescent="0.25">
      <c r="A1468" s="21" t="str">
        <f>"01091"</f>
        <v>01091</v>
      </c>
      <c r="B1468" s="21"/>
      <c r="C1468">
        <v>13.6</v>
      </c>
      <c r="D1468">
        <v>4.8</v>
      </c>
      <c r="E1468">
        <v>47</v>
      </c>
      <c r="F1468">
        <v>37</v>
      </c>
      <c r="G1468">
        <v>5</v>
      </c>
      <c r="H1468">
        <v>37</v>
      </c>
      <c r="I1468">
        <v>1.1200000000000001</v>
      </c>
      <c r="J1468" s="1">
        <v>1028</v>
      </c>
    </row>
    <row r="1469" spans="1:10" ht="14.25" customHeight="1" x14ac:dyDescent="0.25">
      <c r="A1469" s="21" t="str">
        <f>"01093"</f>
        <v>01093</v>
      </c>
      <c r="B1469" s="21"/>
      <c r="C1469">
        <v>9.5</v>
      </c>
      <c r="D1469">
        <v>3.8</v>
      </c>
      <c r="E1469">
        <v>45</v>
      </c>
      <c r="F1469">
        <v>61</v>
      </c>
      <c r="G1469">
        <v>4</v>
      </c>
      <c r="H1469">
        <v>61</v>
      </c>
      <c r="I1469">
        <v>1.04</v>
      </c>
      <c r="J1469">
        <v>914</v>
      </c>
    </row>
    <row r="1470" spans="1:10" ht="14.25" customHeight="1" x14ac:dyDescent="0.25">
      <c r="A1470" s="21" t="str">
        <f>"01093"</f>
        <v>01093</v>
      </c>
      <c r="B1470" s="21"/>
      <c r="C1470">
        <v>8.6</v>
      </c>
      <c r="D1470">
        <v>6.5</v>
      </c>
      <c r="E1470">
        <v>17</v>
      </c>
      <c r="F1470">
        <v>36</v>
      </c>
      <c r="G1470">
        <v>4</v>
      </c>
      <c r="H1470">
        <v>36</v>
      </c>
      <c r="I1470">
        <v>1.08</v>
      </c>
      <c r="J1470">
        <v>479</v>
      </c>
    </row>
    <row r="1471" spans="1:10" ht="14.25" customHeight="1" x14ac:dyDescent="0.25">
      <c r="A1471" s="21" t="str">
        <f>"01095"</f>
        <v>01095</v>
      </c>
      <c r="B1471" s="21"/>
      <c r="E1471">
        <v>23</v>
      </c>
      <c r="H1471">
        <v>90</v>
      </c>
    </row>
    <row r="1472" spans="1:10" ht="14.25" customHeight="1" x14ac:dyDescent="0.25">
      <c r="A1472" s="21" t="str">
        <f>"01095"</f>
        <v>01095</v>
      </c>
      <c r="B1472" s="21"/>
      <c r="C1472">
        <v>88.8</v>
      </c>
      <c r="D1472">
        <v>4.5</v>
      </c>
      <c r="E1472">
        <v>234</v>
      </c>
      <c r="F1472">
        <v>204</v>
      </c>
      <c r="G1472">
        <v>20</v>
      </c>
      <c r="H1472">
        <v>150</v>
      </c>
      <c r="I1472">
        <v>1.38</v>
      </c>
      <c r="J1472" s="1">
        <v>7640</v>
      </c>
    </row>
    <row r="1473" spans="1:10" ht="14.25" customHeight="1" x14ac:dyDescent="0.25">
      <c r="A1473" s="21" t="str">
        <f>"01097"</f>
        <v>01097</v>
      </c>
      <c r="B1473" s="21"/>
      <c r="C1473">
        <v>159.5</v>
      </c>
      <c r="D1473">
        <v>5.9</v>
      </c>
      <c r="E1473">
        <v>283</v>
      </c>
      <c r="F1473">
        <v>183</v>
      </c>
      <c r="G1473">
        <v>8</v>
      </c>
      <c r="H1473">
        <v>183</v>
      </c>
      <c r="I1473">
        <v>2.0499999999999998</v>
      </c>
      <c r="J1473" s="1">
        <v>9928</v>
      </c>
    </row>
    <row r="1474" spans="1:10" ht="14.25" customHeight="1" x14ac:dyDescent="0.25">
      <c r="A1474" s="21" t="str">
        <f>"01097"</f>
        <v>01097</v>
      </c>
      <c r="B1474" s="21"/>
      <c r="C1474">
        <v>191.8</v>
      </c>
      <c r="D1474">
        <v>5.0999999999999996</v>
      </c>
      <c r="E1474">
        <v>612</v>
      </c>
      <c r="F1474">
        <v>349</v>
      </c>
      <c r="G1474">
        <v>33</v>
      </c>
      <c r="H1474">
        <v>349</v>
      </c>
      <c r="I1474">
        <v>1.85</v>
      </c>
      <c r="J1474" s="1">
        <v>13968</v>
      </c>
    </row>
    <row r="1475" spans="1:10" ht="14.25" customHeight="1" x14ac:dyDescent="0.25">
      <c r="A1475" s="21" t="str">
        <f>"01097"</f>
        <v>01097</v>
      </c>
      <c r="B1475" s="21"/>
      <c r="C1475">
        <v>397.2</v>
      </c>
      <c r="D1475">
        <v>5.9</v>
      </c>
      <c r="E1475">
        <v>488</v>
      </c>
      <c r="F1475">
        <v>611</v>
      </c>
      <c r="G1475">
        <v>14</v>
      </c>
      <c r="H1475">
        <v>611</v>
      </c>
      <c r="I1475">
        <v>1.87</v>
      </c>
      <c r="J1475" s="1">
        <v>24926</v>
      </c>
    </row>
    <row r="1476" spans="1:10" ht="14.25" customHeight="1" x14ac:dyDescent="0.25">
      <c r="A1476" s="21" t="str">
        <f>"01097"</f>
        <v>01097</v>
      </c>
      <c r="B1476" s="21"/>
      <c r="C1476">
        <v>153.30000000000001</v>
      </c>
      <c r="D1476">
        <v>5.2</v>
      </c>
      <c r="E1476">
        <v>222</v>
      </c>
      <c r="F1476">
        <v>198</v>
      </c>
      <c r="G1476">
        <v>20</v>
      </c>
      <c r="H1476">
        <v>198</v>
      </c>
      <c r="I1476">
        <v>1.87</v>
      </c>
      <c r="J1476" s="1">
        <v>11527</v>
      </c>
    </row>
    <row r="1477" spans="1:10" ht="14.25" customHeight="1" x14ac:dyDescent="0.25">
      <c r="A1477" s="21" t="str">
        <f>"01097"</f>
        <v>01097</v>
      </c>
      <c r="B1477" s="21"/>
      <c r="C1477">
        <v>21.5</v>
      </c>
      <c r="D1477">
        <v>4.5</v>
      </c>
      <c r="J1477" s="1">
        <v>1746</v>
      </c>
    </row>
    <row r="1478" spans="1:10" ht="14.25" customHeight="1" x14ac:dyDescent="0.25">
      <c r="A1478" s="21" t="str">
        <f>"01099"</f>
        <v>01099</v>
      </c>
      <c r="B1478" s="21"/>
      <c r="C1478">
        <v>5.7</v>
      </c>
      <c r="D1478">
        <v>3.6</v>
      </c>
      <c r="E1478">
        <v>42</v>
      </c>
      <c r="F1478">
        <v>49</v>
      </c>
      <c r="G1478">
        <v>8</v>
      </c>
      <c r="H1478">
        <v>49</v>
      </c>
      <c r="I1478">
        <v>1.0900000000000001</v>
      </c>
      <c r="J1478">
        <v>712</v>
      </c>
    </row>
    <row r="1479" spans="1:10" ht="14.25" customHeight="1" x14ac:dyDescent="0.25">
      <c r="A1479" s="21" t="str">
        <f>"01101"</f>
        <v>01101</v>
      </c>
      <c r="B1479" s="21"/>
      <c r="C1479">
        <v>126.1</v>
      </c>
      <c r="D1479">
        <v>3.7</v>
      </c>
      <c r="E1479">
        <v>165</v>
      </c>
      <c r="F1479">
        <v>207</v>
      </c>
      <c r="G1479">
        <v>12</v>
      </c>
      <c r="H1479">
        <v>150</v>
      </c>
      <c r="I1479">
        <v>1.4</v>
      </c>
      <c r="J1479" s="1">
        <v>14510</v>
      </c>
    </row>
    <row r="1480" spans="1:10" ht="14.25" customHeight="1" x14ac:dyDescent="0.25">
      <c r="A1480" s="21" t="str">
        <f>"01101"</f>
        <v>01101</v>
      </c>
      <c r="B1480" s="21"/>
      <c r="C1480">
        <v>227.1</v>
      </c>
      <c r="D1480">
        <v>4.9000000000000004</v>
      </c>
      <c r="E1480">
        <v>357</v>
      </c>
      <c r="F1480">
        <v>320</v>
      </c>
      <c r="G1480">
        <v>12</v>
      </c>
      <c r="H1480">
        <v>320</v>
      </c>
      <c r="I1480">
        <v>1.8</v>
      </c>
      <c r="J1480" s="1">
        <v>17309</v>
      </c>
    </row>
    <row r="1481" spans="1:10" ht="14.25" customHeight="1" x14ac:dyDescent="0.25">
      <c r="A1481" s="21" t="str">
        <f>"01101"</f>
        <v>01101</v>
      </c>
      <c r="B1481" s="21"/>
      <c r="C1481">
        <v>195.7</v>
      </c>
      <c r="D1481">
        <v>4.8</v>
      </c>
      <c r="E1481">
        <v>265</v>
      </c>
      <c r="F1481">
        <v>270</v>
      </c>
      <c r="G1481">
        <v>34</v>
      </c>
      <c r="H1481">
        <v>270</v>
      </c>
      <c r="I1481">
        <v>1.81</v>
      </c>
      <c r="J1481" s="1">
        <v>15439</v>
      </c>
    </row>
    <row r="1482" spans="1:10" ht="14.25" customHeight="1" x14ac:dyDescent="0.25">
      <c r="A1482" s="21" t="str">
        <f>"01103"</f>
        <v>01103</v>
      </c>
      <c r="B1482" s="21"/>
      <c r="C1482">
        <v>8.6</v>
      </c>
      <c r="D1482">
        <v>3.3</v>
      </c>
      <c r="J1482">
        <v>967</v>
      </c>
    </row>
    <row r="1483" spans="1:10" ht="14.25" customHeight="1" x14ac:dyDescent="0.25">
      <c r="A1483" s="21" t="str">
        <f>"01103"</f>
        <v>01103</v>
      </c>
      <c r="B1483" s="21"/>
      <c r="C1483">
        <v>110.8</v>
      </c>
      <c r="D1483">
        <v>4.7</v>
      </c>
      <c r="E1483">
        <v>237</v>
      </c>
      <c r="F1483">
        <v>222</v>
      </c>
      <c r="G1483">
        <v>23</v>
      </c>
      <c r="H1483">
        <v>222</v>
      </c>
      <c r="I1483">
        <v>1.47</v>
      </c>
      <c r="J1483" s="1">
        <v>8787</v>
      </c>
    </row>
    <row r="1484" spans="1:10" ht="14.25" customHeight="1" x14ac:dyDescent="0.25">
      <c r="A1484" s="21" t="str">
        <f>"01103"</f>
        <v>01103</v>
      </c>
      <c r="B1484" s="21"/>
      <c r="E1484">
        <v>11</v>
      </c>
      <c r="H1484">
        <v>120</v>
      </c>
    </row>
    <row r="1485" spans="1:10" ht="14.25" customHeight="1" x14ac:dyDescent="0.25">
      <c r="A1485" s="21" t="str">
        <f>"01107"</f>
        <v>01107</v>
      </c>
      <c r="B1485" s="21"/>
      <c r="C1485">
        <v>5.8</v>
      </c>
      <c r="D1485">
        <v>4.3</v>
      </c>
      <c r="I1485">
        <v>1.03</v>
      </c>
      <c r="J1485">
        <v>484</v>
      </c>
    </row>
    <row r="1486" spans="1:10" ht="14.25" customHeight="1" x14ac:dyDescent="0.25">
      <c r="A1486" s="21" t="str">
        <f>"01109"</f>
        <v>01109</v>
      </c>
      <c r="B1486" s="21"/>
      <c r="C1486">
        <v>17.8</v>
      </c>
      <c r="D1486">
        <v>3.8</v>
      </c>
      <c r="E1486">
        <v>54</v>
      </c>
      <c r="F1486">
        <v>97</v>
      </c>
      <c r="G1486">
        <v>9</v>
      </c>
      <c r="H1486">
        <v>97</v>
      </c>
      <c r="I1486">
        <v>1.33</v>
      </c>
      <c r="J1486" s="1">
        <v>1736</v>
      </c>
    </row>
    <row r="1487" spans="1:10" ht="14.25" customHeight="1" x14ac:dyDescent="0.25">
      <c r="A1487" s="21" t="str">
        <f>"01111"</f>
        <v>01111</v>
      </c>
      <c r="B1487" s="21"/>
    </row>
    <row r="1488" spans="1:10" ht="14.25" customHeight="1" x14ac:dyDescent="0.25">
      <c r="A1488" s="21" t="str">
        <f>"01113"</f>
        <v>01113</v>
      </c>
      <c r="B1488" s="21"/>
      <c r="C1488">
        <v>18.3</v>
      </c>
      <c r="D1488">
        <v>2.2999999999999998</v>
      </c>
      <c r="E1488">
        <v>57</v>
      </c>
      <c r="F1488">
        <v>47</v>
      </c>
      <c r="G1488">
        <v>8</v>
      </c>
      <c r="H1488">
        <v>47</v>
      </c>
      <c r="I1488">
        <v>2.29</v>
      </c>
      <c r="J1488" s="1">
        <v>2926</v>
      </c>
    </row>
    <row r="1489" spans="1:10" ht="14.25" customHeight="1" x14ac:dyDescent="0.25">
      <c r="A1489" s="21" t="str">
        <f>"01115"</f>
        <v>01115</v>
      </c>
      <c r="B1489" s="21"/>
      <c r="C1489">
        <v>23.5</v>
      </c>
      <c r="D1489">
        <v>4.5999999999999996</v>
      </c>
      <c r="E1489">
        <v>71</v>
      </c>
      <c r="F1489">
        <v>40</v>
      </c>
      <c r="G1489">
        <v>6</v>
      </c>
      <c r="H1489">
        <v>40</v>
      </c>
      <c r="I1489">
        <v>1.08</v>
      </c>
      <c r="J1489" s="1">
        <v>1850</v>
      </c>
    </row>
    <row r="1490" spans="1:10" ht="14.25" customHeight="1" x14ac:dyDescent="0.25">
      <c r="A1490" s="21" t="str">
        <f>"01117"</f>
        <v>01117</v>
      </c>
      <c r="B1490" s="21"/>
      <c r="C1490">
        <v>115</v>
      </c>
      <c r="D1490">
        <v>4.4000000000000004</v>
      </c>
      <c r="E1490">
        <v>197</v>
      </c>
      <c r="F1490">
        <v>212</v>
      </c>
      <c r="G1490">
        <v>32</v>
      </c>
      <c r="H1490">
        <v>212</v>
      </c>
      <c r="I1490">
        <v>1.75</v>
      </c>
      <c r="J1490" s="1">
        <v>10376</v>
      </c>
    </row>
    <row r="1491" spans="1:10" ht="14.25" customHeight="1" x14ac:dyDescent="0.25">
      <c r="A1491" s="21" t="str">
        <f>"01119"</f>
        <v>01119</v>
      </c>
      <c r="B1491" s="21"/>
      <c r="C1491">
        <v>15</v>
      </c>
      <c r="D1491">
        <v>12.6</v>
      </c>
      <c r="E1491">
        <v>9</v>
      </c>
      <c r="F1491">
        <v>33</v>
      </c>
      <c r="H1491">
        <v>33</v>
      </c>
      <c r="I1491">
        <v>0.81</v>
      </c>
      <c r="J1491">
        <v>435</v>
      </c>
    </row>
    <row r="1492" spans="1:10" ht="14.25" customHeight="1" x14ac:dyDescent="0.25">
      <c r="A1492" s="21" t="str">
        <f>"01121"</f>
        <v>01121</v>
      </c>
      <c r="B1492" s="21"/>
      <c r="C1492">
        <v>31.7</v>
      </c>
      <c r="D1492">
        <v>4.2</v>
      </c>
      <c r="E1492">
        <v>76</v>
      </c>
      <c r="F1492">
        <v>122</v>
      </c>
      <c r="G1492">
        <v>8</v>
      </c>
      <c r="H1492">
        <v>122</v>
      </c>
      <c r="I1492">
        <v>1.37</v>
      </c>
      <c r="J1492" s="1">
        <v>3011</v>
      </c>
    </row>
    <row r="1493" spans="1:10" ht="14.25" customHeight="1" x14ac:dyDescent="0.25">
      <c r="A1493" s="21" t="str">
        <f>"01121"</f>
        <v>01121</v>
      </c>
      <c r="B1493" s="21"/>
      <c r="C1493">
        <v>17.600000000000001</v>
      </c>
      <c r="D1493">
        <v>3.4</v>
      </c>
      <c r="E1493">
        <v>42</v>
      </c>
      <c r="F1493">
        <v>85</v>
      </c>
      <c r="G1493">
        <v>6</v>
      </c>
      <c r="H1493">
        <v>85</v>
      </c>
      <c r="I1493">
        <v>1.17</v>
      </c>
      <c r="J1493" s="1">
        <v>1916</v>
      </c>
    </row>
    <row r="1494" spans="1:10" ht="14.25" customHeight="1" x14ac:dyDescent="0.25">
      <c r="A1494" s="21" t="str">
        <f>"01123"</f>
        <v>01123</v>
      </c>
      <c r="B1494" s="21"/>
      <c r="C1494">
        <v>4.4000000000000004</v>
      </c>
      <c r="D1494">
        <v>2.8</v>
      </c>
      <c r="E1494">
        <v>8</v>
      </c>
      <c r="F1494">
        <v>46</v>
      </c>
      <c r="H1494">
        <v>46</v>
      </c>
      <c r="I1494">
        <v>1</v>
      </c>
      <c r="J1494">
        <v>574</v>
      </c>
    </row>
    <row r="1495" spans="1:10" ht="14.25" customHeight="1" x14ac:dyDescent="0.25">
      <c r="A1495" s="21" t="str">
        <f>"01123"</f>
        <v>01123</v>
      </c>
      <c r="B1495" s="21"/>
      <c r="C1495">
        <v>15.7</v>
      </c>
      <c r="D1495">
        <v>3.4</v>
      </c>
      <c r="E1495">
        <v>83</v>
      </c>
      <c r="F1495">
        <v>34</v>
      </c>
      <c r="G1495">
        <v>6</v>
      </c>
      <c r="H1495">
        <v>34</v>
      </c>
      <c r="I1495">
        <v>1.35</v>
      </c>
      <c r="J1495" s="1">
        <v>2380</v>
      </c>
    </row>
    <row r="1496" spans="1:10" ht="14.25" customHeight="1" x14ac:dyDescent="0.25">
      <c r="A1496" s="21" t="str">
        <f>"01125"</f>
        <v>01125</v>
      </c>
      <c r="B1496" s="21"/>
      <c r="C1496">
        <v>383.1</v>
      </c>
      <c r="D1496">
        <v>4.7</v>
      </c>
      <c r="E1496">
        <v>621</v>
      </c>
      <c r="F1496">
        <v>524</v>
      </c>
      <c r="G1496">
        <v>40</v>
      </c>
      <c r="H1496">
        <v>524</v>
      </c>
      <c r="I1496">
        <v>1.63</v>
      </c>
      <c r="J1496" s="1">
        <v>31491</v>
      </c>
    </row>
    <row r="1497" spans="1:10" ht="14.25" customHeight="1" x14ac:dyDescent="0.25">
      <c r="A1497" s="21" t="str">
        <f>"01125"</f>
        <v>01125</v>
      </c>
      <c r="B1497" s="21"/>
      <c r="E1497">
        <v>2</v>
      </c>
      <c r="H1497">
        <v>204</v>
      </c>
    </row>
    <row r="1498" spans="1:10" ht="14.25" customHeight="1" x14ac:dyDescent="0.25">
      <c r="A1498" s="21" t="str">
        <f>"01127"</f>
        <v>01127</v>
      </c>
      <c r="B1498" s="21"/>
      <c r="C1498">
        <v>59.5</v>
      </c>
      <c r="D1498">
        <v>4.0999999999999996</v>
      </c>
      <c r="E1498">
        <v>114</v>
      </c>
      <c r="F1498">
        <v>207</v>
      </c>
      <c r="G1498">
        <v>12</v>
      </c>
      <c r="H1498">
        <v>207</v>
      </c>
      <c r="I1498">
        <v>1.36</v>
      </c>
      <c r="J1498" s="1">
        <v>5842</v>
      </c>
    </row>
    <row r="1499" spans="1:10" ht="14.25" customHeight="1" x14ac:dyDescent="0.25">
      <c r="A1499" s="21" t="str">
        <f>"01131"</f>
        <v>01131</v>
      </c>
      <c r="B1499" s="21"/>
      <c r="C1499">
        <v>1.4</v>
      </c>
      <c r="D1499">
        <v>2.8</v>
      </c>
      <c r="E1499">
        <v>7</v>
      </c>
      <c r="F1499">
        <v>21</v>
      </c>
      <c r="H1499">
        <v>21</v>
      </c>
      <c r="I1499">
        <v>0.89</v>
      </c>
      <c r="J1499">
        <v>180</v>
      </c>
    </row>
    <row r="1500" spans="1:10" ht="14.25" customHeight="1" x14ac:dyDescent="0.25">
      <c r="A1500" s="21" t="str">
        <f>"01133"</f>
        <v>01133</v>
      </c>
      <c r="B1500" s="21"/>
      <c r="C1500">
        <v>13.9</v>
      </c>
      <c r="D1500">
        <v>4</v>
      </c>
      <c r="E1500">
        <v>19</v>
      </c>
      <c r="F1500">
        <v>49</v>
      </c>
      <c r="G1500">
        <v>4</v>
      </c>
      <c r="H1500">
        <v>49</v>
      </c>
      <c r="I1500">
        <v>1.01</v>
      </c>
      <c r="J1500" s="1">
        <v>1258</v>
      </c>
    </row>
    <row r="1501" spans="1:10" ht="14.25" customHeight="1" x14ac:dyDescent="0.25">
      <c r="A1501" s="21" t="str">
        <f>"02020"</f>
        <v>02020</v>
      </c>
      <c r="B1501" s="21"/>
      <c r="C1501">
        <v>289.39999999999998</v>
      </c>
      <c r="D1501">
        <v>7</v>
      </c>
      <c r="E1501">
        <v>822</v>
      </c>
      <c r="F1501">
        <v>391</v>
      </c>
      <c r="G1501">
        <v>46</v>
      </c>
      <c r="H1501">
        <v>391</v>
      </c>
      <c r="I1501">
        <v>2.08</v>
      </c>
      <c r="J1501" s="1">
        <v>15660</v>
      </c>
    </row>
    <row r="1502" spans="1:10" ht="14.25" customHeight="1" x14ac:dyDescent="0.25">
      <c r="A1502" s="21" t="str">
        <f>"02020"</f>
        <v>02020</v>
      </c>
      <c r="B1502" s="21"/>
      <c r="C1502">
        <v>92.7</v>
      </c>
      <c r="D1502">
        <v>5.4</v>
      </c>
      <c r="E1502">
        <v>253</v>
      </c>
      <c r="F1502">
        <v>164</v>
      </c>
      <c r="G1502">
        <v>14</v>
      </c>
      <c r="H1502">
        <v>164</v>
      </c>
      <c r="I1502">
        <v>2.23</v>
      </c>
      <c r="J1502" s="1">
        <v>6388</v>
      </c>
    </row>
    <row r="1503" spans="1:10" ht="14.25" customHeight="1" x14ac:dyDescent="0.25">
      <c r="A1503" s="21" t="str">
        <f>"02020"</f>
        <v>02020</v>
      </c>
      <c r="B1503" s="21"/>
      <c r="C1503">
        <v>105.8</v>
      </c>
      <c r="D1503">
        <v>4.5999999999999996</v>
      </c>
      <c r="E1503">
        <v>558</v>
      </c>
      <c r="F1503">
        <v>174</v>
      </c>
      <c r="H1503">
        <v>174</v>
      </c>
      <c r="I1503">
        <v>1.71</v>
      </c>
      <c r="J1503" s="1">
        <v>8376</v>
      </c>
    </row>
    <row r="1504" spans="1:10" ht="14.25" customHeight="1" x14ac:dyDescent="0.25">
      <c r="A1504" s="21" t="str">
        <f>"02020"</f>
        <v>02020</v>
      </c>
      <c r="B1504" s="21"/>
    </row>
    <row r="1505" spans="1:10" ht="14.25" customHeight="1" x14ac:dyDescent="0.25">
      <c r="A1505" s="21" t="str">
        <f>"02050"</f>
        <v>02050</v>
      </c>
      <c r="B1505" s="21"/>
      <c r="C1505">
        <v>13.6</v>
      </c>
      <c r="D1505">
        <v>2.7</v>
      </c>
      <c r="E1505">
        <v>118</v>
      </c>
      <c r="F1505">
        <v>34</v>
      </c>
      <c r="H1505">
        <v>34</v>
      </c>
      <c r="I1505">
        <v>1.04</v>
      </c>
      <c r="J1505" s="1">
        <v>1822</v>
      </c>
    </row>
    <row r="1506" spans="1:10" ht="14.25" customHeight="1" x14ac:dyDescent="0.25">
      <c r="A1506" s="21" t="str">
        <f>"02090"</f>
        <v>02090</v>
      </c>
      <c r="B1506" s="21"/>
      <c r="C1506">
        <v>48.2</v>
      </c>
      <c r="D1506">
        <v>4.7</v>
      </c>
      <c r="E1506">
        <v>304</v>
      </c>
      <c r="F1506">
        <v>122</v>
      </c>
      <c r="G1506">
        <v>13</v>
      </c>
      <c r="H1506">
        <v>122</v>
      </c>
      <c r="I1506">
        <v>1.63</v>
      </c>
      <c r="J1506" s="1">
        <v>4467</v>
      </c>
    </row>
    <row r="1507" spans="1:10" ht="14.25" customHeight="1" x14ac:dyDescent="0.25">
      <c r="A1507" s="21" t="str">
        <f>"02110"</f>
        <v>02110</v>
      </c>
      <c r="B1507" s="21"/>
      <c r="C1507">
        <v>16.5</v>
      </c>
      <c r="D1507">
        <v>4.0999999999999996</v>
      </c>
      <c r="E1507">
        <v>129</v>
      </c>
      <c r="F1507">
        <v>45</v>
      </c>
      <c r="G1507">
        <v>9</v>
      </c>
      <c r="H1507">
        <v>45</v>
      </c>
      <c r="I1507">
        <v>1.34</v>
      </c>
      <c r="J1507" s="1">
        <v>1647</v>
      </c>
    </row>
    <row r="1508" spans="1:10" ht="14.25" customHeight="1" x14ac:dyDescent="0.25">
      <c r="A1508" s="21" t="str">
        <f>"02122"</f>
        <v>02122</v>
      </c>
      <c r="B1508" s="21"/>
      <c r="C1508">
        <v>31</v>
      </c>
      <c r="D1508">
        <v>4.7</v>
      </c>
      <c r="E1508">
        <v>146</v>
      </c>
      <c r="F1508">
        <v>49</v>
      </c>
      <c r="G1508">
        <v>6</v>
      </c>
      <c r="H1508">
        <v>49</v>
      </c>
      <c r="I1508">
        <v>1.6</v>
      </c>
      <c r="J1508" s="1">
        <v>2525</v>
      </c>
    </row>
    <row r="1509" spans="1:10" ht="14.25" customHeight="1" x14ac:dyDescent="0.25">
      <c r="A1509" s="21" t="str">
        <f>"02170"</f>
        <v>02170</v>
      </c>
      <c r="B1509" s="21"/>
      <c r="C1509">
        <v>49.5</v>
      </c>
      <c r="D1509">
        <v>4.5</v>
      </c>
      <c r="E1509">
        <v>226</v>
      </c>
      <c r="F1509">
        <v>74</v>
      </c>
      <c r="G1509">
        <v>14</v>
      </c>
      <c r="H1509">
        <v>74</v>
      </c>
      <c r="I1509">
        <v>1.84</v>
      </c>
      <c r="J1509" s="1">
        <v>4324</v>
      </c>
    </row>
    <row r="1510" spans="1:10" ht="14.25" customHeight="1" x14ac:dyDescent="0.25">
      <c r="A1510" s="21" t="str">
        <f>"04001"</f>
        <v>04001</v>
      </c>
      <c r="B1510" s="21"/>
      <c r="C1510">
        <v>26.3</v>
      </c>
      <c r="D1510">
        <v>3.8</v>
      </c>
      <c r="E1510">
        <v>136</v>
      </c>
      <c r="F1510">
        <v>56</v>
      </c>
      <c r="H1510">
        <v>56</v>
      </c>
      <c r="I1510">
        <v>1</v>
      </c>
      <c r="J1510" s="1">
        <v>2555</v>
      </c>
    </row>
    <row r="1511" spans="1:10" ht="14.25" customHeight="1" x14ac:dyDescent="0.25">
      <c r="A1511" s="21" t="str">
        <f>"04001"</f>
        <v>04001</v>
      </c>
      <c r="B1511" s="21"/>
      <c r="C1511">
        <v>13</v>
      </c>
      <c r="D1511">
        <v>3.1</v>
      </c>
      <c r="E1511">
        <v>154</v>
      </c>
      <c r="F1511">
        <v>60</v>
      </c>
      <c r="H1511">
        <v>60</v>
      </c>
      <c r="I1511">
        <v>1.1499999999999999</v>
      </c>
      <c r="J1511" s="1">
        <v>1534</v>
      </c>
    </row>
    <row r="1512" spans="1:10" ht="14.25" customHeight="1" x14ac:dyDescent="0.25">
      <c r="A1512" s="21" t="str">
        <f>"04003"</f>
        <v>04003</v>
      </c>
      <c r="B1512" s="21"/>
      <c r="C1512">
        <v>35.799999999999997</v>
      </c>
      <c r="D1512">
        <v>3</v>
      </c>
      <c r="E1512">
        <v>197</v>
      </c>
      <c r="F1512">
        <v>75</v>
      </c>
      <c r="G1512">
        <v>12</v>
      </c>
      <c r="H1512">
        <v>75</v>
      </c>
      <c r="I1512">
        <v>1.46</v>
      </c>
      <c r="J1512" s="1">
        <v>4879</v>
      </c>
    </row>
    <row r="1513" spans="1:10" ht="14.25" customHeight="1" x14ac:dyDescent="0.25">
      <c r="A1513" s="21" t="str">
        <f>"04005"</f>
        <v>04005</v>
      </c>
      <c r="B1513" s="21"/>
      <c r="C1513">
        <v>139.1</v>
      </c>
      <c r="D1513">
        <v>4.4000000000000004</v>
      </c>
      <c r="E1513">
        <v>428</v>
      </c>
      <c r="F1513">
        <v>242</v>
      </c>
      <c r="G1513">
        <v>41</v>
      </c>
      <c r="H1513">
        <v>242</v>
      </c>
      <c r="I1513">
        <v>2.19</v>
      </c>
      <c r="J1513" s="1">
        <v>12442</v>
      </c>
    </row>
    <row r="1514" spans="1:10" ht="14.25" customHeight="1" x14ac:dyDescent="0.25">
      <c r="A1514" s="21" t="str">
        <f>"04005"</f>
        <v>04005</v>
      </c>
      <c r="B1514" s="21"/>
      <c r="C1514">
        <v>29</v>
      </c>
      <c r="D1514">
        <v>4.8</v>
      </c>
      <c r="E1514">
        <v>164</v>
      </c>
      <c r="F1514">
        <v>73</v>
      </c>
      <c r="H1514">
        <v>73</v>
      </c>
      <c r="I1514">
        <v>1.39</v>
      </c>
      <c r="J1514" s="1">
        <v>2226</v>
      </c>
    </row>
    <row r="1515" spans="1:10" ht="14.25" customHeight="1" x14ac:dyDescent="0.25">
      <c r="A1515" s="21" t="str">
        <f>"04007"</f>
        <v>04007</v>
      </c>
      <c r="B1515" s="21"/>
      <c r="C1515">
        <v>3.2</v>
      </c>
      <c r="D1515">
        <v>3.5</v>
      </c>
      <c r="E1515">
        <v>51</v>
      </c>
      <c r="F1515">
        <v>8</v>
      </c>
      <c r="H1515">
        <v>8</v>
      </c>
      <c r="I1515">
        <v>0.96</v>
      </c>
      <c r="J1515">
        <v>338</v>
      </c>
    </row>
    <row r="1516" spans="1:10" ht="14.25" customHeight="1" x14ac:dyDescent="0.25">
      <c r="A1516" s="21" t="str">
        <f>"04009"</f>
        <v>04009</v>
      </c>
      <c r="B1516" s="21"/>
      <c r="C1516">
        <v>10.199999999999999</v>
      </c>
      <c r="D1516">
        <v>2.5</v>
      </c>
      <c r="E1516">
        <v>94</v>
      </c>
      <c r="F1516">
        <v>49</v>
      </c>
      <c r="H1516">
        <v>49</v>
      </c>
      <c r="I1516">
        <v>1.51</v>
      </c>
      <c r="J1516" s="1">
        <v>1806</v>
      </c>
    </row>
    <row r="1517" spans="1:10" ht="14.25" customHeight="1" x14ac:dyDescent="0.25">
      <c r="A1517" s="21" t="str">
        <f t="shared" ref="A1517:A1548" si="1">"04013"</f>
        <v>04013</v>
      </c>
      <c r="B1517" s="21"/>
      <c r="C1517">
        <v>435.8</v>
      </c>
      <c r="D1517">
        <v>4.5</v>
      </c>
      <c r="E1517">
        <v>694</v>
      </c>
      <c r="F1517">
        <v>615</v>
      </c>
      <c r="G1517">
        <v>51</v>
      </c>
      <c r="H1517">
        <v>615</v>
      </c>
      <c r="I1517">
        <v>1.89</v>
      </c>
      <c r="J1517" s="1">
        <v>37223</v>
      </c>
    </row>
    <row r="1518" spans="1:10" ht="14.25" customHeight="1" x14ac:dyDescent="0.25">
      <c r="A1518" s="21" t="str">
        <f t="shared" si="1"/>
        <v>04013</v>
      </c>
      <c r="B1518" s="21"/>
      <c r="C1518">
        <v>212.7</v>
      </c>
      <c r="D1518">
        <v>4.7</v>
      </c>
      <c r="E1518">
        <v>355</v>
      </c>
      <c r="F1518">
        <v>410</v>
      </c>
      <c r="G1518">
        <v>85</v>
      </c>
      <c r="H1518">
        <v>410</v>
      </c>
      <c r="I1518">
        <v>1.93</v>
      </c>
      <c r="J1518" s="1">
        <v>13678</v>
      </c>
    </row>
    <row r="1519" spans="1:10" ht="14.25" customHeight="1" x14ac:dyDescent="0.25">
      <c r="A1519" s="21" t="str">
        <f t="shared" si="1"/>
        <v>04013</v>
      </c>
      <c r="B1519" s="21"/>
      <c r="C1519">
        <v>401.2</v>
      </c>
      <c r="D1519">
        <v>4.4000000000000004</v>
      </c>
      <c r="E1519">
        <v>794</v>
      </c>
      <c r="F1519">
        <v>501</v>
      </c>
      <c r="H1519">
        <v>501</v>
      </c>
      <c r="I1519">
        <v>2.4300000000000002</v>
      </c>
      <c r="J1519" s="1">
        <v>35216</v>
      </c>
    </row>
    <row r="1520" spans="1:10" ht="14.25" customHeight="1" x14ac:dyDescent="0.25">
      <c r="A1520" s="21" t="str">
        <f t="shared" si="1"/>
        <v>04013</v>
      </c>
      <c r="B1520" s="21"/>
      <c r="C1520">
        <v>87.9</v>
      </c>
      <c r="D1520">
        <v>4.3</v>
      </c>
      <c r="E1520">
        <v>187</v>
      </c>
      <c r="F1520">
        <v>144</v>
      </c>
      <c r="G1520">
        <v>28</v>
      </c>
      <c r="H1520">
        <v>144</v>
      </c>
      <c r="I1520">
        <v>1.72</v>
      </c>
      <c r="J1520" s="1">
        <v>7687</v>
      </c>
    </row>
    <row r="1521" spans="1:10" ht="14.25" customHeight="1" x14ac:dyDescent="0.25">
      <c r="A1521" s="21" t="str">
        <f t="shared" si="1"/>
        <v>04013</v>
      </c>
      <c r="B1521" s="21"/>
      <c r="C1521">
        <v>265.89999999999998</v>
      </c>
      <c r="D1521">
        <v>4.8</v>
      </c>
      <c r="E1521">
        <v>610</v>
      </c>
      <c r="F1521">
        <v>338</v>
      </c>
      <c r="G1521">
        <v>49</v>
      </c>
      <c r="H1521">
        <v>96</v>
      </c>
      <c r="I1521">
        <v>1.97</v>
      </c>
      <c r="J1521" s="1">
        <v>21450</v>
      </c>
    </row>
    <row r="1522" spans="1:10" ht="14.25" customHeight="1" x14ac:dyDescent="0.25">
      <c r="A1522" s="21" t="str">
        <f t="shared" si="1"/>
        <v>04013</v>
      </c>
      <c r="B1522" s="21"/>
      <c r="I1522">
        <v>1.95</v>
      </c>
    </row>
    <row r="1523" spans="1:10" ht="14.25" customHeight="1" x14ac:dyDescent="0.25">
      <c r="A1523" s="21" t="str">
        <f t="shared" si="1"/>
        <v>04013</v>
      </c>
      <c r="B1523" s="21"/>
      <c r="C1523">
        <v>163.4</v>
      </c>
      <c r="D1523">
        <v>4.5</v>
      </c>
      <c r="E1523">
        <v>517</v>
      </c>
      <c r="F1523">
        <v>327</v>
      </c>
      <c r="G1523">
        <v>59</v>
      </c>
      <c r="H1523">
        <v>337</v>
      </c>
      <c r="I1523">
        <v>1.72</v>
      </c>
      <c r="J1523" s="1">
        <v>12857</v>
      </c>
    </row>
    <row r="1524" spans="1:10" ht="14.25" customHeight="1" x14ac:dyDescent="0.25">
      <c r="A1524" s="21" t="str">
        <f t="shared" si="1"/>
        <v>04013</v>
      </c>
      <c r="B1524" s="21"/>
      <c r="C1524">
        <v>158.6</v>
      </c>
      <c r="D1524">
        <v>4.5999999999999996</v>
      </c>
      <c r="E1524">
        <v>603</v>
      </c>
      <c r="F1524">
        <v>323</v>
      </c>
      <c r="G1524">
        <v>20</v>
      </c>
      <c r="H1524">
        <v>323</v>
      </c>
      <c r="I1524">
        <v>1.62</v>
      </c>
      <c r="J1524" s="1">
        <v>12471</v>
      </c>
    </row>
    <row r="1525" spans="1:10" ht="14.25" customHeight="1" x14ac:dyDescent="0.25">
      <c r="A1525" s="21" t="str">
        <f t="shared" si="1"/>
        <v>04013</v>
      </c>
      <c r="B1525" s="21"/>
      <c r="C1525">
        <v>154.30000000000001</v>
      </c>
      <c r="D1525">
        <v>4.8</v>
      </c>
      <c r="E1525">
        <v>472</v>
      </c>
      <c r="F1525">
        <v>262</v>
      </c>
      <c r="G1525">
        <v>20</v>
      </c>
      <c r="H1525">
        <v>262</v>
      </c>
      <c r="I1525">
        <v>1.82</v>
      </c>
      <c r="J1525" s="1">
        <v>11618</v>
      </c>
    </row>
    <row r="1526" spans="1:10" ht="14.25" customHeight="1" x14ac:dyDescent="0.25">
      <c r="A1526" s="21" t="str">
        <f t="shared" si="1"/>
        <v>04013</v>
      </c>
      <c r="B1526" s="21"/>
      <c r="C1526">
        <v>41.5</v>
      </c>
      <c r="D1526">
        <v>4.2</v>
      </c>
      <c r="E1526">
        <v>1</v>
      </c>
      <c r="F1526">
        <v>228</v>
      </c>
      <c r="G1526">
        <v>16</v>
      </c>
      <c r="H1526">
        <v>228</v>
      </c>
      <c r="J1526" s="1">
        <v>3661</v>
      </c>
    </row>
    <row r="1527" spans="1:10" ht="14.25" customHeight="1" x14ac:dyDescent="0.25">
      <c r="A1527" s="21" t="str">
        <f t="shared" si="1"/>
        <v>04013</v>
      </c>
      <c r="B1527" s="21"/>
      <c r="C1527">
        <v>453.1</v>
      </c>
      <c r="D1527">
        <v>5.7</v>
      </c>
      <c r="E1527">
        <v>845</v>
      </c>
      <c r="F1527">
        <v>622</v>
      </c>
      <c r="G1527">
        <v>46</v>
      </c>
      <c r="H1527">
        <v>622</v>
      </c>
      <c r="I1527">
        <v>2.63</v>
      </c>
      <c r="J1527" s="1">
        <v>30170</v>
      </c>
    </row>
    <row r="1528" spans="1:10" ht="14.25" customHeight="1" x14ac:dyDescent="0.25">
      <c r="A1528" s="21" t="str">
        <f t="shared" si="1"/>
        <v>04013</v>
      </c>
      <c r="B1528" s="21"/>
      <c r="C1528">
        <v>20.8</v>
      </c>
      <c r="D1528">
        <v>3.1</v>
      </c>
      <c r="E1528">
        <v>205</v>
      </c>
      <c r="F1528">
        <v>133</v>
      </c>
      <c r="H1528">
        <v>133</v>
      </c>
      <c r="I1528">
        <v>1.51</v>
      </c>
      <c r="J1528" s="1">
        <v>2428</v>
      </c>
    </row>
    <row r="1529" spans="1:10" ht="14.25" customHeight="1" x14ac:dyDescent="0.25">
      <c r="A1529" s="21" t="str">
        <f t="shared" si="1"/>
        <v>04013</v>
      </c>
      <c r="B1529" s="21"/>
      <c r="C1529">
        <v>52.2</v>
      </c>
      <c r="D1529">
        <v>3.4</v>
      </c>
      <c r="E1529">
        <v>148</v>
      </c>
      <c r="F1529">
        <v>120</v>
      </c>
      <c r="G1529">
        <v>14</v>
      </c>
      <c r="H1529">
        <v>120</v>
      </c>
      <c r="I1529">
        <v>1.68</v>
      </c>
      <c r="J1529" s="1">
        <v>5653</v>
      </c>
    </row>
    <row r="1530" spans="1:10" ht="14.25" customHeight="1" x14ac:dyDescent="0.25">
      <c r="A1530" s="21" t="str">
        <f t="shared" si="1"/>
        <v>04013</v>
      </c>
      <c r="B1530" s="21"/>
      <c r="C1530">
        <v>224.9</v>
      </c>
      <c r="D1530">
        <v>5.9</v>
      </c>
      <c r="E1530">
        <v>855</v>
      </c>
      <c r="F1530">
        <v>427</v>
      </c>
      <c r="G1530">
        <v>25</v>
      </c>
      <c r="H1530">
        <v>427</v>
      </c>
      <c r="I1530">
        <v>1.97</v>
      </c>
      <c r="J1530" s="1">
        <v>15336</v>
      </c>
    </row>
    <row r="1531" spans="1:10" ht="14.25" customHeight="1" x14ac:dyDescent="0.25">
      <c r="A1531" s="21" t="str">
        <f t="shared" si="1"/>
        <v>04013</v>
      </c>
      <c r="B1531" s="21"/>
      <c r="C1531">
        <v>187</v>
      </c>
      <c r="D1531">
        <v>4.7</v>
      </c>
      <c r="E1531">
        <v>539</v>
      </c>
      <c r="F1531">
        <v>318</v>
      </c>
      <c r="G1531">
        <v>26</v>
      </c>
      <c r="H1531">
        <v>318</v>
      </c>
      <c r="I1531">
        <v>1.66</v>
      </c>
      <c r="J1531" s="1">
        <v>14601</v>
      </c>
    </row>
    <row r="1532" spans="1:10" ht="14.25" customHeight="1" x14ac:dyDescent="0.25">
      <c r="A1532" s="21" t="str">
        <f t="shared" si="1"/>
        <v>04013</v>
      </c>
      <c r="B1532" s="21"/>
      <c r="C1532">
        <v>299.7</v>
      </c>
      <c r="D1532">
        <v>4.3</v>
      </c>
      <c r="E1532">
        <v>546</v>
      </c>
      <c r="F1532">
        <v>499</v>
      </c>
      <c r="G1532">
        <v>40</v>
      </c>
      <c r="H1532">
        <v>499</v>
      </c>
      <c r="I1532">
        <v>2.12</v>
      </c>
      <c r="J1532" s="1">
        <v>27882</v>
      </c>
    </row>
    <row r="1533" spans="1:10" ht="14.25" customHeight="1" x14ac:dyDescent="0.25">
      <c r="A1533" s="21" t="str">
        <f t="shared" si="1"/>
        <v>04013</v>
      </c>
      <c r="B1533" s="21"/>
      <c r="C1533">
        <v>145.69999999999999</v>
      </c>
      <c r="D1533">
        <v>4.5</v>
      </c>
      <c r="E1533">
        <v>454</v>
      </c>
      <c r="F1533">
        <v>204</v>
      </c>
      <c r="H1533">
        <v>204</v>
      </c>
      <c r="I1533">
        <v>1.85</v>
      </c>
      <c r="J1533" s="1">
        <v>11940</v>
      </c>
    </row>
    <row r="1534" spans="1:10" ht="14.25" customHeight="1" x14ac:dyDescent="0.25">
      <c r="A1534" s="21" t="str">
        <f t="shared" si="1"/>
        <v>04013</v>
      </c>
      <c r="B1534" s="21"/>
      <c r="C1534">
        <v>164.2</v>
      </c>
      <c r="D1534">
        <v>4.2</v>
      </c>
      <c r="E1534">
        <v>391</v>
      </c>
      <c r="F1534">
        <v>314</v>
      </c>
      <c r="G1534">
        <v>34</v>
      </c>
      <c r="H1534">
        <v>314</v>
      </c>
      <c r="I1534">
        <v>1.66</v>
      </c>
      <c r="J1534" s="1">
        <v>15239</v>
      </c>
    </row>
    <row r="1535" spans="1:10" ht="14.25" customHeight="1" x14ac:dyDescent="0.25">
      <c r="A1535" s="21" t="str">
        <f t="shared" si="1"/>
        <v>04013</v>
      </c>
      <c r="B1535" s="21"/>
      <c r="C1535">
        <v>157.1</v>
      </c>
      <c r="D1535">
        <v>4</v>
      </c>
      <c r="E1535">
        <v>277</v>
      </c>
      <c r="F1535">
        <v>262</v>
      </c>
      <c r="G1535">
        <v>38</v>
      </c>
      <c r="H1535">
        <v>217</v>
      </c>
      <c r="I1535">
        <v>2.1800000000000002</v>
      </c>
      <c r="J1535" s="1">
        <v>15927</v>
      </c>
    </row>
    <row r="1536" spans="1:10" ht="14.25" customHeight="1" x14ac:dyDescent="0.25">
      <c r="A1536" s="21" t="str">
        <f t="shared" si="1"/>
        <v>04013</v>
      </c>
      <c r="B1536" s="21"/>
      <c r="E1536">
        <v>16</v>
      </c>
      <c r="H1536">
        <v>59</v>
      </c>
    </row>
    <row r="1537" spans="1:10" ht="14.25" customHeight="1" x14ac:dyDescent="0.25">
      <c r="A1537" s="21" t="str">
        <f t="shared" si="1"/>
        <v>04013</v>
      </c>
      <c r="B1537" s="21"/>
      <c r="C1537">
        <v>206.5</v>
      </c>
      <c r="D1537">
        <v>4.5999999999999996</v>
      </c>
      <c r="E1537" s="1">
        <v>1157</v>
      </c>
      <c r="F1537">
        <v>266</v>
      </c>
      <c r="G1537">
        <v>30</v>
      </c>
      <c r="H1537">
        <v>266</v>
      </c>
      <c r="I1537">
        <v>2.2400000000000002</v>
      </c>
      <c r="J1537" s="1">
        <v>16363</v>
      </c>
    </row>
    <row r="1538" spans="1:10" ht="14.25" customHeight="1" x14ac:dyDescent="0.25">
      <c r="A1538" s="21" t="str">
        <f t="shared" si="1"/>
        <v>04013</v>
      </c>
      <c r="B1538" s="21"/>
      <c r="C1538">
        <v>54.3</v>
      </c>
      <c r="D1538">
        <v>4.2</v>
      </c>
      <c r="E1538">
        <v>45</v>
      </c>
      <c r="F1538">
        <v>111</v>
      </c>
      <c r="H1538">
        <v>111</v>
      </c>
      <c r="I1538">
        <v>2.62</v>
      </c>
      <c r="J1538" s="1">
        <v>4708</v>
      </c>
    </row>
    <row r="1539" spans="1:10" ht="14.25" customHeight="1" x14ac:dyDescent="0.25">
      <c r="A1539" s="21" t="str">
        <f t="shared" si="1"/>
        <v>04013</v>
      </c>
      <c r="B1539" s="21"/>
      <c r="C1539">
        <v>5.7</v>
      </c>
      <c r="D1539">
        <v>1.4</v>
      </c>
      <c r="E1539">
        <v>58</v>
      </c>
      <c r="F1539">
        <v>23</v>
      </c>
      <c r="H1539">
        <v>23</v>
      </c>
      <c r="I1539">
        <v>2.5</v>
      </c>
      <c r="J1539" s="1">
        <v>1460</v>
      </c>
    </row>
    <row r="1540" spans="1:10" ht="14.25" customHeight="1" x14ac:dyDescent="0.25">
      <c r="A1540" s="21" t="str">
        <f t="shared" si="1"/>
        <v>04013</v>
      </c>
      <c r="B1540" s="21"/>
      <c r="C1540">
        <v>6.8</v>
      </c>
      <c r="D1540">
        <v>1.2</v>
      </c>
      <c r="E1540">
        <v>70</v>
      </c>
      <c r="F1540">
        <v>32</v>
      </c>
      <c r="H1540">
        <v>32</v>
      </c>
      <c r="I1540">
        <v>2.5</v>
      </c>
      <c r="J1540" s="1">
        <v>2147</v>
      </c>
    </row>
    <row r="1541" spans="1:10" ht="14.25" customHeight="1" x14ac:dyDescent="0.25">
      <c r="A1541" s="21" t="str">
        <f t="shared" si="1"/>
        <v>04013</v>
      </c>
      <c r="B1541" s="21"/>
      <c r="C1541">
        <v>133.1</v>
      </c>
      <c r="D1541">
        <v>4.2</v>
      </c>
      <c r="E1541">
        <v>219</v>
      </c>
      <c r="F1541">
        <v>179</v>
      </c>
      <c r="G1541">
        <v>20</v>
      </c>
      <c r="H1541">
        <v>179</v>
      </c>
      <c r="I1541">
        <v>1.61</v>
      </c>
      <c r="J1541" s="1">
        <v>12134</v>
      </c>
    </row>
    <row r="1542" spans="1:10" ht="14.25" customHeight="1" x14ac:dyDescent="0.25">
      <c r="A1542" s="21" t="str">
        <f t="shared" si="1"/>
        <v>04013</v>
      </c>
      <c r="B1542" s="21"/>
      <c r="C1542">
        <v>192.7</v>
      </c>
      <c r="D1542">
        <v>4.3</v>
      </c>
      <c r="E1542">
        <v>299</v>
      </c>
      <c r="F1542">
        <v>317</v>
      </c>
      <c r="G1542">
        <v>24</v>
      </c>
      <c r="H1542">
        <v>317</v>
      </c>
      <c r="I1542">
        <v>1.8</v>
      </c>
      <c r="J1542" s="1">
        <v>18088</v>
      </c>
    </row>
    <row r="1543" spans="1:10" ht="14.25" customHeight="1" x14ac:dyDescent="0.25">
      <c r="A1543" s="21" t="str">
        <f t="shared" si="1"/>
        <v>04013</v>
      </c>
      <c r="B1543" s="21"/>
      <c r="C1543">
        <v>141</v>
      </c>
      <c r="D1543">
        <v>4</v>
      </c>
      <c r="E1543">
        <v>325</v>
      </c>
      <c r="F1543">
        <v>198</v>
      </c>
      <c r="G1543">
        <v>24</v>
      </c>
      <c r="H1543">
        <v>198</v>
      </c>
      <c r="I1543">
        <v>1.69</v>
      </c>
      <c r="J1543" s="1">
        <v>15178</v>
      </c>
    </row>
    <row r="1544" spans="1:10" ht="14.25" customHeight="1" x14ac:dyDescent="0.25">
      <c r="A1544" s="21" t="str">
        <f t="shared" si="1"/>
        <v>04013</v>
      </c>
      <c r="B1544" s="21"/>
      <c r="C1544">
        <v>3.1</v>
      </c>
      <c r="D1544">
        <v>3.2</v>
      </c>
      <c r="I1544">
        <v>1.37</v>
      </c>
      <c r="J1544">
        <v>348</v>
      </c>
    </row>
    <row r="1545" spans="1:10" ht="14.25" customHeight="1" x14ac:dyDescent="0.25">
      <c r="A1545" s="21" t="str">
        <f t="shared" si="1"/>
        <v>04013</v>
      </c>
      <c r="B1545" s="21"/>
      <c r="C1545">
        <v>65.2</v>
      </c>
      <c r="D1545">
        <v>4.0999999999999996</v>
      </c>
      <c r="E1545">
        <v>179</v>
      </c>
      <c r="F1545">
        <v>142</v>
      </c>
      <c r="G1545">
        <v>30</v>
      </c>
      <c r="H1545">
        <v>142</v>
      </c>
      <c r="I1545">
        <v>2.0699999999999998</v>
      </c>
      <c r="J1545" s="1">
        <v>6418</v>
      </c>
    </row>
    <row r="1546" spans="1:10" ht="14.25" customHeight="1" x14ac:dyDescent="0.25">
      <c r="A1546" s="21" t="str">
        <f t="shared" si="1"/>
        <v>04013</v>
      </c>
      <c r="B1546" s="21"/>
      <c r="C1546">
        <v>132.5</v>
      </c>
      <c r="D1546">
        <v>4.3</v>
      </c>
      <c r="E1546">
        <v>362</v>
      </c>
      <c r="F1546">
        <v>165</v>
      </c>
      <c r="G1546">
        <v>24</v>
      </c>
      <c r="H1546">
        <v>165</v>
      </c>
      <c r="I1546">
        <v>1.8</v>
      </c>
      <c r="J1546" s="1">
        <v>13162</v>
      </c>
    </row>
    <row r="1547" spans="1:10" ht="14.25" customHeight="1" x14ac:dyDescent="0.25">
      <c r="A1547" s="21" t="str">
        <f t="shared" si="1"/>
        <v>04013</v>
      </c>
      <c r="B1547" s="21"/>
      <c r="C1547">
        <v>63.1</v>
      </c>
      <c r="D1547">
        <v>3.4</v>
      </c>
      <c r="E1547">
        <v>139</v>
      </c>
      <c r="F1547">
        <v>120</v>
      </c>
      <c r="G1547">
        <v>8</v>
      </c>
      <c r="H1547">
        <v>120</v>
      </c>
      <c r="I1547">
        <v>1.74</v>
      </c>
      <c r="J1547" s="1">
        <v>6799</v>
      </c>
    </row>
    <row r="1548" spans="1:10" ht="14.25" customHeight="1" x14ac:dyDescent="0.25">
      <c r="A1548" s="21" t="str">
        <f t="shared" si="1"/>
        <v>04013</v>
      </c>
      <c r="B1548" s="21"/>
      <c r="C1548">
        <v>23</v>
      </c>
      <c r="D1548">
        <v>4.4000000000000004</v>
      </c>
      <c r="J1548" s="1">
        <v>2361</v>
      </c>
    </row>
    <row r="1549" spans="1:10" ht="14.25" customHeight="1" x14ac:dyDescent="0.25">
      <c r="A1549" s="21" t="str">
        <f t="shared" ref="A1549:A1568" si="2">"04013"</f>
        <v>04013</v>
      </c>
      <c r="B1549" s="21"/>
      <c r="C1549">
        <v>38.4</v>
      </c>
      <c r="D1549">
        <v>2.9</v>
      </c>
      <c r="J1549" s="1">
        <v>5703</v>
      </c>
    </row>
    <row r="1550" spans="1:10" ht="14.25" customHeight="1" x14ac:dyDescent="0.25">
      <c r="A1550" s="21" t="str">
        <f t="shared" si="2"/>
        <v>04013</v>
      </c>
      <c r="B1550" s="21"/>
      <c r="C1550">
        <v>23</v>
      </c>
      <c r="D1550">
        <v>2</v>
      </c>
      <c r="E1550">
        <v>61</v>
      </c>
      <c r="F1550">
        <v>64</v>
      </c>
      <c r="G1550">
        <v>4</v>
      </c>
      <c r="H1550">
        <v>64</v>
      </c>
      <c r="I1550">
        <v>2.3199999999999998</v>
      </c>
      <c r="J1550" s="1">
        <v>4171</v>
      </c>
    </row>
    <row r="1551" spans="1:10" ht="14.25" customHeight="1" x14ac:dyDescent="0.25">
      <c r="A1551" s="21" t="str">
        <f t="shared" si="2"/>
        <v>04013</v>
      </c>
      <c r="B1551" s="21"/>
      <c r="C1551">
        <v>51.6</v>
      </c>
      <c r="D1551">
        <v>3.5</v>
      </c>
      <c r="E1551">
        <v>95</v>
      </c>
      <c r="F1551">
        <v>171</v>
      </c>
      <c r="G1551">
        <v>30</v>
      </c>
      <c r="H1551">
        <v>74</v>
      </c>
      <c r="J1551" s="1">
        <v>5474</v>
      </c>
    </row>
    <row r="1552" spans="1:10" ht="14.25" customHeight="1" x14ac:dyDescent="0.25">
      <c r="A1552" s="21" t="str">
        <f t="shared" si="2"/>
        <v>04013</v>
      </c>
      <c r="B1552" s="21"/>
      <c r="C1552">
        <v>7.3</v>
      </c>
      <c r="D1552">
        <v>4.2</v>
      </c>
      <c r="E1552">
        <v>59</v>
      </c>
      <c r="F1552">
        <v>38</v>
      </c>
      <c r="H1552">
        <v>38</v>
      </c>
      <c r="I1552">
        <v>1.87</v>
      </c>
      <c r="J1552">
        <v>634</v>
      </c>
    </row>
    <row r="1553" spans="1:10" ht="14.25" customHeight="1" x14ac:dyDescent="0.25">
      <c r="A1553" s="21" t="str">
        <f t="shared" si="2"/>
        <v>04013</v>
      </c>
      <c r="B1553" s="21"/>
    </row>
    <row r="1554" spans="1:10" ht="14.25" customHeight="1" x14ac:dyDescent="0.25">
      <c r="A1554" s="21" t="str">
        <f t="shared" si="2"/>
        <v>04013</v>
      </c>
      <c r="B1554" s="21"/>
      <c r="E1554">
        <v>1</v>
      </c>
      <c r="H1554">
        <v>18</v>
      </c>
    </row>
    <row r="1555" spans="1:10" ht="14.25" customHeight="1" x14ac:dyDescent="0.25">
      <c r="A1555" s="21" t="str">
        <f t="shared" si="2"/>
        <v>04013</v>
      </c>
      <c r="B1555" s="21"/>
    </row>
    <row r="1556" spans="1:10" ht="14.25" customHeight="1" x14ac:dyDescent="0.25">
      <c r="A1556" s="21" t="str">
        <f t="shared" si="2"/>
        <v>04013</v>
      </c>
      <c r="B1556" s="21"/>
      <c r="E1556">
        <v>14</v>
      </c>
      <c r="H1556">
        <v>23</v>
      </c>
    </row>
    <row r="1557" spans="1:10" ht="14.25" customHeight="1" x14ac:dyDescent="0.25">
      <c r="A1557" s="21" t="str">
        <f t="shared" si="2"/>
        <v>04013</v>
      </c>
      <c r="B1557" s="21"/>
      <c r="C1557">
        <v>3</v>
      </c>
      <c r="D1557">
        <v>2.6</v>
      </c>
      <c r="E1557">
        <v>101</v>
      </c>
      <c r="F1557">
        <v>16</v>
      </c>
      <c r="H1557">
        <v>16</v>
      </c>
      <c r="I1557">
        <v>1.39</v>
      </c>
      <c r="J1557">
        <v>417</v>
      </c>
    </row>
    <row r="1558" spans="1:10" ht="14.25" customHeight="1" x14ac:dyDescent="0.25">
      <c r="A1558" s="21" t="str">
        <f t="shared" si="2"/>
        <v>04013</v>
      </c>
      <c r="B1558" s="21"/>
    </row>
    <row r="1559" spans="1:10" ht="14.25" customHeight="1" x14ac:dyDescent="0.25">
      <c r="A1559" s="21" t="str">
        <f t="shared" si="2"/>
        <v>04013</v>
      </c>
      <c r="B1559" s="21"/>
    </row>
    <row r="1560" spans="1:10" ht="14.25" customHeight="1" x14ac:dyDescent="0.25">
      <c r="A1560" s="21" t="str">
        <f t="shared" si="2"/>
        <v>04013</v>
      </c>
      <c r="B1560" s="21"/>
      <c r="E1560">
        <v>11</v>
      </c>
      <c r="H1560">
        <v>50</v>
      </c>
    </row>
    <row r="1561" spans="1:10" ht="14.25" customHeight="1" x14ac:dyDescent="0.25">
      <c r="A1561" s="21" t="str">
        <f t="shared" si="2"/>
        <v>04013</v>
      </c>
      <c r="B1561" s="21"/>
      <c r="E1561">
        <v>1</v>
      </c>
    </row>
    <row r="1562" spans="1:10" ht="14.25" customHeight="1" x14ac:dyDescent="0.25">
      <c r="A1562" s="21" t="str">
        <f t="shared" si="2"/>
        <v>04013</v>
      </c>
      <c r="B1562" s="21"/>
      <c r="E1562">
        <v>2</v>
      </c>
    </row>
    <row r="1563" spans="1:10" ht="14.25" customHeight="1" x14ac:dyDescent="0.25">
      <c r="A1563" s="21" t="str">
        <f t="shared" si="2"/>
        <v>04013</v>
      </c>
      <c r="B1563" s="21"/>
      <c r="E1563">
        <v>4</v>
      </c>
    </row>
    <row r="1564" spans="1:10" ht="14.25" customHeight="1" x14ac:dyDescent="0.25">
      <c r="A1564" s="21" t="str">
        <f t="shared" si="2"/>
        <v>04013</v>
      </c>
      <c r="B1564" s="21"/>
    </row>
    <row r="1565" spans="1:10" ht="14.25" customHeight="1" x14ac:dyDescent="0.25">
      <c r="A1565" s="21" t="str">
        <f t="shared" si="2"/>
        <v>04013</v>
      </c>
      <c r="B1565" s="21"/>
    </row>
    <row r="1566" spans="1:10" ht="14.25" customHeight="1" x14ac:dyDescent="0.25">
      <c r="A1566" s="21" t="str">
        <f t="shared" si="2"/>
        <v>04013</v>
      </c>
      <c r="B1566" s="21"/>
    </row>
    <row r="1567" spans="1:10" ht="14.25" customHeight="1" x14ac:dyDescent="0.25">
      <c r="A1567" s="21" t="str">
        <f t="shared" si="2"/>
        <v>04013</v>
      </c>
      <c r="B1567" s="21"/>
    </row>
    <row r="1568" spans="1:10" ht="14.25" customHeight="1" x14ac:dyDescent="0.25">
      <c r="A1568" s="21" t="str">
        <f t="shared" si="2"/>
        <v>04013</v>
      </c>
      <c r="B1568" s="21"/>
      <c r="C1568">
        <v>5.5</v>
      </c>
      <c r="D1568">
        <v>2.1</v>
      </c>
      <c r="E1568">
        <v>35</v>
      </c>
      <c r="F1568">
        <v>24</v>
      </c>
      <c r="H1568">
        <v>24</v>
      </c>
      <c r="I1568">
        <v>2.35</v>
      </c>
      <c r="J1568">
        <v>980</v>
      </c>
    </row>
    <row r="1569" spans="1:10" ht="14.25" customHeight="1" x14ac:dyDescent="0.25">
      <c r="A1569" s="21" t="str">
        <f>"04015"</f>
        <v>04015</v>
      </c>
      <c r="B1569" s="21"/>
      <c r="C1569">
        <v>18.399999999999999</v>
      </c>
      <c r="D1569">
        <v>4</v>
      </c>
      <c r="J1569" s="1">
        <v>1678</v>
      </c>
    </row>
    <row r="1570" spans="1:10" ht="14.25" customHeight="1" x14ac:dyDescent="0.25">
      <c r="A1570" s="21" t="str">
        <f>"04015"</f>
        <v>04015</v>
      </c>
      <c r="B1570" s="21"/>
      <c r="C1570">
        <v>18.600000000000001</v>
      </c>
      <c r="D1570">
        <v>3.5</v>
      </c>
      <c r="E1570">
        <v>103</v>
      </c>
      <c r="F1570">
        <v>72</v>
      </c>
      <c r="G1570">
        <v>12</v>
      </c>
      <c r="H1570">
        <v>72</v>
      </c>
      <c r="I1570">
        <v>1.39</v>
      </c>
      <c r="J1570" s="1">
        <v>2147</v>
      </c>
    </row>
    <row r="1571" spans="1:10" ht="14.25" customHeight="1" x14ac:dyDescent="0.25">
      <c r="A1571" s="21" t="str">
        <f>"04015"</f>
        <v>04015</v>
      </c>
      <c r="B1571" s="21"/>
      <c r="C1571">
        <v>57</v>
      </c>
      <c r="D1571">
        <v>4.3</v>
      </c>
      <c r="E1571">
        <v>123</v>
      </c>
      <c r="F1571">
        <v>139</v>
      </c>
      <c r="G1571">
        <v>32</v>
      </c>
      <c r="H1571">
        <v>139</v>
      </c>
      <c r="I1571">
        <v>1.69</v>
      </c>
      <c r="J1571" s="1">
        <v>4983</v>
      </c>
    </row>
    <row r="1572" spans="1:10" ht="14.25" customHeight="1" x14ac:dyDescent="0.25">
      <c r="A1572" s="21" t="str">
        <f>"04015"</f>
        <v>04015</v>
      </c>
      <c r="B1572" s="21"/>
      <c r="C1572">
        <v>66.7</v>
      </c>
      <c r="D1572">
        <v>3.9</v>
      </c>
      <c r="E1572">
        <v>182</v>
      </c>
      <c r="F1572">
        <v>144</v>
      </c>
      <c r="G1572">
        <v>16</v>
      </c>
      <c r="H1572">
        <v>144</v>
      </c>
      <c r="I1572">
        <v>1.78</v>
      </c>
      <c r="J1572" s="1">
        <v>6429</v>
      </c>
    </row>
    <row r="1573" spans="1:10" ht="14.25" customHeight="1" x14ac:dyDescent="0.25">
      <c r="A1573" s="21" t="str">
        <f>"04015"</f>
        <v>04015</v>
      </c>
      <c r="B1573" s="21"/>
      <c r="C1573">
        <v>89.1</v>
      </c>
      <c r="D1573">
        <v>4.5999999999999996</v>
      </c>
      <c r="E1573">
        <v>314</v>
      </c>
      <c r="F1573">
        <v>196</v>
      </c>
      <c r="G1573">
        <v>20</v>
      </c>
      <c r="H1573">
        <v>196</v>
      </c>
      <c r="I1573">
        <v>1.83</v>
      </c>
      <c r="J1573" s="1">
        <v>7254</v>
      </c>
    </row>
    <row r="1574" spans="1:10" ht="14.25" customHeight="1" x14ac:dyDescent="0.25">
      <c r="A1574" s="21" t="str">
        <f>"04017"</f>
        <v>04017</v>
      </c>
      <c r="B1574" s="21"/>
      <c r="C1574">
        <v>38.200000000000003</v>
      </c>
      <c r="D1574">
        <v>3.4</v>
      </c>
      <c r="E1574">
        <v>202</v>
      </c>
      <c r="F1574">
        <v>89</v>
      </c>
      <c r="G1574">
        <v>12</v>
      </c>
      <c r="H1574">
        <v>89</v>
      </c>
      <c r="I1574">
        <v>1.72</v>
      </c>
      <c r="J1574" s="1">
        <v>4674</v>
      </c>
    </row>
    <row r="1575" spans="1:10" ht="14.25" customHeight="1" x14ac:dyDescent="0.25">
      <c r="A1575" s="21" t="str">
        <f>"04017"</f>
        <v>04017</v>
      </c>
      <c r="B1575" s="21"/>
      <c r="C1575">
        <v>10.3</v>
      </c>
      <c r="D1575">
        <v>3.9</v>
      </c>
      <c r="E1575">
        <v>59</v>
      </c>
      <c r="F1575">
        <v>40</v>
      </c>
      <c r="H1575">
        <v>40</v>
      </c>
      <c r="I1575">
        <v>1.04</v>
      </c>
      <c r="J1575">
        <v>973</v>
      </c>
    </row>
    <row r="1576" spans="1:10" ht="14.25" customHeight="1" x14ac:dyDescent="0.25">
      <c r="A1576" s="21" t="str">
        <f t="shared" ref="A1576:A1587" si="3">"04019"</f>
        <v>04019</v>
      </c>
      <c r="B1576" s="21"/>
      <c r="C1576">
        <v>45.7</v>
      </c>
      <c r="D1576">
        <v>3.1</v>
      </c>
      <c r="E1576">
        <v>167</v>
      </c>
      <c r="F1576">
        <v>111</v>
      </c>
      <c r="G1576">
        <v>36</v>
      </c>
      <c r="H1576">
        <v>111</v>
      </c>
      <c r="I1576">
        <v>1.59</v>
      </c>
      <c r="J1576" s="1">
        <v>5421</v>
      </c>
    </row>
    <row r="1577" spans="1:10" ht="14.25" customHeight="1" x14ac:dyDescent="0.25">
      <c r="A1577" s="21" t="str">
        <f t="shared" si="3"/>
        <v>04019</v>
      </c>
      <c r="B1577" s="21"/>
      <c r="C1577">
        <v>2.7</v>
      </c>
      <c r="D1577">
        <v>3.7</v>
      </c>
      <c r="E1577">
        <v>62</v>
      </c>
      <c r="F1577">
        <v>14</v>
      </c>
      <c r="H1577">
        <v>14</v>
      </c>
      <c r="I1577">
        <v>1</v>
      </c>
      <c r="J1577">
        <v>262</v>
      </c>
    </row>
    <row r="1578" spans="1:10" ht="14.25" customHeight="1" x14ac:dyDescent="0.25">
      <c r="A1578" s="21" t="str">
        <f t="shared" si="3"/>
        <v>04019</v>
      </c>
      <c r="B1578" s="21"/>
      <c r="C1578">
        <v>147.19999999999999</v>
      </c>
      <c r="D1578">
        <v>3.8</v>
      </c>
      <c r="E1578">
        <v>447</v>
      </c>
      <c r="F1578">
        <v>281</v>
      </c>
      <c r="G1578">
        <v>35</v>
      </c>
      <c r="H1578">
        <v>281</v>
      </c>
      <c r="I1578">
        <v>1.85</v>
      </c>
      <c r="J1578" s="1">
        <v>15284</v>
      </c>
    </row>
    <row r="1579" spans="1:10" ht="14.25" customHeight="1" x14ac:dyDescent="0.25">
      <c r="A1579" s="21" t="str">
        <f t="shared" si="3"/>
        <v>04019</v>
      </c>
      <c r="B1579" s="21"/>
      <c r="C1579">
        <v>92.1</v>
      </c>
      <c r="D1579">
        <v>4.5999999999999996</v>
      </c>
      <c r="E1579">
        <v>385</v>
      </c>
      <c r="F1579">
        <v>132</v>
      </c>
      <c r="G1579">
        <v>12</v>
      </c>
      <c r="H1579">
        <v>132</v>
      </c>
      <c r="I1579">
        <v>1.51</v>
      </c>
      <c r="J1579" s="1">
        <v>7383</v>
      </c>
    </row>
    <row r="1580" spans="1:10" ht="14.25" customHeight="1" x14ac:dyDescent="0.25">
      <c r="A1580" s="21" t="str">
        <f t="shared" si="3"/>
        <v>04019</v>
      </c>
      <c r="B1580" s="21"/>
      <c r="E1580">
        <v>3</v>
      </c>
      <c r="H1580">
        <v>55</v>
      </c>
    </row>
    <row r="1581" spans="1:10" ht="14.25" customHeight="1" x14ac:dyDescent="0.25">
      <c r="A1581" s="21" t="str">
        <f t="shared" si="3"/>
        <v>04019</v>
      </c>
      <c r="B1581" s="21"/>
      <c r="C1581">
        <v>350.4</v>
      </c>
      <c r="D1581">
        <v>6.1</v>
      </c>
      <c r="E1581">
        <v>890</v>
      </c>
      <c r="F1581">
        <v>479</v>
      </c>
      <c r="G1581">
        <v>90</v>
      </c>
      <c r="H1581">
        <v>479</v>
      </c>
      <c r="I1581">
        <v>2.35</v>
      </c>
      <c r="J1581" s="1">
        <v>20951</v>
      </c>
    </row>
    <row r="1582" spans="1:10" ht="14.25" customHeight="1" x14ac:dyDescent="0.25">
      <c r="A1582" s="21" t="str">
        <f t="shared" si="3"/>
        <v>04019</v>
      </c>
      <c r="B1582" s="21"/>
      <c r="C1582">
        <v>371.2</v>
      </c>
      <c r="D1582">
        <v>4.3</v>
      </c>
      <c r="E1582">
        <v>801</v>
      </c>
      <c r="F1582">
        <v>441</v>
      </c>
      <c r="G1582">
        <v>36</v>
      </c>
      <c r="H1582">
        <v>441</v>
      </c>
      <c r="I1582">
        <v>1.88</v>
      </c>
      <c r="J1582" s="1">
        <v>33653</v>
      </c>
    </row>
    <row r="1583" spans="1:10" ht="14.25" customHeight="1" x14ac:dyDescent="0.25">
      <c r="A1583" s="21" t="str">
        <f t="shared" si="3"/>
        <v>04019</v>
      </c>
      <c r="B1583" s="21"/>
      <c r="C1583">
        <v>122.7</v>
      </c>
      <c r="D1583">
        <v>4.2</v>
      </c>
      <c r="E1583">
        <v>258</v>
      </c>
      <c r="F1583">
        <v>349</v>
      </c>
      <c r="G1583">
        <v>40</v>
      </c>
      <c r="H1583">
        <v>349</v>
      </c>
      <c r="I1583">
        <v>1.71</v>
      </c>
      <c r="J1583" s="1">
        <v>10790</v>
      </c>
    </row>
    <row r="1584" spans="1:10" ht="14.25" customHeight="1" x14ac:dyDescent="0.25">
      <c r="A1584" s="21" t="str">
        <f t="shared" si="3"/>
        <v>04019</v>
      </c>
      <c r="B1584" s="21"/>
      <c r="C1584">
        <v>154</v>
      </c>
      <c r="D1584">
        <v>4.0999999999999996</v>
      </c>
      <c r="E1584">
        <v>331</v>
      </c>
      <c r="F1584">
        <v>451</v>
      </c>
      <c r="G1584">
        <v>32</v>
      </c>
      <c r="H1584">
        <v>451</v>
      </c>
      <c r="I1584">
        <v>1.79</v>
      </c>
      <c r="J1584" s="1">
        <v>14590</v>
      </c>
    </row>
    <row r="1585" spans="1:10" ht="14.25" customHeight="1" x14ac:dyDescent="0.25">
      <c r="A1585" s="21" t="str">
        <f t="shared" si="3"/>
        <v>04019</v>
      </c>
      <c r="B1585" s="21"/>
      <c r="C1585">
        <v>20.7</v>
      </c>
      <c r="D1585">
        <v>4.4000000000000004</v>
      </c>
      <c r="E1585">
        <v>73</v>
      </c>
      <c r="F1585">
        <v>49</v>
      </c>
      <c r="G1585">
        <v>6</v>
      </c>
      <c r="H1585">
        <v>49</v>
      </c>
      <c r="I1585">
        <v>1.29</v>
      </c>
      <c r="J1585" s="1">
        <v>1718</v>
      </c>
    </row>
    <row r="1586" spans="1:10" ht="14.25" customHeight="1" x14ac:dyDescent="0.25">
      <c r="A1586" s="21" t="str">
        <f t="shared" si="3"/>
        <v>04019</v>
      </c>
      <c r="B1586" s="21"/>
    </row>
    <row r="1587" spans="1:10" ht="14.25" customHeight="1" x14ac:dyDescent="0.25">
      <c r="A1587" s="21" t="str">
        <f t="shared" si="3"/>
        <v>04019</v>
      </c>
      <c r="B1587" s="21"/>
      <c r="E1587">
        <v>3</v>
      </c>
    </row>
    <row r="1588" spans="1:10" ht="14.25" customHeight="1" x14ac:dyDescent="0.25">
      <c r="A1588" s="21" t="str">
        <f>"04021"</f>
        <v>04021</v>
      </c>
      <c r="B1588" s="21"/>
      <c r="C1588">
        <v>58.5</v>
      </c>
      <c r="D1588">
        <v>3.7</v>
      </c>
      <c r="E1588">
        <v>174</v>
      </c>
      <c r="F1588">
        <v>141</v>
      </c>
      <c r="G1588">
        <v>22</v>
      </c>
      <c r="H1588">
        <v>141</v>
      </c>
      <c r="I1588">
        <v>1.75</v>
      </c>
      <c r="J1588" s="1">
        <v>6087</v>
      </c>
    </row>
    <row r="1589" spans="1:10" ht="14.25" customHeight="1" x14ac:dyDescent="0.25">
      <c r="A1589" s="21" t="str">
        <f>"04021"</f>
        <v>04021</v>
      </c>
      <c r="B1589" s="21"/>
      <c r="C1589">
        <v>26</v>
      </c>
      <c r="D1589">
        <v>3.4</v>
      </c>
      <c r="E1589">
        <v>119</v>
      </c>
      <c r="F1589">
        <v>53</v>
      </c>
      <c r="H1589">
        <v>53</v>
      </c>
      <c r="I1589">
        <v>1.63</v>
      </c>
      <c r="J1589" s="1">
        <v>3361</v>
      </c>
    </row>
    <row r="1590" spans="1:10" ht="14.25" customHeight="1" x14ac:dyDescent="0.25">
      <c r="A1590" s="21" t="str">
        <f>"04021"</f>
        <v>04021</v>
      </c>
      <c r="B1590" s="21"/>
      <c r="C1590">
        <v>6.1</v>
      </c>
      <c r="D1590">
        <v>3.7</v>
      </c>
      <c r="E1590">
        <v>1</v>
      </c>
      <c r="F1590">
        <v>36</v>
      </c>
      <c r="G1590">
        <v>2</v>
      </c>
      <c r="H1590">
        <v>36</v>
      </c>
      <c r="I1590">
        <v>1.1299999999999999</v>
      </c>
      <c r="J1590">
        <v>605</v>
      </c>
    </row>
    <row r="1591" spans="1:10" ht="14.25" customHeight="1" x14ac:dyDescent="0.25">
      <c r="A1591" s="21" t="str">
        <f>"04021"</f>
        <v>04021</v>
      </c>
      <c r="B1591" s="21"/>
      <c r="C1591">
        <v>5.6</v>
      </c>
      <c r="D1591">
        <v>2.7</v>
      </c>
      <c r="E1591">
        <v>12</v>
      </c>
      <c r="F1591">
        <v>20</v>
      </c>
      <c r="H1591">
        <v>20</v>
      </c>
      <c r="I1591">
        <v>1.31</v>
      </c>
      <c r="J1591">
        <v>772</v>
      </c>
    </row>
    <row r="1592" spans="1:10" ht="14.25" customHeight="1" x14ac:dyDescent="0.25">
      <c r="A1592" s="21" t="str">
        <f>"04025"</f>
        <v>04025</v>
      </c>
      <c r="B1592" s="21"/>
      <c r="E1592">
        <v>11</v>
      </c>
      <c r="H1592">
        <v>72</v>
      </c>
    </row>
    <row r="1593" spans="1:10" ht="14.25" customHeight="1" x14ac:dyDescent="0.25">
      <c r="A1593" s="21" t="str">
        <f>"04025"</f>
        <v>04025</v>
      </c>
      <c r="B1593" s="21"/>
      <c r="C1593">
        <v>108.6</v>
      </c>
      <c r="D1593">
        <v>3.6</v>
      </c>
      <c r="E1593">
        <v>470</v>
      </c>
      <c r="F1593">
        <v>206</v>
      </c>
      <c r="G1593">
        <v>26</v>
      </c>
      <c r="H1593">
        <v>134</v>
      </c>
      <c r="I1593">
        <v>1.7</v>
      </c>
      <c r="J1593" s="1">
        <v>11528</v>
      </c>
    </row>
    <row r="1594" spans="1:10" ht="14.25" customHeight="1" x14ac:dyDescent="0.25">
      <c r="A1594" s="21" t="str">
        <f>"04025"</f>
        <v>04025</v>
      </c>
      <c r="B1594" s="21"/>
      <c r="C1594">
        <v>44.8</v>
      </c>
      <c r="D1594">
        <v>3.7</v>
      </c>
      <c r="E1594">
        <v>244</v>
      </c>
      <c r="F1594">
        <v>87</v>
      </c>
      <c r="G1594">
        <v>13</v>
      </c>
      <c r="H1594">
        <v>87</v>
      </c>
      <c r="I1594">
        <v>1.62</v>
      </c>
      <c r="J1594" s="1">
        <v>4581</v>
      </c>
    </row>
    <row r="1595" spans="1:10" ht="14.25" customHeight="1" x14ac:dyDescent="0.25">
      <c r="A1595" s="21" t="str">
        <f>"04027"</f>
        <v>04027</v>
      </c>
      <c r="B1595" s="21"/>
      <c r="C1595">
        <v>166.4</v>
      </c>
      <c r="D1595">
        <v>4.2</v>
      </c>
      <c r="E1595">
        <v>579</v>
      </c>
      <c r="F1595">
        <v>406</v>
      </c>
      <c r="G1595">
        <v>42</v>
      </c>
      <c r="H1595">
        <v>406</v>
      </c>
      <c r="I1595">
        <v>1.96</v>
      </c>
      <c r="J1595" s="1">
        <v>15512</v>
      </c>
    </row>
    <row r="1596" spans="1:10" ht="14.25" customHeight="1" x14ac:dyDescent="0.25">
      <c r="A1596" s="21" t="str">
        <f>"05001"</f>
        <v>05001</v>
      </c>
      <c r="B1596" s="21"/>
      <c r="C1596">
        <v>9.1999999999999993</v>
      </c>
      <c r="D1596">
        <v>3.8</v>
      </c>
      <c r="E1596">
        <v>28</v>
      </c>
      <c r="F1596">
        <v>49</v>
      </c>
      <c r="H1596">
        <v>49</v>
      </c>
      <c r="I1596">
        <v>1.1399999999999999</v>
      </c>
      <c r="J1596">
        <v>981</v>
      </c>
    </row>
    <row r="1597" spans="1:10" ht="14.25" customHeight="1" x14ac:dyDescent="0.25">
      <c r="A1597" s="21" t="str">
        <f>"05005"</f>
        <v>05005</v>
      </c>
      <c r="B1597" s="21"/>
      <c r="C1597">
        <v>87.5</v>
      </c>
      <c r="D1597">
        <v>3.5</v>
      </c>
      <c r="E1597">
        <v>210</v>
      </c>
      <c r="F1597">
        <v>170</v>
      </c>
      <c r="G1597">
        <v>17</v>
      </c>
      <c r="H1597">
        <v>170</v>
      </c>
      <c r="I1597">
        <v>1.74</v>
      </c>
      <c r="J1597" s="1">
        <v>9167</v>
      </c>
    </row>
    <row r="1598" spans="1:10" ht="14.25" customHeight="1" x14ac:dyDescent="0.25">
      <c r="A1598" s="21" t="str">
        <f>"05007"</f>
        <v>05007</v>
      </c>
      <c r="B1598" s="21"/>
      <c r="C1598">
        <v>10.6</v>
      </c>
      <c r="D1598">
        <v>2.8</v>
      </c>
      <c r="E1598">
        <v>46</v>
      </c>
      <c r="F1598">
        <v>44</v>
      </c>
      <c r="G1598">
        <v>6</v>
      </c>
      <c r="H1598">
        <v>44</v>
      </c>
      <c r="I1598">
        <v>1.33</v>
      </c>
      <c r="J1598" s="1">
        <v>1733</v>
      </c>
    </row>
    <row r="1599" spans="1:10" ht="14.25" customHeight="1" x14ac:dyDescent="0.25">
      <c r="A1599" s="21" t="str">
        <f>"05007"</f>
        <v>05007</v>
      </c>
      <c r="B1599" s="21"/>
      <c r="C1599">
        <v>111.6</v>
      </c>
      <c r="D1599">
        <v>3.4</v>
      </c>
      <c r="E1599">
        <v>432</v>
      </c>
      <c r="F1599">
        <v>206</v>
      </c>
      <c r="G1599">
        <v>24</v>
      </c>
      <c r="H1599">
        <v>206</v>
      </c>
      <c r="I1599">
        <v>1.95</v>
      </c>
      <c r="J1599" s="1">
        <v>12636</v>
      </c>
    </row>
    <row r="1600" spans="1:10" ht="14.25" customHeight="1" x14ac:dyDescent="0.25">
      <c r="A1600" s="21" t="str">
        <f>"05007"</f>
        <v>05007</v>
      </c>
      <c r="B1600" s="21"/>
      <c r="E1600">
        <v>1</v>
      </c>
      <c r="H1600">
        <v>128</v>
      </c>
    </row>
    <row r="1601" spans="1:10" ht="14.25" customHeight="1" x14ac:dyDescent="0.25">
      <c r="A1601" s="21" t="str">
        <f>"05009"</f>
        <v>05009</v>
      </c>
      <c r="B1601" s="21"/>
      <c r="C1601">
        <v>23.5</v>
      </c>
      <c r="D1601">
        <v>3</v>
      </c>
      <c r="E1601">
        <v>103</v>
      </c>
      <c r="F1601">
        <v>120</v>
      </c>
      <c r="G1601">
        <v>24</v>
      </c>
      <c r="H1601">
        <v>120</v>
      </c>
      <c r="I1601">
        <v>1.39</v>
      </c>
      <c r="J1601" s="1">
        <v>3091</v>
      </c>
    </row>
    <row r="1602" spans="1:10" ht="14.25" customHeight="1" x14ac:dyDescent="0.25">
      <c r="A1602" s="21" t="str">
        <f>"05027"</f>
        <v>05027</v>
      </c>
      <c r="B1602" s="21"/>
      <c r="C1602">
        <v>7.9</v>
      </c>
      <c r="D1602">
        <v>3.2</v>
      </c>
      <c r="E1602">
        <v>33</v>
      </c>
      <c r="F1602">
        <v>30</v>
      </c>
      <c r="G1602">
        <v>6</v>
      </c>
      <c r="H1602">
        <v>30</v>
      </c>
      <c r="I1602">
        <v>1.1000000000000001</v>
      </c>
      <c r="J1602">
        <v>979</v>
      </c>
    </row>
    <row r="1603" spans="1:10" ht="14.25" customHeight="1" x14ac:dyDescent="0.25">
      <c r="A1603" s="21" t="str">
        <f>"05031"</f>
        <v>05031</v>
      </c>
      <c r="B1603" s="21"/>
      <c r="C1603">
        <v>130.69999999999999</v>
      </c>
      <c r="D1603">
        <v>4.2</v>
      </c>
      <c r="E1603">
        <v>203</v>
      </c>
      <c r="F1603">
        <v>180</v>
      </c>
      <c r="G1603">
        <v>36</v>
      </c>
      <c r="H1603">
        <v>100</v>
      </c>
      <c r="I1603">
        <v>1.65</v>
      </c>
      <c r="J1603" s="1">
        <v>11786</v>
      </c>
    </row>
    <row r="1604" spans="1:10" ht="14.25" customHeight="1" x14ac:dyDescent="0.25">
      <c r="A1604" s="21" t="str">
        <f>"05031"</f>
        <v>05031</v>
      </c>
      <c r="B1604" s="21"/>
      <c r="C1604">
        <v>223</v>
      </c>
      <c r="D1604">
        <v>4.7</v>
      </c>
      <c r="E1604">
        <v>427</v>
      </c>
      <c r="F1604">
        <v>337</v>
      </c>
      <c r="G1604">
        <v>30</v>
      </c>
      <c r="H1604">
        <v>337</v>
      </c>
      <c r="I1604">
        <v>1.84</v>
      </c>
      <c r="J1604" s="1">
        <v>17965</v>
      </c>
    </row>
    <row r="1605" spans="1:10" ht="14.25" customHeight="1" x14ac:dyDescent="0.25">
      <c r="A1605" s="21" t="str">
        <f>"05031"</f>
        <v>05031</v>
      </c>
      <c r="B1605" s="21"/>
    </row>
    <row r="1606" spans="1:10" ht="14.25" customHeight="1" x14ac:dyDescent="0.25">
      <c r="A1606" s="21" t="str">
        <f>"05031"</f>
        <v>05031</v>
      </c>
      <c r="B1606" s="21"/>
      <c r="C1606">
        <v>5.6</v>
      </c>
      <c r="D1606">
        <v>27.7</v>
      </c>
      <c r="F1606">
        <v>44</v>
      </c>
      <c r="H1606">
        <v>44</v>
      </c>
      <c r="I1606">
        <v>2.2200000000000002</v>
      </c>
      <c r="J1606">
        <v>74</v>
      </c>
    </row>
    <row r="1607" spans="1:10" ht="14.25" customHeight="1" x14ac:dyDescent="0.25">
      <c r="A1607" s="21" t="str">
        <f>"05033"</f>
        <v>05033</v>
      </c>
      <c r="B1607" s="21"/>
      <c r="C1607">
        <v>9.9</v>
      </c>
      <c r="D1607">
        <v>3.2</v>
      </c>
      <c r="E1607">
        <v>15</v>
      </c>
      <c r="F1607">
        <v>35</v>
      </c>
      <c r="G1607">
        <v>8</v>
      </c>
      <c r="H1607">
        <v>35</v>
      </c>
      <c r="I1607">
        <v>1.2</v>
      </c>
      <c r="J1607" s="1">
        <v>1132</v>
      </c>
    </row>
    <row r="1608" spans="1:10" ht="14.25" customHeight="1" x14ac:dyDescent="0.25">
      <c r="A1608" s="21" t="str">
        <f>"05035"</f>
        <v>05035</v>
      </c>
      <c r="B1608" s="21"/>
      <c r="C1608">
        <v>25.3</v>
      </c>
      <c r="D1608">
        <v>3.7</v>
      </c>
      <c r="J1608" s="1">
        <v>2700</v>
      </c>
    </row>
    <row r="1609" spans="1:10" ht="14.25" customHeight="1" x14ac:dyDescent="0.25">
      <c r="A1609" s="21" t="str">
        <f>"05035"</f>
        <v>05035</v>
      </c>
      <c r="B1609" s="21"/>
      <c r="C1609">
        <v>3.3</v>
      </c>
      <c r="D1609">
        <v>2.2000000000000002</v>
      </c>
      <c r="E1609">
        <v>32</v>
      </c>
      <c r="F1609">
        <v>11</v>
      </c>
      <c r="H1609">
        <v>11</v>
      </c>
      <c r="J1609">
        <v>545</v>
      </c>
    </row>
    <row r="1610" spans="1:10" ht="14.25" customHeight="1" x14ac:dyDescent="0.25">
      <c r="A1610" s="21" t="str">
        <f>"05043"</f>
        <v>05043</v>
      </c>
      <c r="B1610" s="21"/>
      <c r="C1610">
        <v>19.8</v>
      </c>
      <c r="D1610">
        <v>3.5</v>
      </c>
      <c r="E1610">
        <v>45</v>
      </c>
      <c r="F1610">
        <v>49</v>
      </c>
      <c r="G1610">
        <v>5</v>
      </c>
      <c r="H1610">
        <v>49</v>
      </c>
      <c r="I1610">
        <v>1.1599999999999999</v>
      </c>
      <c r="J1610" s="1">
        <v>2249</v>
      </c>
    </row>
    <row r="1611" spans="1:10" ht="14.25" customHeight="1" x14ac:dyDescent="0.25">
      <c r="A1611" s="21" t="str">
        <f>"05045"</f>
        <v>05045</v>
      </c>
      <c r="B1611" s="21"/>
      <c r="C1611">
        <v>76.8</v>
      </c>
      <c r="D1611">
        <v>4.0999999999999996</v>
      </c>
      <c r="E1611">
        <v>260</v>
      </c>
      <c r="F1611">
        <v>139</v>
      </c>
      <c r="G1611">
        <v>17</v>
      </c>
      <c r="H1611">
        <v>139</v>
      </c>
      <c r="I1611">
        <v>1.61</v>
      </c>
      <c r="J1611" s="1">
        <v>7607</v>
      </c>
    </row>
    <row r="1612" spans="1:10" ht="14.25" customHeight="1" x14ac:dyDescent="0.25">
      <c r="A1612" s="21" t="str">
        <f>"05045"</f>
        <v>05045</v>
      </c>
      <c r="B1612" s="21"/>
      <c r="C1612">
        <v>26.2</v>
      </c>
      <c r="D1612">
        <v>3.3</v>
      </c>
      <c r="E1612">
        <v>69</v>
      </c>
      <c r="F1612">
        <v>110</v>
      </c>
      <c r="G1612">
        <v>8</v>
      </c>
      <c r="H1612">
        <v>110</v>
      </c>
      <c r="I1612">
        <v>1.63</v>
      </c>
      <c r="J1612" s="1">
        <v>3029</v>
      </c>
    </row>
    <row r="1613" spans="1:10" ht="14.25" customHeight="1" x14ac:dyDescent="0.25">
      <c r="A1613" s="21" t="str">
        <f>"05051"</f>
        <v>05051</v>
      </c>
      <c r="B1613" s="21"/>
      <c r="C1613">
        <v>0</v>
      </c>
      <c r="D1613">
        <v>1</v>
      </c>
      <c r="E1613">
        <v>12</v>
      </c>
      <c r="F1613">
        <v>1</v>
      </c>
      <c r="H1613">
        <v>1</v>
      </c>
      <c r="I1613">
        <v>1.17</v>
      </c>
      <c r="J1613">
        <v>1</v>
      </c>
    </row>
    <row r="1614" spans="1:10" ht="14.25" customHeight="1" x14ac:dyDescent="0.25">
      <c r="A1614" s="21" t="str">
        <f>"05051"</f>
        <v>05051</v>
      </c>
      <c r="B1614" s="21"/>
      <c r="C1614">
        <v>10</v>
      </c>
      <c r="D1614">
        <v>3.1</v>
      </c>
      <c r="J1614" s="1">
        <v>1168</v>
      </c>
    </row>
    <row r="1615" spans="1:10" ht="14.25" customHeight="1" x14ac:dyDescent="0.25">
      <c r="A1615" s="21" t="str">
        <f>"05051"</f>
        <v>05051</v>
      </c>
      <c r="B1615" s="21"/>
      <c r="C1615">
        <v>83.1</v>
      </c>
      <c r="D1615">
        <v>4.9000000000000004</v>
      </c>
      <c r="E1615">
        <v>118</v>
      </c>
      <c r="F1615">
        <v>126</v>
      </c>
      <c r="G1615">
        <v>16</v>
      </c>
      <c r="H1615">
        <v>126</v>
      </c>
      <c r="I1615">
        <v>1.75</v>
      </c>
      <c r="J1615" s="1">
        <v>6332</v>
      </c>
    </row>
    <row r="1616" spans="1:10" ht="14.25" customHeight="1" x14ac:dyDescent="0.25">
      <c r="A1616" s="21" t="str">
        <f>"05051"</f>
        <v>05051</v>
      </c>
      <c r="B1616" s="21"/>
      <c r="C1616">
        <v>136.6</v>
      </c>
      <c r="D1616">
        <v>4.5</v>
      </c>
      <c r="E1616">
        <v>291</v>
      </c>
      <c r="F1616">
        <v>229</v>
      </c>
      <c r="G1616">
        <v>25</v>
      </c>
      <c r="H1616">
        <v>229</v>
      </c>
      <c r="I1616">
        <v>1.79</v>
      </c>
      <c r="J1616" s="1">
        <v>11605</v>
      </c>
    </row>
    <row r="1617" spans="1:10" ht="14.25" customHeight="1" x14ac:dyDescent="0.25">
      <c r="A1617" s="21" t="str">
        <f>"05055"</f>
        <v>05055</v>
      </c>
      <c r="B1617" s="21"/>
      <c r="C1617">
        <v>32.5</v>
      </c>
      <c r="D1617">
        <v>3.5</v>
      </c>
      <c r="E1617">
        <v>107</v>
      </c>
      <c r="F1617">
        <v>114</v>
      </c>
      <c r="G1617">
        <v>8</v>
      </c>
      <c r="H1617">
        <v>114</v>
      </c>
      <c r="I1617">
        <v>1.35</v>
      </c>
      <c r="J1617" s="1">
        <v>3693</v>
      </c>
    </row>
    <row r="1618" spans="1:10" ht="14.25" customHeight="1" x14ac:dyDescent="0.25">
      <c r="A1618" s="21" t="str">
        <f>"05057"</f>
        <v>05057</v>
      </c>
      <c r="B1618" s="21"/>
      <c r="C1618">
        <v>6.2</v>
      </c>
      <c r="D1618">
        <v>3.3</v>
      </c>
      <c r="E1618">
        <v>31</v>
      </c>
      <c r="F1618">
        <v>67</v>
      </c>
      <c r="G1618">
        <v>8</v>
      </c>
      <c r="H1618">
        <v>67</v>
      </c>
      <c r="I1618">
        <v>1.36</v>
      </c>
      <c r="J1618">
        <v>691</v>
      </c>
    </row>
    <row r="1619" spans="1:10" ht="14.25" customHeight="1" x14ac:dyDescent="0.25">
      <c r="A1619" s="21" t="str">
        <f>"05059"</f>
        <v>05059</v>
      </c>
      <c r="B1619" s="21"/>
      <c r="C1619">
        <v>25.3</v>
      </c>
      <c r="D1619">
        <v>4.0999999999999996</v>
      </c>
      <c r="E1619">
        <v>28</v>
      </c>
      <c r="F1619">
        <v>64</v>
      </c>
      <c r="G1619">
        <v>6</v>
      </c>
      <c r="H1619">
        <v>64</v>
      </c>
      <c r="I1619">
        <v>1.21</v>
      </c>
      <c r="J1619" s="1">
        <v>2248</v>
      </c>
    </row>
    <row r="1620" spans="1:10" ht="14.25" customHeight="1" x14ac:dyDescent="0.25">
      <c r="A1620" s="21" t="str">
        <f>"05063"</f>
        <v>05063</v>
      </c>
      <c r="B1620" s="21"/>
      <c r="C1620">
        <v>80.400000000000006</v>
      </c>
      <c r="D1620">
        <v>4</v>
      </c>
      <c r="E1620">
        <v>215</v>
      </c>
      <c r="F1620">
        <v>184</v>
      </c>
      <c r="G1620">
        <v>12</v>
      </c>
      <c r="H1620">
        <v>184</v>
      </c>
      <c r="I1620">
        <v>1.58</v>
      </c>
      <c r="J1620" s="1">
        <v>7611</v>
      </c>
    </row>
    <row r="1621" spans="1:10" ht="14.25" customHeight="1" x14ac:dyDescent="0.25">
      <c r="A1621" s="21" t="str">
        <f>"05067"</f>
        <v>05067</v>
      </c>
      <c r="B1621" s="21"/>
      <c r="E1621">
        <v>1</v>
      </c>
      <c r="H1621">
        <v>133</v>
      </c>
    </row>
    <row r="1622" spans="1:10" ht="14.25" customHeight="1" x14ac:dyDescent="0.25">
      <c r="A1622" s="21" t="str">
        <f>"05069"</f>
        <v>05069</v>
      </c>
      <c r="B1622" s="21"/>
      <c r="C1622">
        <v>117.1</v>
      </c>
      <c r="D1622">
        <v>5</v>
      </c>
      <c r="E1622">
        <v>192</v>
      </c>
      <c r="F1622">
        <v>271</v>
      </c>
      <c r="G1622">
        <v>34</v>
      </c>
      <c r="H1622">
        <v>271</v>
      </c>
      <c r="I1622">
        <v>1.52</v>
      </c>
      <c r="J1622" s="1">
        <v>8873</v>
      </c>
    </row>
    <row r="1623" spans="1:10" ht="14.25" customHeight="1" x14ac:dyDescent="0.25">
      <c r="A1623" s="21" t="str">
        <f>"05071"</f>
        <v>05071</v>
      </c>
      <c r="B1623" s="21"/>
      <c r="C1623">
        <v>12.3</v>
      </c>
      <c r="D1623">
        <v>2.6</v>
      </c>
      <c r="E1623">
        <v>53</v>
      </c>
      <c r="F1623">
        <v>57</v>
      </c>
      <c r="G1623">
        <v>8</v>
      </c>
      <c r="H1623">
        <v>57</v>
      </c>
      <c r="I1623">
        <v>1.26</v>
      </c>
      <c r="J1623" s="1">
        <v>1873</v>
      </c>
    </row>
    <row r="1624" spans="1:10" ht="14.25" customHeight="1" x14ac:dyDescent="0.25">
      <c r="A1624" s="21" t="str">
        <f>"05093"</f>
        <v>05093</v>
      </c>
      <c r="B1624" s="21"/>
      <c r="C1624">
        <v>10</v>
      </c>
      <c r="D1624">
        <v>3.1</v>
      </c>
      <c r="E1624">
        <v>42</v>
      </c>
      <c r="F1624">
        <v>33</v>
      </c>
      <c r="G1624">
        <v>5</v>
      </c>
      <c r="H1624">
        <v>99</v>
      </c>
      <c r="I1624">
        <v>1.1100000000000001</v>
      </c>
      <c r="J1624" s="1">
        <v>1423</v>
      </c>
    </row>
    <row r="1625" spans="1:10" ht="14.25" customHeight="1" x14ac:dyDescent="0.25">
      <c r="A1625" s="21" t="str">
        <f>"05103"</f>
        <v>05103</v>
      </c>
      <c r="B1625" s="21"/>
      <c r="C1625">
        <v>12.9</v>
      </c>
      <c r="D1625">
        <v>3.5</v>
      </c>
      <c r="E1625">
        <v>44</v>
      </c>
      <c r="F1625">
        <v>87</v>
      </c>
      <c r="G1625">
        <v>8</v>
      </c>
      <c r="H1625">
        <v>87</v>
      </c>
      <c r="I1625">
        <v>1.33</v>
      </c>
      <c r="J1625" s="1">
        <v>1459</v>
      </c>
    </row>
    <row r="1626" spans="1:10" ht="14.25" customHeight="1" x14ac:dyDescent="0.25">
      <c r="A1626" s="21" t="str">
        <f>"05107"</f>
        <v>05107</v>
      </c>
      <c r="B1626" s="21"/>
      <c r="C1626">
        <v>12.1</v>
      </c>
      <c r="D1626">
        <v>3.1</v>
      </c>
      <c r="E1626">
        <v>37</v>
      </c>
      <c r="F1626">
        <v>127</v>
      </c>
      <c r="G1626">
        <v>6</v>
      </c>
      <c r="H1626">
        <v>127</v>
      </c>
      <c r="I1626">
        <v>1.04</v>
      </c>
      <c r="J1626" s="1">
        <v>1540</v>
      </c>
    </row>
    <row r="1627" spans="1:10" ht="14.25" customHeight="1" x14ac:dyDescent="0.25">
      <c r="A1627" s="21" t="str">
        <f>"05109"</f>
        <v>05109</v>
      </c>
      <c r="B1627" s="21"/>
      <c r="C1627">
        <v>5</v>
      </c>
      <c r="D1627">
        <v>4</v>
      </c>
      <c r="J1627">
        <v>458</v>
      </c>
    </row>
    <row r="1628" spans="1:10" ht="14.25" customHeight="1" x14ac:dyDescent="0.25">
      <c r="A1628" s="21" t="str">
        <f>"05113"</f>
        <v>05113</v>
      </c>
      <c r="B1628" s="21"/>
      <c r="C1628">
        <v>11.6</v>
      </c>
      <c r="D1628">
        <v>4</v>
      </c>
      <c r="E1628">
        <v>48</v>
      </c>
      <c r="F1628">
        <v>41</v>
      </c>
      <c r="G1628">
        <v>6</v>
      </c>
      <c r="H1628">
        <v>41</v>
      </c>
      <c r="I1628">
        <v>1.18</v>
      </c>
      <c r="J1628" s="1">
        <v>1174</v>
      </c>
    </row>
    <row r="1629" spans="1:10" ht="14.25" customHeight="1" x14ac:dyDescent="0.25">
      <c r="A1629" s="21" t="str">
        <f>"05115"</f>
        <v>05115</v>
      </c>
      <c r="B1629" s="21"/>
      <c r="C1629">
        <v>55.9</v>
      </c>
      <c r="D1629">
        <v>4.2</v>
      </c>
      <c r="E1629">
        <v>121</v>
      </c>
      <c r="F1629">
        <v>137</v>
      </c>
      <c r="G1629">
        <v>11</v>
      </c>
      <c r="H1629">
        <v>137</v>
      </c>
      <c r="I1629">
        <v>1.58</v>
      </c>
      <c r="J1629" s="1">
        <v>5246</v>
      </c>
    </row>
    <row r="1630" spans="1:10" ht="14.25" customHeight="1" x14ac:dyDescent="0.25">
      <c r="A1630" s="21" t="str">
        <f t="shared" ref="A1630:A1639" si="4">"05119"</f>
        <v>05119</v>
      </c>
      <c r="B1630" s="21"/>
      <c r="C1630">
        <v>108.4</v>
      </c>
      <c r="D1630">
        <v>4.0999999999999996</v>
      </c>
      <c r="E1630">
        <v>242</v>
      </c>
      <c r="F1630">
        <v>177</v>
      </c>
      <c r="G1630">
        <v>17</v>
      </c>
      <c r="H1630">
        <v>177</v>
      </c>
      <c r="I1630">
        <v>1.71</v>
      </c>
      <c r="J1630" s="1">
        <v>10202</v>
      </c>
    </row>
    <row r="1631" spans="1:10" ht="14.25" customHeight="1" x14ac:dyDescent="0.25">
      <c r="A1631" s="21" t="str">
        <f t="shared" si="4"/>
        <v>05119</v>
      </c>
      <c r="B1631" s="21"/>
      <c r="C1631">
        <v>410.3</v>
      </c>
      <c r="D1631">
        <v>5.4</v>
      </c>
      <c r="E1631">
        <v>809</v>
      </c>
      <c r="F1631">
        <v>505</v>
      </c>
      <c r="G1631">
        <v>28</v>
      </c>
      <c r="H1631">
        <v>450</v>
      </c>
      <c r="I1631">
        <v>2.11</v>
      </c>
      <c r="J1631" s="1">
        <v>28215</v>
      </c>
    </row>
    <row r="1632" spans="1:10" ht="14.25" customHeight="1" x14ac:dyDescent="0.25">
      <c r="A1632" s="21" t="str">
        <f t="shared" si="4"/>
        <v>05119</v>
      </c>
      <c r="B1632" s="21"/>
      <c r="C1632">
        <v>252.8</v>
      </c>
      <c r="D1632">
        <v>5.4</v>
      </c>
      <c r="E1632">
        <v>367</v>
      </c>
      <c r="F1632">
        <v>393</v>
      </c>
      <c r="G1632">
        <v>23</v>
      </c>
      <c r="H1632">
        <v>393</v>
      </c>
      <c r="I1632">
        <v>2.34</v>
      </c>
      <c r="J1632" s="1">
        <v>17643</v>
      </c>
    </row>
    <row r="1633" spans="1:10" ht="14.25" customHeight="1" x14ac:dyDescent="0.25">
      <c r="A1633" s="21" t="str">
        <f t="shared" si="4"/>
        <v>05119</v>
      </c>
      <c r="B1633" s="21"/>
      <c r="C1633">
        <v>8.3000000000000007</v>
      </c>
      <c r="D1633">
        <v>3.4</v>
      </c>
      <c r="I1633">
        <v>1.17</v>
      </c>
      <c r="J1633">
        <v>899</v>
      </c>
    </row>
    <row r="1634" spans="1:10" ht="14.25" customHeight="1" x14ac:dyDescent="0.25">
      <c r="A1634" s="21" t="str">
        <f t="shared" si="4"/>
        <v>05119</v>
      </c>
      <c r="B1634" s="21"/>
      <c r="C1634">
        <v>411.1</v>
      </c>
      <c r="D1634">
        <v>5.5</v>
      </c>
      <c r="E1634">
        <v>501</v>
      </c>
      <c r="F1634">
        <v>683</v>
      </c>
      <c r="G1634">
        <v>36</v>
      </c>
      <c r="H1634">
        <v>683</v>
      </c>
      <c r="I1634">
        <v>2.06</v>
      </c>
      <c r="J1634" s="1">
        <v>28081</v>
      </c>
    </row>
    <row r="1635" spans="1:10" ht="14.25" customHeight="1" x14ac:dyDescent="0.25">
      <c r="A1635" s="21" t="str">
        <f t="shared" si="4"/>
        <v>05119</v>
      </c>
      <c r="B1635" s="21"/>
      <c r="C1635">
        <v>19</v>
      </c>
      <c r="D1635">
        <v>2</v>
      </c>
      <c r="E1635">
        <v>64</v>
      </c>
      <c r="F1635">
        <v>49</v>
      </c>
      <c r="H1635">
        <v>49</v>
      </c>
      <c r="I1635">
        <v>2.25</v>
      </c>
      <c r="J1635" s="1">
        <v>3497</v>
      </c>
    </row>
    <row r="1636" spans="1:10" ht="14.25" customHeight="1" x14ac:dyDescent="0.25">
      <c r="A1636" s="21" t="str">
        <f t="shared" si="4"/>
        <v>05119</v>
      </c>
      <c r="B1636" s="21"/>
      <c r="C1636">
        <v>70.8</v>
      </c>
      <c r="D1636">
        <v>4</v>
      </c>
      <c r="E1636">
        <v>107</v>
      </c>
      <c r="F1636">
        <v>112</v>
      </c>
      <c r="H1636">
        <v>112</v>
      </c>
      <c r="I1636">
        <v>2.37</v>
      </c>
      <c r="J1636" s="1">
        <v>6501</v>
      </c>
    </row>
    <row r="1637" spans="1:10" ht="14.25" customHeight="1" x14ac:dyDescent="0.25">
      <c r="A1637" s="21" t="str">
        <f t="shared" si="4"/>
        <v>05119</v>
      </c>
      <c r="B1637" s="21"/>
      <c r="C1637">
        <v>24.2</v>
      </c>
      <c r="D1637">
        <v>4</v>
      </c>
      <c r="E1637">
        <v>30</v>
      </c>
      <c r="F1637">
        <v>59</v>
      </c>
      <c r="G1637">
        <v>14</v>
      </c>
      <c r="H1637">
        <v>59</v>
      </c>
      <c r="I1637">
        <v>1.35</v>
      </c>
      <c r="J1637" s="1">
        <v>2235</v>
      </c>
    </row>
    <row r="1638" spans="1:10" ht="14.25" customHeight="1" x14ac:dyDescent="0.25">
      <c r="A1638" s="21" t="str">
        <f t="shared" si="4"/>
        <v>05119</v>
      </c>
      <c r="B1638" s="21"/>
      <c r="C1638">
        <v>6</v>
      </c>
      <c r="D1638">
        <v>3.8</v>
      </c>
      <c r="J1638">
        <v>585</v>
      </c>
    </row>
    <row r="1639" spans="1:10" ht="14.25" customHeight="1" x14ac:dyDescent="0.25">
      <c r="A1639" s="21" t="str">
        <f t="shared" si="4"/>
        <v>05119</v>
      </c>
      <c r="B1639" s="21"/>
    </row>
    <row r="1640" spans="1:10" ht="14.25" customHeight="1" x14ac:dyDescent="0.25">
      <c r="A1640" s="21" t="str">
        <f>"05121"</f>
        <v>05121</v>
      </c>
      <c r="B1640" s="21"/>
      <c r="C1640">
        <v>5.7</v>
      </c>
      <c r="D1640">
        <v>3.4</v>
      </c>
      <c r="E1640">
        <v>39</v>
      </c>
      <c r="F1640">
        <v>32</v>
      </c>
      <c r="G1640">
        <v>2</v>
      </c>
      <c r="H1640">
        <v>32</v>
      </c>
      <c r="I1640">
        <v>1.07</v>
      </c>
      <c r="J1640">
        <v>614</v>
      </c>
    </row>
    <row r="1641" spans="1:10" ht="14.25" customHeight="1" x14ac:dyDescent="0.25">
      <c r="A1641" s="21" t="str">
        <f>"05123"</f>
        <v>05123</v>
      </c>
      <c r="B1641" s="21"/>
      <c r="C1641">
        <v>15.8</v>
      </c>
      <c r="D1641">
        <v>3.4</v>
      </c>
      <c r="E1641">
        <v>49</v>
      </c>
      <c r="F1641">
        <v>56</v>
      </c>
      <c r="G1641">
        <v>6</v>
      </c>
      <c r="H1641">
        <v>56</v>
      </c>
      <c r="I1641">
        <v>1.1200000000000001</v>
      </c>
      <c r="J1641" s="1">
        <v>2168</v>
      </c>
    </row>
    <row r="1642" spans="1:10" ht="14.25" customHeight="1" x14ac:dyDescent="0.25">
      <c r="A1642" s="21" t="str">
        <f>"05125"</f>
        <v>05125</v>
      </c>
      <c r="B1642" s="21"/>
      <c r="C1642">
        <v>49.7</v>
      </c>
      <c r="D1642">
        <v>3.5</v>
      </c>
      <c r="E1642">
        <v>145</v>
      </c>
      <c r="F1642">
        <v>130</v>
      </c>
      <c r="G1642">
        <v>16</v>
      </c>
      <c r="H1642">
        <v>130</v>
      </c>
      <c r="I1642">
        <v>1.43</v>
      </c>
      <c r="J1642" s="1">
        <v>5394</v>
      </c>
    </row>
    <row r="1643" spans="1:10" ht="14.25" customHeight="1" x14ac:dyDescent="0.25">
      <c r="A1643" s="21" t="str">
        <f>"05131"</f>
        <v>05131</v>
      </c>
      <c r="B1643" s="21"/>
      <c r="C1643">
        <v>165.2</v>
      </c>
      <c r="D1643">
        <v>4.5999999999999996</v>
      </c>
      <c r="E1643">
        <v>236</v>
      </c>
      <c r="F1643">
        <v>249</v>
      </c>
      <c r="G1643">
        <v>30</v>
      </c>
      <c r="H1643">
        <v>249</v>
      </c>
      <c r="I1643">
        <v>1.68</v>
      </c>
      <c r="J1643" s="1">
        <v>13631</v>
      </c>
    </row>
    <row r="1644" spans="1:10" ht="14.25" customHeight="1" x14ac:dyDescent="0.25">
      <c r="A1644" s="21" t="str">
        <f>"05131"</f>
        <v>05131</v>
      </c>
      <c r="B1644" s="21"/>
      <c r="C1644">
        <v>178.9</v>
      </c>
      <c r="D1644">
        <v>4.2</v>
      </c>
      <c r="E1644">
        <v>422</v>
      </c>
      <c r="F1644">
        <v>343</v>
      </c>
      <c r="G1644">
        <v>38</v>
      </c>
      <c r="H1644">
        <v>343</v>
      </c>
      <c r="I1644">
        <v>1.77</v>
      </c>
      <c r="J1644" s="1">
        <v>16332</v>
      </c>
    </row>
    <row r="1645" spans="1:10" ht="14.25" customHeight="1" x14ac:dyDescent="0.25">
      <c r="A1645" s="21" t="str">
        <f>"05131"</f>
        <v>05131</v>
      </c>
      <c r="B1645" s="21"/>
      <c r="H1645">
        <v>24</v>
      </c>
    </row>
    <row r="1646" spans="1:10" ht="14.25" customHeight="1" x14ac:dyDescent="0.25">
      <c r="A1646" s="21" t="str">
        <f>"05139"</f>
        <v>05139</v>
      </c>
      <c r="B1646" s="21"/>
      <c r="C1646">
        <v>36.1</v>
      </c>
      <c r="D1646">
        <v>3.8</v>
      </c>
      <c r="E1646">
        <v>83</v>
      </c>
      <c r="F1646">
        <v>111</v>
      </c>
      <c r="G1646">
        <v>16</v>
      </c>
      <c r="H1646">
        <v>111</v>
      </c>
      <c r="I1646">
        <v>1.63</v>
      </c>
      <c r="J1646" s="1">
        <v>3366</v>
      </c>
    </row>
    <row r="1647" spans="1:10" ht="14.25" customHeight="1" x14ac:dyDescent="0.25">
      <c r="A1647" s="21" t="str">
        <f>"05143"</f>
        <v>05143</v>
      </c>
      <c r="B1647" s="21"/>
      <c r="C1647">
        <v>5.7</v>
      </c>
      <c r="D1647">
        <v>1.6</v>
      </c>
      <c r="E1647">
        <v>32</v>
      </c>
      <c r="F1647">
        <v>20</v>
      </c>
      <c r="H1647">
        <v>20</v>
      </c>
      <c r="I1647">
        <v>2.44</v>
      </c>
      <c r="J1647" s="1">
        <v>1319</v>
      </c>
    </row>
    <row r="1648" spans="1:10" ht="14.25" customHeight="1" x14ac:dyDescent="0.25">
      <c r="A1648" s="21" t="str">
        <f>"05143"</f>
        <v>05143</v>
      </c>
      <c r="B1648" s="21"/>
      <c r="C1648">
        <v>131.6</v>
      </c>
      <c r="D1648">
        <v>5</v>
      </c>
      <c r="E1648">
        <v>271</v>
      </c>
      <c r="F1648">
        <v>275</v>
      </c>
      <c r="G1648">
        <v>21</v>
      </c>
      <c r="H1648">
        <v>222</v>
      </c>
      <c r="I1648">
        <v>1.79</v>
      </c>
      <c r="J1648" s="1">
        <v>11582</v>
      </c>
    </row>
    <row r="1649" spans="1:10" ht="14.25" customHeight="1" x14ac:dyDescent="0.25">
      <c r="A1649" s="21" t="str">
        <f>"05143"</f>
        <v>05143</v>
      </c>
      <c r="B1649" s="21"/>
      <c r="C1649">
        <v>196.3</v>
      </c>
      <c r="D1649">
        <v>4.3</v>
      </c>
      <c r="E1649">
        <v>418</v>
      </c>
      <c r="F1649">
        <v>320</v>
      </c>
      <c r="G1649">
        <v>40</v>
      </c>
      <c r="H1649">
        <v>320</v>
      </c>
      <c r="I1649">
        <v>1.98</v>
      </c>
      <c r="J1649" s="1">
        <v>16340</v>
      </c>
    </row>
    <row r="1650" spans="1:10" ht="14.25" customHeight="1" x14ac:dyDescent="0.25">
      <c r="A1650" s="21" t="str">
        <f>"05143"</f>
        <v>05143</v>
      </c>
      <c r="B1650" s="21"/>
      <c r="H1650">
        <v>64</v>
      </c>
    </row>
    <row r="1651" spans="1:10" ht="14.25" customHeight="1" x14ac:dyDescent="0.25">
      <c r="A1651" s="21" t="str">
        <f>"05145"</f>
        <v>05145</v>
      </c>
      <c r="B1651" s="21"/>
      <c r="C1651">
        <v>125.9</v>
      </c>
      <c r="D1651">
        <v>4.3</v>
      </c>
      <c r="E1651">
        <v>178</v>
      </c>
      <c r="F1651">
        <v>216</v>
      </c>
      <c r="G1651">
        <v>12</v>
      </c>
      <c r="H1651">
        <v>245</v>
      </c>
      <c r="I1651">
        <v>1.36</v>
      </c>
      <c r="J1651" s="1">
        <v>11215</v>
      </c>
    </row>
    <row r="1652" spans="1:10" ht="14.25" customHeight="1" x14ac:dyDescent="0.25">
      <c r="A1652" s="21" t="str">
        <f>"05145"</f>
        <v>05145</v>
      </c>
      <c r="B1652" s="21"/>
      <c r="E1652">
        <v>46</v>
      </c>
      <c r="H1652">
        <v>193</v>
      </c>
    </row>
    <row r="1653" spans="1:10" ht="14.25" customHeight="1" x14ac:dyDescent="0.25">
      <c r="A1653" s="21" t="str">
        <f>"05149"</f>
        <v>05149</v>
      </c>
      <c r="B1653" s="21"/>
      <c r="C1653">
        <v>15.2</v>
      </c>
      <c r="D1653">
        <v>4.2</v>
      </c>
      <c r="E1653">
        <v>28</v>
      </c>
      <c r="F1653">
        <v>30</v>
      </c>
      <c r="H1653">
        <v>30</v>
      </c>
      <c r="I1653">
        <v>1.19</v>
      </c>
      <c r="J1653" s="1">
        <v>1318</v>
      </c>
    </row>
    <row r="1654" spans="1:10" ht="14.25" customHeight="1" x14ac:dyDescent="0.25">
      <c r="A1654" s="21" t="str">
        <f t="shared" ref="A1654:A1668" si="5">"06001"</f>
        <v>06001</v>
      </c>
      <c r="B1654" s="21"/>
      <c r="C1654">
        <v>54.7</v>
      </c>
      <c r="D1654">
        <v>4.3</v>
      </c>
      <c r="E1654">
        <v>73</v>
      </c>
      <c r="F1654">
        <v>195</v>
      </c>
      <c r="G1654">
        <v>15</v>
      </c>
      <c r="H1654">
        <v>195</v>
      </c>
      <c r="I1654">
        <v>1.6</v>
      </c>
      <c r="J1654" s="1">
        <v>4921</v>
      </c>
    </row>
    <row r="1655" spans="1:10" ht="14.25" customHeight="1" x14ac:dyDescent="0.25">
      <c r="A1655" s="21" t="str">
        <f t="shared" si="5"/>
        <v>06001</v>
      </c>
      <c r="B1655" s="21"/>
      <c r="C1655">
        <v>143.30000000000001</v>
      </c>
      <c r="D1655">
        <v>4.5</v>
      </c>
      <c r="E1655">
        <v>521</v>
      </c>
      <c r="F1655">
        <v>296</v>
      </c>
      <c r="G1655">
        <v>36</v>
      </c>
      <c r="H1655">
        <v>296</v>
      </c>
      <c r="I1655">
        <v>1.82</v>
      </c>
      <c r="J1655" s="1">
        <v>11601</v>
      </c>
    </row>
    <row r="1656" spans="1:10" ht="14.25" customHeight="1" x14ac:dyDescent="0.25">
      <c r="A1656" s="21" t="str">
        <f t="shared" si="5"/>
        <v>06001</v>
      </c>
      <c r="B1656" s="21"/>
      <c r="C1656">
        <v>30.8</v>
      </c>
      <c r="D1656">
        <v>4.3</v>
      </c>
      <c r="E1656">
        <v>72</v>
      </c>
      <c r="F1656">
        <v>48</v>
      </c>
      <c r="G1656">
        <v>9</v>
      </c>
      <c r="H1656">
        <v>48</v>
      </c>
      <c r="I1656">
        <v>1.81</v>
      </c>
      <c r="J1656" s="1">
        <v>2639</v>
      </c>
    </row>
    <row r="1657" spans="1:10" ht="14.25" customHeight="1" x14ac:dyDescent="0.25">
      <c r="A1657" s="21" t="str">
        <f t="shared" si="5"/>
        <v>06001</v>
      </c>
      <c r="B1657" s="21"/>
      <c r="C1657">
        <v>164.7</v>
      </c>
      <c r="D1657">
        <v>5.2</v>
      </c>
      <c r="E1657">
        <v>460</v>
      </c>
      <c r="F1657">
        <v>320</v>
      </c>
      <c r="G1657">
        <v>52</v>
      </c>
      <c r="H1657">
        <v>320</v>
      </c>
      <c r="I1657">
        <v>1.63</v>
      </c>
      <c r="J1657" s="1">
        <v>12063</v>
      </c>
    </row>
    <row r="1658" spans="1:10" ht="14.25" customHeight="1" x14ac:dyDescent="0.25">
      <c r="A1658" s="21" t="str">
        <f t="shared" si="5"/>
        <v>06001</v>
      </c>
      <c r="B1658" s="21"/>
      <c r="C1658">
        <v>35.200000000000003</v>
      </c>
      <c r="D1658">
        <v>4.7</v>
      </c>
      <c r="E1658">
        <v>114</v>
      </c>
      <c r="F1658">
        <v>37</v>
      </c>
      <c r="H1658">
        <v>37</v>
      </c>
      <c r="I1658">
        <v>1.5</v>
      </c>
      <c r="J1658" s="1">
        <v>2715</v>
      </c>
    </row>
    <row r="1659" spans="1:10" ht="14.25" customHeight="1" x14ac:dyDescent="0.25">
      <c r="A1659" s="21" t="str">
        <f t="shared" si="5"/>
        <v>06001</v>
      </c>
      <c r="B1659" s="21"/>
      <c r="C1659">
        <v>68.900000000000006</v>
      </c>
      <c r="D1659">
        <v>4.0999999999999996</v>
      </c>
      <c r="E1659">
        <v>331</v>
      </c>
      <c r="F1659">
        <v>167</v>
      </c>
      <c r="G1659">
        <v>23</v>
      </c>
      <c r="H1659">
        <v>167</v>
      </c>
      <c r="I1659">
        <v>1.9</v>
      </c>
      <c r="J1659" s="1">
        <v>7060</v>
      </c>
    </row>
    <row r="1660" spans="1:10" ht="14.25" customHeight="1" x14ac:dyDescent="0.25">
      <c r="A1660" s="21" t="str">
        <f t="shared" si="5"/>
        <v>06001</v>
      </c>
      <c r="B1660" s="21"/>
      <c r="C1660">
        <v>139.30000000000001</v>
      </c>
      <c r="D1660">
        <v>7</v>
      </c>
      <c r="E1660">
        <v>620</v>
      </c>
      <c r="F1660">
        <v>337</v>
      </c>
      <c r="G1660">
        <v>30</v>
      </c>
      <c r="H1660">
        <v>337</v>
      </c>
      <c r="I1660">
        <v>1.68</v>
      </c>
      <c r="J1660" s="1">
        <v>9358</v>
      </c>
    </row>
    <row r="1661" spans="1:10" ht="14.25" customHeight="1" x14ac:dyDescent="0.25">
      <c r="A1661" s="21" t="str">
        <f t="shared" si="5"/>
        <v>06001</v>
      </c>
      <c r="B1661" s="21"/>
      <c r="C1661">
        <v>234.8</v>
      </c>
      <c r="D1661">
        <v>4.4000000000000004</v>
      </c>
      <c r="E1661" s="1">
        <v>1078</v>
      </c>
      <c r="F1661">
        <v>365</v>
      </c>
      <c r="G1661">
        <v>50</v>
      </c>
      <c r="H1661">
        <v>365</v>
      </c>
      <c r="I1661">
        <v>1.68</v>
      </c>
      <c r="J1661" s="1">
        <v>20686</v>
      </c>
    </row>
    <row r="1662" spans="1:10" ht="14.25" customHeight="1" x14ac:dyDescent="0.25">
      <c r="A1662" s="21" t="str">
        <f t="shared" si="5"/>
        <v>06001</v>
      </c>
      <c r="B1662" s="21"/>
    </row>
    <row r="1663" spans="1:10" ht="14.25" customHeight="1" x14ac:dyDescent="0.25">
      <c r="A1663" s="21" t="str">
        <f t="shared" si="5"/>
        <v>06001</v>
      </c>
      <c r="B1663" s="21"/>
      <c r="C1663">
        <v>103.8</v>
      </c>
      <c r="D1663">
        <v>4.8</v>
      </c>
      <c r="E1663">
        <v>288</v>
      </c>
      <c r="F1663">
        <v>130</v>
      </c>
      <c r="G1663">
        <v>24</v>
      </c>
      <c r="H1663">
        <v>130</v>
      </c>
      <c r="I1663">
        <v>1.74</v>
      </c>
      <c r="J1663" s="1">
        <v>8424</v>
      </c>
    </row>
    <row r="1664" spans="1:10" ht="14.25" customHeight="1" x14ac:dyDescent="0.25">
      <c r="A1664" s="21" t="str">
        <f t="shared" si="5"/>
        <v>06001</v>
      </c>
      <c r="B1664" s="21"/>
    </row>
    <row r="1665" spans="1:10" ht="14.25" customHeight="1" x14ac:dyDescent="0.25">
      <c r="A1665" s="21" t="str">
        <f t="shared" si="5"/>
        <v>06001</v>
      </c>
      <c r="B1665" s="21"/>
      <c r="C1665">
        <v>152.19999999999999</v>
      </c>
      <c r="D1665">
        <v>5.6</v>
      </c>
      <c r="E1665">
        <v>401</v>
      </c>
      <c r="F1665">
        <v>169</v>
      </c>
      <c r="G1665">
        <v>24</v>
      </c>
      <c r="H1665">
        <v>169</v>
      </c>
      <c r="I1665">
        <v>1.49</v>
      </c>
      <c r="J1665" s="1">
        <v>10580</v>
      </c>
    </row>
    <row r="1666" spans="1:10" ht="14.25" customHeight="1" x14ac:dyDescent="0.25">
      <c r="A1666" s="21" t="str">
        <f t="shared" si="5"/>
        <v>06001</v>
      </c>
      <c r="B1666" s="21"/>
      <c r="E1666">
        <v>1</v>
      </c>
      <c r="H1666">
        <v>69</v>
      </c>
    </row>
    <row r="1667" spans="1:10" ht="14.25" customHeight="1" x14ac:dyDescent="0.25">
      <c r="A1667" s="21" t="str">
        <f t="shared" si="5"/>
        <v>06001</v>
      </c>
      <c r="B1667" s="21"/>
      <c r="C1667">
        <v>45.2</v>
      </c>
      <c r="D1667">
        <v>3.5</v>
      </c>
      <c r="E1667">
        <v>328</v>
      </c>
      <c r="F1667">
        <v>106</v>
      </c>
      <c r="G1667">
        <v>10</v>
      </c>
      <c r="H1667">
        <v>106</v>
      </c>
      <c r="I1667">
        <v>1.67</v>
      </c>
      <c r="J1667" s="1">
        <v>3893</v>
      </c>
    </row>
    <row r="1668" spans="1:10" ht="14.25" customHeight="1" x14ac:dyDescent="0.25">
      <c r="A1668" s="21" t="str">
        <f t="shared" si="5"/>
        <v>06001</v>
      </c>
      <c r="B1668" s="21"/>
      <c r="C1668">
        <v>103.7</v>
      </c>
      <c r="D1668">
        <v>3.8</v>
      </c>
      <c r="E1668">
        <v>467</v>
      </c>
      <c r="F1668">
        <v>206</v>
      </c>
      <c r="G1668">
        <v>20</v>
      </c>
      <c r="H1668">
        <v>206</v>
      </c>
      <c r="I1668">
        <v>1.77</v>
      </c>
      <c r="J1668" s="1">
        <v>11608</v>
      </c>
    </row>
    <row r="1669" spans="1:10" ht="14.25" customHeight="1" x14ac:dyDescent="0.25">
      <c r="A1669" s="21" t="str">
        <f>"06005"</f>
        <v>06005</v>
      </c>
      <c r="B1669" s="21"/>
      <c r="C1669">
        <v>24.5</v>
      </c>
      <c r="D1669">
        <v>4.3</v>
      </c>
      <c r="E1669">
        <v>95</v>
      </c>
      <c r="F1669">
        <v>52</v>
      </c>
      <c r="G1669">
        <v>6</v>
      </c>
      <c r="H1669">
        <v>52</v>
      </c>
      <c r="I1669">
        <v>1.43</v>
      </c>
      <c r="J1669" s="1">
        <v>2184</v>
      </c>
    </row>
    <row r="1670" spans="1:10" ht="14.25" customHeight="1" x14ac:dyDescent="0.25">
      <c r="A1670" s="21" t="str">
        <f>"06007"</f>
        <v>06007</v>
      </c>
      <c r="B1670" s="21"/>
      <c r="C1670">
        <v>216.8</v>
      </c>
      <c r="D1670">
        <v>4.2</v>
      </c>
      <c r="E1670">
        <v>323</v>
      </c>
      <c r="F1670">
        <v>298</v>
      </c>
      <c r="G1670">
        <v>33</v>
      </c>
      <c r="H1670">
        <v>298</v>
      </c>
      <c r="I1670">
        <v>1.65</v>
      </c>
      <c r="J1670" s="1">
        <v>19702</v>
      </c>
    </row>
    <row r="1671" spans="1:10" ht="14.25" customHeight="1" x14ac:dyDescent="0.25">
      <c r="A1671" s="21" t="str">
        <f>"06007"</f>
        <v>06007</v>
      </c>
      <c r="B1671" s="21"/>
      <c r="C1671">
        <v>122.3</v>
      </c>
      <c r="D1671">
        <v>3.4</v>
      </c>
      <c r="E1671">
        <v>521</v>
      </c>
      <c r="F1671">
        <v>133</v>
      </c>
      <c r="G1671">
        <v>10</v>
      </c>
      <c r="H1671">
        <v>133</v>
      </c>
      <c r="I1671">
        <v>1.54</v>
      </c>
      <c r="J1671" s="1">
        <v>13372</v>
      </c>
    </row>
    <row r="1672" spans="1:10" ht="14.25" customHeight="1" x14ac:dyDescent="0.25">
      <c r="A1672" s="21" t="str">
        <f>"06007"</f>
        <v>06007</v>
      </c>
      <c r="B1672" s="21"/>
      <c r="D1672">
        <v>3.9</v>
      </c>
      <c r="I1672">
        <v>1.66</v>
      </c>
      <c r="J1672" s="1">
        <v>3795</v>
      </c>
    </row>
    <row r="1673" spans="1:10" ht="14.25" customHeight="1" x14ac:dyDescent="0.25">
      <c r="A1673" s="21" t="str">
        <f>"06011"</f>
        <v>06011</v>
      </c>
      <c r="B1673" s="21"/>
      <c r="C1673">
        <v>6.8</v>
      </c>
      <c r="D1673">
        <v>4.9000000000000004</v>
      </c>
      <c r="J1673">
        <v>656</v>
      </c>
    </row>
    <row r="1674" spans="1:10" ht="14.25" customHeight="1" x14ac:dyDescent="0.25">
      <c r="A1674" s="21" t="str">
        <f t="shared" ref="A1674:A1682" si="6">"06013"</f>
        <v>06013</v>
      </c>
      <c r="B1674" s="21"/>
      <c r="C1674">
        <v>145.9</v>
      </c>
      <c r="D1674">
        <v>4.7</v>
      </c>
      <c r="E1674">
        <v>338</v>
      </c>
      <c r="F1674">
        <v>244</v>
      </c>
      <c r="G1674">
        <v>36</v>
      </c>
      <c r="H1674">
        <v>244</v>
      </c>
      <c r="I1674">
        <v>1.99</v>
      </c>
      <c r="J1674" s="1">
        <v>11397</v>
      </c>
    </row>
    <row r="1675" spans="1:10" ht="14.25" customHeight="1" x14ac:dyDescent="0.25">
      <c r="A1675" s="21" t="str">
        <f t="shared" si="6"/>
        <v>06013</v>
      </c>
      <c r="B1675" s="21"/>
      <c r="C1675">
        <v>75.599999999999994</v>
      </c>
      <c r="D1675">
        <v>4.3</v>
      </c>
      <c r="E1675">
        <v>158</v>
      </c>
      <c r="F1675">
        <v>145</v>
      </c>
      <c r="G1675">
        <v>12</v>
      </c>
      <c r="H1675">
        <v>145</v>
      </c>
      <c r="I1675">
        <v>1.57</v>
      </c>
      <c r="J1675" s="1">
        <v>6714</v>
      </c>
    </row>
    <row r="1676" spans="1:10" ht="14.25" customHeight="1" x14ac:dyDescent="0.25">
      <c r="A1676" s="21" t="str">
        <f t="shared" si="6"/>
        <v>06013</v>
      </c>
      <c r="B1676" s="21"/>
      <c r="C1676">
        <v>47</v>
      </c>
      <c r="D1676">
        <v>3.9</v>
      </c>
      <c r="E1676">
        <v>163</v>
      </c>
      <c r="F1676">
        <v>123</v>
      </c>
      <c r="G1676">
        <v>12</v>
      </c>
      <c r="H1676">
        <v>123</v>
      </c>
      <c r="I1676">
        <v>1.7</v>
      </c>
      <c r="J1676" s="1">
        <v>4730</v>
      </c>
    </row>
    <row r="1677" spans="1:10" ht="14.25" customHeight="1" x14ac:dyDescent="0.25">
      <c r="A1677" s="21" t="str">
        <f t="shared" si="6"/>
        <v>06013</v>
      </c>
      <c r="B1677" s="21"/>
      <c r="C1677">
        <v>58.9</v>
      </c>
      <c r="D1677">
        <v>3.4</v>
      </c>
      <c r="E1677">
        <v>485</v>
      </c>
      <c r="F1677">
        <v>138</v>
      </c>
      <c r="G1677">
        <v>16</v>
      </c>
      <c r="H1677">
        <v>138</v>
      </c>
      <c r="I1677">
        <v>1.69</v>
      </c>
      <c r="J1677" s="1">
        <v>7326</v>
      </c>
    </row>
    <row r="1678" spans="1:10" ht="14.25" customHeight="1" x14ac:dyDescent="0.25">
      <c r="A1678" s="21" t="str">
        <f t="shared" si="6"/>
        <v>06013</v>
      </c>
      <c r="B1678" s="21"/>
      <c r="C1678">
        <v>107.5</v>
      </c>
      <c r="D1678">
        <v>6.6</v>
      </c>
      <c r="E1678">
        <v>411</v>
      </c>
      <c r="F1678">
        <v>124</v>
      </c>
      <c r="G1678">
        <v>8</v>
      </c>
      <c r="H1678">
        <v>124</v>
      </c>
      <c r="I1678">
        <v>1.29</v>
      </c>
      <c r="J1678" s="1">
        <v>6412</v>
      </c>
    </row>
    <row r="1679" spans="1:10" ht="14.25" customHeight="1" x14ac:dyDescent="0.25">
      <c r="A1679" s="21" t="str">
        <f t="shared" si="6"/>
        <v>06013</v>
      </c>
      <c r="B1679" s="21"/>
      <c r="C1679">
        <v>19.399999999999999</v>
      </c>
      <c r="D1679">
        <v>4.3</v>
      </c>
      <c r="J1679" s="1">
        <v>1641</v>
      </c>
    </row>
    <row r="1680" spans="1:10" ht="14.25" customHeight="1" x14ac:dyDescent="0.25">
      <c r="A1680" s="21" t="str">
        <f t="shared" si="6"/>
        <v>06013</v>
      </c>
      <c r="B1680" s="21"/>
      <c r="C1680">
        <v>120.6</v>
      </c>
      <c r="D1680">
        <v>4.2</v>
      </c>
      <c r="E1680">
        <v>518</v>
      </c>
      <c r="F1680">
        <v>233</v>
      </c>
      <c r="G1680">
        <v>24</v>
      </c>
      <c r="H1680">
        <v>233</v>
      </c>
      <c r="I1680">
        <v>1.56</v>
      </c>
      <c r="J1680" s="1">
        <v>11768</v>
      </c>
    </row>
    <row r="1681" spans="1:10" ht="14.25" customHeight="1" x14ac:dyDescent="0.25">
      <c r="A1681" s="21" t="str">
        <f t="shared" si="6"/>
        <v>06013</v>
      </c>
      <c r="B1681" s="21"/>
      <c r="C1681">
        <v>234.6</v>
      </c>
      <c r="D1681">
        <v>5.0999999999999996</v>
      </c>
      <c r="E1681">
        <v>991</v>
      </c>
      <c r="F1681">
        <v>506</v>
      </c>
      <c r="G1681">
        <v>55</v>
      </c>
      <c r="H1681">
        <v>506</v>
      </c>
      <c r="I1681">
        <v>1.73</v>
      </c>
      <c r="J1681" s="1">
        <v>17757</v>
      </c>
    </row>
    <row r="1682" spans="1:10" ht="14.25" customHeight="1" x14ac:dyDescent="0.25">
      <c r="A1682" s="21" t="str">
        <f t="shared" si="6"/>
        <v>06013</v>
      </c>
      <c r="B1682" s="21"/>
      <c r="H1682">
        <v>50</v>
      </c>
    </row>
    <row r="1683" spans="1:10" ht="14.25" customHeight="1" x14ac:dyDescent="0.25">
      <c r="A1683" s="21" t="str">
        <f>"06015"</f>
        <v>06015</v>
      </c>
      <c r="B1683" s="21"/>
      <c r="C1683">
        <v>20.2</v>
      </c>
      <c r="D1683">
        <v>3.6</v>
      </c>
      <c r="E1683">
        <v>82</v>
      </c>
      <c r="F1683">
        <v>39</v>
      </c>
      <c r="G1683">
        <v>6</v>
      </c>
      <c r="H1683">
        <v>39</v>
      </c>
      <c r="I1683">
        <v>1.45</v>
      </c>
      <c r="J1683" s="1">
        <v>2195</v>
      </c>
    </row>
    <row r="1684" spans="1:10" ht="14.25" customHeight="1" x14ac:dyDescent="0.25">
      <c r="A1684" s="21" t="str">
        <f>"06017"</f>
        <v>06017</v>
      </c>
      <c r="B1684" s="21"/>
      <c r="C1684">
        <v>56.7</v>
      </c>
      <c r="D1684">
        <v>4.3</v>
      </c>
      <c r="E1684">
        <v>257</v>
      </c>
      <c r="F1684">
        <v>110</v>
      </c>
      <c r="G1684">
        <v>20</v>
      </c>
      <c r="H1684">
        <v>110</v>
      </c>
      <c r="I1684">
        <v>1.52</v>
      </c>
      <c r="J1684" s="1">
        <v>5133</v>
      </c>
    </row>
    <row r="1685" spans="1:10" ht="14.25" customHeight="1" x14ac:dyDescent="0.25">
      <c r="A1685" s="21" t="str">
        <f>"06017"</f>
        <v>06017</v>
      </c>
      <c r="B1685" s="21"/>
      <c r="C1685">
        <v>18.3</v>
      </c>
      <c r="D1685">
        <v>3.1</v>
      </c>
      <c r="E1685">
        <v>138</v>
      </c>
      <c r="F1685">
        <v>63</v>
      </c>
      <c r="G1685">
        <v>8</v>
      </c>
      <c r="H1685">
        <v>63</v>
      </c>
      <c r="I1685">
        <v>1.56</v>
      </c>
      <c r="J1685" s="1">
        <v>2322</v>
      </c>
    </row>
    <row r="1686" spans="1:10" ht="14.25" customHeight="1" x14ac:dyDescent="0.25">
      <c r="A1686" s="21" t="str">
        <f t="shared" ref="A1686:A1697" si="7">"06019"</f>
        <v>06019</v>
      </c>
      <c r="B1686" s="21"/>
      <c r="C1686">
        <v>11.3</v>
      </c>
      <c r="D1686">
        <v>3.4</v>
      </c>
      <c r="E1686">
        <v>127</v>
      </c>
      <c r="F1686">
        <v>49</v>
      </c>
      <c r="H1686">
        <v>49</v>
      </c>
      <c r="I1686">
        <v>1.0900000000000001</v>
      </c>
      <c r="J1686" s="1">
        <v>1838</v>
      </c>
    </row>
    <row r="1687" spans="1:10" ht="14.25" customHeight="1" x14ac:dyDescent="0.25">
      <c r="A1687" s="21" t="str">
        <f t="shared" si="7"/>
        <v>06019</v>
      </c>
      <c r="B1687" s="21"/>
      <c r="C1687">
        <v>589</v>
      </c>
      <c r="D1687">
        <v>6.3</v>
      </c>
      <c r="E1687">
        <v>788</v>
      </c>
      <c r="F1687">
        <v>777</v>
      </c>
      <c r="G1687">
        <v>78</v>
      </c>
      <c r="H1687">
        <v>663</v>
      </c>
      <c r="I1687">
        <v>1.96</v>
      </c>
      <c r="J1687" s="1">
        <v>35323</v>
      </c>
    </row>
    <row r="1688" spans="1:10" ht="14.25" customHeight="1" x14ac:dyDescent="0.25">
      <c r="A1688" s="21" t="str">
        <f t="shared" si="7"/>
        <v>06019</v>
      </c>
      <c r="B1688" s="21"/>
      <c r="C1688">
        <v>305.39999999999998</v>
      </c>
      <c r="D1688">
        <v>4.8</v>
      </c>
      <c r="E1688">
        <v>590</v>
      </c>
      <c r="F1688">
        <v>385</v>
      </c>
      <c r="G1688">
        <v>27</v>
      </c>
      <c r="H1688">
        <v>385</v>
      </c>
      <c r="I1688">
        <v>1.82</v>
      </c>
      <c r="J1688" s="1">
        <v>24569</v>
      </c>
    </row>
    <row r="1689" spans="1:10" ht="14.25" customHeight="1" x14ac:dyDescent="0.25">
      <c r="A1689" s="21" t="str">
        <f t="shared" si="7"/>
        <v>06019</v>
      </c>
      <c r="B1689" s="21"/>
      <c r="C1689">
        <v>1.3</v>
      </c>
      <c r="D1689">
        <v>3.5</v>
      </c>
      <c r="J1689">
        <v>133</v>
      </c>
    </row>
    <row r="1690" spans="1:10" ht="14.25" customHeight="1" x14ac:dyDescent="0.25">
      <c r="A1690" s="21" t="str">
        <f t="shared" si="7"/>
        <v>06019</v>
      </c>
      <c r="B1690" s="21"/>
      <c r="C1690">
        <v>176.9</v>
      </c>
      <c r="D1690">
        <v>4.7</v>
      </c>
      <c r="E1690">
        <v>290</v>
      </c>
      <c r="F1690">
        <v>208</v>
      </c>
      <c r="G1690">
        <v>24</v>
      </c>
      <c r="H1690">
        <v>208</v>
      </c>
      <c r="I1690">
        <v>1.77</v>
      </c>
      <c r="J1690" s="1">
        <v>15769</v>
      </c>
    </row>
    <row r="1691" spans="1:10" ht="14.25" customHeight="1" x14ac:dyDescent="0.25">
      <c r="A1691" s="21" t="str">
        <f t="shared" si="7"/>
        <v>06019</v>
      </c>
      <c r="B1691" s="21"/>
      <c r="C1691">
        <v>6.1</v>
      </c>
      <c r="D1691">
        <v>1.2</v>
      </c>
      <c r="E1691">
        <v>55</v>
      </c>
      <c r="F1691">
        <v>27</v>
      </c>
      <c r="H1691">
        <v>27</v>
      </c>
      <c r="I1691">
        <v>2.4</v>
      </c>
      <c r="J1691" s="1">
        <v>1790</v>
      </c>
    </row>
    <row r="1692" spans="1:10" ht="14.25" customHeight="1" x14ac:dyDescent="0.25">
      <c r="A1692" s="21" t="str">
        <f t="shared" si="7"/>
        <v>06019</v>
      </c>
      <c r="B1692" s="21"/>
      <c r="C1692">
        <v>81.5</v>
      </c>
      <c r="D1692">
        <v>3.9</v>
      </c>
      <c r="E1692">
        <v>236</v>
      </c>
      <c r="F1692">
        <v>169</v>
      </c>
      <c r="G1692">
        <v>12</v>
      </c>
      <c r="H1692">
        <v>169</v>
      </c>
      <c r="I1692">
        <v>1.57</v>
      </c>
      <c r="J1692" s="1">
        <v>8227</v>
      </c>
    </row>
    <row r="1693" spans="1:10" ht="14.25" customHeight="1" x14ac:dyDescent="0.25">
      <c r="A1693" s="21" t="str">
        <f t="shared" si="7"/>
        <v>06019</v>
      </c>
      <c r="B1693" s="21"/>
      <c r="C1693">
        <v>31.1</v>
      </c>
      <c r="D1693">
        <v>3.6</v>
      </c>
      <c r="E1693">
        <v>3</v>
      </c>
      <c r="F1693">
        <v>57</v>
      </c>
      <c r="H1693">
        <v>57</v>
      </c>
      <c r="J1693" s="1">
        <v>3127</v>
      </c>
    </row>
    <row r="1694" spans="1:10" ht="14.25" customHeight="1" x14ac:dyDescent="0.25">
      <c r="A1694" s="21" t="str">
        <f t="shared" si="7"/>
        <v>06019</v>
      </c>
      <c r="B1694" s="21"/>
      <c r="C1694">
        <v>4</v>
      </c>
      <c r="D1694" s="2">
        <v>1455</v>
      </c>
      <c r="J1694">
        <v>1</v>
      </c>
    </row>
    <row r="1695" spans="1:10" ht="14.25" customHeight="1" x14ac:dyDescent="0.25">
      <c r="A1695" s="21" t="str">
        <f t="shared" si="7"/>
        <v>06019</v>
      </c>
      <c r="B1695" s="21"/>
      <c r="E1695">
        <v>4</v>
      </c>
      <c r="I1695">
        <v>1.1299999999999999</v>
      </c>
    </row>
    <row r="1696" spans="1:10" ht="14.25" customHeight="1" x14ac:dyDescent="0.25">
      <c r="A1696" s="21" t="str">
        <f t="shared" si="7"/>
        <v>06019</v>
      </c>
      <c r="B1696" s="21"/>
      <c r="H1696">
        <v>57</v>
      </c>
    </row>
    <row r="1697" spans="1:10" ht="14.25" customHeight="1" x14ac:dyDescent="0.25">
      <c r="A1697" s="21" t="str">
        <f t="shared" si="7"/>
        <v>06019</v>
      </c>
      <c r="B1697" s="21"/>
      <c r="H1697">
        <v>16</v>
      </c>
    </row>
    <row r="1698" spans="1:10" ht="14.25" customHeight="1" x14ac:dyDescent="0.25">
      <c r="A1698" s="21" t="str">
        <f>"06023"</f>
        <v>06023</v>
      </c>
      <c r="B1698" s="21"/>
      <c r="C1698">
        <v>20.9</v>
      </c>
      <c r="D1698">
        <v>4.7</v>
      </c>
      <c r="E1698">
        <v>113</v>
      </c>
      <c r="F1698">
        <v>49</v>
      </c>
      <c r="G1698">
        <v>8</v>
      </c>
      <c r="H1698">
        <v>49</v>
      </c>
      <c r="I1698">
        <v>1.4</v>
      </c>
      <c r="J1698" s="1">
        <v>1832</v>
      </c>
    </row>
    <row r="1699" spans="1:10" ht="14.25" customHeight="1" x14ac:dyDescent="0.25">
      <c r="A1699" s="21" t="str">
        <f>"06023"</f>
        <v>06023</v>
      </c>
      <c r="B1699" s="21"/>
      <c r="C1699">
        <v>90.4</v>
      </c>
      <c r="D1699">
        <v>4.9000000000000004</v>
      </c>
      <c r="E1699">
        <v>277</v>
      </c>
      <c r="F1699">
        <v>134</v>
      </c>
      <c r="G1699">
        <v>12</v>
      </c>
      <c r="H1699">
        <v>134</v>
      </c>
      <c r="I1699">
        <v>1.74</v>
      </c>
      <c r="J1699" s="1">
        <v>6914</v>
      </c>
    </row>
    <row r="1700" spans="1:10" ht="14.25" customHeight="1" x14ac:dyDescent="0.25">
      <c r="A1700" s="21" t="str">
        <f>"06025"</f>
        <v>06025</v>
      </c>
      <c r="B1700" s="21"/>
      <c r="C1700">
        <v>63.6</v>
      </c>
      <c r="D1700">
        <v>4.5999999999999996</v>
      </c>
      <c r="E1700">
        <v>242</v>
      </c>
      <c r="F1700">
        <v>161</v>
      </c>
      <c r="G1700">
        <v>20</v>
      </c>
      <c r="H1700">
        <v>161</v>
      </c>
      <c r="I1700">
        <v>1.53</v>
      </c>
      <c r="J1700" s="1">
        <v>5477</v>
      </c>
    </row>
    <row r="1701" spans="1:10" ht="14.25" customHeight="1" x14ac:dyDescent="0.25">
      <c r="A1701" s="21" t="str">
        <f>"06025"</f>
        <v>06025</v>
      </c>
      <c r="B1701" s="21"/>
      <c r="C1701">
        <v>47.1</v>
      </c>
      <c r="D1701">
        <v>4.0999999999999996</v>
      </c>
      <c r="E1701">
        <v>114</v>
      </c>
      <c r="F1701">
        <v>107</v>
      </c>
      <c r="G1701">
        <v>8</v>
      </c>
      <c r="H1701">
        <v>107</v>
      </c>
      <c r="I1701">
        <v>1.54</v>
      </c>
      <c r="J1701" s="1">
        <v>4992</v>
      </c>
    </row>
    <row r="1702" spans="1:10" ht="14.25" customHeight="1" x14ac:dyDescent="0.25">
      <c r="A1702" s="21" t="str">
        <f t="shared" ref="A1702:A1709" si="8">"06029"</f>
        <v>06029</v>
      </c>
      <c r="B1702" s="21"/>
      <c r="C1702">
        <v>129.9</v>
      </c>
      <c r="D1702">
        <v>5.0999999999999996</v>
      </c>
      <c r="E1702">
        <v>188</v>
      </c>
      <c r="F1702">
        <v>222</v>
      </c>
      <c r="G1702">
        <v>12</v>
      </c>
      <c r="H1702">
        <v>222</v>
      </c>
      <c r="I1702">
        <v>1.65</v>
      </c>
      <c r="J1702" s="1">
        <v>10057</v>
      </c>
    </row>
    <row r="1703" spans="1:10" ht="14.25" customHeight="1" x14ac:dyDescent="0.25">
      <c r="A1703" s="21" t="str">
        <f t="shared" si="8"/>
        <v>06029</v>
      </c>
      <c r="B1703" s="21"/>
      <c r="C1703">
        <v>110.1</v>
      </c>
      <c r="D1703">
        <v>3.7</v>
      </c>
      <c r="E1703">
        <v>123</v>
      </c>
      <c r="F1703">
        <v>226</v>
      </c>
      <c r="G1703">
        <v>28</v>
      </c>
      <c r="H1703">
        <v>144</v>
      </c>
      <c r="I1703">
        <v>1.63</v>
      </c>
      <c r="J1703" s="1">
        <v>11632</v>
      </c>
    </row>
    <row r="1704" spans="1:10" ht="14.25" customHeight="1" x14ac:dyDescent="0.25">
      <c r="A1704" s="21" t="str">
        <f t="shared" si="8"/>
        <v>06029</v>
      </c>
      <c r="B1704" s="21"/>
      <c r="C1704">
        <v>12.6</v>
      </c>
      <c r="D1704">
        <v>4.0999999999999996</v>
      </c>
      <c r="E1704">
        <v>22</v>
      </c>
      <c r="F1704">
        <v>43</v>
      </c>
      <c r="G1704">
        <v>4</v>
      </c>
      <c r="H1704">
        <v>43</v>
      </c>
      <c r="I1704">
        <v>1.29</v>
      </c>
      <c r="J1704" s="1">
        <v>1120</v>
      </c>
    </row>
    <row r="1705" spans="1:10" ht="14.25" customHeight="1" x14ac:dyDescent="0.25">
      <c r="A1705" s="21" t="str">
        <f t="shared" si="8"/>
        <v>06029</v>
      </c>
      <c r="B1705" s="21"/>
      <c r="C1705">
        <v>20.7</v>
      </c>
      <c r="D1705">
        <v>3.7</v>
      </c>
      <c r="E1705">
        <v>132</v>
      </c>
      <c r="F1705">
        <v>105</v>
      </c>
      <c r="G1705">
        <v>10</v>
      </c>
      <c r="H1705">
        <v>105</v>
      </c>
      <c r="I1705">
        <v>1.53</v>
      </c>
      <c r="J1705" s="1">
        <v>2370</v>
      </c>
    </row>
    <row r="1706" spans="1:10" ht="14.25" customHeight="1" x14ac:dyDescent="0.25">
      <c r="A1706" s="21" t="str">
        <f t="shared" si="8"/>
        <v>06029</v>
      </c>
      <c r="B1706" s="21"/>
      <c r="C1706">
        <v>34.299999999999997</v>
      </c>
      <c r="D1706">
        <v>4</v>
      </c>
      <c r="E1706">
        <v>36</v>
      </c>
      <c r="F1706">
        <v>47</v>
      </c>
      <c r="H1706">
        <v>47</v>
      </c>
      <c r="I1706">
        <v>2.15</v>
      </c>
      <c r="J1706" s="1">
        <v>3098</v>
      </c>
    </row>
    <row r="1707" spans="1:10" ht="14.25" customHeight="1" x14ac:dyDescent="0.25">
      <c r="A1707" s="21" t="str">
        <f t="shared" si="8"/>
        <v>06029</v>
      </c>
      <c r="B1707" s="21"/>
      <c r="C1707">
        <v>174.6</v>
      </c>
      <c r="D1707">
        <v>3.9</v>
      </c>
      <c r="E1707">
        <v>510</v>
      </c>
      <c r="F1707">
        <v>254</v>
      </c>
      <c r="G1707">
        <v>34</v>
      </c>
      <c r="H1707">
        <v>254</v>
      </c>
      <c r="I1707">
        <v>1.77</v>
      </c>
      <c r="J1707" s="1">
        <v>17389</v>
      </c>
    </row>
    <row r="1708" spans="1:10" ht="14.25" customHeight="1" x14ac:dyDescent="0.25">
      <c r="A1708" s="21" t="str">
        <f t="shared" si="8"/>
        <v>06029</v>
      </c>
      <c r="B1708" s="21"/>
      <c r="C1708">
        <v>183.8</v>
      </c>
      <c r="D1708">
        <v>4.2</v>
      </c>
      <c r="E1708">
        <v>225</v>
      </c>
      <c r="F1708">
        <v>421</v>
      </c>
      <c r="G1708">
        <v>41</v>
      </c>
      <c r="H1708">
        <v>421</v>
      </c>
      <c r="I1708">
        <v>1.85</v>
      </c>
      <c r="J1708" s="1">
        <v>17245</v>
      </c>
    </row>
    <row r="1709" spans="1:10" ht="14.25" customHeight="1" x14ac:dyDescent="0.25">
      <c r="A1709" s="21" t="str">
        <f t="shared" si="8"/>
        <v>06029</v>
      </c>
      <c r="B1709" s="21"/>
      <c r="E1709">
        <v>1</v>
      </c>
      <c r="H1709">
        <v>78</v>
      </c>
    </row>
    <row r="1710" spans="1:10" ht="14.25" customHeight="1" x14ac:dyDescent="0.25">
      <c r="A1710" s="21" t="str">
        <f>"06031"</f>
        <v>06031</v>
      </c>
      <c r="B1710" s="21"/>
      <c r="C1710">
        <v>3.2</v>
      </c>
      <c r="D1710">
        <v>3.7</v>
      </c>
      <c r="J1710">
        <v>312</v>
      </c>
    </row>
    <row r="1711" spans="1:10" ht="14.25" customHeight="1" x14ac:dyDescent="0.25">
      <c r="A1711" s="21" t="str">
        <f>"06031"</f>
        <v>06031</v>
      </c>
      <c r="B1711" s="21"/>
      <c r="C1711">
        <v>14</v>
      </c>
      <c r="D1711">
        <v>3.6</v>
      </c>
      <c r="J1711" s="1">
        <v>2531</v>
      </c>
    </row>
    <row r="1712" spans="1:10" ht="14.25" customHeight="1" x14ac:dyDescent="0.25">
      <c r="A1712" s="21" t="str">
        <f>"06031"</f>
        <v>06031</v>
      </c>
      <c r="B1712" s="21"/>
      <c r="C1712">
        <v>118.3</v>
      </c>
      <c r="D1712">
        <v>5</v>
      </c>
      <c r="E1712">
        <v>306</v>
      </c>
      <c r="F1712">
        <v>230</v>
      </c>
      <c r="G1712">
        <v>22</v>
      </c>
      <c r="H1712">
        <v>142</v>
      </c>
      <c r="I1712">
        <v>1.57</v>
      </c>
      <c r="J1712" s="1">
        <v>9455</v>
      </c>
    </row>
    <row r="1713" spans="1:10" ht="14.25" customHeight="1" x14ac:dyDescent="0.25">
      <c r="A1713" s="21" t="str">
        <f t="shared" ref="A1713:A1744" si="9">"06037"</f>
        <v>06037</v>
      </c>
      <c r="B1713" s="21"/>
      <c r="C1713">
        <v>49.9</v>
      </c>
      <c r="D1713">
        <v>3.3</v>
      </c>
      <c r="E1713">
        <v>153</v>
      </c>
      <c r="F1713">
        <v>123</v>
      </c>
      <c r="G1713">
        <v>12</v>
      </c>
      <c r="H1713">
        <v>123</v>
      </c>
      <c r="I1713">
        <v>1.49</v>
      </c>
      <c r="J1713" s="1">
        <v>5749</v>
      </c>
    </row>
    <row r="1714" spans="1:10" ht="14.25" customHeight="1" x14ac:dyDescent="0.25">
      <c r="A1714" s="21" t="str">
        <f t="shared" si="9"/>
        <v>06037</v>
      </c>
      <c r="B1714" s="21"/>
      <c r="C1714">
        <v>211.1</v>
      </c>
      <c r="D1714">
        <v>5.5</v>
      </c>
      <c r="E1714">
        <v>236</v>
      </c>
      <c r="F1714">
        <v>333</v>
      </c>
      <c r="G1714">
        <v>20</v>
      </c>
      <c r="H1714">
        <v>333</v>
      </c>
      <c r="I1714">
        <v>1.92</v>
      </c>
      <c r="J1714" s="1">
        <v>12965</v>
      </c>
    </row>
    <row r="1715" spans="1:10" ht="14.25" customHeight="1" x14ac:dyDescent="0.25">
      <c r="A1715" s="21" t="str">
        <f t="shared" si="9"/>
        <v>06037</v>
      </c>
      <c r="B1715" s="21"/>
      <c r="C1715">
        <v>102</v>
      </c>
      <c r="D1715">
        <v>4.9000000000000004</v>
      </c>
      <c r="E1715">
        <v>213</v>
      </c>
      <c r="F1715">
        <v>187</v>
      </c>
      <c r="G1715">
        <v>19</v>
      </c>
      <c r="H1715">
        <v>187</v>
      </c>
      <c r="I1715">
        <v>1.56</v>
      </c>
      <c r="J1715" s="1">
        <v>8411</v>
      </c>
    </row>
    <row r="1716" spans="1:10" ht="14.25" customHeight="1" x14ac:dyDescent="0.25">
      <c r="A1716" s="21" t="str">
        <f t="shared" si="9"/>
        <v>06037</v>
      </c>
      <c r="B1716" s="21"/>
      <c r="C1716">
        <v>80.5</v>
      </c>
      <c r="D1716">
        <v>3.8</v>
      </c>
      <c r="E1716">
        <v>685</v>
      </c>
      <c r="F1716">
        <v>218</v>
      </c>
      <c r="G1716">
        <v>24</v>
      </c>
      <c r="H1716">
        <v>218</v>
      </c>
      <c r="I1716">
        <v>2.14</v>
      </c>
      <c r="J1716" s="1">
        <v>8693</v>
      </c>
    </row>
    <row r="1717" spans="1:10" ht="14.25" customHeight="1" x14ac:dyDescent="0.25">
      <c r="A1717" s="21" t="str">
        <f t="shared" si="9"/>
        <v>06037</v>
      </c>
      <c r="B1717" s="21"/>
      <c r="C1717">
        <v>334.8</v>
      </c>
      <c r="D1717">
        <v>5.2</v>
      </c>
      <c r="E1717">
        <v>993</v>
      </c>
      <c r="F1717">
        <v>460</v>
      </c>
      <c r="G1717">
        <v>96</v>
      </c>
      <c r="H1717">
        <v>460</v>
      </c>
      <c r="I1717">
        <v>2.25</v>
      </c>
      <c r="J1717" s="1">
        <v>24306</v>
      </c>
    </row>
    <row r="1718" spans="1:10" ht="14.25" customHeight="1" x14ac:dyDescent="0.25">
      <c r="A1718" s="21" t="str">
        <f t="shared" si="9"/>
        <v>06037</v>
      </c>
      <c r="B1718" s="21"/>
      <c r="C1718">
        <v>176.1</v>
      </c>
      <c r="D1718">
        <v>4.4000000000000004</v>
      </c>
      <c r="E1718">
        <v>825</v>
      </c>
      <c r="F1718">
        <v>352</v>
      </c>
      <c r="G1718">
        <v>38</v>
      </c>
      <c r="H1718">
        <v>352</v>
      </c>
      <c r="I1718">
        <v>1.91</v>
      </c>
      <c r="J1718" s="1">
        <v>15856</v>
      </c>
    </row>
    <row r="1719" spans="1:10" ht="14.25" customHeight="1" x14ac:dyDescent="0.25">
      <c r="A1719" s="21" t="str">
        <f t="shared" si="9"/>
        <v>06037</v>
      </c>
      <c r="B1719" s="21"/>
      <c r="C1719">
        <v>144.9</v>
      </c>
      <c r="D1719">
        <v>4.9000000000000004</v>
      </c>
      <c r="E1719">
        <v>202</v>
      </c>
      <c r="F1719">
        <v>250</v>
      </c>
      <c r="G1719">
        <v>30</v>
      </c>
      <c r="H1719">
        <v>250</v>
      </c>
      <c r="I1719">
        <v>1.79</v>
      </c>
      <c r="J1719" s="1">
        <v>11687</v>
      </c>
    </row>
    <row r="1720" spans="1:10" ht="14.25" customHeight="1" x14ac:dyDescent="0.25">
      <c r="A1720" s="21" t="str">
        <f t="shared" si="9"/>
        <v>06037</v>
      </c>
      <c r="B1720" s="21"/>
      <c r="C1720">
        <v>201.8</v>
      </c>
      <c r="D1720">
        <v>4.0999999999999996</v>
      </c>
      <c r="E1720">
        <v>536</v>
      </c>
      <c r="F1720">
        <v>352</v>
      </c>
      <c r="G1720">
        <v>48</v>
      </c>
      <c r="H1720">
        <v>352</v>
      </c>
      <c r="I1720">
        <v>1.77</v>
      </c>
      <c r="J1720" s="1">
        <v>18850</v>
      </c>
    </row>
    <row r="1721" spans="1:10" ht="14.25" customHeight="1" x14ac:dyDescent="0.25">
      <c r="A1721" s="21" t="str">
        <f t="shared" si="9"/>
        <v>06037</v>
      </c>
      <c r="B1721" s="21"/>
      <c r="C1721">
        <v>201.5</v>
      </c>
      <c r="D1721">
        <v>11.6</v>
      </c>
      <c r="E1721">
        <v>489</v>
      </c>
      <c r="F1721">
        <v>217</v>
      </c>
      <c r="G1721">
        <v>18</v>
      </c>
      <c r="H1721">
        <v>217</v>
      </c>
      <c r="I1721">
        <v>2.62</v>
      </c>
      <c r="J1721" s="1">
        <v>6328</v>
      </c>
    </row>
    <row r="1722" spans="1:10" ht="14.25" customHeight="1" x14ac:dyDescent="0.25">
      <c r="A1722" s="21" t="str">
        <f t="shared" si="9"/>
        <v>06037</v>
      </c>
      <c r="B1722" s="21"/>
      <c r="C1722">
        <v>194.2</v>
      </c>
      <c r="D1722">
        <v>4.3</v>
      </c>
      <c r="E1722">
        <v>244</v>
      </c>
      <c r="F1722">
        <v>318</v>
      </c>
      <c r="G1722">
        <v>28</v>
      </c>
      <c r="H1722">
        <v>318</v>
      </c>
      <c r="I1722">
        <v>1.68</v>
      </c>
      <c r="J1722" s="1">
        <v>18083</v>
      </c>
    </row>
    <row r="1723" spans="1:10" ht="14.25" customHeight="1" x14ac:dyDescent="0.25">
      <c r="A1723" s="21" t="str">
        <f t="shared" si="9"/>
        <v>06037</v>
      </c>
      <c r="B1723" s="21"/>
      <c r="C1723">
        <v>293.39999999999998</v>
      </c>
      <c r="D1723">
        <v>5.5</v>
      </c>
      <c r="E1723">
        <v>107</v>
      </c>
      <c r="F1723">
        <v>559</v>
      </c>
      <c r="G1723">
        <v>15</v>
      </c>
      <c r="H1723">
        <v>100</v>
      </c>
      <c r="I1723">
        <v>1.46</v>
      </c>
      <c r="J1723" s="1">
        <v>19465</v>
      </c>
    </row>
    <row r="1724" spans="1:10" ht="14.25" customHeight="1" x14ac:dyDescent="0.25">
      <c r="A1724" s="21" t="str">
        <f t="shared" si="9"/>
        <v>06037</v>
      </c>
      <c r="B1724" s="21"/>
      <c r="C1724">
        <v>33.6</v>
      </c>
      <c r="D1724">
        <v>4</v>
      </c>
      <c r="E1724">
        <v>52</v>
      </c>
      <c r="F1724">
        <v>82</v>
      </c>
      <c r="H1724">
        <v>82</v>
      </c>
      <c r="I1724">
        <v>1.46</v>
      </c>
      <c r="J1724" s="1">
        <v>3066</v>
      </c>
    </row>
    <row r="1725" spans="1:10" ht="14.25" customHeight="1" x14ac:dyDescent="0.25">
      <c r="A1725" s="21" t="str">
        <f t="shared" si="9"/>
        <v>06037</v>
      </c>
      <c r="B1725" s="21"/>
      <c r="C1725">
        <v>38</v>
      </c>
      <c r="D1725">
        <v>4.0999999999999996</v>
      </c>
      <c r="E1725">
        <v>33</v>
      </c>
      <c r="F1725">
        <v>81</v>
      </c>
      <c r="G1725">
        <v>4</v>
      </c>
      <c r="H1725">
        <v>81</v>
      </c>
      <c r="I1725">
        <v>1.5</v>
      </c>
      <c r="J1725" s="1">
        <v>3385</v>
      </c>
    </row>
    <row r="1726" spans="1:10" ht="14.25" customHeight="1" x14ac:dyDescent="0.25">
      <c r="A1726" s="21" t="str">
        <f t="shared" si="9"/>
        <v>06037</v>
      </c>
      <c r="B1726" s="21"/>
      <c r="C1726">
        <v>5.0999999999999996</v>
      </c>
      <c r="D1726">
        <v>3.3</v>
      </c>
      <c r="E1726">
        <v>13</v>
      </c>
      <c r="F1726">
        <v>13</v>
      </c>
      <c r="H1726">
        <v>13</v>
      </c>
      <c r="I1726">
        <v>0.99</v>
      </c>
      <c r="J1726">
        <v>563</v>
      </c>
    </row>
    <row r="1727" spans="1:10" ht="14.25" customHeight="1" x14ac:dyDescent="0.25">
      <c r="A1727" s="21" t="str">
        <f t="shared" si="9"/>
        <v>06037</v>
      </c>
      <c r="B1727" s="21"/>
      <c r="C1727">
        <v>208.7</v>
      </c>
      <c r="D1727">
        <v>4.3</v>
      </c>
      <c r="E1727">
        <v>389</v>
      </c>
      <c r="F1727">
        <v>310</v>
      </c>
      <c r="G1727">
        <v>34</v>
      </c>
      <c r="H1727">
        <v>353</v>
      </c>
      <c r="I1727">
        <v>1.7</v>
      </c>
      <c r="J1727" s="1">
        <v>18937</v>
      </c>
    </row>
    <row r="1728" spans="1:10" ht="14.25" customHeight="1" x14ac:dyDescent="0.25">
      <c r="A1728" s="21" t="str">
        <f t="shared" si="9"/>
        <v>06037</v>
      </c>
      <c r="B1728" s="21"/>
      <c r="C1728">
        <v>253.2</v>
      </c>
      <c r="D1728">
        <v>5.0999999999999996</v>
      </c>
      <c r="E1728">
        <v>289</v>
      </c>
      <c r="F1728">
        <v>344</v>
      </c>
      <c r="G1728">
        <v>36</v>
      </c>
      <c r="H1728">
        <v>384</v>
      </c>
      <c r="I1728">
        <v>1.61</v>
      </c>
      <c r="J1728" s="1">
        <v>19807</v>
      </c>
    </row>
    <row r="1729" spans="1:10" ht="14.25" customHeight="1" x14ac:dyDescent="0.25">
      <c r="A1729" s="21" t="str">
        <f t="shared" si="9"/>
        <v>06037</v>
      </c>
      <c r="B1729" s="21"/>
      <c r="C1729">
        <v>15</v>
      </c>
      <c r="D1729">
        <v>5.3</v>
      </c>
      <c r="J1729" s="1">
        <v>1112</v>
      </c>
    </row>
    <row r="1730" spans="1:10" ht="14.25" customHeight="1" x14ac:dyDescent="0.25">
      <c r="A1730" s="21" t="str">
        <f t="shared" si="9"/>
        <v>06037</v>
      </c>
      <c r="B1730" s="21"/>
      <c r="C1730">
        <v>211.1</v>
      </c>
      <c r="D1730">
        <v>5.0999999999999996</v>
      </c>
      <c r="E1730">
        <v>588</v>
      </c>
      <c r="F1730">
        <v>281</v>
      </c>
      <c r="G1730">
        <v>22</v>
      </c>
      <c r="H1730">
        <v>281</v>
      </c>
      <c r="I1730">
        <v>1.76</v>
      </c>
      <c r="J1730" s="1">
        <v>15321</v>
      </c>
    </row>
    <row r="1731" spans="1:10" ht="14.25" customHeight="1" x14ac:dyDescent="0.25">
      <c r="A1731" s="21" t="str">
        <f t="shared" si="9"/>
        <v>06037</v>
      </c>
      <c r="B1731" s="21"/>
      <c r="C1731">
        <v>144.30000000000001</v>
      </c>
      <c r="D1731">
        <v>4.2</v>
      </c>
      <c r="E1731">
        <v>300</v>
      </c>
      <c r="F1731">
        <v>318</v>
      </c>
      <c r="G1731">
        <v>46</v>
      </c>
      <c r="H1731">
        <v>318</v>
      </c>
      <c r="I1731">
        <v>1.8</v>
      </c>
      <c r="J1731" s="1">
        <v>12692</v>
      </c>
    </row>
    <row r="1732" spans="1:10" ht="14.25" customHeight="1" x14ac:dyDescent="0.25">
      <c r="A1732" s="21" t="str">
        <f t="shared" si="9"/>
        <v>06037</v>
      </c>
      <c r="B1732" s="21"/>
      <c r="C1732">
        <v>139.9</v>
      </c>
      <c r="D1732">
        <v>4.8</v>
      </c>
      <c r="E1732">
        <v>222</v>
      </c>
      <c r="F1732">
        <v>317</v>
      </c>
      <c r="G1732">
        <v>36</v>
      </c>
      <c r="H1732">
        <v>317</v>
      </c>
      <c r="I1732">
        <v>1.76</v>
      </c>
      <c r="J1732" s="1">
        <v>12157</v>
      </c>
    </row>
    <row r="1733" spans="1:10" ht="14.25" customHeight="1" x14ac:dyDescent="0.25">
      <c r="A1733" s="21" t="str">
        <f t="shared" si="9"/>
        <v>06037</v>
      </c>
      <c r="B1733" s="21"/>
      <c r="C1733">
        <v>82.2</v>
      </c>
      <c r="D1733">
        <v>4.2</v>
      </c>
      <c r="E1733">
        <v>152</v>
      </c>
      <c r="F1733">
        <v>241</v>
      </c>
      <c r="G1733">
        <v>24</v>
      </c>
      <c r="H1733">
        <v>241</v>
      </c>
      <c r="I1733">
        <v>1.74</v>
      </c>
      <c r="J1733" s="1">
        <v>7901</v>
      </c>
    </row>
    <row r="1734" spans="1:10" ht="14.25" customHeight="1" x14ac:dyDescent="0.25">
      <c r="A1734" s="21" t="str">
        <f t="shared" si="9"/>
        <v>06037</v>
      </c>
      <c r="B1734" s="21"/>
      <c r="C1734">
        <v>65.2</v>
      </c>
      <c r="D1734">
        <v>4.5999999999999996</v>
      </c>
      <c r="E1734">
        <v>136</v>
      </c>
      <c r="F1734">
        <v>186</v>
      </c>
      <c r="G1734">
        <v>12</v>
      </c>
      <c r="H1734">
        <v>186</v>
      </c>
      <c r="I1734">
        <v>1.42</v>
      </c>
      <c r="J1734" s="1">
        <v>5330</v>
      </c>
    </row>
    <row r="1735" spans="1:10" ht="14.25" customHeight="1" x14ac:dyDescent="0.25">
      <c r="A1735" s="21" t="str">
        <f t="shared" si="9"/>
        <v>06037</v>
      </c>
      <c r="B1735" s="21"/>
      <c r="C1735">
        <v>29.7</v>
      </c>
      <c r="D1735">
        <v>4.5</v>
      </c>
      <c r="E1735">
        <v>42</v>
      </c>
      <c r="F1735">
        <v>117</v>
      </c>
      <c r="G1735">
        <v>7</v>
      </c>
      <c r="H1735">
        <v>117</v>
      </c>
      <c r="I1735">
        <v>1.69</v>
      </c>
      <c r="J1735" s="1">
        <v>2401</v>
      </c>
    </row>
    <row r="1736" spans="1:10" ht="14.25" customHeight="1" x14ac:dyDescent="0.25">
      <c r="A1736" s="21" t="str">
        <f t="shared" si="9"/>
        <v>06037</v>
      </c>
      <c r="B1736" s="21"/>
      <c r="C1736">
        <v>92.3</v>
      </c>
      <c r="D1736">
        <v>4.0999999999999996</v>
      </c>
      <c r="E1736">
        <v>161</v>
      </c>
      <c r="F1736">
        <v>157</v>
      </c>
      <c r="G1736">
        <v>18</v>
      </c>
      <c r="H1736">
        <v>157</v>
      </c>
      <c r="I1736">
        <v>1.66</v>
      </c>
      <c r="J1736" s="1">
        <v>8196</v>
      </c>
    </row>
    <row r="1737" spans="1:10" ht="14.25" customHeight="1" x14ac:dyDescent="0.25">
      <c r="A1737" s="21" t="str">
        <f t="shared" si="9"/>
        <v>06037</v>
      </c>
      <c r="B1737" s="21"/>
      <c r="C1737">
        <v>27.6</v>
      </c>
      <c r="D1737">
        <v>5.5</v>
      </c>
      <c r="E1737">
        <v>27</v>
      </c>
      <c r="F1737">
        <v>107</v>
      </c>
      <c r="G1737">
        <v>10</v>
      </c>
      <c r="H1737">
        <v>107</v>
      </c>
      <c r="I1737">
        <v>1.42</v>
      </c>
      <c r="J1737" s="1">
        <v>1817</v>
      </c>
    </row>
    <row r="1738" spans="1:10" ht="14.25" customHeight="1" x14ac:dyDescent="0.25">
      <c r="A1738" s="21" t="str">
        <f t="shared" si="9"/>
        <v>06037</v>
      </c>
      <c r="B1738" s="21"/>
      <c r="C1738">
        <v>248.2</v>
      </c>
      <c r="D1738">
        <v>4.7</v>
      </c>
      <c r="E1738">
        <v>540</v>
      </c>
      <c r="F1738">
        <v>412</v>
      </c>
      <c r="G1738">
        <v>40</v>
      </c>
      <c r="H1738">
        <v>412</v>
      </c>
      <c r="I1738">
        <v>1.95</v>
      </c>
      <c r="J1738" s="1">
        <v>21427</v>
      </c>
    </row>
    <row r="1739" spans="1:10" ht="14.25" customHeight="1" x14ac:dyDescent="0.25">
      <c r="A1739" s="21" t="str">
        <f t="shared" si="9"/>
        <v>06037</v>
      </c>
      <c r="B1739" s="21"/>
      <c r="C1739">
        <v>190.7</v>
      </c>
      <c r="D1739">
        <v>4.5999999999999996</v>
      </c>
      <c r="E1739">
        <v>436</v>
      </c>
      <c r="F1739">
        <v>377</v>
      </c>
      <c r="G1739">
        <v>38</v>
      </c>
      <c r="H1739">
        <v>377</v>
      </c>
      <c r="I1739">
        <v>1.82</v>
      </c>
      <c r="J1739" s="1">
        <v>15964</v>
      </c>
    </row>
    <row r="1740" spans="1:10" ht="14.25" customHeight="1" x14ac:dyDescent="0.25">
      <c r="A1740" s="21" t="str">
        <f t="shared" si="9"/>
        <v>06037</v>
      </c>
      <c r="B1740" s="21"/>
      <c r="C1740">
        <v>182.7</v>
      </c>
      <c r="D1740">
        <v>4.9000000000000004</v>
      </c>
      <c r="E1740">
        <v>309</v>
      </c>
      <c r="F1740">
        <v>318</v>
      </c>
      <c r="G1740">
        <v>49</v>
      </c>
      <c r="H1740">
        <v>318</v>
      </c>
      <c r="I1740">
        <v>1.65</v>
      </c>
      <c r="J1740" s="1">
        <v>14208</v>
      </c>
    </row>
    <row r="1741" spans="1:10" ht="14.25" customHeight="1" x14ac:dyDescent="0.25">
      <c r="A1741" s="21" t="str">
        <f t="shared" si="9"/>
        <v>06037</v>
      </c>
      <c r="B1741" s="21"/>
      <c r="C1741">
        <v>209.8</v>
      </c>
      <c r="D1741">
        <v>4.5</v>
      </c>
      <c r="E1741">
        <v>512</v>
      </c>
      <c r="F1741">
        <v>323</v>
      </c>
      <c r="H1741">
        <v>323</v>
      </c>
      <c r="I1741">
        <v>1.71</v>
      </c>
      <c r="J1741" s="1">
        <v>17633</v>
      </c>
    </row>
    <row r="1742" spans="1:10" ht="14.25" customHeight="1" x14ac:dyDescent="0.25">
      <c r="A1742" s="21" t="str">
        <f t="shared" si="9"/>
        <v>06037</v>
      </c>
      <c r="B1742" s="21"/>
      <c r="C1742">
        <v>174.5</v>
      </c>
      <c r="D1742">
        <v>7.1</v>
      </c>
      <c r="E1742">
        <v>46</v>
      </c>
      <c r="F1742">
        <v>221</v>
      </c>
      <c r="G1742">
        <v>8</v>
      </c>
      <c r="H1742">
        <v>221</v>
      </c>
      <c r="I1742">
        <v>1.33</v>
      </c>
      <c r="J1742" s="1">
        <v>8949</v>
      </c>
    </row>
    <row r="1743" spans="1:10" ht="14.25" customHeight="1" x14ac:dyDescent="0.25">
      <c r="A1743" s="21" t="str">
        <f t="shared" si="9"/>
        <v>06037</v>
      </c>
      <c r="B1743" s="21"/>
      <c r="C1743">
        <v>207.6</v>
      </c>
      <c r="D1743">
        <v>4.5999999999999996</v>
      </c>
      <c r="E1743">
        <v>466</v>
      </c>
      <c r="F1743">
        <v>316</v>
      </c>
      <c r="G1743">
        <v>24</v>
      </c>
      <c r="H1743">
        <v>316</v>
      </c>
      <c r="I1743">
        <v>1.83</v>
      </c>
      <c r="J1743" s="1">
        <v>17839</v>
      </c>
    </row>
    <row r="1744" spans="1:10" ht="14.25" customHeight="1" x14ac:dyDescent="0.25">
      <c r="A1744" s="21" t="str">
        <f t="shared" si="9"/>
        <v>06037</v>
      </c>
      <c r="B1744" s="21"/>
      <c r="C1744">
        <v>147.1</v>
      </c>
      <c r="D1744">
        <v>4.7</v>
      </c>
      <c r="E1744">
        <v>660</v>
      </c>
      <c r="F1744">
        <v>266</v>
      </c>
      <c r="G1744">
        <v>23</v>
      </c>
      <c r="H1744">
        <v>266</v>
      </c>
      <c r="I1744">
        <v>1.95</v>
      </c>
      <c r="J1744" s="1">
        <v>12400</v>
      </c>
    </row>
    <row r="1745" spans="1:10" ht="14.25" customHeight="1" x14ac:dyDescent="0.25">
      <c r="A1745" s="21" t="str">
        <f t="shared" ref="A1745:A1776" si="10">"06037"</f>
        <v>06037</v>
      </c>
      <c r="B1745" s="21"/>
      <c r="C1745">
        <v>432.1</v>
      </c>
      <c r="D1745">
        <v>7.2</v>
      </c>
      <c r="E1745" s="1">
        <v>1665</v>
      </c>
      <c r="F1745">
        <v>445</v>
      </c>
      <c r="G1745">
        <v>120</v>
      </c>
      <c r="H1745">
        <v>445</v>
      </c>
      <c r="I1745">
        <v>2.54</v>
      </c>
      <c r="J1745" s="1">
        <v>22945</v>
      </c>
    </row>
    <row r="1746" spans="1:10" ht="14.25" customHeight="1" x14ac:dyDescent="0.25">
      <c r="A1746" s="21" t="str">
        <f t="shared" si="10"/>
        <v>06037</v>
      </c>
      <c r="B1746" s="21"/>
      <c r="C1746">
        <v>55</v>
      </c>
      <c r="D1746">
        <v>4.2</v>
      </c>
      <c r="E1746">
        <v>115</v>
      </c>
      <c r="F1746">
        <v>101</v>
      </c>
      <c r="G1746">
        <v>13</v>
      </c>
      <c r="H1746">
        <v>101</v>
      </c>
      <c r="I1746">
        <v>1.48</v>
      </c>
      <c r="J1746" s="1">
        <v>4792</v>
      </c>
    </row>
    <row r="1747" spans="1:10" ht="14.25" customHeight="1" x14ac:dyDescent="0.25">
      <c r="A1747" s="21" t="str">
        <f t="shared" si="10"/>
        <v>06037</v>
      </c>
      <c r="B1747" s="21"/>
      <c r="C1747">
        <v>190</v>
      </c>
      <c r="D1747">
        <v>4.0999999999999996</v>
      </c>
      <c r="E1747">
        <v>405</v>
      </c>
      <c r="F1747">
        <v>327</v>
      </c>
      <c r="G1747">
        <v>28</v>
      </c>
      <c r="H1747">
        <v>327</v>
      </c>
      <c r="I1747">
        <v>1.88</v>
      </c>
      <c r="J1747" s="1">
        <v>17980</v>
      </c>
    </row>
    <row r="1748" spans="1:10" ht="14.25" customHeight="1" x14ac:dyDescent="0.25">
      <c r="A1748" s="21" t="str">
        <f t="shared" si="10"/>
        <v>06037</v>
      </c>
      <c r="B1748" s="21"/>
      <c r="C1748">
        <v>105.7</v>
      </c>
      <c r="D1748">
        <v>3.9</v>
      </c>
      <c r="E1748">
        <v>166</v>
      </c>
      <c r="F1748">
        <v>224</v>
      </c>
      <c r="G1748">
        <v>25</v>
      </c>
      <c r="H1748">
        <v>224</v>
      </c>
      <c r="I1748">
        <v>1.62</v>
      </c>
      <c r="J1748" s="1">
        <v>10290</v>
      </c>
    </row>
    <row r="1749" spans="1:10" ht="14.25" customHeight="1" x14ac:dyDescent="0.25">
      <c r="A1749" s="21" t="str">
        <f t="shared" si="10"/>
        <v>06037</v>
      </c>
      <c r="B1749" s="21"/>
      <c r="C1749">
        <v>269.5</v>
      </c>
      <c r="D1749">
        <v>4</v>
      </c>
      <c r="E1749" s="1">
        <v>1089</v>
      </c>
      <c r="F1749">
        <v>493</v>
      </c>
      <c r="G1749">
        <v>44</v>
      </c>
      <c r="H1749">
        <v>493</v>
      </c>
      <c r="I1749">
        <v>1.8</v>
      </c>
      <c r="J1749" s="1">
        <v>26020</v>
      </c>
    </row>
    <row r="1750" spans="1:10" ht="14.25" customHeight="1" x14ac:dyDescent="0.25">
      <c r="A1750" s="21" t="str">
        <f t="shared" si="10"/>
        <v>06037</v>
      </c>
      <c r="B1750" s="21"/>
      <c r="C1750">
        <v>48.8</v>
      </c>
      <c r="D1750">
        <v>4.7</v>
      </c>
      <c r="E1750">
        <v>21</v>
      </c>
      <c r="F1750">
        <v>133</v>
      </c>
      <c r="H1750">
        <v>133</v>
      </c>
      <c r="I1750">
        <v>1.1399999999999999</v>
      </c>
      <c r="J1750" s="1">
        <v>3812</v>
      </c>
    </row>
    <row r="1751" spans="1:10" ht="14.25" customHeight="1" x14ac:dyDescent="0.25">
      <c r="A1751" s="21" t="str">
        <f t="shared" si="10"/>
        <v>06037</v>
      </c>
      <c r="B1751" s="21"/>
      <c r="C1751">
        <v>261.8</v>
      </c>
      <c r="D1751">
        <v>4.4000000000000004</v>
      </c>
      <c r="E1751">
        <v>328</v>
      </c>
      <c r="F1751">
        <v>481</v>
      </c>
      <c r="G1751">
        <v>20</v>
      </c>
      <c r="H1751">
        <v>481</v>
      </c>
      <c r="I1751">
        <v>1.63</v>
      </c>
      <c r="J1751" s="1">
        <v>23279</v>
      </c>
    </row>
    <row r="1752" spans="1:10" ht="14.25" customHeight="1" x14ac:dyDescent="0.25">
      <c r="A1752" s="21" t="str">
        <f t="shared" si="10"/>
        <v>06037</v>
      </c>
      <c r="B1752" s="21"/>
      <c r="C1752">
        <v>84.9</v>
      </c>
      <c r="D1752">
        <v>3.5</v>
      </c>
      <c r="E1752">
        <v>179</v>
      </c>
      <c r="F1752">
        <v>199</v>
      </c>
      <c r="G1752">
        <v>18</v>
      </c>
      <c r="H1752">
        <v>199</v>
      </c>
      <c r="I1752">
        <v>1.52</v>
      </c>
      <c r="J1752" s="1">
        <v>9258</v>
      </c>
    </row>
    <row r="1753" spans="1:10" ht="14.25" customHeight="1" x14ac:dyDescent="0.25">
      <c r="A1753" s="21" t="str">
        <f t="shared" si="10"/>
        <v>06037</v>
      </c>
      <c r="B1753" s="21"/>
      <c r="C1753">
        <v>297</v>
      </c>
      <c r="D1753">
        <v>4.2</v>
      </c>
      <c r="E1753">
        <v>754</v>
      </c>
      <c r="F1753">
        <v>503</v>
      </c>
      <c r="G1753">
        <v>30</v>
      </c>
      <c r="H1753">
        <v>503</v>
      </c>
      <c r="I1753">
        <v>1.74</v>
      </c>
      <c r="J1753" s="1">
        <v>27431</v>
      </c>
    </row>
    <row r="1754" spans="1:10" ht="14.25" customHeight="1" x14ac:dyDescent="0.25">
      <c r="A1754" s="21" t="str">
        <f t="shared" si="10"/>
        <v>06037</v>
      </c>
      <c r="B1754" s="21"/>
      <c r="C1754">
        <v>99.6</v>
      </c>
      <c r="D1754">
        <v>3.7</v>
      </c>
      <c r="E1754">
        <v>619</v>
      </c>
      <c r="F1754">
        <v>257</v>
      </c>
      <c r="G1754">
        <v>20</v>
      </c>
      <c r="H1754">
        <v>257</v>
      </c>
      <c r="I1754">
        <v>1.89</v>
      </c>
      <c r="J1754" s="1">
        <v>10793</v>
      </c>
    </row>
    <row r="1755" spans="1:10" ht="14.25" customHeight="1" x14ac:dyDescent="0.25">
      <c r="A1755" s="21" t="str">
        <f t="shared" si="10"/>
        <v>06037</v>
      </c>
      <c r="B1755" s="21"/>
      <c r="C1755">
        <v>63.8</v>
      </c>
      <c r="D1755">
        <v>3.9</v>
      </c>
      <c r="E1755">
        <v>58</v>
      </c>
      <c r="F1755">
        <v>103</v>
      </c>
      <c r="G1755">
        <v>10</v>
      </c>
      <c r="H1755">
        <v>103</v>
      </c>
      <c r="I1755">
        <v>1.55</v>
      </c>
      <c r="J1755" s="1">
        <v>6412</v>
      </c>
    </row>
    <row r="1756" spans="1:10" ht="14.25" customHeight="1" x14ac:dyDescent="0.25">
      <c r="A1756" s="21" t="str">
        <f t="shared" si="10"/>
        <v>06037</v>
      </c>
      <c r="B1756" s="21"/>
      <c r="C1756">
        <v>179.4</v>
      </c>
      <c r="D1756">
        <v>6.1</v>
      </c>
      <c r="E1756">
        <v>250</v>
      </c>
      <c r="F1756">
        <v>310</v>
      </c>
      <c r="G1756">
        <v>39</v>
      </c>
      <c r="H1756">
        <v>310</v>
      </c>
      <c r="I1756">
        <v>2.2999999999999998</v>
      </c>
      <c r="J1756" s="1">
        <v>11622</v>
      </c>
    </row>
    <row r="1757" spans="1:10" ht="14.25" customHeight="1" x14ac:dyDescent="0.25">
      <c r="A1757" s="21" t="str">
        <f t="shared" si="10"/>
        <v>06037</v>
      </c>
      <c r="B1757" s="21"/>
      <c r="C1757">
        <v>110.8</v>
      </c>
      <c r="D1757">
        <v>4.8</v>
      </c>
      <c r="E1757">
        <v>248</v>
      </c>
      <c r="F1757">
        <v>228</v>
      </c>
      <c r="G1757">
        <v>25</v>
      </c>
      <c r="H1757">
        <v>228</v>
      </c>
      <c r="I1757">
        <v>1.71</v>
      </c>
      <c r="J1757" s="1">
        <v>8802</v>
      </c>
    </row>
    <row r="1758" spans="1:10" ht="14.25" customHeight="1" x14ac:dyDescent="0.25">
      <c r="A1758" s="21" t="str">
        <f t="shared" si="10"/>
        <v>06037</v>
      </c>
      <c r="B1758" s="21"/>
      <c r="C1758">
        <v>238.6</v>
      </c>
      <c r="D1758">
        <v>4.5</v>
      </c>
      <c r="E1758">
        <v>731</v>
      </c>
      <c r="F1758">
        <v>369</v>
      </c>
      <c r="G1758">
        <v>60</v>
      </c>
      <c r="H1758">
        <v>369</v>
      </c>
      <c r="I1758">
        <v>1.84</v>
      </c>
      <c r="J1758" s="1">
        <v>21321</v>
      </c>
    </row>
    <row r="1759" spans="1:10" ht="14.25" customHeight="1" x14ac:dyDescent="0.25">
      <c r="A1759" s="21" t="str">
        <f t="shared" si="10"/>
        <v>06037</v>
      </c>
      <c r="B1759" s="21"/>
      <c r="C1759">
        <v>120.1</v>
      </c>
      <c r="D1759">
        <v>4.9000000000000004</v>
      </c>
      <c r="E1759">
        <v>170</v>
      </c>
      <c r="H1759">
        <v>320</v>
      </c>
      <c r="I1759">
        <v>1.94</v>
      </c>
      <c r="J1759" s="1">
        <v>8922</v>
      </c>
    </row>
    <row r="1760" spans="1:10" ht="14.25" customHeight="1" x14ac:dyDescent="0.25">
      <c r="A1760" s="21" t="str">
        <f t="shared" si="10"/>
        <v>06037</v>
      </c>
      <c r="B1760" s="21"/>
      <c r="C1760">
        <v>34</v>
      </c>
      <c r="D1760">
        <v>5.8</v>
      </c>
      <c r="F1760">
        <v>144</v>
      </c>
      <c r="G1760">
        <v>10</v>
      </c>
      <c r="H1760">
        <v>144</v>
      </c>
      <c r="J1760" s="1">
        <v>2469</v>
      </c>
    </row>
    <row r="1761" spans="1:10" ht="14.25" customHeight="1" x14ac:dyDescent="0.25">
      <c r="A1761" s="21" t="str">
        <f t="shared" si="10"/>
        <v>06037</v>
      </c>
      <c r="B1761" s="21"/>
      <c r="C1761">
        <v>0.1</v>
      </c>
      <c r="D1761">
        <v>8.1999999999999993</v>
      </c>
      <c r="J1761">
        <v>5</v>
      </c>
    </row>
    <row r="1762" spans="1:10" ht="14.25" customHeight="1" x14ac:dyDescent="0.25">
      <c r="A1762" s="21" t="str">
        <f t="shared" si="10"/>
        <v>06037</v>
      </c>
      <c r="B1762" s="21"/>
      <c r="I1762">
        <v>1.2</v>
      </c>
    </row>
    <row r="1763" spans="1:10" ht="14.25" customHeight="1" x14ac:dyDescent="0.25">
      <c r="A1763" s="21" t="str">
        <f t="shared" si="10"/>
        <v>06037</v>
      </c>
      <c r="B1763" s="21"/>
      <c r="C1763">
        <v>78.8</v>
      </c>
      <c r="D1763">
        <v>3.5</v>
      </c>
      <c r="E1763">
        <v>602</v>
      </c>
      <c r="F1763">
        <v>265</v>
      </c>
      <c r="G1763">
        <v>31</v>
      </c>
      <c r="H1763">
        <v>265</v>
      </c>
      <c r="I1763">
        <v>2.0099999999999998</v>
      </c>
      <c r="J1763" s="1">
        <v>8946</v>
      </c>
    </row>
    <row r="1764" spans="1:10" ht="14.25" customHeight="1" x14ac:dyDescent="0.25">
      <c r="A1764" s="21" t="str">
        <f t="shared" si="10"/>
        <v>06037</v>
      </c>
      <c r="B1764" s="21"/>
      <c r="C1764">
        <v>100.7</v>
      </c>
      <c r="D1764">
        <v>3.8</v>
      </c>
      <c r="E1764">
        <v>631</v>
      </c>
      <c r="F1764">
        <v>257</v>
      </c>
      <c r="G1764">
        <v>12</v>
      </c>
      <c r="H1764">
        <v>257</v>
      </c>
      <c r="I1764">
        <v>1.96</v>
      </c>
      <c r="J1764" s="1">
        <v>11026</v>
      </c>
    </row>
    <row r="1765" spans="1:10" ht="14.25" customHeight="1" x14ac:dyDescent="0.25">
      <c r="A1765" s="21" t="str">
        <f t="shared" si="10"/>
        <v>06037</v>
      </c>
      <c r="B1765" s="21"/>
      <c r="C1765">
        <v>65</v>
      </c>
      <c r="D1765">
        <v>4</v>
      </c>
      <c r="E1765">
        <v>152</v>
      </c>
      <c r="F1765">
        <v>156</v>
      </c>
      <c r="G1765">
        <v>16</v>
      </c>
      <c r="H1765">
        <v>156</v>
      </c>
      <c r="I1765">
        <v>1.39</v>
      </c>
      <c r="J1765" s="1">
        <v>7029</v>
      </c>
    </row>
    <row r="1766" spans="1:10" ht="14.25" customHeight="1" x14ac:dyDescent="0.25">
      <c r="A1766" s="21" t="str">
        <f t="shared" si="10"/>
        <v>06037</v>
      </c>
      <c r="B1766" s="21"/>
      <c r="C1766">
        <v>50.6</v>
      </c>
      <c r="D1766">
        <v>4.3</v>
      </c>
      <c r="E1766">
        <v>95</v>
      </c>
      <c r="F1766">
        <v>101</v>
      </c>
      <c r="G1766">
        <v>4</v>
      </c>
      <c r="H1766">
        <v>101</v>
      </c>
      <c r="I1766">
        <v>1.49</v>
      </c>
      <c r="J1766" s="1">
        <v>4898</v>
      </c>
    </row>
    <row r="1767" spans="1:10" ht="14.25" customHeight="1" x14ac:dyDescent="0.25">
      <c r="A1767" s="21" t="str">
        <f t="shared" si="10"/>
        <v>06037</v>
      </c>
      <c r="B1767" s="21"/>
      <c r="C1767">
        <v>131.19999999999999</v>
      </c>
      <c r="D1767">
        <v>5.3</v>
      </c>
      <c r="E1767">
        <v>183</v>
      </c>
      <c r="F1767">
        <v>182</v>
      </c>
      <c r="G1767">
        <v>10</v>
      </c>
      <c r="H1767">
        <v>182</v>
      </c>
      <c r="I1767">
        <v>1.71</v>
      </c>
      <c r="J1767" s="1">
        <v>9833</v>
      </c>
    </row>
    <row r="1768" spans="1:10" ht="14.25" customHeight="1" x14ac:dyDescent="0.25">
      <c r="A1768" s="21" t="str">
        <f t="shared" si="10"/>
        <v>06037</v>
      </c>
      <c r="B1768" s="21"/>
      <c r="C1768">
        <v>39.700000000000003</v>
      </c>
      <c r="D1768">
        <v>4.7</v>
      </c>
      <c r="E1768">
        <v>38</v>
      </c>
      <c r="F1768">
        <v>104</v>
      </c>
      <c r="G1768">
        <v>10</v>
      </c>
      <c r="H1768">
        <v>104</v>
      </c>
      <c r="I1768">
        <v>1.68</v>
      </c>
      <c r="J1768" s="1">
        <v>3144</v>
      </c>
    </row>
    <row r="1769" spans="1:10" ht="14.25" customHeight="1" x14ac:dyDescent="0.25">
      <c r="A1769" s="21" t="str">
        <f t="shared" si="10"/>
        <v>06037</v>
      </c>
      <c r="B1769" s="21"/>
      <c r="C1769">
        <v>168.4</v>
      </c>
      <c r="D1769">
        <v>4</v>
      </c>
      <c r="E1769">
        <v>227</v>
      </c>
      <c r="F1769">
        <v>313</v>
      </c>
      <c r="G1769">
        <v>31</v>
      </c>
      <c r="H1769">
        <v>313</v>
      </c>
      <c r="I1769">
        <v>1.87</v>
      </c>
      <c r="J1769" s="1">
        <v>15776</v>
      </c>
    </row>
    <row r="1770" spans="1:10" ht="14.25" customHeight="1" x14ac:dyDescent="0.25">
      <c r="A1770" s="21" t="str">
        <f t="shared" si="10"/>
        <v>06037</v>
      </c>
      <c r="B1770" s="21"/>
      <c r="C1770">
        <v>43.3</v>
      </c>
      <c r="D1770">
        <v>3.4</v>
      </c>
      <c r="E1770">
        <v>135</v>
      </c>
      <c r="F1770">
        <v>103</v>
      </c>
      <c r="G1770">
        <v>12</v>
      </c>
      <c r="H1770">
        <v>103</v>
      </c>
      <c r="I1770">
        <v>1.87</v>
      </c>
      <c r="J1770" s="1">
        <v>4680</v>
      </c>
    </row>
    <row r="1771" spans="1:10" ht="14.25" customHeight="1" x14ac:dyDescent="0.25">
      <c r="A1771" s="21" t="str">
        <f t="shared" si="10"/>
        <v>06037</v>
      </c>
      <c r="B1771" s="21"/>
      <c r="C1771">
        <v>64.7</v>
      </c>
      <c r="D1771">
        <v>5</v>
      </c>
      <c r="E1771">
        <v>106</v>
      </c>
      <c r="F1771">
        <v>204</v>
      </c>
      <c r="H1771">
        <v>204</v>
      </c>
      <c r="I1771">
        <v>1.58</v>
      </c>
      <c r="J1771" s="1">
        <v>4692</v>
      </c>
    </row>
    <row r="1772" spans="1:10" ht="14.25" customHeight="1" x14ac:dyDescent="0.25">
      <c r="A1772" s="21" t="str">
        <f t="shared" si="10"/>
        <v>06037</v>
      </c>
      <c r="B1772" s="21"/>
      <c r="C1772">
        <v>129.69999999999999</v>
      </c>
      <c r="D1772">
        <v>4.0999999999999996</v>
      </c>
      <c r="E1772">
        <v>379</v>
      </c>
      <c r="F1772">
        <v>246</v>
      </c>
      <c r="G1772">
        <v>27</v>
      </c>
      <c r="H1772">
        <v>246</v>
      </c>
      <c r="I1772">
        <v>1.65</v>
      </c>
      <c r="J1772" s="1">
        <v>12823</v>
      </c>
    </row>
    <row r="1773" spans="1:10" ht="14.25" customHeight="1" x14ac:dyDescent="0.25">
      <c r="A1773" s="21" t="str">
        <f t="shared" si="10"/>
        <v>06037</v>
      </c>
      <c r="B1773" s="21"/>
      <c r="C1773">
        <v>145.69999999999999</v>
      </c>
      <c r="D1773">
        <v>8.9</v>
      </c>
      <c r="E1773">
        <v>75</v>
      </c>
      <c r="F1773">
        <v>234</v>
      </c>
      <c r="G1773">
        <v>12</v>
      </c>
      <c r="H1773">
        <v>212</v>
      </c>
      <c r="I1773">
        <v>1.28</v>
      </c>
      <c r="J1773" s="1">
        <v>6508</v>
      </c>
    </row>
    <row r="1774" spans="1:10" ht="14.25" customHeight="1" x14ac:dyDescent="0.25">
      <c r="A1774" s="21" t="str">
        <f t="shared" si="10"/>
        <v>06037</v>
      </c>
      <c r="B1774" s="21"/>
      <c r="C1774">
        <v>0.2</v>
      </c>
      <c r="D1774">
        <v>1.7</v>
      </c>
      <c r="I1774">
        <v>3.12</v>
      </c>
      <c r="J1774">
        <v>124</v>
      </c>
    </row>
    <row r="1775" spans="1:10" ht="14.25" customHeight="1" x14ac:dyDescent="0.25">
      <c r="A1775" s="21" t="str">
        <f t="shared" si="10"/>
        <v>06037</v>
      </c>
      <c r="B1775" s="21"/>
      <c r="E1775">
        <v>11</v>
      </c>
      <c r="H1775">
        <v>420</v>
      </c>
    </row>
    <row r="1776" spans="1:10" ht="14.25" customHeight="1" x14ac:dyDescent="0.25">
      <c r="A1776" s="21" t="str">
        <f t="shared" si="10"/>
        <v>06037</v>
      </c>
      <c r="B1776" s="21"/>
      <c r="C1776">
        <v>56.3</v>
      </c>
      <c r="D1776">
        <v>4.0999999999999996</v>
      </c>
      <c r="E1776">
        <v>73</v>
      </c>
      <c r="F1776">
        <v>112</v>
      </c>
      <c r="G1776">
        <v>16</v>
      </c>
      <c r="H1776">
        <v>112</v>
      </c>
      <c r="I1776">
        <v>1.78</v>
      </c>
      <c r="J1776" s="1">
        <v>5070</v>
      </c>
    </row>
    <row r="1777" spans="1:10" ht="14.25" customHeight="1" x14ac:dyDescent="0.25">
      <c r="A1777" s="21" t="str">
        <f t="shared" ref="A1777:A1807" si="11">"06037"</f>
        <v>06037</v>
      </c>
      <c r="B1777" s="21"/>
      <c r="C1777">
        <v>32.5</v>
      </c>
      <c r="D1777">
        <v>4.0999999999999996</v>
      </c>
      <c r="I1777">
        <v>1.38</v>
      </c>
      <c r="J1777" s="1">
        <v>3288</v>
      </c>
    </row>
    <row r="1778" spans="1:10" ht="14.25" customHeight="1" x14ac:dyDescent="0.25">
      <c r="A1778" s="21" t="str">
        <f t="shared" si="11"/>
        <v>06037</v>
      </c>
      <c r="B1778" s="21"/>
      <c r="C1778">
        <v>123.8</v>
      </c>
      <c r="D1778">
        <v>4.3</v>
      </c>
      <c r="E1778">
        <v>321</v>
      </c>
      <c r="F1778">
        <v>196</v>
      </c>
      <c r="G1778">
        <v>18</v>
      </c>
      <c r="H1778">
        <v>196</v>
      </c>
      <c r="I1778">
        <v>1.66</v>
      </c>
      <c r="J1778" s="1">
        <v>11167</v>
      </c>
    </row>
    <row r="1779" spans="1:10" ht="14.25" customHeight="1" x14ac:dyDescent="0.25">
      <c r="A1779" s="21" t="str">
        <f t="shared" si="11"/>
        <v>06037</v>
      </c>
      <c r="B1779" s="21"/>
      <c r="C1779">
        <v>727.7</v>
      </c>
      <c r="D1779">
        <v>4.9000000000000004</v>
      </c>
      <c r="E1779" s="1">
        <v>2116</v>
      </c>
      <c r="F1779">
        <v>880</v>
      </c>
      <c r="G1779">
        <v>48</v>
      </c>
      <c r="H1779">
        <v>880</v>
      </c>
      <c r="I1779">
        <v>2.21</v>
      </c>
      <c r="J1779" s="1">
        <v>55908</v>
      </c>
    </row>
    <row r="1780" spans="1:10" ht="14.25" customHeight="1" x14ac:dyDescent="0.25">
      <c r="A1780" s="21" t="str">
        <f t="shared" si="11"/>
        <v>06037</v>
      </c>
      <c r="B1780" s="21"/>
      <c r="C1780">
        <v>24.9</v>
      </c>
      <c r="D1780">
        <v>5.0999999999999996</v>
      </c>
      <c r="J1780" s="1">
        <v>1768</v>
      </c>
    </row>
    <row r="1781" spans="1:10" ht="14.25" customHeight="1" x14ac:dyDescent="0.25">
      <c r="A1781" s="21" t="str">
        <f t="shared" si="11"/>
        <v>06037</v>
      </c>
      <c r="B1781" s="21"/>
      <c r="C1781">
        <v>112</v>
      </c>
      <c r="D1781">
        <v>4.7</v>
      </c>
      <c r="E1781">
        <v>190</v>
      </c>
      <c r="F1781">
        <v>172</v>
      </c>
      <c r="G1781">
        <v>32</v>
      </c>
      <c r="H1781">
        <v>172</v>
      </c>
      <c r="I1781">
        <v>1.7</v>
      </c>
      <c r="J1781" s="1">
        <v>8720</v>
      </c>
    </row>
    <row r="1782" spans="1:10" ht="14.25" customHeight="1" x14ac:dyDescent="0.25">
      <c r="A1782" s="21" t="str">
        <f t="shared" si="11"/>
        <v>06037</v>
      </c>
      <c r="B1782" s="21"/>
      <c r="C1782">
        <v>33.4</v>
      </c>
      <c r="D1782">
        <v>3.7</v>
      </c>
      <c r="E1782">
        <v>48</v>
      </c>
      <c r="F1782">
        <v>95</v>
      </c>
      <c r="G1782">
        <v>8</v>
      </c>
      <c r="H1782">
        <v>95</v>
      </c>
      <c r="I1782">
        <v>1.64</v>
      </c>
      <c r="J1782" s="1">
        <v>3578</v>
      </c>
    </row>
    <row r="1783" spans="1:10" ht="14.25" customHeight="1" x14ac:dyDescent="0.25">
      <c r="A1783" s="21" t="str">
        <f t="shared" si="11"/>
        <v>06037</v>
      </c>
      <c r="B1783" s="21"/>
      <c r="C1783">
        <v>62.4</v>
      </c>
      <c r="D1783">
        <v>4.2</v>
      </c>
      <c r="E1783">
        <v>90</v>
      </c>
      <c r="F1783">
        <v>105</v>
      </c>
      <c r="G1783">
        <v>18</v>
      </c>
      <c r="H1783">
        <v>105</v>
      </c>
      <c r="I1783">
        <v>1.49</v>
      </c>
      <c r="J1783" s="1">
        <v>5685</v>
      </c>
    </row>
    <row r="1784" spans="1:10" ht="14.25" customHeight="1" x14ac:dyDescent="0.25">
      <c r="A1784" s="21" t="str">
        <f t="shared" si="11"/>
        <v>06037</v>
      </c>
      <c r="B1784" s="21"/>
      <c r="C1784">
        <v>33.799999999999997</v>
      </c>
      <c r="D1784">
        <v>4.8</v>
      </c>
      <c r="E1784">
        <v>31</v>
      </c>
      <c r="F1784">
        <v>102</v>
      </c>
      <c r="G1784">
        <v>10</v>
      </c>
      <c r="H1784">
        <v>102</v>
      </c>
      <c r="I1784">
        <v>1.49</v>
      </c>
      <c r="J1784" s="1">
        <v>2865</v>
      </c>
    </row>
    <row r="1785" spans="1:10" ht="14.25" customHeight="1" x14ac:dyDescent="0.25">
      <c r="A1785" s="21" t="str">
        <f t="shared" si="11"/>
        <v>06037</v>
      </c>
      <c r="B1785" s="21"/>
      <c r="C1785">
        <v>43.3</v>
      </c>
      <c r="D1785">
        <v>6.1</v>
      </c>
      <c r="J1785" s="1">
        <v>2599</v>
      </c>
    </row>
    <row r="1786" spans="1:10" ht="14.25" customHeight="1" x14ac:dyDescent="0.25">
      <c r="A1786" s="21" t="str">
        <f t="shared" si="11"/>
        <v>06037</v>
      </c>
      <c r="B1786" s="21"/>
      <c r="C1786">
        <v>40.299999999999997</v>
      </c>
      <c r="D1786">
        <v>9.6</v>
      </c>
      <c r="E1786">
        <v>215</v>
      </c>
      <c r="F1786">
        <v>60</v>
      </c>
      <c r="G1786">
        <v>7</v>
      </c>
      <c r="H1786">
        <v>60</v>
      </c>
      <c r="I1786">
        <v>1.97</v>
      </c>
      <c r="J1786" s="1">
        <v>1529</v>
      </c>
    </row>
    <row r="1787" spans="1:10" ht="14.25" customHeight="1" x14ac:dyDescent="0.25">
      <c r="A1787" s="21" t="str">
        <f t="shared" si="11"/>
        <v>06037</v>
      </c>
      <c r="B1787" s="21"/>
      <c r="C1787">
        <v>142.69999999999999</v>
      </c>
      <c r="D1787">
        <v>4.9000000000000004</v>
      </c>
      <c r="E1787">
        <v>62</v>
      </c>
      <c r="F1787">
        <v>285</v>
      </c>
      <c r="G1787">
        <v>22</v>
      </c>
      <c r="H1787">
        <v>285</v>
      </c>
      <c r="I1787">
        <v>1.59</v>
      </c>
      <c r="J1787" s="1">
        <v>10549</v>
      </c>
    </row>
    <row r="1788" spans="1:10" ht="14.25" customHeight="1" x14ac:dyDescent="0.25">
      <c r="A1788" s="21" t="str">
        <f t="shared" si="11"/>
        <v>06037</v>
      </c>
      <c r="B1788" s="21"/>
      <c r="C1788">
        <v>80</v>
      </c>
      <c r="D1788">
        <v>3.9</v>
      </c>
      <c r="E1788">
        <v>566</v>
      </c>
      <c r="F1788">
        <v>252</v>
      </c>
      <c r="G1788">
        <v>22</v>
      </c>
      <c r="H1788">
        <v>262</v>
      </c>
      <c r="I1788">
        <v>1.66</v>
      </c>
      <c r="J1788" s="1">
        <v>8564</v>
      </c>
    </row>
    <row r="1789" spans="1:10" ht="14.25" customHeight="1" x14ac:dyDescent="0.25">
      <c r="A1789" s="21" t="str">
        <f t="shared" si="11"/>
        <v>06037</v>
      </c>
      <c r="B1789" s="21"/>
      <c r="C1789">
        <v>215.7</v>
      </c>
      <c r="D1789">
        <v>6.7</v>
      </c>
      <c r="E1789">
        <v>654</v>
      </c>
      <c r="F1789">
        <v>301</v>
      </c>
      <c r="G1789">
        <v>46</v>
      </c>
      <c r="H1789">
        <v>301</v>
      </c>
      <c r="I1789">
        <v>3.06</v>
      </c>
      <c r="J1789" s="1">
        <v>11725</v>
      </c>
    </row>
    <row r="1790" spans="1:10" ht="14.25" customHeight="1" x14ac:dyDescent="0.25">
      <c r="A1790" s="21" t="str">
        <f t="shared" si="11"/>
        <v>06037</v>
      </c>
      <c r="B1790" s="21"/>
      <c r="C1790">
        <v>122.5</v>
      </c>
      <c r="D1790">
        <v>4.9000000000000004</v>
      </c>
      <c r="E1790">
        <v>64</v>
      </c>
      <c r="F1790">
        <v>145</v>
      </c>
      <c r="G1790">
        <v>10</v>
      </c>
      <c r="H1790">
        <v>60</v>
      </c>
      <c r="I1790">
        <v>1.67</v>
      </c>
      <c r="J1790" s="1">
        <v>9046</v>
      </c>
    </row>
    <row r="1791" spans="1:10" ht="14.25" customHeight="1" x14ac:dyDescent="0.25">
      <c r="A1791" s="21" t="str">
        <f t="shared" si="11"/>
        <v>06037</v>
      </c>
      <c r="B1791" s="21"/>
      <c r="C1791">
        <v>47.1</v>
      </c>
      <c r="D1791">
        <v>4.3</v>
      </c>
      <c r="J1791" s="1">
        <v>4516</v>
      </c>
    </row>
    <row r="1792" spans="1:10" ht="14.25" customHeight="1" x14ac:dyDescent="0.25">
      <c r="A1792" s="21" t="str">
        <f t="shared" si="11"/>
        <v>06037</v>
      </c>
      <c r="B1792" s="21"/>
      <c r="C1792">
        <v>141</v>
      </c>
      <c r="D1792">
        <v>4.8</v>
      </c>
      <c r="E1792">
        <v>311</v>
      </c>
      <c r="F1792">
        <v>270</v>
      </c>
      <c r="G1792">
        <v>18</v>
      </c>
      <c r="H1792">
        <v>270</v>
      </c>
      <c r="I1792">
        <v>1.53</v>
      </c>
      <c r="J1792" s="1">
        <v>10939</v>
      </c>
    </row>
    <row r="1793" spans="1:10" ht="14.25" customHeight="1" x14ac:dyDescent="0.25">
      <c r="A1793" s="21" t="str">
        <f t="shared" si="11"/>
        <v>06037</v>
      </c>
      <c r="B1793" s="21"/>
      <c r="C1793">
        <v>217.6</v>
      </c>
      <c r="D1793">
        <v>4.5</v>
      </c>
      <c r="E1793">
        <v>462</v>
      </c>
      <c r="F1793">
        <v>393</v>
      </c>
      <c r="G1793">
        <v>21</v>
      </c>
      <c r="H1793">
        <v>393</v>
      </c>
      <c r="I1793">
        <v>1.83</v>
      </c>
      <c r="J1793" s="1">
        <v>19155</v>
      </c>
    </row>
    <row r="1794" spans="1:10" ht="14.25" customHeight="1" x14ac:dyDescent="0.25">
      <c r="A1794" s="21" t="str">
        <f t="shared" si="11"/>
        <v>06037</v>
      </c>
      <c r="B1794" s="21"/>
      <c r="C1794">
        <v>475.9</v>
      </c>
      <c r="D1794">
        <v>5.8</v>
      </c>
      <c r="E1794">
        <v>793</v>
      </c>
      <c r="F1794">
        <v>594</v>
      </c>
      <c r="G1794">
        <v>128</v>
      </c>
      <c r="H1794">
        <v>594</v>
      </c>
      <c r="I1794">
        <v>1.97</v>
      </c>
      <c r="J1794" s="1">
        <v>30230</v>
      </c>
    </row>
    <row r="1795" spans="1:10" ht="14.25" customHeight="1" x14ac:dyDescent="0.25">
      <c r="A1795" s="21" t="str">
        <f t="shared" si="11"/>
        <v>06037</v>
      </c>
      <c r="B1795" s="21"/>
      <c r="C1795">
        <v>240</v>
      </c>
      <c r="D1795">
        <v>5.2</v>
      </c>
      <c r="E1795">
        <v>614</v>
      </c>
      <c r="F1795">
        <v>390</v>
      </c>
      <c r="G1795">
        <v>46</v>
      </c>
      <c r="H1795">
        <v>390</v>
      </c>
      <c r="I1795">
        <v>1.77</v>
      </c>
      <c r="J1795" s="1">
        <v>17504</v>
      </c>
    </row>
    <row r="1796" spans="1:10" ht="14.25" customHeight="1" x14ac:dyDescent="0.25">
      <c r="A1796" s="21" t="str">
        <f t="shared" si="11"/>
        <v>06037</v>
      </c>
      <c r="B1796" s="21"/>
      <c r="C1796">
        <v>60.2</v>
      </c>
      <c r="D1796">
        <v>10.3</v>
      </c>
      <c r="E1796">
        <v>111</v>
      </c>
      <c r="F1796">
        <v>114</v>
      </c>
      <c r="G1796">
        <v>12</v>
      </c>
      <c r="H1796">
        <v>114</v>
      </c>
      <c r="I1796">
        <v>1.63</v>
      </c>
      <c r="J1796" s="1">
        <v>2130</v>
      </c>
    </row>
    <row r="1797" spans="1:10" ht="14.25" customHeight="1" x14ac:dyDescent="0.25">
      <c r="A1797" s="21" t="str">
        <f t="shared" si="11"/>
        <v>06037</v>
      </c>
      <c r="B1797" s="21"/>
      <c r="E1797">
        <v>100</v>
      </c>
    </row>
    <row r="1798" spans="1:10" ht="14.25" customHeight="1" x14ac:dyDescent="0.25">
      <c r="A1798" s="21" t="str">
        <f t="shared" si="11"/>
        <v>06037</v>
      </c>
      <c r="B1798" s="21"/>
      <c r="H1798">
        <v>55</v>
      </c>
    </row>
    <row r="1799" spans="1:10" ht="14.25" customHeight="1" x14ac:dyDescent="0.25">
      <c r="A1799" s="21" t="str">
        <f t="shared" si="11"/>
        <v>06037</v>
      </c>
      <c r="B1799" s="21"/>
      <c r="H1799">
        <v>50</v>
      </c>
    </row>
    <row r="1800" spans="1:10" ht="14.25" customHeight="1" x14ac:dyDescent="0.25">
      <c r="A1800" s="21" t="str">
        <f t="shared" si="11"/>
        <v>06037</v>
      </c>
      <c r="B1800" s="21"/>
      <c r="C1800">
        <v>98.1</v>
      </c>
      <c r="D1800">
        <v>4</v>
      </c>
      <c r="E1800">
        <v>218</v>
      </c>
      <c r="F1800">
        <v>131</v>
      </c>
      <c r="G1800">
        <v>20</v>
      </c>
      <c r="H1800">
        <v>131</v>
      </c>
      <c r="I1800">
        <v>1.48</v>
      </c>
      <c r="J1800" s="1">
        <v>9301</v>
      </c>
    </row>
    <row r="1801" spans="1:10" ht="14.25" customHeight="1" x14ac:dyDescent="0.25">
      <c r="A1801" s="21" t="str">
        <f t="shared" si="11"/>
        <v>06037</v>
      </c>
      <c r="B1801" s="21"/>
    </row>
    <row r="1802" spans="1:10" ht="14.25" customHeight="1" x14ac:dyDescent="0.25">
      <c r="A1802" s="21" t="str">
        <f t="shared" si="11"/>
        <v>06037</v>
      </c>
      <c r="B1802" s="21"/>
    </row>
    <row r="1803" spans="1:10" ht="14.25" customHeight="1" x14ac:dyDescent="0.25">
      <c r="A1803" s="21" t="str">
        <f t="shared" si="11"/>
        <v>06037</v>
      </c>
      <c r="B1803" s="21"/>
      <c r="H1803">
        <v>16</v>
      </c>
    </row>
    <row r="1804" spans="1:10" ht="14.25" customHeight="1" x14ac:dyDescent="0.25">
      <c r="A1804" s="21" t="str">
        <f t="shared" si="11"/>
        <v>06037</v>
      </c>
      <c r="B1804" s="21"/>
      <c r="H1804">
        <v>118</v>
      </c>
    </row>
    <row r="1805" spans="1:10" ht="14.25" customHeight="1" x14ac:dyDescent="0.25">
      <c r="A1805" s="21" t="str">
        <f t="shared" si="11"/>
        <v>06037</v>
      </c>
      <c r="B1805" s="21"/>
    </row>
    <row r="1806" spans="1:10" ht="14.25" customHeight="1" x14ac:dyDescent="0.25">
      <c r="A1806" s="21" t="str">
        <f t="shared" si="11"/>
        <v>06037</v>
      </c>
      <c r="B1806" s="21"/>
    </row>
    <row r="1807" spans="1:10" ht="14.25" customHeight="1" x14ac:dyDescent="0.25">
      <c r="A1807" s="21" t="str">
        <f t="shared" si="11"/>
        <v>06037</v>
      </c>
      <c r="B1807" s="21"/>
      <c r="C1807">
        <v>12</v>
      </c>
      <c r="D1807">
        <v>3.7</v>
      </c>
      <c r="E1807">
        <v>108</v>
      </c>
      <c r="F1807">
        <v>31</v>
      </c>
      <c r="G1807">
        <v>6</v>
      </c>
      <c r="H1807">
        <v>31</v>
      </c>
      <c r="I1807">
        <v>1.59</v>
      </c>
      <c r="J1807" s="1">
        <v>1195</v>
      </c>
    </row>
    <row r="1808" spans="1:10" ht="14.25" customHeight="1" x14ac:dyDescent="0.25">
      <c r="A1808" s="21" t="str">
        <f>"06039"</f>
        <v>06039</v>
      </c>
      <c r="B1808" s="21"/>
      <c r="C1808">
        <v>38.200000000000003</v>
      </c>
      <c r="D1808">
        <v>4.3</v>
      </c>
      <c r="E1808">
        <v>137</v>
      </c>
      <c r="F1808">
        <v>106</v>
      </c>
      <c r="G1808">
        <v>10</v>
      </c>
      <c r="H1808">
        <v>106</v>
      </c>
      <c r="I1808">
        <v>1.51</v>
      </c>
      <c r="J1808" s="1">
        <v>3658</v>
      </c>
    </row>
    <row r="1809" spans="1:10" ht="14.25" customHeight="1" x14ac:dyDescent="0.25">
      <c r="A1809" s="21" t="str">
        <f>"06041"</f>
        <v>06041</v>
      </c>
      <c r="B1809" s="21"/>
      <c r="C1809">
        <v>41.1</v>
      </c>
      <c r="D1809">
        <v>3.6</v>
      </c>
      <c r="E1809">
        <v>342</v>
      </c>
      <c r="F1809">
        <v>116</v>
      </c>
      <c r="G1809">
        <v>12</v>
      </c>
      <c r="H1809">
        <v>116</v>
      </c>
      <c r="I1809">
        <v>1.67</v>
      </c>
      <c r="J1809" s="1">
        <v>4133</v>
      </c>
    </row>
    <row r="1810" spans="1:10" ht="14.25" customHeight="1" x14ac:dyDescent="0.25">
      <c r="A1810" s="21" t="str">
        <f>"06041"</f>
        <v>06041</v>
      </c>
      <c r="B1810" s="21"/>
      <c r="C1810">
        <v>16.899999999999999</v>
      </c>
      <c r="D1810">
        <v>3.2</v>
      </c>
      <c r="E1810">
        <v>128</v>
      </c>
      <c r="F1810">
        <v>47</v>
      </c>
      <c r="G1810">
        <v>8</v>
      </c>
      <c r="H1810">
        <v>47</v>
      </c>
      <c r="I1810">
        <v>1.51</v>
      </c>
      <c r="J1810" s="1">
        <v>1945</v>
      </c>
    </row>
    <row r="1811" spans="1:10" ht="14.25" customHeight="1" x14ac:dyDescent="0.25">
      <c r="A1811" s="21" t="str">
        <f>"06041"</f>
        <v>06041</v>
      </c>
      <c r="B1811" s="21"/>
      <c r="C1811">
        <v>101.1</v>
      </c>
      <c r="D1811">
        <v>4.3</v>
      </c>
      <c r="E1811">
        <v>562</v>
      </c>
      <c r="F1811">
        <v>218</v>
      </c>
      <c r="G1811">
        <v>10</v>
      </c>
      <c r="H1811">
        <v>218</v>
      </c>
      <c r="I1811">
        <v>1.68</v>
      </c>
      <c r="J1811" s="1">
        <v>9248</v>
      </c>
    </row>
    <row r="1812" spans="1:10" ht="14.25" customHeight="1" x14ac:dyDescent="0.25">
      <c r="A1812" s="21" t="str">
        <f>"06045"</f>
        <v>06045</v>
      </c>
      <c r="B1812" s="21"/>
      <c r="C1812">
        <v>31.2</v>
      </c>
      <c r="D1812">
        <v>3.7</v>
      </c>
      <c r="E1812">
        <v>180</v>
      </c>
      <c r="F1812">
        <v>50</v>
      </c>
      <c r="G1812">
        <v>6</v>
      </c>
      <c r="H1812">
        <v>50</v>
      </c>
      <c r="I1812">
        <v>1.44</v>
      </c>
      <c r="J1812" s="1">
        <v>3451</v>
      </c>
    </row>
    <row r="1813" spans="1:10" ht="14.25" customHeight="1" x14ac:dyDescent="0.25">
      <c r="A1813" s="21" t="str">
        <f>"06047"</f>
        <v>06047</v>
      </c>
      <c r="B1813" s="21"/>
      <c r="C1813">
        <v>121.8</v>
      </c>
      <c r="D1813">
        <v>4.0999999999999996</v>
      </c>
      <c r="E1813">
        <v>240</v>
      </c>
      <c r="F1813">
        <v>186</v>
      </c>
      <c r="G1813">
        <v>20</v>
      </c>
      <c r="H1813">
        <v>186</v>
      </c>
      <c r="I1813">
        <v>1.51</v>
      </c>
      <c r="J1813" s="1">
        <v>11860</v>
      </c>
    </row>
    <row r="1814" spans="1:10" ht="14.25" customHeight="1" x14ac:dyDescent="0.25">
      <c r="A1814" s="21" t="str">
        <f>"06047"</f>
        <v>06047</v>
      </c>
      <c r="B1814" s="21"/>
      <c r="C1814">
        <v>10.199999999999999</v>
      </c>
      <c r="D1814">
        <v>4.0999999999999996</v>
      </c>
      <c r="E1814">
        <v>52</v>
      </c>
      <c r="F1814">
        <v>40</v>
      </c>
      <c r="G1814">
        <v>4</v>
      </c>
      <c r="H1814">
        <v>40</v>
      </c>
      <c r="I1814">
        <v>1.47</v>
      </c>
      <c r="J1814" s="1">
        <v>1199</v>
      </c>
    </row>
    <row r="1815" spans="1:10" ht="14.25" customHeight="1" x14ac:dyDescent="0.25">
      <c r="A1815" s="21" t="str">
        <f>"06053"</f>
        <v>06053</v>
      </c>
      <c r="B1815" s="21"/>
      <c r="C1815">
        <v>124.4</v>
      </c>
      <c r="D1815">
        <v>4.2</v>
      </c>
      <c r="E1815">
        <v>283</v>
      </c>
      <c r="F1815">
        <v>240</v>
      </c>
      <c r="G1815">
        <v>13</v>
      </c>
      <c r="H1815">
        <v>240</v>
      </c>
      <c r="I1815">
        <v>1.8</v>
      </c>
      <c r="J1815" s="1">
        <v>11385</v>
      </c>
    </row>
    <row r="1816" spans="1:10" ht="14.25" customHeight="1" x14ac:dyDescent="0.25">
      <c r="A1816" s="21" t="str">
        <f>"06053"</f>
        <v>06053</v>
      </c>
      <c r="B1816" s="21"/>
      <c r="C1816">
        <v>83.6</v>
      </c>
      <c r="D1816">
        <v>4.2</v>
      </c>
      <c r="E1816">
        <v>212</v>
      </c>
      <c r="F1816">
        <v>148</v>
      </c>
      <c r="G1816">
        <v>10</v>
      </c>
      <c r="H1816">
        <v>148</v>
      </c>
      <c r="I1816">
        <v>1.38</v>
      </c>
      <c r="J1816" s="1">
        <v>8488</v>
      </c>
    </row>
    <row r="1817" spans="1:10" ht="14.25" customHeight="1" x14ac:dyDescent="0.25">
      <c r="A1817" s="21" t="str">
        <f>"06053"</f>
        <v>06053</v>
      </c>
      <c r="B1817" s="21"/>
      <c r="C1817">
        <v>141.6</v>
      </c>
      <c r="D1817">
        <v>5.0999999999999996</v>
      </c>
      <c r="E1817">
        <v>519</v>
      </c>
      <c r="F1817">
        <v>227</v>
      </c>
      <c r="G1817">
        <v>20</v>
      </c>
      <c r="H1817">
        <v>227</v>
      </c>
      <c r="I1817">
        <v>1.73</v>
      </c>
      <c r="J1817" s="1">
        <v>10600</v>
      </c>
    </row>
    <row r="1818" spans="1:10" ht="14.25" customHeight="1" x14ac:dyDescent="0.25">
      <c r="A1818" s="21" t="str">
        <f>"06053"</f>
        <v>06053</v>
      </c>
      <c r="B1818" s="21"/>
      <c r="C1818">
        <v>34.6</v>
      </c>
      <c r="D1818">
        <v>15.8</v>
      </c>
      <c r="E1818">
        <v>47</v>
      </c>
      <c r="F1818">
        <v>76</v>
      </c>
      <c r="G1818">
        <v>4</v>
      </c>
      <c r="H1818">
        <v>94</v>
      </c>
      <c r="I1818">
        <v>1.1100000000000001</v>
      </c>
      <c r="J1818">
        <v>844</v>
      </c>
    </row>
    <row r="1819" spans="1:10" ht="14.25" customHeight="1" x14ac:dyDescent="0.25">
      <c r="A1819" s="21" t="str">
        <f>"06055"</f>
        <v>06055</v>
      </c>
      <c r="B1819" s="21"/>
      <c r="C1819">
        <v>77.5</v>
      </c>
      <c r="D1819">
        <v>4.5999999999999996</v>
      </c>
      <c r="E1819">
        <v>301</v>
      </c>
      <c r="F1819">
        <v>152</v>
      </c>
      <c r="G1819">
        <v>36</v>
      </c>
      <c r="H1819">
        <v>152</v>
      </c>
      <c r="I1819">
        <v>1.73</v>
      </c>
      <c r="J1819" s="1">
        <v>6423</v>
      </c>
    </row>
    <row r="1820" spans="1:10" ht="14.25" customHeight="1" x14ac:dyDescent="0.25">
      <c r="A1820" s="21" t="str">
        <f>"06055"</f>
        <v>06055</v>
      </c>
      <c r="B1820" s="21"/>
      <c r="C1820">
        <v>54</v>
      </c>
      <c r="D1820">
        <v>6.2</v>
      </c>
      <c r="E1820">
        <v>143</v>
      </c>
      <c r="F1820">
        <v>117</v>
      </c>
      <c r="G1820">
        <v>12</v>
      </c>
      <c r="H1820">
        <v>117</v>
      </c>
      <c r="I1820">
        <v>2.23</v>
      </c>
      <c r="J1820" s="1">
        <v>3690</v>
      </c>
    </row>
    <row r="1821" spans="1:10" ht="14.25" customHeight="1" x14ac:dyDescent="0.25">
      <c r="A1821" s="21" t="str">
        <f>"06055"</f>
        <v>06055</v>
      </c>
      <c r="B1821" s="21"/>
      <c r="C1821">
        <v>1.3</v>
      </c>
      <c r="D1821">
        <v>4</v>
      </c>
      <c r="J1821">
        <v>115</v>
      </c>
    </row>
    <row r="1822" spans="1:10" ht="14.25" customHeight="1" x14ac:dyDescent="0.25">
      <c r="A1822" s="21" t="str">
        <f>"06057"</f>
        <v>06057</v>
      </c>
      <c r="B1822" s="21"/>
      <c r="C1822">
        <v>51.3</v>
      </c>
      <c r="D1822">
        <v>3.7</v>
      </c>
      <c r="E1822">
        <v>179</v>
      </c>
      <c r="F1822">
        <v>104</v>
      </c>
      <c r="G1822">
        <v>4</v>
      </c>
      <c r="H1822">
        <v>104</v>
      </c>
      <c r="I1822">
        <v>1.41</v>
      </c>
      <c r="J1822" s="1">
        <v>5365</v>
      </c>
    </row>
    <row r="1823" spans="1:10" ht="14.25" customHeight="1" x14ac:dyDescent="0.25">
      <c r="A1823" s="21" t="str">
        <f t="shared" ref="A1823:A1853" si="12">"06059"</f>
        <v>06059</v>
      </c>
      <c r="B1823" s="21"/>
      <c r="C1823">
        <v>162.1</v>
      </c>
      <c r="D1823">
        <v>4.5</v>
      </c>
      <c r="E1823">
        <v>543</v>
      </c>
      <c r="F1823">
        <v>290</v>
      </c>
      <c r="G1823">
        <v>51</v>
      </c>
      <c r="H1823">
        <v>290</v>
      </c>
      <c r="I1823">
        <v>1.93</v>
      </c>
      <c r="J1823" s="1">
        <v>14179</v>
      </c>
    </row>
    <row r="1824" spans="1:10" ht="14.25" customHeight="1" x14ac:dyDescent="0.25">
      <c r="A1824" s="21" t="str">
        <f t="shared" si="12"/>
        <v>06059</v>
      </c>
      <c r="B1824" s="21"/>
      <c r="C1824">
        <v>199</v>
      </c>
      <c r="D1824">
        <v>4.2</v>
      </c>
      <c r="E1824">
        <v>658</v>
      </c>
      <c r="F1824">
        <v>409</v>
      </c>
      <c r="G1824">
        <v>32</v>
      </c>
      <c r="H1824">
        <v>409</v>
      </c>
      <c r="I1824">
        <v>2.2799999999999998</v>
      </c>
      <c r="J1824" s="1">
        <v>19280</v>
      </c>
    </row>
    <row r="1825" spans="1:10" ht="14.25" customHeight="1" x14ac:dyDescent="0.25">
      <c r="A1825" s="21" t="str">
        <f t="shared" si="12"/>
        <v>06059</v>
      </c>
      <c r="B1825" s="21"/>
      <c r="C1825">
        <v>122.1</v>
      </c>
      <c r="D1825">
        <v>4.5</v>
      </c>
      <c r="E1825">
        <v>243</v>
      </c>
      <c r="F1825">
        <v>223</v>
      </c>
      <c r="G1825">
        <v>32</v>
      </c>
      <c r="H1825">
        <v>223</v>
      </c>
      <c r="I1825">
        <v>1.65</v>
      </c>
      <c r="J1825" s="1">
        <v>10240</v>
      </c>
    </row>
    <row r="1826" spans="1:10" ht="14.25" customHeight="1" x14ac:dyDescent="0.25">
      <c r="A1826" s="21" t="str">
        <f t="shared" si="12"/>
        <v>06059</v>
      </c>
      <c r="B1826" s="21"/>
      <c r="C1826">
        <v>324.2</v>
      </c>
      <c r="D1826">
        <v>4.2</v>
      </c>
      <c r="E1826" s="1">
        <v>1534</v>
      </c>
      <c r="F1826">
        <v>518</v>
      </c>
      <c r="G1826">
        <v>31</v>
      </c>
      <c r="H1826">
        <v>443</v>
      </c>
      <c r="I1826">
        <v>1.82</v>
      </c>
      <c r="J1826" s="1">
        <v>31135</v>
      </c>
    </row>
    <row r="1827" spans="1:10" ht="14.25" customHeight="1" x14ac:dyDescent="0.25">
      <c r="A1827" s="21" t="str">
        <f t="shared" si="12"/>
        <v>06059</v>
      </c>
      <c r="B1827" s="21"/>
      <c r="C1827">
        <v>48.9</v>
      </c>
      <c r="D1827">
        <v>3.9</v>
      </c>
      <c r="E1827">
        <v>105</v>
      </c>
      <c r="F1827">
        <v>167</v>
      </c>
      <c r="G1827">
        <v>12</v>
      </c>
      <c r="H1827">
        <v>167</v>
      </c>
      <c r="I1827">
        <v>1.75</v>
      </c>
      <c r="J1827" s="1">
        <v>5058</v>
      </c>
    </row>
    <row r="1828" spans="1:10" ht="14.25" customHeight="1" x14ac:dyDescent="0.25">
      <c r="A1828" s="21" t="str">
        <f t="shared" si="12"/>
        <v>06059</v>
      </c>
      <c r="B1828" s="21"/>
    </row>
    <row r="1829" spans="1:10" ht="14.25" customHeight="1" x14ac:dyDescent="0.25">
      <c r="A1829" s="21" t="str">
        <f t="shared" si="12"/>
        <v>06059</v>
      </c>
      <c r="B1829" s="21"/>
      <c r="C1829">
        <v>280.60000000000002</v>
      </c>
      <c r="D1829">
        <v>5</v>
      </c>
      <c r="E1829">
        <v>963</v>
      </c>
      <c r="F1829">
        <v>352</v>
      </c>
      <c r="G1829">
        <v>50</v>
      </c>
      <c r="H1829">
        <v>352</v>
      </c>
      <c r="I1829">
        <v>1.98</v>
      </c>
      <c r="J1829" s="1">
        <v>20911</v>
      </c>
    </row>
    <row r="1830" spans="1:10" ht="14.25" customHeight="1" x14ac:dyDescent="0.25">
      <c r="A1830" s="21" t="str">
        <f t="shared" si="12"/>
        <v>06059</v>
      </c>
      <c r="B1830" s="21"/>
      <c r="C1830">
        <v>44.4</v>
      </c>
      <c r="D1830">
        <v>5</v>
      </c>
      <c r="E1830">
        <v>41</v>
      </c>
      <c r="F1830">
        <v>82</v>
      </c>
      <c r="G1830">
        <v>12</v>
      </c>
      <c r="H1830">
        <v>82</v>
      </c>
      <c r="I1830">
        <v>1.45</v>
      </c>
      <c r="J1830" s="1">
        <v>3264</v>
      </c>
    </row>
    <row r="1831" spans="1:10" ht="14.25" customHeight="1" x14ac:dyDescent="0.25">
      <c r="A1831" s="21" t="str">
        <f t="shared" si="12"/>
        <v>06059</v>
      </c>
      <c r="B1831" s="21"/>
      <c r="C1831">
        <v>231.2</v>
      </c>
      <c r="D1831">
        <v>4.8</v>
      </c>
      <c r="E1831">
        <v>329</v>
      </c>
      <c r="F1831">
        <v>400</v>
      </c>
      <c r="G1831">
        <v>36</v>
      </c>
      <c r="H1831">
        <v>400</v>
      </c>
      <c r="I1831">
        <v>1.71</v>
      </c>
      <c r="J1831" s="1">
        <v>19041</v>
      </c>
    </row>
    <row r="1832" spans="1:10" ht="14.25" customHeight="1" x14ac:dyDescent="0.25">
      <c r="A1832" s="21" t="str">
        <f t="shared" si="12"/>
        <v>06059</v>
      </c>
      <c r="B1832" s="21"/>
      <c r="C1832">
        <v>179.9</v>
      </c>
      <c r="D1832">
        <v>4</v>
      </c>
      <c r="E1832">
        <v>681</v>
      </c>
      <c r="F1832">
        <v>465</v>
      </c>
      <c r="G1832">
        <v>73</v>
      </c>
      <c r="H1832">
        <v>523</v>
      </c>
      <c r="I1832">
        <v>1.88</v>
      </c>
      <c r="J1832" s="1">
        <v>17856</v>
      </c>
    </row>
    <row r="1833" spans="1:10" ht="14.25" customHeight="1" x14ac:dyDescent="0.25">
      <c r="A1833" s="21" t="str">
        <f t="shared" si="12"/>
        <v>06059</v>
      </c>
      <c r="B1833" s="21"/>
      <c r="C1833">
        <v>111.5</v>
      </c>
      <c r="D1833">
        <v>10.199999999999999</v>
      </c>
      <c r="E1833">
        <v>10</v>
      </c>
      <c r="F1833">
        <v>122</v>
      </c>
      <c r="H1833">
        <v>122</v>
      </c>
      <c r="I1833">
        <v>0.9</v>
      </c>
      <c r="J1833" s="1">
        <v>4001</v>
      </c>
    </row>
    <row r="1834" spans="1:10" ht="14.25" customHeight="1" x14ac:dyDescent="0.25">
      <c r="A1834" s="21" t="str">
        <f t="shared" si="12"/>
        <v>06059</v>
      </c>
      <c r="B1834" s="21"/>
      <c r="C1834">
        <v>109.4</v>
      </c>
      <c r="D1834">
        <v>4.7</v>
      </c>
      <c r="E1834">
        <v>269</v>
      </c>
      <c r="F1834">
        <v>146</v>
      </c>
      <c r="G1834">
        <v>17</v>
      </c>
      <c r="H1834">
        <v>146</v>
      </c>
      <c r="I1834">
        <v>1.58</v>
      </c>
      <c r="J1834" s="1">
        <v>8858</v>
      </c>
    </row>
    <row r="1835" spans="1:10" ht="14.25" customHeight="1" x14ac:dyDescent="0.25">
      <c r="A1835" s="21" t="str">
        <f t="shared" si="12"/>
        <v>06059</v>
      </c>
      <c r="B1835" s="21"/>
      <c r="C1835">
        <v>67</v>
      </c>
      <c r="D1835">
        <v>3.7</v>
      </c>
      <c r="E1835">
        <v>74</v>
      </c>
      <c r="F1835">
        <v>167</v>
      </c>
      <c r="G1835">
        <v>20</v>
      </c>
      <c r="H1835">
        <v>167</v>
      </c>
      <c r="I1835">
        <v>1.83</v>
      </c>
      <c r="J1835" s="1">
        <v>6551</v>
      </c>
    </row>
    <row r="1836" spans="1:10" ht="14.25" customHeight="1" x14ac:dyDescent="0.25">
      <c r="A1836" s="21" t="str">
        <f t="shared" si="12"/>
        <v>06059</v>
      </c>
      <c r="B1836" s="21"/>
      <c r="C1836">
        <v>118</v>
      </c>
      <c r="D1836">
        <v>3.8</v>
      </c>
      <c r="E1836">
        <v>368</v>
      </c>
      <c r="F1836">
        <v>218</v>
      </c>
      <c r="G1836">
        <v>21</v>
      </c>
      <c r="H1836">
        <v>218</v>
      </c>
      <c r="I1836">
        <v>1.84</v>
      </c>
      <c r="J1836" s="1">
        <v>11962</v>
      </c>
    </row>
    <row r="1837" spans="1:10" ht="14.25" customHeight="1" x14ac:dyDescent="0.25">
      <c r="A1837" s="21" t="str">
        <f t="shared" si="12"/>
        <v>06059</v>
      </c>
      <c r="B1837" s="21"/>
      <c r="C1837">
        <v>26.7</v>
      </c>
      <c r="D1837">
        <v>3.3</v>
      </c>
      <c r="E1837">
        <v>126</v>
      </c>
      <c r="F1837">
        <v>114</v>
      </c>
      <c r="G1837">
        <v>8</v>
      </c>
      <c r="H1837">
        <v>114</v>
      </c>
      <c r="I1837">
        <v>1.36</v>
      </c>
      <c r="J1837" s="1">
        <v>2967</v>
      </c>
    </row>
    <row r="1838" spans="1:10" ht="14.25" customHeight="1" x14ac:dyDescent="0.25">
      <c r="A1838" s="21" t="str">
        <f t="shared" si="12"/>
        <v>06059</v>
      </c>
      <c r="B1838" s="21"/>
      <c r="C1838">
        <v>29.9</v>
      </c>
      <c r="D1838">
        <v>3.9</v>
      </c>
      <c r="E1838">
        <v>58</v>
      </c>
      <c r="F1838">
        <v>124</v>
      </c>
      <c r="G1838">
        <v>8</v>
      </c>
      <c r="H1838">
        <v>124</v>
      </c>
      <c r="I1838">
        <v>1.59</v>
      </c>
      <c r="J1838" s="1">
        <v>2890</v>
      </c>
    </row>
    <row r="1839" spans="1:10" ht="14.25" customHeight="1" x14ac:dyDescent="0.25">
      <c r="A1839" s="21" t="str">
        <f t="shared" si="12"/>
        <v>06059</v>
      </c>
      <c r="B1839" s="21"/>
      <c r="C1839">
        <v>252.2</v>
      </c>
      <c r="D1839">
        <v>4</v>
      </c>
      <c r="E1839" s="1">
        <v>1248</v>
      </c>
      <c r="F1839">
        <v>484</v>
      </c>
      <c r="G1839">
        <v>60</v>
      </c>
      <c r="H1839">
        <v>219</v>
      </c>
      <c r="I1839">
        <v>1.87</v>
      </c>
      <c r="J1839" s="1">
        <v>24383</v>
      </c>
    </row>
    <row r="1840" spans="1:10" ht="14.25" customHeight="1" x14ac:dyDescent="0.25">
      <c r="A1840" s="21" t="str">
        <f t="shared" si="12"/>
        <v>06059</v>
      </c>
      <c r="B1840" s="21"/>
      <c r="C1840">
        <v>111.6</v>
      </c>
      <c r="D1840">
        <v>3.9</v>
      </c>
      <c r="E1840">
        <v>453</v>
      </c>
      <c r="F1840">
        <v>248</v>
      </c>
      <c r="G1840">
        <v>22</v>
      </c>
      <c r="H1840">
        <v>248</v>
      </c>
      <c r="I1840">
        <v>1.79</v>
      </c>
      <c r="J1840" s="1">
        <v>11939</v>
      </c>
    </row>
    <row r="1841" spans="1:10" ht="14.25" customHeight="1" x14ac:dyDescent="0.25">
      <c r="A1841" s="21" t="str">
        <f t="shared" si="12"/>
        <v>06059</v>
      </c>
      <c r="B1841" s="21"/>
      <c r="C1841">
        <v>41.8</v>
      </c>
      <c r="D1841">
        <v>6.1</v>
      </c>
      <c r="E1841">
        <v>29</v>
      </c>
      <c r="F1841">
        <v>103</v>
      </c>
      <c r="G1841">
        <v>22</v>
      </c>
      <c r="H1841">
        <v>189</v>
      </c>
      <c r="I1841">
        <v>1.48</v>
      </c>
      <c r="J1841" s="1">
        <v>2759</v>
      </c>
    </row>
    <row r="1842" spans="1:10" ht="14.25" customHeight="1" x14ac:dyDescent="0.25">
      <c r="A1842" s="21" t="str">
        <f t="shared" si="12"/>
        <v>06059</v>
      </c>
      <c r="B1842" s="21"/>
      <c r="C1842">
        <v>20.100000000000001</v>
      </c>
      <c r="D1842">
        <v>3.7</v>
      </c>
      <c r="E1842">
        <v>27</v>
      </c>
      <c r="F1842">
        <v>75</v>
      </c>
      <c r="G1842">
        <v>12</v>
      </c>
      <c r="H1842">
        <v>75</v>
      </c>
      <c r="I1842">
        <v>1.38</v>
      </c>
      <c r="J1842" s="1">
        <v>2001</v>
      </c>
    </row>
    <row r="1843" spans="1:10" ht="14.25" customHeight="1" x14ac:dyDescent="0.25">
      <c r="A1843" s="21" t="str">
        <f t="shared" si="12"/>
        <v>06059</v>
      </c>
      <c r="B1843" s="21"/>
      <c r="C1843">
        <v>109.1</v>
      </c>
      <c r="D1843">
        <v>5.5</v>
      </c>
      <c r="E1843">
        <v>70</v>
      </c>
      <c r="F1843">
        <v>254</v>
      </c>
      <c r="G1843">
        <v>42</v>
      </c>
      <c r="H1843">
        <v>254</v>
      </c>
      <c r="I1843">
        <v>1.86</v>
      </c>
      <c r="J1843" s="1">
        <v>7691</v>
      </c>
    </row>
    <row r="1844" spans="1:10" ht="14.25" customHeight="1" x14ac:dyDescent="0.25">
      <c r="A1844" s="21" t="str">
        <f t="shared" si="12"/>
        <v>06059</v>
      </c>
      <c r="B1844" s="21"/>
      <c r="C1844">
        <v>33.200000000000003</v>
      </c>
      <c r="D1844">
        <v>4.2</v>
      </c>
      <c r="E1844">
        <v>35</v>
      </c>
      <c r="F1844">
        <v>109</v>
      </c>
      <c r="G1844">
        <v>9</v>
      </c>
      <c r="H1844">
        <v>109</v>
      </c>
      <c r="I1844">
        <v>1.46</v>
      </c>
      <c r="J1844" s="1">
        <v>3617</v>
      </c>
    </row>
    <row r="1845" spans="1:10" ht="14.25" customHeight="1" x14ac:dyDescent="0.25">
      <c r="A1845" s="21" t="str">
        <f t="shared" si="12"/>
        <v>06059</v>
      </c>
      <c r="B1845" s="21"/>
      <c r="C1845">
        <v>60.3</v>
      </c>
      <c r="D1845">
        <v>3.6</v>
      </c>
      <c r="J1845" s="1">
        <v>6706</v>
      </c>
    </row>
    <row r="1846" spans="1:10" ht="14.25" customHeight="1" x14ac:dyDescent="0.25">
      <c r="A1846" s="21" t="str">
        <f t="shared" si="12"/>
        <v>06059</v>
      </c>
      <c r="B1846" s="21"/>
      <c r="C1846">
        <v>15</v>
      </c>
      <c r="D1846">
        <v>5.5</v>
      </c>
      <c r="J1846">
        <v>990</v>
      </c>
    </row>
    <row r="1847" spans="1:10" ht="14.25" customHeight="1" x14ac:dyDescent="0.25">
      <c r="A1847" s="21" t="str">
        <f t="shared" si="12"/>
        <v>06059</v>
      </c>
      <c r="B1847" s="21"/>
      <c r="C1847">
        <v>0.3</v>
      </c>
      <c r="D1847">
        <v>6.4</v>
      </c>
      <c r="E1847">
        <v>4</v>
      </c>
      <c r="F1847">
        <v>30</v>
      </c>
      <c r="H1847">
        <v>30</v>
      </c>
      <c r="I1847">
        <v>0.94</v>
      </c>
      <c r="J1847">
        <v>18</v>
      </c>
    </row>
    <row r="1848" spans="1:10" ht="14.25" customHeight="1" x14ac:dyDescent="0.25">
      <c r="A1848" s="21" t="str">
        <f t="shared" si="12"/>
        <v>06059</v>
      </c>
      <c r="B1848" s="21"/>
      <c r="C1848">
        <v>28.3</v>
      </c>
      <c r="D1848">
        <v>4</v>
      </c>
      <c r="E1848">
        <v>16</v>
      </c>
      <c r="F1848">
        <v>135</v>
      </c>
      <c r="G1848">
        <v>15</v>
      </c>
      <c r="H1848">
        <v>135</v>
      </c>
      <c r="I1848">
        <v>1.51</v>
      </c>
      <c r="J1848" s="1">
        <v>2601</v>
      </c>
    </row>
    <row r="1849" spans="1:10" ht="14.25" customHeight="1" x14ac:dyDescent="0.25">
      <c r="A1849" s="21" t="str">
        <f t="shared" si="12"/>
        <v>06059</v>
      </c>
      <c r="B1849" s="21"/>
      <c r="H1849">
        <v>150</v>
      </c>
    </row>
    <row r="1850" spans="1:10" ht="14.25" customHeight="1" x14ac:dyDescent="0.25">
      <c r="A1850" s="21" t="str">
        <f t="shared" si="12"/>
        <v>06059</v>
      </c>
      <c r="B1850" s="21"/>
    </row>
    <row r="1851" spans="1:10" ht="14.25" customHeight="1" x14ac:dyDescent="0.25">
      <c r="A1851" s="21" t="str">
        <f t="shared" si="12"/>
        <v>06059</v>
      </c>
      <c r="B1851" s="21"/>
      <c r="E1851">
        <v>7</v>
      </c>
      <c r="H1851">
        <v>84</v>
      </c>
    </row>
    <row r="1852" spans="1:10" ht="14.25" customHeight="1" x14ac:dyDescent="0.25">
      <c r="A1852" s="21" t="str">
        <f t="shared" si="12"/>
        <v>06059</v>
      </c>
      <c r="B1852" s="21"/>
      <c r="C1852">
        <v>22.8</v>
      </c>
      <c r="D1852">
        <v>1.8</v>
      </c>
      <c r="E1852">
        <v>46</v>
      </c>
      <c r="F1852">
        <v>70</v>
      </c>
      <c r="H1852">
        <v>70</v>
      </c>
      <c r="I1852">
        <v>2.52</v>
      </c>
      <c r="J1852" s="1">
        <v>4585</v>
      </c>
    </row>
    <row r="1853" spans="1:10" ht="14.25" customHeight="1" x14ac:dyDescent="0.25">
      <c r="A1853" s="21" t="str">
        <f t="shared" si="12"/>
        <v>06059</v>
      </c>
      <c r="B1853" s="21"/>
    </row>
    <row r="1854" spans="1:10" ht="14.25" customHeight="1" x14ac:dyDescent="0.25">
      <c r="A1854" s="21" t="str">
        <f>"06061"</f>
        <v>06061</v>
      </c>
      <c r="B1854" s="21"/>
      <c r="C1854">
        <v>28.1</v>
      </c>
      <c r="D1854">
        <v>3.3</v>
      </c>
      <c r="E1854">
        <v>202</v>
      </c>
      <c r="F1854">
        <v>64</v>
      </c>
      <c r="G1854">
        <v>8</v>
      </c>
      <c r="H1854">
        <v>64</v>
      </c>
      <c r="I1854">
        <v>1.6</v>
      </c>
      <c r="J1854" s="1">
        <v>3070</v>
      </c>
    </row>
    <row r="1855" spans="1:10" ht="14.25" customHeight="1" x14ac:dyDescent="0.25">
      <c r="A1855" s="21" t="str">
        <f>"06061"</f>
        <v>06061</v>
      </c>
      <c r="B1855" s="21"/>
      <c r="C1855">
        <v>196.4</v>
      </c>
      <c r="D1855">
        <v>4.3</v>
      </c>
      <c r="E1855">
        <v>623</v>
      </c>
      <c r="F1855">
        <v>273</v>
      </c>
      <c r="G1855">
        <v>32</v>
      </c>
      <c r="H1855">
        <v>273</v>
      </c>
      <c r="I1855">
        <v>1.67</v>
      </c>
      <c r="J1855" s="1">
        <v>17463</v>
      </c>
    </row>
    <row r="1856" spans="1:10" ht="14.25" customHeight="1" x14ac:dyDescent="0.25">
      <c r="A1856" s="21" t="str">
        <f>"06061"</f>
        <v>06061</v>
      </c>
      <c r="B1856" s="21"/>
      <c r="C1856">
        <v>229.2</v>
      </c>
      <c r="D1856">
        <v>4</v>
      </c>
      <c r="E1856">
        <v>773</v>
      </c>
      <c r="F1856">
        <v>340</v>
      </c>
      <c r="G1856">
        <v>30</v>
      </c>
      <c r="H1856">
        <v>340</v>
      </c>
      <c r="I1856">
        <v>1.6</v>
      </c>
      <c r="J1856" s="1">
        <v>23533</v>
      </c>
    </row>
    <row r="1857" spans="1:10" ht="14.25" customHeight="1" x14ac:dyDescent="0.25">
      <c r="A1857" s="21" t="str">
        <f t="shared" ref="A1857:A1873" si="13">"06065"</f>
        <v>06065</v>
      </c>
      <c r="B1857" s="21"/>
      <c r="C1857">
        <v>35.799999999999997</v>
      </c>
      <c r="D1857">
        <v>3.1</v>
      </c>
      <c r="E1857">
        <v>91</v>
      </c>
      <c r="F1857">
        <v>94</v>
      </c>
      <c r="G1857">
        <v>10</v>
      </c>
      <c r="H1857">
        <v>94</v>
      </c>
      <c r="I1857">
        <v>1.81</v>
      </c>
      <c r="J1857" s="1">
        <v>4720</v>
      </c>
    </row>
    <row r="1858" spans="1:10" ht="14.25" customHeight="1" x14ac:dyDescent="0.25">
      <c r="A1858" s="21" t="str">
        <f t="shared" si="13"/>
        <v>06065</v>
      </c>
      <c r="B1858" s="21"/>
      <c r="C1858">
        <v>34.6</v>
      </c>
      <c r="D1858">
        <v>4.2</v>
      </c>
      <c r="E1858">
        <v>69</v>
      </c>
      <c r="F1858">
        <v>84</v>
      </c>
      <c r="G1858">
        <v>10</v>
      </c>
      <c r="H1858">
        <v>84</v>
      </c>
      <c r="I1858">
        <v>1.37</v>
      </c>
      <c r="J1858" s="1">
        <v>3028</v>
      </c>
    </row>
    <row r="1859" spans="1:10" ht="14.25" customHeight="1" x14ac:dyDescent="0.25">
      <c r="A1859" s="21" t="str">
        <f t="shared" si="13"/>
        <v>06065</v>
      </c>
      <c r="B1859" s="21"/>
      <c r="C1859">
        <v>109.4</v>
      </c>
      <c r="D1859">
        <v>4.4000000000000004</v>
      </c>
      <c r="E1859">
        <v>782</v>
      </c>
      <c r="F1859">
        <v>226</v>
      </c>
      <c r="G1859">
        <v>22</v>
      </c>
      <c r="H1859">
        <v>226</v>
      </c>
      <c r="I1859">
        <v>2.19</v>
      </c>
      <c r="J1859" s="1">
        <v>10014</v>
      </c>
    </row>
    <row r="1860" spans="1:10" ht="14.25" customHeight="1" x14ac:dyDescent="0.25">
      <c r="A1860" s="21" t="str">
        <f t="shared" si="13"/>
        <v>06065</v>
      </c>
      <c r="B1860" s="21"/>
      <c r="C1860">
        <v>175.3</v>
      </c>
      <c r="D1860">
        <v>3.5</v>
      </c>
      <c r="E1860">
        <v>737</v>
      </c>
      <c r="F1860">
        <v>345</v>
      </c>
      <c r="G1860">
        <v>34</v>
      </c>
      <c r="H1860">
        <v>345</v>
      </c>
      <c r="I1860">
        <v>1.85</v>
      </c>
      <c r="J1860" s="1">
        <v>19581</v>
      </c>
    </row>
    <row r="1861" spans="1:10" ht="14.25" customHeight="1" x14ac:dyDescent="0.25">
      <c r="A1861" s="21" t="str">
        <f t="shared" si="13"/>
        <v>06065</v>
      </c>
      <c r="B1861" s="21"/>
      <c r="C1861">
        <v>49.7</v>
      </c>
      <c r="D1861">
        <v>3.2</v>
      </c>
      <c r="E1861">
        <v>61</v>
      </c>
      <c r="F1861">
        <v>130</v>
      </c>
      <c r="G1861">
        <v>16</v>
      </c>
      <c r="H1861">
        <v>130</v>
      </c>
      <c r="I1861">
        <v>1.62</v>
      </c>
      <c r="J1861" s="1">
        <v>6626</v>
      </c>
    </row>
    <row r="1862" spans="1:10" ht="14.25" customHeight="1" x14ac:dyDescent="0.25">
      <c r="A1862" s="21" t="str">
        <f t="shared" si="13"/>
        <v>06065</v>
      </c>
      <c r="B1862" s="21"/>
      <c r="C1862">
        <v>6.4</v>
      </c>
      <c r="D1862">
        <v>3.2</v>
      </c>
      <c r="E1862">
        <v>17</v>
      </c>
      <c r="F1862">
        <v>51</v>
      </c>
      <c r="G1862">
        <v>4</v>
      </c>
      <c r="H1862">
        <v>51</v>
      </c>
      <c r="I1862">
        <v>1.1599999999999999</v>
      </c>
      <c r="J1862">
        <v>832</v>
      </c>
    </row>
    <row r="1863" spans="1:10" ht="14.25" customHeight="1" x14ac:dyDescent="0.25">
      <c r="A1863" s="21" t="str">
        <f t="shared" si="13"/>
        <v>06065</v>
      </c>
      <c r="B1863" s="21"/>
      <c r="C1863">
        <v>113.3</v>
      </c>
      <c r="D1863">
        <v>4.3</v>
      </c>
      <c r="E1863">
        <v>106</v>
      </c>
      <c r="F1863">
        <v>304</v>
      </c>
      <c r="G1863">
        <v>18</v>
      </c>
      <c r="H1863">
        <v>304</v>
      </c>
      <c r="I1863">
        <v>1.64</v>
      </c>
      <c r="J1863" s="1">
        <v>9970</v>
      </c>
    </row>
    <row r="1864" spans="1:10" ht="14.25" customHeight="1" x14ac:dyDescent="0.25">
      <c r="A1864" s="21" t="str">
        <f t="shared" si="13"/>
        <v>06065</v>
      </c>
      <c r="B1864" s="21"/>
      <c r="C1864">
        <v>80.2</v>
      </c>
      <c r="D1864">
        <v>4.2</v>
      </c>
      <c r="E1864">
        <v>175</v>
      </c>
      <c r="F1864">
        <v>160</v>
      </c>
      <c r="G1864">
        <v>22</v>
      </c>
      <c r="H1864">
        <v>160</v>
      </c>
      <c r="I1864">
        <v>1.63</v>
      </c>
      <c r="J1864" s="1">
        <v>7314</v>
      </c>
    </row>
    <row r="1865" spans="1:10" ht="14.25" customHeight="1" x14ac:dyDescent="0.25">
      <c r="A1865" s="21" t="str">
        <f t="shared" si="13"/>
        <v>06065</v>
      </c>
      <c r="B1865" s="21"/>
      <c r="C1865">
        <v>305.2</v>
      </c>
      <c r="D1865">
        <v>5.8</v>
      </c>
      <c r="E1865">
        <v>315</v>
      </c>
      <c r="F1865">
        <v>423</v>
      </c>
      <c r="G1865">
        <v>45</v>
      </c>
      <c r="H1865">
        <v>423</v>
      </c>
      <c r="I1865">
        <v>1.68</v>
      </c>
      <c r="J1865" s="1">
        <v>19790</v>
      </c>
    </row>
    <row r="1866" spans="1:10" ht="14.25" customHeight="1" x14ac:dyDescent="0.25">
      <c r="A1866" s="21" t="str">
        <f t="shared" si="13"/>
        <v>06065</v>
      </c>
      <c r="B1866" s="21"/>
      <c r="C1866">
        <v>230.3</v>
      </c>
      <c r="D1866">
        <v>4.5999999999999996</v>
      </c>
      <c r="E1866">
        <v>315</v>
      </c>
      <c r="F1866">
        <v>325</v>
      </c>
      <c r="G1866">
        <v>31</v>
      </c>
      <c r="H1866">
        <v>325</v>
      </c>
      <c r="I1866">
        <v>1.76</v>
      </c>
      <c r="J1866" s="1">
        <v>19134</v>
      </c>
    </row>
    <row r="1867" spans="1:10" ht="14.25" customHeight="1" x14ac:dyDescent="0.25">
      <c r="A1867" s="21" t="str">
        <f t="shared" si="13"/>
        <v>06065</v>
      </c>
      <c r="B1867" s="21"/>
      <c r="C1867">
        <v>91</v>
      </c>
      <c r="D1867">
        <v>4.5</v>
      </c>
      <c r="E1867">
        <v>105</v>
      </c>
      <c r="F1867">
        <v>191</v>
      </c>
      <c r="G1867">
        <v>13</v>
      </c>
      <c r="H1867">
        <v>191</v>
      </c>
      <c r="I1867">
        <v>1.67</v>
      </c>
      <c r="J1867" s="1">
        <v>8149</v>
      </c>
    </row>
    <row r="1868" spans="1:10" ht="14.25" customHeight="1" x14ac:dyDescent="0.25">
      <c r="A1868" s="21" t="str">
        <f t="shared" si="13"/>
        <v>06065</v>
      </c>
      <c r="B1868" s="21"/>
      <c r="C1868">
        <v>27.4</v>
      </c>
      <c r="D1868">
        <v>3.7</v>
      </c>
      <c r="E1868">
        <v>87</v>
      </c>
      <c r="F1868">
        <v>61</v>
      </c>
      <c r="G1868">
        <v>6</v>
      </c>
      <c r="H1868">
        <v>61</v>
      </c>
      <c r="I1868">
        <v>1.37</v>
      </c>
      <c r="J1868" s="1">
        <v>2858</v>
      </c>
    </row>
    <row r="1869" spans="1:10" ht="14.25" customHeight="1" x14ac:dyDescent="0.25">
      <c r="A1869" s="21" t="str">
        <f t="shared" si="13"/>
        <v>06065</v>
      </c>
      <c r="B1869" s="21"/>
      <c r="C1869">
        <v>322.89999999999998</v>
      </c>
      <c r="D1869">
        <v>5</v>
      </c>
      <c r="E1869">
        <v>424</v>
      </c>
      <c r="F1869">
        <v>478</v>
      </c>
      <c r="G1869">
        <v>69</v>
      </c>
      <c r="H1869">
        <v>478</v>
      </c>
      <c r="I1869">
        <v>1.93</v>
      </c>
      <c r="J1869" s="1">
        <v>24300</v>
      </c>
    </row>
    <row r="1870" spans="1:10" ht="14.25" customHeight="1" x14ac:dyDescent="0.25">
      <c r="A1870" s="21" t="str">
        <f t="shared" si="13"/>
        <v>06065</v>
      </c>
      <c r="B1870" s="21"/>
      <c r="C1870">
        <v>129.80000000000001</v>
      </c>
      <c r="D1870">
        <v>3.3</v>
      </c>
      <c r="E1870">
        <v>324</v>
      </c>
      <c r="F1870">
        <v>240</v>
      </c>
      <c r="G1870">
        <v>25</v>
      </c>
      <c r="H1870">
        <v>120</v>
      </c>
      <c r="I1870">
        <v>1.57</v>
      </c>
      <c r="J1870" s="1">
        <v>15834</v>
      </c>
    </row>
    <row r="1871" spans="1:10" ht="14.25" customHeight="1" x14ac:dyDescent="0.25">
      <c r="A1871" s="21" t="str">
        <f t="shared" si="13"/>
        <v>06065</v>
      </c>
      <c r="B1871" s="21"/>
      <c r="H1871">
        <v>130</v>
      </c>
    </row>
    <row r="1872" spans="1:10" ht="14.25" customHeight="1" x14ac:dyDescent="0.25">
      <c r="A1872" s="21" t="str">
        <f t="shared" si="13"/>
        <v>06065</v>
      </c>
      <c r="B1872" s="21"/>
      <c r="C1872">
        <v>96.3</v>
      </c>
      <c r="D1872">
        <v>4.2</v>
      </c>
      <c r="E1872">
        <v>167</v>
      </c>
      <c r="F1872">
        <v>111</v>
      </c>
      <c r="G1872">
        <v>12</v>
      </c>
      <c r="H1872">
        <v>111</v>
      </c>
      <c r="I1872">
        <v>1.81</v>
      </c>
      <c r="J1872" s="1">
        <v>8925</v>
      </c>
    </row>
    <row r="1873" spans="1:10" ht="14.25" customHeight="1" x14ac:dyDescent="0.25">
      <c r="A1873" s="21" t="str">
        <f t="shared" si="13"/>
        <v>06065</v>
      </c>
      <c r="B1873" s="21"/>
      <c r="C1873">
        <v>99.4</v>
      </c>
      <c r="D1873">
        <v>4</v>
      </c>
      <c r="E1873">
        <v>115</v>
      </c>
      <c r="F1873">
        <v>140</v>
      </c>
      <c r="G1873">
        <v>20</v>
      </c>
      <c r="H1873">
        <v>140</v>
      </c>
      <c r="I1873">
        <v>1.61</v>
      </c>
      <c r="J1873" s="1">
        <v>8989</v>
      </c>
    </row>
    <row r="1874" spans="1:10" ht="14.25" customHeight="1" x14ac:dyDescent="0.25">
      <c r="A1874" s="21" t="str">
        <f t="shared" ref="A1874:A1881" si="14">"06067"</f>
        <v>06067</v>
      </c>
      <c r="B1874" s="21"/>
      <c r="C1874">
        <v>162</v>
      </c>
      <c r="D1874">
        <v>4.3</v>
      </c>
      <c r="E1874">
        <v>488</v>
      </c>
      <c r="F1874">
        <v>389</v>
      </c>
      <c r="H1874">
        <v>342</v>
      </c>
      <c r="I1874">
        <v>2.19</v>
      </c>
      <c r="J1874" s="1">
        <v>14085</v>
      </c>
    </row>
    <row r="1875" spans="1:10" ht="14.25" customHeight="1" x14ac:dyDescent="0.25">
      <c r="A1875" s="21" t="str">
        <f t="shared" si="14"/>
        <v>06067</v>
      </c>
      <c r="B1875" s="21"/>
      <c r="C1875">
        <v>349.5</v>
      </c>
      <c r="D1875">
        <v>5.7</v>
      </c>
      <c r="E1875">
        <v>833</v>
      </c>
      <c r="F1875">
        <v>523</v>
      </c>
      <c r="G1875">
        <v>80</v>
      </c>
      <c r="H1875">
        <v>523</v>
      </c>
      <c r="I1875">
        <v>2.4300000000000002</v>
      </c>
      <c r="J1875" s="1">
        <v>24722</v>
      </c>
    </row>
    <row r="1876" spans="1:10" ht="14.25" customHeight="1" x14ac:dyDescent="0.25">
      <c r="A1876" s="21" t="str">
        <f t="shared" si="14"/>
        <v>06067</v>
      </c>
      <c r="B1876" s="21"/>
      <c r="C1876">
        <v>136.4</v>
      </c>
      <c r="D1876">
        <v>4.0999999999999996</v>
      </c>
      <c r="E1876">
        <v>765</v>
      </c>
      <c r="F1876">
        <v>287</v>
      </c>
      <c r="G1876">
        <v>34</v>
      </c>
      <c r="H1876">
        <v>287</v>
      </c>
      <c r="I1876">
        <v>1.83</v>
      </c>
      <c r="J1876" s="1">
        <v>12242</v>
      </c>
    </row>
    <row r="1877" spans="1:10" ht="14.25" customHeight="1" x14ac:dyDescent="0.25">
      <c r="A1877" s="21" t="str">
        <f t="shared" si="14"/>
        <v>06067</v>
      </c>
      <c r="B1877" s="21"/>
      <c r="C1877">
        <v>65.8</v>
      </c>
      <c r="D1877">
        <v>3.7</v>
      </c>
      <c r="E1877">
        <v>139</v>
      </c>
      <c r="F1877">
        <v>106</v>
      </c>
      <c r="G1877">
        <v>8</v>
      </c>
      <c r="H1877">
        <v>106</v>
      </c>
      <c r="I1877">
        <v>1.49</v>
      </c>
      <c r="J1877" s="1">
        <v>6827</v>
      </c>
    </row>
    <row r="1878" spans="1:10" ht="14.25" customHeight="1" x14ac:dyDescent="0.25">
      <c r="A1878" s="21" t="str">
        <f t="shared" si="14"/>
        <v>06067</v>
      </c>
      <c r="B1878" s="21"/>
      <c r="C1878">
        <v>253.6</v>
      </c>
      <c r="D1878">
        <v>4.7</v>
      </c>
      <c r="E1878">
        <v>379</v>
      </c>
      <c r="F1878">
        <v>370</v>
      </c>
      <c r="G1878">
        <v>56</v>
      </c>
      <c r="H1878">
        <v>370</v>
      </c>
      <c r="I1878">
        <v>1.84</v>
      </c>
      <c r="J1878" s="1">
        <v>20296</v>
      </c>
    </row>
    <row r="1879" spans="1:10" ht="14.25" customHeight="1" x14ac:dyDescent="0.25">
      <c r="A1879" s="21" t="str">
        <f t="shared" si="14"/>
        <v>06067</v>
      </c>
      <c r="B1879" s="21"/>
      <c r="C1879">
        <v>140.1</v>
      </c>
      <c r="D1879">
        <v>3.8</v>
      </c>
      <c r="E1879">
        <v>717</v>
      </c>
      <c r="F1879">
        <v>209</v>
      </c>
      <c r="G1879">
        <v>30</v>
      </c>
      <c r="H1879">
        <v>209</v>
      </c>
      <c r="I1879">
        <v>1.76</v>
      </c>
      <c r="J1879" s="1">
        <v>14971</v>
      </c>
    </row>
    <row r="1880" spans="1:10" ht="14.25" customHeight="1" x14ac:dyDescent="0.25">
      <c r="A1880" s="21" t="str">
        <f t="shared" si="14"/>
        <v>06067</v>
      </c>
      <c r="B1880" s="21"/>
      <c r="C1880">
        <v>91.8</v>
      </c>
      <c r="D1880">
        <v>3.9</v>
      </c>
      <c r="E1880">
        <v>219</v>
      </c>
      <c r="F1880">
        <v>158</v>
      </c>
      <c r="G1880">
        <v>20</v>
      </c>
      <c r="H1880">
        <v>158</v>
      </c>
      <c r="I1880">
        <v>1.62</v>
      </c>
      <c r="J1880" s="1">
        <v>9319</v>
      </c>
    </row>
    <row r="1881" spans="1:10" ht="14.25" customHeight="1" x14ac:dyDescent="0.25">
      <c r="A1881" s="21" t="str">
        <f t="shared" si="14"/>
        <v>06067</v>
      </c>
      <c r="B1881" s="21"/>
      <c r="C1881">
        <v>506.2</v>
      </c>
      <c r="D1881">
        <v>6.3</v>
      </c>
      <c r="E1881" s="1">
        <v>1727</v>
      </c>
      <c r="F1881">
        <v>598</v>
      </c>
      <c r="G1881">
        <v>34</v>
      </c>
      <c r="H1881">
        <v>598</v>
      </c>
      <c r="I1881">
        <v>2.25</v>
      </c>
      <c r="J1881" s="1">
        <v>29526</v>
      </c>
    </row>
    <row r="1882" spans="1:10" ht="14.25" customHeight="1" x14ac:dyDescent="0.25">
      <c r="A1882" s="21" t="str">
        <f>"06069"</f>
        <v>06069</v>
      </c>
      <c r="B1882" s="21"/>
      <c r="C1882">
        <v>16.399999999999999</v>
      </c>
      <c r="D1882">
        <v>3.8</v>
      </c>
      <c r="E1882">
        <v>99</v>
      </c>
      <c r="F1882">
        <v>49</v>
      </c>
      <c r="G1882">
        <v>8</v>
      </c>
      <c r="H1882">
        <v>49</v>
      </c>
      <c r="I1882">
        <v>1.19</v>
      </c>
      <c r="J1882" s="1">
        <v>1795</v>
      </c>
    </row>
    <row r="1883" spans="1:10" ht="14.25" customHeight="1" x14ac:dyDescent="0.25">
      <c r="A1883" s="21" t="str">
        <f t="shared" ref="A1883:A1901" si="15">"06071"</f>
        <v>06071</v>
      </c>
      <c r="B1883" s="21"/>
      <c r="C1883">
        <v>17.3</v>
      </c>
      <c r="D1883">
        <v>3.3</v>
      </c>
      <c r="E1883">
        <v>59</v>
      </c>
      <c r="F1883">
        <v>30</v>
      </c>
      <c r="G1883">
        <v>4</v>
      </c>
      <c r="H1883">
        <v>30</v>
      </c>
      <c r="I1883">
        <v>1.43</v>
      </c>
      <c r="J1883" s="1">
        <v>2099</v>
      </c>
    </row>
    <row r="1884" spans="1:10" ht="14.25" customHeight="1" x14ac:dyDescent="0.25">
      <c r="A1884" s="21" t="str">
        <f t="shared" si="15"/>
        <v>06071</v>
      </c>
      <c r="B1884" s="21"/>
      <c r="C1884">
        <v>178.9</v>
      </c>
      <c r="D1884">
        <v>4.8</v>
      </c>
      <c r="E1884">
        <v>233</v>
      </c>
      <c r="F1884">
        <v>212</v>
      </c>
      <c r="G1884">
        <v>20</v>
      </c>
      <c r="H1884">
        <v>212</v>
      </c>
      <c r="I1884">
        <v>1.76</v>
      </c>
      <c r="J1884" s="1">
        <v>14145</v>
      </c>
    </row>
    <row r="1885" spans="1:10" ht="14.25" customHeight="1" x14ac:dyDescent="0.25">
      <c r="A1885" s="21" t="str">
        <f t="shared" si="15"/>
        <v>06071</v>
      </c>
      <c r="B1885" s="21"/>
      <c r="C1885">
        <v>329</v>
      </c>
      <c r="D1885">
        <v>5.3</v>
      </c>
      <c r="E1885" s="1">
        <v>1190</v>
      </c>
      <c r="F1885">
        <v>463</v>
      </c>
      <c r="G1885">
        <v>41</v>
      </c>
      <c r="H1885">
        <v>463</v>
      </c>
      <c r="I1885">
        <v>2.14</v>
      </c>
      <c r="J1885" s="1">
        <v>22810</v>
      </c>
    </row>
    <row r="1886" spans="1:10" ht="14.25" customHeight="1" x14ac:dyDescent="0.25">
      <c r="A1886" s="21" t="str">
        <f t="shared" si="15"/>
        <v>06071</v>
      </c>
      <c r="B1886" s="21"/>
      <c r="C1886">
        <v>258.5</v>
      </c>
      <c r="D1886">
        <v>5.2</v>
      </c>
      <c r="E1886">
        <v>308</v>
      </c>
      <c r="F1886">
        <v>366</v>
      </c>
      <c r="G1886">
        <v>32</v>
      </c>
      <c r="H1886">
        <v>366</v>
      </c>
      <c r="I1886">
        <v>1.49</v>
      </c>
      <c r="J1886" s="1">
        <v>19145</v>
      </c>
    </row>
    <row r="1887" spans="1:10" ht="14.25" customHeight="1" x14ac:dyDescent="0.25">
      <c r="A1887" s="21" t="str">
        <f t="shared" si="15"/>
        <v>06071</v>
      </c>
      <c r="B1887" s="21"/>
      <c r="C1887">
        <v>13.4</v>
      </c>
      <c r="D1887">
        <v>2.8</v>
      </c>
      <c r="E1887">
        <v>109</v>
      </c>
      <c r="F1887">
        <v>55</v>
      </c>
      <c r="G1887">
        <v>4</v>
      </c>
      <c r="H1887">
        <v>55</v>
      </c>
      <c r="I1887">
        <v>1.33</v>
      </c>
      <c r="J1887" s="1">
        <v>1945</v>
      </c>
    </row>
    <row r="1888" spans="1:10" ht="14.25" customHeight="1" x14ac:dyDescent="0.25">
      <c r="A1888" s="21" t="str">
        <f t="shared" si="15"/>
        <v>06071</v>
      </c>
      <c r="B1888" s="21"/>
      <c r="C1888">
        <v>124.2</v>
      </c>
      <c r="D1888">
        <v>4.2</v>
      </c>
      <c r="E1888">
        <v>328</v>
      </c>
      <c r="F1888">
        <v>195</v>
      </c>
      <c r="G1888">
        <v>12</v>
      </c>
      <c r="H1888">
        <v>195</v>
      </c>
      <c r="I1888">
        <v>1.8</v>
      </c>
      <c r="J1888" s="1">
        <v>11603</v>
      </c>
    </row>
    <row r="1889" spans="1:10" ht="14.25" customHeight="1" x14ac:dyDescent="0.25">
      <c r="A1889" s="21" t="str">
        <f t="shared" si="15"/>
        <v>06071</v>
      </c>
      <c r="B1889" s="21"/>
      <c r="C1889">
        <v>195.4</v>
      </c>
      <c r="D1889">
        <v>4</v>
      </c>
      <c r="E1889">
        <v>458</v>
      </c>
      <c r="F1889">
        <v>363</v>
      </c>
      <c r="G1889">
        <v>24</v>
      </c>
      <c r="H1889">
        <v>363</v>
      </c>
      <c r="I1889">
        <v>1.81</v>
      </c>
      <c r="J1889" s="1">
        <v>17726</v>
      </c>
    </row>
    <row r="1890" spans="1:10" ht="14.25" customHeight="1" x14ac:dyDescent="0.25">
      <c r="A1890" s="21" t="str">
        <f t="shared" si="15"/>
        <v>06071</v>
      </c>
      <c r="B1890" s="21"/>
      <c r="C1890">
        <v>77.2</v>
      </c>
      <c r="D1890">
        <v>4.4000000000000004</v>
      </c>
      <c r="E1890">
        <v>70</v>
      </c>
      <c r="F1890">
        <v>185</v>
      </c>
      <c r="G1890">
        <v>21</v>
      </c>
      <c r="H1890">
        <v>185</v>
      </c>
      <c r="I1890">
        <v>1.35</v>
      </c>
      <c r="J1890" s="1">
        <v>7284</v>
      </c>
    </row>
    <row r="1891" spans="1:10" ht="14.25" customHeight="1" x14ac:dyDescent="0.25">
      <c r="A1891" s="21" t="str">
        <f t="shared" si="15"/>
        <v>06071</v>
      </c>
      <c r="B1891" s="21"/>
      <c r="C1891">
        <v>177.1</v>
      </c>
      <c r="D1891">
        <v>4.4000000000000004</v>
      </c>
      <c r="E1891">
        <v>258</v>
      </c>
      <c r="F1891">
        <v>328</v>
      </c>
      <c r="G1891">
        <v>47</v>
      </c>
      <c r="H1891">
        <v>328</v>
      </c>
      <c r="I1891">
        <v>2</v>
      </c>
      <c r="J1891" s="1">
        <v>15307</v>
      </c>
    </row>
    <row r="1892" spans="1:10" ht="14.25" customHeight="1" x14ac:dyDescent="0.25">
      <c r="A1892" s="21" t="str">
        <f t="shared" si="15"/>
        <v>06071</v>
      </c>
      <c r="B1892" s="21"/>
      <c r="C1892">
        <v>363.2</v>
      </c>
      <c r="D1892">
        <v>4.3</v>
      </c>
      <c r="E1892" s="1">
        <v>1270</v>
      </c>
      <c r="F1892">
        <v>626</v>
      </c>
      <c r="G1892">
        <v>80</v>
      </c>
      <c r="H1892">
        <v>626</v>
      </c>
      <c r="I1892">
        <v>2.1</v>
      </c>
      <c r="J1892" s="1">
        <v>32864</v>
      </c>
    </row>
    <row r="1893" spans="1:10" ht="14.25" customHeight="1" x14ac:dyDescent="0.25">
      <c r="A1893" s="21" t="str">
        <f t="shared" si="15"/>
        <v>06071</v>
      </c>
      <c r="B1893" s="21"/>
      <c r="C1893">
        <v>41.3</v>
      </c>
      <c r="D1893">
        <v>2.9</v>
      </c>
      <c r="E1893">
        <v>60</v>
      </c>
      <c r="F1893">
        <v>112</v>
      </c>
      <c r="G1893">
        <v>14</v>
      </c>
      <c r="H1893">
        <v>112</v>
      </c>
      <c r="I1893">
        <v>1.74</v>
      </c>
      <c r="J1893" s="1">
        <v>5235</v>
      </c>
    </row>
    <row r="1894" spans="1:10" ht="14.25" customHeight="1" x14ac:dyDescent="0.25">
      <c r="A1894" s="21" t="str">
        <f t="shared" si="15"/>
        <v>06071</v>
      </c>
      <c r="B1894" s="21"/>
      <c r="C1894">
        <v>25.5</v>
      </c>
      <c r="D1894">
        <v>3.3</v>
      </c>
      <c r="E1894">
        <v>25</v>
      </c>
      <c r="F1894">
        <v>106</v>
      </c>
      <c r="G1894">
        <v>8</v>
      </c>
      <c r="H1894">
        <v>106</v>
      </c>
      <c r="I1894">
        <v>1.88</v>
      </c>
      <c r="J1894" s="1">
        <v>3218</v>
      </c>
    </row>
    <row r="1895" spans="1:10" ht="14.25" customHeight="1" x14ac:dyDescent="0.25">
      <c r="A1895" s="21" t="str">
        <f t="shared" si="15"/>
        <v>06071</v>
      </c>
      <c r="B1895" s="21"/>
      <c r="C1895">
        <v>110.7</v>
      </c>
      <c r="D1895">
        <v>4.4000000000000004</v>
      </c>
      <c r="E1895">
        <v>101</v>
      </c>
      <c r="F1895">
        <v>148</v>
      </c>
      <c r="G1895">
        <v>18</v>
      </c>
      <c r="H1895">
        <v>148</v>
      </c>
      <c r="I1895">
        <v>1.87</v>
      </c>
      <c r="J1895" s="1">
        <v>9285</v>
      </c>
    </row>
    <row r="1896" spans="1:10" ht="14.25" customHeight="1" x14ac:dyDescent="0.25">
      <c r="A1896" s="21" t="str">
        <f t="shared" si="15"/>
        <v>06071</v>
      </c>
      <c r="B1896" s="21"/>
      <c r="C1896">
        <v>53.7</v>
      </c>
      <c r="D1896">
        <v>4.0999999999999996</v>
      </c>
      <c r="E1896">
        <v>34</v>
      </c>
      <c r="F1896">
        <v>101</v>
      </c>
      <c r="G1896">
        <v>10</v>
      </c>
      <c r="H1896">
        <v>101</v>
      </c>
      <c r="I1896">
        <v>1.55</v>
      </c>
      <c r="J1896" s="1">
        <v>5263</v>
      </c>
    </row>
    <row r="1897" spans="1:10" ht="14.25" customHeight="1" x14ac:dyDescent="0.25">
      <c r="A1897" s="21" t="str">
        <f t="shared" si="15"/>
        <v>06071</v>
      </c>
      <c r="B1897" s="21"/>
      <c r="C1897">
        <v>230</v>
      </c>
      <c r="D1897">
        <v>8.1999999999999993</v>
      </c>
      <c r="E1897">
        <v>110</v>
      </c>
      <c r="F1897">
        <v>343</v>
      </c>
      <c r="H1897">
        <v>343</v>
      </c>
      <c r="I1897">
        <v>1.44</v>
      </c>
      <c r="J1897" s="1">
        <v>10859</v>
      </c>
    </row>
    <row r="1898" spans="1:10" ht="14.25" customHeight="1" x14ac:dyDescent="0.25">
      <c r="A1898" s="21" t="str">
        <f t="shared" si="15"/>
        <v>06071</v>
      </c>
      <c r="B1898" s="21"/>
      <c r="H1898">
        <v>28</v>
      </c>
    </row>
    <row r="1899" spans="1:10" ht="14.25" customHeight="1" x14ac:dyDescent="0.25">
      <c r="A1899" s="21" t="str">
        <f t="shared" si="15"/>
        <v>06071</v>
      </c>
      <c r="B1899" s="21"/>
      <c r="H1899">
        <v>134</v>
      </c>
    </row>
    <row r="1900" spans="1:10" ht="14.25" customHeight="1" x14ac:dyDescent="0.25">
      <c r="A1900" s="21" t="str">
        <f t="shared" si="15"/>
        <v>06071</v>
      </c>
      <c r="B1900" s="21"/>
      <c r="E1900">
        <v>34</v>
      </c>
      <c r="H1900">
        <v>224</v>
      </c>
    </row>
    <row r="1901" spans="1:10" ht="14.25" customHeight="1" x14ac:dyDescent="0.25">
      <c r="A1901" s="21" t="str">
        <f t="shared" si="15"/>
        <v>06071</v>
      </c>
      <c r="B1901" s="21"/>
    </row>
    <row r="1902" spans="1:10" ht="14.25" customHeight="1" x14ac:dyDescent="0.25">
      <c r="A1902" s="21" t="str">
        <f t="shared" ref="A1902:A1926" si="16">"06073"</f>
        <v>06073</v>
      </c>
      <c r="B1902" s="21"/>
      <c r="C1902">
        <v>265.60000000000002</v>
      </c>
      <c r="D1902">
        <v>4.3</v>
      </c>
      <c r="E1902" s="1">
        <v>1393</v>
      </c>
      <c r="F1902">
        <v>536</v>
      </c>
      <c r="G1902">
        <v>32</v>
      </c>
      <c r="H1902">
        <v>536</v>
      </c>
      <c r="I1902">
        <v>1.84</v>
      </c>
      <c r="J1902" s="1">
        <v>25202</v>
      </c>
    </row>
    <row r="1903" spans="1:10" ht="14.25" customHeight="1" x14ac:dyDescent="0.25">
      <c r="A1903" s="21" t="str">
        <f t="shared" si="16"/>
        <v>06073</v>
      </c>
      <c r="B1903" s="21"/>
      <c r="C1903">
        <v>118.9</v>
      </c>
      <c r="D1903">
        <v>3.9</v>
      </c>
      <c r="E1903">
        <v>530</v>
      </c>
      <c r="F1903">
        <v>171</v>
      </c>
      <c r="G1903">
        <v>12</v>
      </c>
      <c r="H1903">
        <v>171</v>
      </c>
      <c r="I1903">
        <v>1.66</v>
      </c>
      <c r="J1903" s="1">
        <v>11960</v>
      </c>
    </row>
    <row r="1904" spans="1:10" ht="14.25" customHeight="1" x14ac:dyDescent="0.25">
      <c r="A1904" s="21" t="str">
        <f t="shared" si="16"/>
        <v>06073</v>
      </c>
      <c r="B1904" s="21"/>
      <c r="C1904">
        <v>77.5</v>
      </c>
      <c r="D1904">
        <v>3.5</v>
      </c>
      <c r="E1904">
        <v>573</v>
      </c>
      <c r="F1904">
        <v>150</v>
      </c>
      <c r="G1904">
        <v>24</v>
      </c>
      <c r="H1904">
        <v>150</v>
      </c>
      <c r="I1904">
        <v>2.2999999999999998</v>
      </c>
      <c r="J1904" s="1">
        <v>8198</v>
      </c>
    </row>
    <row r="1905" spans="1:10" ht="14.25" customHeight="1" x14ac:dyDescent="0.25">
      <c r="A1905" s="21" t="str">
        <f t="shared" si="16"/>
        <v>06073</v>
      </c>
      <c r="B1905" s="21"/>
    </row>
    <row r="1906" spans="1:10" ht="14.25" customHeight="1" x14ac:dyDescent="0.25">
      <c r="A1906" s="21" t="str">
        <f t="shared" si="16"/>
        <v>06073</v>
      </c>
      <c r="B1906" s="21"/>
      <c r="C1906">
        <v>64.400000000000006</v>
      </c>
      <c r="D1906">
        <v>4.9000000000000004</v>
      </c>
      <c r="E1906">
        <v>124</v>
      </c>
      <c r="F1906">
        <v>254</v>
      </c>
      <c r="G1906">
        <v>28</v>
      </c>
      <c r="H1906">
        <v>254</v>
      </c>
      <c r="I1906">
        <v>2.12</v>
      </c>
      <c r="J1906" s="1">
        <v>4832</v>
      </c>
    </row>
    <row r="1907" spans="1:10" ht="14.25" customHeight="1" x14ac:dyDescent="0.25">
      <c r="A1907" s="21" t="str">
        <f t="shared" si="16"/>
        <v>06073</v>
      </c>
      <c r="B1907" s="21"/>
      <c r="C1907">
        <v>50.4</v>
      </c>
      <c r="D1907">
        <v>3.5</v>
      </c>
      <c r="E1907">
        <v>173</v>
      </c>
      <c r="F1907">
        <v>95</v>
      </c>
      <c r="G1907">
        <v>12</v>
      </c>
      <c r="H1907">
        <v>95</v>
      </c>
      <c r="I1907">
        <v>1.68</v>
      </c>
      <c r="J1907" s="1">
        <v>5635</v>
      </c>
    </row>
    <row r="1908" spans="1:10" ht="14.25" customHeight="1" x14ac:dyDescent="0.25">
      <c r="A1908" s="21" t="str">
        <f t="shared" si="16"/>
        <v>06073</v>
      </c>
      <c r="B1908" s="21"/>
      <c r="C1908">
        <v>231.3</v>
      </c>
      <c r="D1908">
        <v>3.7</v>
      </c>
      <c r="E1908">
        <v>297</v>
      </c>
      <c r="F1908">
        <v>286</v>
      </c>
      <c r="G1908">
        <v>48</v>
      </c>
      <c r="H1908">
        <v>286</v>
      </c>
      <c r="I1908">
        <v>1.84</v>
      </c>
      <c r="J1908" s="1">
        <v>24148</v>
      </c>
    </row>
    <row r="1909" spans="1:10" ht="14.25" customHeight="1" x14ac:dyDescent="0.25">
      <c r="A1909" s="21" t="str">
        <f t="shared" si="16"/>
        <v>06073</v>
      </c>
      <c r="B1909" s="21"/>
      <c r="C1909">
        <v>150.9</v>
      </c>
      <c r="D1909">
        <v>4.8</v>
      </c>
      <c r="E1909">
        <v>446</v>
      </c>
      <c r="F1909">
        <v>290</v>
      </c>
      <c r="G1909">
        <v>28</v>
      </c>
      <c r="H1909">
        <v>290</v>
      </c>
      <c r="I1909">
        <v>1.95</v>
      </c>
      <c r="J1909" s="1">
        <v>11454</v>
      </c>
    </row>
    <row r="1910" spans="1:10" ht="14.25" customHeight="1" x14ac:dyDescent="0.25">
      <c r="A1910" s="21" t="str">
        <f t="shared" si="16"/>
        <v>06073</v>
      </c>
      <c r="B1910" s="21"/>
      <c r="C1910">
        <v>349.9</v>
      </c>
      <c r="D1910">
        <v>4.5</v>
      </c>
      <c r="E1910">
        <v>790</v>
      </c>
      <c r="F1910">
        <v>487</v>
      </c>
      <c r="G1910">
        <v>56</v>
      </c>
      <c r="H1910">
        <v>487</v>
      </c>
      <c r="I1910">
        <v>1.79</v>
      </c>
      <c r="J1910" s="1">
        <v>29643</v>
      </c>
    </row>
    <row r="1911" spans="1:10" ht="14.25" customHeight="1" x14ac:dyDescent="0.25">
      <c r="A1911" s="21" t="str">
        <f t="shared" si="16"/>
        <v>06073</v>
      </c>
      <c r="B1911" s="21"/>
      <c r="C1911">
        <v>416.6</v>
      </c>
      <c r="D1911">
        <v>5.0999999999999996</v>
      </c>
      <c r="E1911">
        <v>856</v>
      </c>
      <c r="F1911">
        <v>832</v>
      </c>
      <c r="G1911">
        <v>74</v>
      </c>
      <c r="H1911">
        <v>459</v>
      </c>
      <c r="I1911">
        <v>2.06</v>
      </c>
      <c r="J1911" s="1">
        <v>32692</v>
      </c>
    </row>
    <row r="1912" spans="1:10" ht="14.25" customHeight="1" x14ac:dyDescent="0.25">
      <c r="A1912" s="21" t="str">
        <f t="shared" si="16"/>
        <v>06073</v>
      </c>
      <c r="B1912" s="21"/>
      <c r="C1912">
        <v>19.100000000000001</v>
      </c>
      <c r="D1912">
        <v>3.4</v>
      </c>
      <c r="E1912">
        <v>117</v>
      </c>
      <c r="F1912">
        <v>59</v>
      </c>
      <c r="G1912">
        <v>7</v>
      </c>
      <c r="H1912">
        <v>59</v>
      </c>
      <c r="I1912">
        <v>1.74</v>
      </c>
      <c r="J1912" s="1">
        <v>2083</v>
      </c>
    </row>
    <row r="1913" spans="1:10" ht="14.25" customHeight="1" x14ac:dyDescent="0.25">
      <c r="A1913" s="21" t="str">
        <f t="shared" si="16"/>
        <v>06073</v>
      </c>
      <c r="B1913" s="21"/>
      <c r="C1913">
        <v>194.6</v>
      </c>
      <c r="D1913">
        <v>4.8</v>
      </c>
      <c r="E1913">
        <v>287</v>
      </c>
      <c r="F1913">
        <v>243</v>
      </c>
      <c r="G1913">
        <v>35</v>
      </c>
      <c r="H1913">
        <v>243</v>
      </c>
      <c r="I1913">
        <v>1.81</v>
      </c>
      <c r="J1913" s="1">
        <v>15528</v>
      </c>
    </row>
    <row r="1914" spans="1:10" ht="14.25" customHeight="1" x14ac:dyDescent="0.25">
      <c r="A1914" s="21" t="str">
        <f t="shared" si="16"/>
        <v>06073</v>
      </c>
      <c r="B1914" s="21"/>
      <c r="C1914">
        <v>233</v>
      </c>
      <c r="D1914">
        <v>4.8</v>
      </c>
      <c r="E1914">
        <v>650</v>
      </c>
      <c r="F1914">
        <v>365</v>
      </c>
      <c r="G1914">
        <v>59</v>
      </c>
      <c r="H1914">
        <v>365</v>
      </c>
      <c r="I1914">
        <v>2.3199999999999998</v>
      </c>
      <c r="J1914" s="1">
        <v>19216</v>
      </c>
    </row>
    <row r="1915" spans="1:10" ht="14.25" customHeight="1" x14ac:dyDescent="0.25">
      <c r="A1915" s="21" t="str">
        <f t="shared" si="16"/>
        <v>06073</v>
      </c>
      <c r="B1915" s="21"/>
      <c r="C1915">
        <v>121.5</v>
      </c>
      <c r="D1915">
        <v>5.5</v>
      </c>
      <c r="E1915">
        <v>120</v>
      </c>
      <c r="F1915">
        <v>230</v>
      </c>
      <c r="G1915">
        <v>15</v>
      </c>
      <c r="H1915">
        <v>291</v>
      </c>
      <c r="I1915">
        <v>1.41</v>
      </c>
      <c r="J1915" s="1">
        <v>8313</v>
      </c>
    </row>
    <row r="1916" spans="1:10" ht="14.25" customHeight="1" x14ac:dyDescent="0.25">
      <c r="A1916" s="21" t="str">
        <f t="shared" si="16"/>
        <v>06073</v>
      </c>
      <c r="B1916" s="21"/>
      <c r="C1916">
        <v>553.70000000000005</v>
      </c>
      <c r="D1916">
        <v>6.2</v>
      </c>
      <c r="E1916" s="1">
        <v>1623</v>
      </c>
      <c r="F1916">
        <v>669</v>
      </c>
      <c r="H1916">
        <v>381</v>
      </c>
      <c r="I1916">
        <v>2.3199999999999998</v>
      </c>
      <c r="J1916" s="1">
        <v>33464</v>
      </c>
    </row>
    <row r="1917" spans="1:10" ht="14.25" customHeight="1" x14ac:dyDescent="0.25">
      <c r="A1917" s="21" t="str">
        <f t="shared" si="16"/>
        <v>06073</v>
      </c>
      <c r="B1917" s="21"/>
      <c r="C1917">
        <v>305</v>
      </c>
      <c r="D1917">
        <v>4.4000000000000004</v>
      </c>
      <c r="E1917">
        <v>664</v>
      </c>
      <c r="F1917">
        <v>443</v>
      </c>
      <c r="G1917">
        <v>48</v>
      </c>
      <c r="H1917">
        <v>443</v>
      </c>
      <c r="I1917">
        <v>1.74</v>
      </c>
      <c r="J1917" s="1">
        <v>26552</v>
      </c>
    </row>
    <row r="1918" spans="1:10" ht="14.25" customHeight="1" x14ac:dyDescent="0.25">
      <c r="A1918" s="21" t="str">
        <f t="shared" si="16"/>
        <v>06073</v>
      </c>
      <c r="B1918" s="21"/>
      <c r="H1918">
        <v>206</v>
      </c>
    </row>
    <row r="1919" spans="1:10" ht="14.25" customHeight="1" x14ac:dyDescent="0.25">
      <c r="A1919" s="21" t="str">
        <f t="shared" si="16"/>
        <v>06073</v>
      </c>
      <c r="B1919" s="21"/>
    </row>
    <row r="1920" spans="1:10" ht="14.25" customHeight="1" x14ac:dyDescent="0.25">
      <c r="A1920" s="21" t="str">
        <f t="shared" si="16"/>
        <v>06073</v>
      </c>
      <c r="B1920" s="21"/>
      <c r="H1920">
        <v>119</v>
      </c>
    </row>
    <row r="1921" spans="1:10" ht="14.25" customHeight="1" x14ac:dyDescent="0.25">
      <c r="A1921" s="21" t="str">
        <f t="shared" si="16"/>
        <v>06073</v>
      </c>
      <c r="B1921" s="21"/>
      <c r="E1921">
        <v>213</v>
      </c>
      <c r="H1921">
        <v>288</v>
      </c>
    </row>
    <row r="1922" spans="1:10" ht="14.25" customHeight="1" x14ac:dyDescent="0.25">
      <c r="A1922" s="21" t="str">
        <f t="shared" si="16"/>
        <v>06073</v>
      </c>
      <c r="B1922" s="21"/>
      <c r="H1922">
        <v>183</v>
      </c>
    </row>
    <row r="1923" spans="1:10" ht="14.25" customHeight="1" x14ac:dyDescent="0.25">
      <c r="A1923" s="21" t="str">
        <f t="shared" si="16"/>
        <v>06073</v>
      </c>
      <c r="B1923" s="21"/>
      <c r="E1923">
        <v>1</v>
      </c>
      <c r="H1923">
        <v>16</v>
      </c>
    </row>
    <row r="1924" spans="1:10" ht="14.25" customHeight="1" x14ac:dyDescent="0.25">
      <c r="A1924" s="21" t="str">
        <f t="shared" si="16"/>
        <v>06073</v>
      </c>
      <c r="B1924" s="21"/>
      <c r="H1924">
        <v>245</v>
      </c>
    </row>
    <row r="1925" spans="1:10" ht="14.25" customHeight="1" x14ac:dyDescent="0.25">
      <c r="A1925" s="21" t="str">
        <f t="shared" si="16"/>
        <v>06073</v>
      </c>
      <c r="B1925" s="21"/>
      <c r="H1925">
        <v>54</v>
      </c>
    </row>
    <row r="1926" spans="1:10" ht="14.25" customHeight="1" x14ac:dyDescent="0.25">
      <c r="A1926" s="21" t="str">
        <f t="shared" si="16"/>
        <v>06073</v>
      </c>
      <c r="B1926" s="21"/>
      <c r="H1926">
        <v>321</v>
      </c>
    </row>
    <row r="1927" spans="1:10" ht="14.25" customHeight="1" x14ac:dyDescent="0.25">
      <c r="A1927" s="21" t="str">
        <f t="shared" ref="A1927:A1941" si="17">"06075"</f>
        <v>06075</v>
      </c>
      <c r="B1927" s="21"/>
      <c r="C1927">
        <v>39</v>
      </c>
      <c r="D1927">
        <v>4.9000000000000004</v>
      </c>
      <c r="E1927">
        <v>267</v>
      </c>
      <c r="F1927">
        <v>120</v>
      </c>
      <c r="G1927">
        <v>10</v>
      </c>
      <c r="H1927">
        <v>120</v>
      </c>
      <c r="I1927">
        <v>1.57</v>
      </c>
      <c r="J1927" s="1">
        <v>3348</v>
      </c>
    </row>
    <row r="1928" spans="1:10" ht="14.25" customHeight="1" x14ac:dyDescent="0.25">
      <c r="A1928" s="21" t="str">
        <f t="shared" si="17"/>
        <v>06075</v>
      </c>
      <c r="B1928" s="21"/>
      <c r="C1928">
        <v>43.1</v>
      </c>
      <c r="D1928">
        <v>5</v>
      </c>
      <c r="E1928">
        <v>284</v>
      </c>
      <c r="F1928">
        <v>137</v>
      </c>
      <c r="G1928">
        <v>8</v>
      </c>
      <c r="H1928">
        <v>137</v>
      </c>
      <c r="I1928">
        <v>1.76</v>
      </c>
      <c r="J1928" s="1">
        <v>3123</v>
      </c>
    </row>
    <row r="1929" spans="1:10" ht="14.25" customHeight="1" x14ac:dyDescent="0.25">
      <c r="A1929" s="21" t="str">
        <f t="shared" si="17"/>
        <v>06075</v>
      </c>
      <c r="B1929" s="21"/>
      <c r="C1929">
        <v>226.8</v>
      </c>
      <c r="D1929">
        <v>5.7</v>
      </c>
      <c r="E1929">
        <v>812</v>
      </c>
      <c r="F1929">
        <v>284</v>
      </c>
      <c r="G1929">
        <v>58</v>
      </c>
      <c r="H1929">
        <v>284</v>
      </c>
      <c r="I1929">
        <v>1.58</v>
      </c>
      <c r="J1929" s="1">
        <v>15244</v>
      </c>
    </row>
    <row r="1930" spans="1:10" ht="14.25" customHeight="1" x14ac:dyDescent="0.25">
      <c r="A1930" s="21" t="str">
        <f t="shared" si="17"/>
        <v>06075</v>
      </c>
      <c r="B1930" s="21"/>
      <c r="C1930">
        <v>145.5</v>
      </c>
      <c r="D1930">
        <v>5</v>
      </c>
      <c r="E1930">
        <v>555</v>
      </c>
      <c r="F1930">
        <v>239</v>
      </c>
      <c r="G1930">
        <v>32</v>
      </c>
      <c r="H1930">
        <v>239</v>
      </c>
      <c r="I1930">
        <v>2.38</v>
      </c>
      <c r="J1930" s="1">
        <v>11811</v>
      </c>
    </row>
    <row r="1931" spans="1:10" ht="14.25" customHeight="1" x14ac:dyDescent="0.25">
      <c r="A1931" s="21" t="str">
        <f t="shared" si="17"/>
        <v>06075</v>
      </c>
      <c r="B1931" s="21"/>
      <c r="I1931">
        <v>2.09</v>
      </c>
    </row>
    <row r="1932" spans="1:10" ht="14.25" customHeight="1" x14ac:dyDescent="0.25">
      <c r="A1932" s="21" t="str">
        <f t="shared" si="17"/>
        <v>06075</v>
      </c>
      <c r="B1932" s="21"/>
      <c r="C1932">
        <v>48.6</v>
      </c>
      <c r="D1932">
        <v>4.9000000000000004</v>
      </c>
      <c r="E1932">
        <v>167</v>
      </c>
      <c r="F1932">
        <v>156</v>
      </c>
      <c r="G1932">
        <v>18</v>
      </c>
      <c r="H1932">
        <v>156</v>
      </c>
      <c r="I1932">
        <v>1.65</v>
      </c>
      <c r="J1932" s="1">
        <v>3621</v>
      </c>
    </row>
    <row r="1933" spans="1:10" ht="14.25" customHeight="1" x14ac:dyDescent="0.25">
      <c r="A1933" s="21" t="str">
        <f t="shared" si="17"/>
        <v>06075</v>
      </c>
      <c r="B1933" s="21"/>
      <c r="C1933">
        <v>0.3</v>
      </c>
      <c r="D1933">
        <v>3.9</v>
      </c>
      <c r="E1933">
        <v>12</v>
      </c>
      <c r="F1933">
        <v>6</v>
      </c>
      <c r="H1933">
        <v>6</v>
      </c>
      <c r="I1933">
        <v>1.05</v>
      </c>
      <c r="J1933">
        <v>24</v>
      </c>
    </row>
    <row r="1934" spans="1:10" ht="14.25" customHeight="1" x14ac:dyDescent="0.25">
      <c r="A1934" s="21" t="str">
        <f t="shared" si="17"/>
        <v>06075</v>
      </c>
      <c r="B1934" s="21"/>
      <c r="C1934">
        <v>53.7</v>
      </c>
      <c r="D1934">
        <v>5.0999999999999996</v>
      </c>
      <c r="E1934">
        <v>232</v>
      </c>
      <c r="F1934">
        <v>113</v>
      </c>
      <c r="G1934">
        <v>19</v>
      </c>
      <c r="H1934">
        <v>113</v>
      </c>
      <c r="I1934">
        <v>1.73</v>
      </c>
      <c r="J1934" s="1">
        <v>3875</v>
      </c>
    </row>
    <row r="1935" spans="1:10" ht="14.25" customHeight="1" x14ac:dyDescent="0.25">
      <c r="A1935" s="21" t="str">
        <f t="shared" si="17"/>
        <v>06075</v>
      </c>
      <c r="B1935" s="21"/>
      <c r="C1935">
        <v>643.29999999999995</v>
      </c>
      <c r="D1935">
        <v>6.8</v>
      </c>
      <c r="E1935" s="1">
        <v>2157</v>
      </c>
      <c r="F1935">
        <v>785</v>
      </c>
      <c r="G1935">
        <v>106</v>
      </c>
      <c r="H1935">
        <v>785</v>
      </c>
      <c r="I1935">
        <v>2.57</v>
      </c>
      <c r="J1935" s="1">
        <v>35170</v>
      </c>
    </row>
    <row r="1936" spans="1:10" ht="14.25" customHeight="1" x14ac:dyDescent="0.25">
      <c r="A1936" s="21" t="str">
        <f t="shared" si="17"/>
        <v>06075</v>
      </c>
      <c r="B1936" s="21"/>
      <c r="C1936">
        <v>14.7</v>
      </c>
      <c r="D1936">
        <v>4.5</v>
      </c>
      <c r="E1936">
        <v>161</v>
      </c>
      <c r="F1936">
        <v>65</v>
      </c>
      <c r="G1936">
        <v>6</v>
      </c>
      <c r="H1936">
        <v>65</v>
      </c>
      <c r="I1936">
        <v>1.43</v>
      </c>
      <c r="J1936" s="1">
        <v>1188</v>
      </c>
    </row>
    <row r="1937" spans="1:10" ht="14.25" customHeight="1" x14ac:dyDescent="0.25">
      <c r="A1937" s="21" t="str">
        <f t="shared" si="17"/>
        <v>06075</v>
      </c>
      <c r="B1937" s="21"/>
    </row>
    <row r="1938" spans="1:10" ht="14.25" customHeight="1" x14ac:dyDescent="0.25">
      <c r="A1938" s="21" t="str">
        <f t="shared" si="17"/>
        <v>06075</v>
      </c>
      <c r="B1938" s="21"/>
      <c r="E1938">
        <v>20</v>
      </c>
    </row>
    <row r="1939" spans="1:10" ht="14.25" customHeight="1" x14ac:dyDescent="0.25">
      <c r="A1939" s="21" t="str">
        <f t="shared" si="17"/>
        <v>06075</v>
      </c>
      <c r="B1939" s="21"/>
      <c r="E1939">
        <v>58</v>
      </c>
      <c r="H1939">
        <v>289</v>
      </c>
    </row>
    <row r="1940" spans="1:10" ht="14.25" customHeight="1" x14ac:dyDescent="0.25">
      <c r="A1940" s="21" t="str">
        <f t="shared" si="17"/>
        <v>06075</v>
      </c>
      <c r="B1940" s="21"/>
      <c r="H1940">
        <v>70</v>
      </c>
    </row>
    <row r="1941" spans="1:10" ht="14.25" customHeight="1" x14ac:dyDescent="0.25">
      <c r="A1941" s="21" t="str">
        <f t="shared" si="17"/>
        <v>06075</v>
      </c>
      <c r="B1941" s="21"/>
      <c r="C1941">
        <v>245</v>
      </c>
      <c r="D1941">
        <v>6.4</v>
      </c>
      <c r="E1941">
        <v>348</v>
      </c>
      <c r="F1941">
        <v>464</v>
      </c>
      <c r="G1941">
        <v>36</v>
      </c>
      <c r="H1941">
        <v>274</v>
      </c>
      <c r="J1941" s="1">
        <v>15879</v>
      </c>
    </row>
    <row r="1942" spans="1:10" ht="14.25" customHeight="1" x14ac:dyDescent="0.25">
      <c r="A1942" s="21" t="str">
        <f t="shared" ref="A1942:A1948" si="18">"06077"</f>
        <v>06077</v>
      </c>
      <c r="B1942" s="21"/>
      <c r="C1942">
        <v>89.3</v>
      </c>
      <c r="D1942">
        <v>3.8</v>
      </c>
      <c r="E1942">
        <v>262</v>
      </c>
      <c r="F1942">
        <v>182</v>
      </c>
      <c r="G1942">
        <v>10</v>
      </c>
      <c r="H1942">
        <v>182</v>
      </c>
      <c r="I1942">
        <v>1.46</v>
      </c>
      <c r="J1942" s="1">
        <v>8990</v>
      </c>
    </row>
    <row r="1943" spans="1:10" ht="14.25" customHeight="1" x14ac:dyDescent="0.25">
      <c r="A1943" s="21" t="str">
        <f t="shared" si="18"/>
        <v>06077</v>
      </c>
      <c r="B1943" s="21"/>
      <c r="C1943">
        <v>102.6</v>
      </c>
      <c r="D1943">
        <v>3.6</v>
      </c>
      <c r="E1943">
        <v>530</v>
      </c>
      <c r="F1943">
        <v>213</v>
      </c>
      <c r="G1943">
        <v>26</v>
      </c>
      <c r="H1943">
        <v>213</v>
      </c>
      <c r="I1943">
        <v>1.64</v>
      </c>
      <c r="J1943" s="1">
        <v>11793</v>
      </c>
    </row>
    <row r="1944" spans="1:10" ht="14.25" customHeight="1" x14ac:dyDescent="0.25">
      <c r="A1944" s="21" t="str">
        <f t="shared" si="18"/>
        <v>06077</v>
      </c>
      <c r="B1944" s="21"/>
      <c r="C1944">
        <v>123.8</v>
      </c>
      <c r="D1944">
        <v>4.5999999999999996</v>
      </c>
      <c r="E1944">
        <v>244</v>
      </c>
      <c r="F1944">
        <v>196</v>
      </c>
      <c r="G1944">
        <v>16</v>
      </c>
      <c r="H1944">
        <v>196</v>
      </c>
      <c r="I1944">
        <v>1.7</v>
      </c>
      <c r="J1944" s="1">
        <v>10432</v>
      </c>
    </row>
    <row r="1945" spans="1:10" ht="14.25" customHeight="1" x14ac:dyDescent="0.25">
      <c r="A1945" s="21" t="str">
        <f t="shared" si="18"/>
        <v>06077</v>
      </c>
      <c r="B1945" s="21"/>
      <c r="C1945">
        <v>36.4</v>
      </c>
      <c r="D1945">
        <v>3.8</v>
      </c>
      <c r="E1945">
        <v>89</v>
      </c>
      <c r="F1945">
        <v>170</v>
      </c>
      <c r="G1945">
        <v>12</v>
      </c>
      <c r="H1945">
        <v>170</v>
      </c>
      <c r="I1945">
        <v>1.91</v>
      </c>
      <c r="J1945" s="1">
        <v>3523</v>
      </c>
    </row>
    <row r="1946" spans="1:10" ht="14.25" customHeight="1" x14ac:dyDescent="0.25">
      <c r="A1946" s="21" t="str">
        <f t="shared" si="18"/>
        <v>06077</v>
      </c>
      <c r="B1946" s="21"/>
      <c r="C1946">
        <v>250.9</v>
      </c>
      <c r="D1946">
        <v>4.7</v>
      </c>
      <c r="E1946">
        <v>376</v>
      </c>
      <c r="F1946">
        <v>348</v>
      </c>
      <c r="G1946">
        <v>30</v>
      </c>
      <c r="H1946">
        <v>348</v>
      </c>
      <c r="I1946">
        <v>2.04</v>
      </c>
      <c r="J1946" s="1">
        <v>20618</v>
      </c>
    </row>
    <row r="1947" spans="1:10" ht="14.25" customHeight="1" x14ac:dyDescent="0.25">
      <c r="A1947" s="21" t="str">
        <f t="shared" si="18"/>
        <v>06077</v>
      </c>
      <c r="B1947" s="21"/>
      <c r="C1947">
        <v>40.1</v>
      </c>
      <c r="D1947">
        <v>4.0999999999999996</v>
      </c>
      <c r="E1947">
        <v>114</v>
      </c>
      <c r="F1947">
        <v>73</v>
      </c>
      <c r="G1947">
        <v>8</v>
      </c>
      <c r="H1947">
        <v>73</v>
      </c>
      <c r="I1947">
        <v>1.35</v>
      </c>
      <c r="J1947" s="1">
        <v>3789</v>
      </c>
    </row>
    <row r="1948" spans="1:10" ht="14.25" customHeight="1" x14ac:dyDescent="0.25">
      <c r="A1948" s="21" t="str">
        <f t="shared" si="18"/>
        <v>06077</v>
      </c>
      <c r="B1948" s="21"/>
      <c r="C1948">
        <v>30.1</v>
      </c>
      <c r="D1948">
        <v>3.5</v>
      </c>
      <c r="E1948">
        <v>127</v>
      </c>
      <c r="F1948">
        <v>77</v>
      </c>
      <c r="G1948">
        <v>8</v>
      </c>
      <c r="H1948">
        <v>77</v>
      </c>
      <c r="I1948">
        <v>1.47</v>
      </c>
      <c r="J1948" s="1">
        <v>3405</v>
      </c>
    </row>
    <row r="1949" spans="1:10" ht="14.25" customHeight="1" x14ac:dyDescent="0.25">
      <c r="A1949" s="21" t="str">
        <f>"06079"</f>
        <v>06079</v>
      </c>
      <c r="B1949" s="21"/>
      <c r="C1949">
        <v>47.1</v>
      </c>
      <c r="D1949">
        <v>4</v>
      </c>
      <c r="E1949">
        <v>302</v>
      </c>
      <c r="F1949">
        <v>98</v>
      </c>
      <c r="G1949">
        <v>11</v>
      </c>
      <c r="H1949">
        <v>98</v>
      </c>
      <c r="I1949">
        <v>1.92</v>
      </c>
      <c r="J1949" s="1">
        <v>4722</v>
      </c>
    </row>
    <row r="1950" spans="1:10" ht="14.25" customHeight="1" x14ac:dyDescent="0.25">
      <c r="A1950" s="21" t="str">
        <f>"06079"</f>
        <v>06079</v>
      </c>
      <c r="B1950" s="21"/>
      <c r="C1950">
        <v>46.4</v>
      </c>
      <c r="D1950">
        <v>4</v>
      </c>
      <c r="E1950">
        <v>139</v>
      </c>
      <c r="F1950">
        <v>122</v>
      </c>
      <c r="G1950">
        <v>18</v>
      </c>
      <c r="H1950">
        <v>122</v>
      </c>
      <c r="I1950">
        <v>1.38</v>
      </c>
      <c r="J1950" s="1">
        <v>4538</v>
      </c>
    </row>
    <row r="1951" spans="1:10" ht="14.25" customHeight="1" x14ac:dyDescent="0.25">
      <c r="A1951" s="21" t="str">
        <f>"06079"</f>
        <v>06079</v>
      </c>
      <c r="B1951" s="21"/>
      <c r="C1951">
        <v>66.3</v>
      </c>
      <c r="D1951">
        <v>4.7</v>
      </c>
      <c r="E1951">
        <v>92</v>
      </c>
      <c r="F1951">
        <v>162</v>
      </c>
      <c r="G1951">
        <v>17</v>
      </c>
      <c r="H1951">
        <v>162</v>
      </c>
      <c r="I1951">
        <v>1.79</v>
      </c>
      <c r="J1951" s="1">
        <v>5615</v>
      </c>
    </row>
    <row r="1952" spans="1:10" ht="14.25" customHeight="1" x14ac:dyDescent="0.25">
      <c r="A1952" s="21" t="str">
        <f>"06079"</f>
        <v>06079</v>
      </c>
      <c r="B1952" s="21"/>
      <c r="C1952">
        <v>20.8</v>
      </c>
      <c r="D1952">
        <v>3.3</v>
      </c>
      <c r="E1952">
        <v>6</v>
      </c>
      <c r="F1952">
        <v>53</v>
      </c>
      <c r="G1952">
        <v>8</v>
      </c>
      <c r="H1952">
        <v>53</v>
      </c>
      <c r="J1952" s="1">
        <v>4309</v>
      </c>
    </row>
    <row r="1953" spans="1:10" ht="14.25" customHeight="1" x14ac:dyDescent="0.25">
      <c r="A1953" s="21" t="str">
        <f>"06079"</f>
        <v>06079</v>
      </c>
      <c r="B1953" s="21"/>
      <c r="H1953">
        <v>50</v>
      </c>
    </row>
    <row r="1954" spans="1:10" ht="14.25" customHeight="1" x14ac:dyDescent="0.25">
      <c r="A1954" s="21" t="str">
        <f t="shared" ref="A1954:A1962" si="19">"06081"</f>
        <v>06081</v>
      </c>
      <c r="B1954" s="21"/>
      <c r="C1954">
        <v>129.80000000000001</v>
      </c>
      <c r="D1954">
        <v>5.0999999999999996</v>
      </c>
      <c r="E1954">
        <v>747</v>
      </c>
      <c r="F1954">
        <v>241</v>
      </c>
      <c r="G1954">
        <v>24</v>
      </c>
      <c r="H1954">
        <v>241</v>
      </c>
      <c r="I1954">
        <v>1.96</v>
      </c>
      <c r="J1954" s="1">
        <v>10158</v>
      </c>
    </row>
    <row r="1955" spans="1:10" ht="14.25" customHeight="1" x14ac:dyDescent="0.25">
      <c r="A1955" s="21" t="str">
        <f t="shared" si="19"/>
        <v>06081</v>
      </c>
      <c r="B1955" s="21"/>
      <c r="C1955">
        <v>69.900000000000006</v>
      </c>
      <c r="D1955">
        <v>3.6</v>
      </c>
      <c r="E1955">
        <v>299</v>
      </c>
      <c r="F1955">
        <v>149</v>
      </c>
      <c r="G1955">
        <v>20</v>
      </c>
      <c r="H1955">
        <v>149</v>
      </c>
      <c r="I1955">
        <v>2.0499999999999998</v>
      </c>
      <c r="J1955" s="1">
        <v>8205</v>
      </c>
    </row>
    <row r="1956" spans="1:10" ht="14.25" customHeight="1" x14ac:dyDescent="0.25">
      <c r="A1956" s="21" t="str">
        <f t="shared" si="19"/>
        <v>06081</v>
      </c>
      <c r="B1956" s="21"/>
      <c r="C1956">
        <v>0.8</v>
      </c>
      <c r="D1956">
        <v>1.6</v>
      </c>
      <c r="E1956">
        <v>17</v>
      </c>
      <c r="F1956">
        <v>16</v>
      </c>
      <c r="H1956">
        <v>16</v>
      </c>
      <c r="I1956">
        <v>2.02</v>
      </c>
      <c r="J1956">
        <v>186</v>
      </c>
    </row>
    <row r="1957" spans="1:10" ht="14.25" customHeight="1" x14ac:dyDescent="0.25">
      <c r="A1957" s="21" t="str">
        <f t="shared" si="19"/>
        <v>06081</v>
      </c>
      <c r="B1957" s="21"/>
      <c r="C1957">
        <v>51.4</v>
      </c>
      <c r="D1957">
        <v>4</v>
      </c>
      <c r="E1957">
        <v>270</v>
      </c>
      <c r="F1957">
        <v>208</v>
      </c>
      <c r="G1957">
        <v>16</v>
      </c>
      <c r="H1957">
        <v>208</v>
      </c>
      <c r="I1957">
        <v>2.08</v>
      </c>
      <c r="J1957" s="1">
        <v>5423</v>
      </c>
    </row>
    <row r="1958" spans="1:10" ht="14.25" customHeight="1" x14ac:dyDescent="0.25">
      <c r="A1958" s="21" t="str">
        <f t="shared" si="19"/>
        <v>06081</v>
      </c>
      <c r="B1958" s="21"/>
      <c r="C1958">
        <v>53.1</v>
      </c>
      <c r="D1958">
        <v>4.3</v>
      </c>
      <c r="E1958">
        <v>175</v>
      </c>
      <c r="F1958">
        <v>255</v>
      </c>
      <c r="G1958">
        <v>28</v>
      </c>
      <c r="H1958">
        <v>255</v>
      </c>
      <c r="I1958">
        <v>1.77</v>
      </c>
      <c r="J1958" s="1">
        <v>4477</v>
      </c>
    </row>
    <row r="1959" spans="1:10" ht="14.25" customHeight="1" x14ac:dyDescent="0.25">
      <c r="A1959" s="21" t="str">
        <f t="shared" si="19"/>
        <v>06081</v>
      </c>
      <c r="B1959" s="21"/>
      <c r="C1959">
        <v>39.1</v>
      </c>
      <c r="D1959">
        <v>6.4</v>
      </c>
      <c r="E1959">
        <v>215</v>
      </c>
      <c r="F1959">
        <v>69</v>
      </c>
      <c r="G1959">
        <v>7</v>
      </c>
      <c r="H1959">
        <v>69</v>
      </c>
      <c r="I1959">
        <v>1.36</v>
      </c>
      <c r="J1959" s="1">
        <v>2221</v>
      </c>
    </row>
    <row r="1960" spans="1:10" ht="14.25" customHeight="1" x14ac:dyDescent="0.25">
      <c r="A1960" s="21" t="str">
        <f t="shared" si="19"/>
        <v>06081</v>
      </c>
      <c r="B1960" s="21"/>
      <c r="C1960">
        <v>54.4</v>
      </c>
      <c r="D1960">
        <v>3.5</v>
      </c>
      <c r="E1960">
        <v>313</v>
      </c>
      <c r="F1960">
        <v>120</v>
      </c>
      <c r="G1960">
        <v>15</v>
      </c>
      <c r="H1960">
        <v>120</v>
      </c>
      <c r="I1960">
        <v>1.62</v>
      </c>
      <c r="J1960" s="1">
        <v>5617</v>
      </c>
    </row>
    <row r="1961" spans="1:10" ht="14.25" customHeight="1" x14ac:dyDescent="0.25">
      <c r="A1961" s="21" t="str">
        <f t="shared" si="19"/>
        <v>06081</v>
      </c>
      <c r="B1961" s="21"/>
    </row>
    <row r="1962" spans="1:10" ht="14.25" customHeight="1" x14ac:dyDescent="0.25">
      <c r="A1962" s="21" t="str">
        <f t="shared" si="19"/>
        <v>06081</v>
      </c>
      <c r="B1962" s="21"/>
      <c r="E1962">
        <v>3</v>
      </c>
      <c r="H1962">
        <v>116</v>
      </c>
    </row>
    <row r="1963" spans="1:10" ht="14.25" customHeight="1" x14ac:dyDescent="0.25">
      <c r="A1963" s="21" t="str">
        <f>"06083"</f>
        <v>06083</v>
      </c>
      <c r="B1963" s="21"/>
      <c r="C1963">
        <v>17.8</v>
      </c>
      <c r="D1963">
        <v>4</v>
      </c>
      <c r="E1963">
        <v>115</v>
      </c>
      <c r="F1963">
        <v>60</v>
      </c>
      <c r="G1963">
        <v>6</v>
      </c>
      <c r="H1963">
        <v>60</v>
      </c>
      <c r="I1963">
        <v>1.31</v>
      </c>
      <c r="J1963" s="1">
        <v>1808</v>
      </c>
    </row>
    <row r="1964" spans="1:10" ht="14.25" customHeight="1" x14ac:dyDescent="0.25">
      <c r="A1964" s="21" t="str">
        <f>"06083"</f>
        <v>06083</v>
      </c>
      <c r="B1964" s="21"/>
      <c r="C1964">
        <v>151.4</v>
      </c>
      <c r="D1964">
        <v>4.0999999999999996</v>
      </c>
      <c r="E1964">
        <v>705</v>
      </c>
      <c r="F1964">
        <v>273</v>
      </c>
      <c r="G1964">
        <v>28</v>
      </c>
      <c r="H1964">
        <v>191</v>
      </c>
      <c r="I1964">
        <v>1.7</v>
      </c>
      <c r="J1964" s="1">
        <v>14933</v>
      </c>
    </row>
    <row r="1965" spans="1:10" ht="14.25" customHeight="1" x14ac:dyDescent="0.25">
      <c r="A1965" s="21" t="str">
        <f>"06083"</f>
        <v>06083</v>
      </c>
      <c r="B1965" s="21"/>
      <c r="C1965">
        <v>9.9</v>
      </c>
      <c r="D1965">
        <v>2.2000000000000002</v>
      </c>
      <c r="E1965">
        <v>114</v>
      </c>
      <c r="F1965">
        <v>28</v>
      </c>
      <c r="G1965">
        <v>8</v>
      </c>
      <c r="H1965">
        <v>28</v>
      </c>
      <c r="I1965">
        <v>1.97</v>
      </c>
      <c r="J1965" s="1">
        <v>1687</v>
      </c>
    </row>
    <row r="1966" spans="1:10" ht="14.25" customHeight="1" x14ac:dyDescent="0.25">
      <c r="A1966" s="21" t="str">
        <f>"06083"</f>
        <v>06083</v>
      </c>
      <c r="B1966" s="21"/>
      <c r="C1966">
        <v>226.5</v>
      </c>
      <c r="D1966">
        <v>4.9000000000000004</v>
      </c>
      <c r="E1966">
        <v>468</v>
      </c>
      <c r="F1966">
        <v>325</v>
      </c>
      <c r="G1966">
        <v>20</v>
      </c>
      <c r="H1966">
        <v>325</v>
      </c>
      <c r="I1966">
        <v>1.9</v>
      </c>
      <c r="J1966" s="1">
        <v>17068</v>
      </c>
    </row>
    <row r="1967" spans="1:10" ht="14.25" customHeight="1" x14ac:dyDescent="0.25">
      <c r="A1967" s="21" t="str">
        <f t="shared" ref="A1967:A1978" si="20">"06085"</f>
        <v>06085</v>
      </c>
      <c r="B1967" s="21"/>
      <c r="C1967">
        <v>203.7</v>
      </c>
      <c r="D1967">
        <v>4.9000000000000004</v>
      </c>
      <c r="E1967">
        <v>611</v>
      </c>
      <c r="F1967">
        <v>309</v>
      </c>
      <c r="G1967">
        <v>24</v>
      </c>
      <c r="H1967">
        <v>309</v>
      </c>
      <c r="I1967">
        <v>1.73</v>
      </c>
      <c r="J1967" s="1">
        <v>16472</v>
      </c>
    </row>
    <row r="1968" spans="1:10" ht="14.25" customHeight="1" x14ac:dyDescent="0.25">
      <c r="A1968" s="21" t="str">
        <f t="shared" si="20"/>
        <v>06085</v>
      </c>
      <c r="B1968" s="21"/>
      <c r="C1968">
        <v>403.8</v>
      </c>
      <c r="D1968">
        <v>5.6</v>
      </c>
      <c r="E1968" s="1">
        <v>2285</v>
      </c>
      <c r="F1968">
        <v>447</v>
      </c>
      <c r="G1968">
        <v>59</v>
      </c>
      <c r="H1968">
        <v>447</v>
      </c>
      <c r="I1968">
        <v>2.5099999999999998</v>
      </c>
      <c r="J1968" s="1">
        <v>26371</v>
      </c>
    </row>
    <row r="1969" spans="1:10" ht="14.25" customHeight="1" x14ac:dyDescent="0.25">
      <c r="A1969" s="21" t="str">
        <f t="shared" si="20"/>
        <v>06085</v>
      </c>
      <c r="B1969" s="21"/>
      <c r="C1969">
        <v>101</v>
      </c>
      <c r="D1969">
        <v>3.6</v>
      </c>
      <c r="E1969">
        <v>565</v>
      </c>
      <c r="F1969">
        <v>235</v>
      </c>
      <c r="G1969">
        <v>24</v>
      </c>
      <c r="H1969">
        <v>235</v>
      </c>
      <c r="I1969">
        <v>1.71</v>
      </c>
      <c r="J1969" s="1">
        <v>11607</v>
      </c>
    </row>
    <row r="1970" spans="1:10" ht="14.25" customHeight="1" x14ac:dyDescent="0.25">
      <c r="A1970" s="21" t="str">
        <f t="shared" si="20"/>
        <v>06085</v>
      </c>
      <c r="B1970" s="21"/>
      <c r="C1970">
        <v>29.7</v>
      </c>
      <c r="D1970">
        <v>3.8</v>
      </c>
      <c r="E1970">
        <v>53</v>
      </c>
      <c r="F1970">
        <v>72</v>
      </c>
      <c r="G1970">
        <v>8</v>
      </c>
      <c r="H1970">
        <v>72</v>
      </c>
      <c r="I1970">
        <v>1.48</v>
      </c>
      <c r="J1970" s="1">
        <v>3023</v>
      </c>
    </row>
    <row r="1971" spans="1:10" ht="14.25" customHeight="1" x14ac:dyDescent="0.25">
      <c r="A1971" s="21" t="str">
        <f t="shared" si="20"/>
        <v>06085</v>
      </c>
      <c r="B1971" s="21"/>
      <c r="C1971">
        <v>198.3</v>
      </c>
      <c r="D1971">
        <v>3.7</v>
      </c>
      <c r="E1971">
        <v>618</v>
      </c>
      <c r="F1971">
        <v>388</v>
      </c>
      <c r="G1971">
        <v>39</v>
      </c>
      <c r="H1971">
        <v>388</v>
      </c>
      <c r="I1971">
        <v>1.8</v>
      </c>
      <c r="J1971" s="1">
        <v>22400</v>
      </c>
    </row>
    <row r="1972" spans="1:10" ht="14.25" customHeight="1" x14ac:dyDescent="0.25">
      <c r="A1972" s="21" t="str">
        <f t="shared" si="20"/>
        <v>06085</v>
      </c>
      <c r="B1972" s="21"/>
      <c r="C1972">
        <v>205.6</v>
      </c>
      <c r="D1972">
        <v>4.5</v>
      </c>
      <c r="E1972">
        <v>969</v>
      </c>
      <c r="F1972">
        <v>327</v>
      </c>
      <c r="G1972">
        <v>38</v>
      </c>
      <c r="H1972">
        <v>327</v>
      </c>
      <c r="I1972">
        <v>2.06</v>
      </c>
      <c r="J1972" s="1">
        <v>18661</v>
      </c>
    </row>
    <row r="1973" spans="1:10" ht="14.25" customHeight="1" x14ac:dyDescent="0.25">
      <c r="A1973" s="21" t="str">
        <f t="shared" si="20"/>
        <v>06085</v>
      </c>
      <c r="B1973" s="21"/>
      <c r="C1973">
        <v>216</v>
      </c>
      <c r="D1973">
        <v>5.4</v>
      </c>
      <c r="E1973">
        <v>324</v>
      </c>
      <c r="F1973">
        <v>258</v>
      </c>
      <c r="G1973">
        <v>34</v>
      </c>
      <c r="H1973">
        <v>258</v>
      </c>
      <c r="I1973">
        <v>1.7</v>
      </c>
      <c r="J1973" s="1">
        <v>14893</v>
      </c>
    </row>
    <row r="1974" spans="1:10" ht="14.25" customHeight="1" x14ac:dyDescent="0.25">
      <c r="A1974" s="21" t="str">
        <f t="shared" si="20"/>
        <v>06085</v>
      </c>
      <c r="B1974" s="21"/>
      <c r="C1974">
        <v>95.1</v>
      </c>
      <c r="D1974">
        <v>4.2</v>
      </c>
      <c r="E1974">
        <v>166</v>
      </c>
      <c r="F1974">
        <v>324</v>
      </c>
      <c r="G1974">
        <v>22</v>
      </c>
      <c r="H1974">
        <v>324</v>
      </c>
      <c r="I1974">
        <v>1.82</v>
      </c>
      <c r="J1974" s="1">
        <v>9357</v>
      </c>
    </row>
    <row r="1975" spans="1:10" ht="14.25" customHeight="1" x14ac:dyDescent="0.25">
      <c r="A1975" s="21" t="str">
        <f t="shared" si="20"/>
        <v>06085</v>
      </c>
      <c r="B1975" s="21"/>
      <c r="C1975">
        <v>431.9</v>
      </c>
      <c r="D1975">
        <v>5.7</v>
      </c>
      <c r="E1975">
        <v>883</v>
      </c>
      <c r="F1975">
        <v>852</v>
      </c>
      <c r="G1975">
        <v>35</v>
      </c>
      <c r="H1975">
        <v>852</v>
      </c>
      <c r="I1975">
        <v>1.79</v>
      </c>
      <c r="J1975" s="1">
        <v>21100</v>
      </c>
    </row>
    <row r="1976" spans="1:10" ht="14.25" customHeight="1" x14ac:dyDescent="0.25">
      <c r="A1976" s="21" t="str">
        <f t="shared" si="20"/>
        <v>06085</v>
      </c>
      <c r="B1976" s="21"/>
      <c r="E1976">
        <v>6</v>
      </c>
      <c r="H1976">
        <v>143</v>
      </c>
    </row>
    <row r="1977" spans="1:10" ht="14.25" customHeight="1" x14ac:dyDescent="0.25">
      <c r="A1977" s="21" t="str">
        <f t="shared" si="20"/>
        <v>06085</v>
      </c>
      <c r="B1977" s="21"/>
    </row>
    <row r="1978" spans="1:10" ht="14.25" customHeight="1" x14ac:dyDescent="0.25">
      <c r="A1978" s="21" t="str">
        <f t="shared" si="20"/>
        <v>06085</v>
      </c>
      <c r="B1978" s="21"/>
    </row>
    <row r="1979" spans="1:10" ht="14.25" customHeight="1" x14ac:dyDescent="0.25">
      <c r="A1979" s="21" t="str">
        <f>"06087"</f>
        <v>06087</v>
      </c>
      <c r="B1979" s="21"/>
      <c r="C1979">
        <v>36.299999999999997</v>
      </c>
      <c r="D1979">
        <v>4.3</v>
      </c>
      <c r="E1979">
        <v>145</v>
      </c>
      <c r="F1979">
        <v>106</v>
      </c>
      <c r="G1979">
        <v>6</v>
      </c>
      <c r="H1979">
        <v>106</v>
      </c>
      <c r="I1979">
        <v>1.41</v>
      </c>
      <c r="J1979" s="1">
        <v>3642</v>
      </c>
    </row>
    <row r="1980" spans="1:10" ht="14.25" customHeight="1" x14ac:dyDescent="0.25">
      <c r="A1980" s="21" t="str">
        <f>"06087"</f>
        <v>06087</v>
      </c>
      <c r="B1980" s="21"/>
      <c r="C1980">
        <v>126.7</v>
      </c>
      <c r="D1980">
        <v>4.7</v>
      </c>
      <c r="E1980">
        <v>368</v>
      </c>
      <c r="F1980">
        <v>202</v>
      </c>
      <c r="G1980">
        <v>16</v>
      </c>
      <c r="H1980">
        <v>202</v>
      </c>
      <c r="I1980">
        <v>1.76</v>
      </c>
      <c r="J1980" s="1">
        <v>10129</v>
      </c>
    </row>
    <row r="1981" spans="1:10" ht="14.25" customHeight="1" x14ac:dyDescent="0.25">
      <c r="A1981" s="21" t="str">
        <f>"06087"</f>
        <v>06087</v>
      </c>
      <c r="B1981" s="21"/>
      <c r="C1981">
        <v>7.5</v>
      </c>
      <c r="D1981">
        <v>6.9</v>
      </c>
      <c r="E1981">
        <v>103</v>
      </c>
      <c r="F1981">
        <v>30</v>
      </c>
      <c r="H1981">
        <v>30</v>
      </c>
      <c r="I1981">
        <v>2.19</v>
      </c>
      <c r="J1981">
        <v>678</v>
      </c>
    </row>
    <row r="1982" spans="1:10" ht="14.25" customHeight="1" x14ac:dyDescent="0.25">
      <c r="A1982" s="21" t="str">
        <f>"06089"</f>
        <v>06089</v>
      </c>
      <c r="B1982" s="21"/>
      <c r="C1982">
        <v>82.9</v>
      </c>
      <c r="D1982">
        <v>4.5</v>
      </c>
      <c r="E1982">
        <v>112</v>
      </c>
      <c r="F1982">
        <v>205</v>
      </c>
      <c r="G1982">
        <v>37</v>
      </c>
      <c r="H1982">
        <v>205</v>
      </c>
      <c r="I1982">
        <v>1.85</v>
      </c>
      <c r="J1982" s="1">
        <v>6736</v>
      </c>
    </row>
    <row r="1983" spans="1:10" ht="14.25" customHeight="1" x14ac:dyDescent="0.25">
      <c r="A1983" s="21" t="str">
        <f>"06089"</f>
        <v>06089</v>
      </c>
      <c r="B1983" s="21"/>
      <c r="C1983">
        <v>0.8</v>
      </c>
      <c r="D1983">
        <v>1.9</v>
      </c>
      <c r="E1983">
        <v>9</v>
      </c>
      <c r="F1983">
        <v>10</v>
      </c>
      <c r="H1983">
        <v>10</v>
      </c>
      <c r="I1983">
        <v>1.74</v>
      </c>
      <c r="J1983">
        <v>159</v>
      </c>
    </row>
    <row r="1984" spans="1:10" ht="14.25" customHeight="1" x14ac:dyDescent="0.25">
      <c r="A1984" s="21" t="str">
        <f>"06089"</f>
        <v>06089</v>
      </c>
      <c r="B1984" s="21"/>
      <c r="C1984">
        <v>167.6</v>
      </c>
      <c r="D1984">
        <v>4.7</v>
      </c>
      <c r="E1984">
        <v>284</v>
      </c>
      <c r="F1984">
        <v>267</v>
      </c>
      <c r="G1984">
        <v>44</v>
      </c>
      <c r="H1984">
        <v>267</v>
      </c>
      <c r="I1984">
        <v>1.87</v>
      </c>
      <c r="J1984" s="1">
        <v>13749</v>
      </c>
    </row>
    <row r="1985" spans="1:10" ht="14.25" customHeight="1" x14ac:dyDescent="0.25">
      <c r="A1985" s="21" t="str">
        <f t="shared" ref="A1985:A1990" si="21">"06095"</f>
        <v>06095</v>
      </c>
      <c r="B1985" s="21"/>
      <c r="C1985">
        <v>84.6</v>
      </c>
      <c r="D1985">
        <v>4.0999999999999996</v>
      </c>
      <c r="E1985">
        <v>486</v>
      </c>
      <c r="F1985">
        <v>200</v>
      </c>
      <c r="G1985">
        <v>40</v>
      </c>
      <c r="H1985">
        <v>200</v>
      </c>
      <c r="I1985">
        <v>1.66</v>
      </c>
      <c r="J1985" s="1">
        <v>8475</v>
      </c>
    </row>
    <row r="1986" spans="1:10" ht="14.25" customHeight="1" x14ac:dyDescent="0.25">
      <c r="A1986" s="21" t="str">
        <f t="shared" si="21"/>
        <v>06095</v>
      </c>
      <c r="B1986" s="21"/>
      <c r="C1986">
        <v>47.3</v>
      </c>
      <c r="D1986">
        <v>4.8</v>
      </c>
      <c r="E1986">
        <v>144</v>
      </c>
      <c r="F1986">
        <v>106</v>
      </c>
      <c r="G1986">
        <v>12</v>
      </c>
      <c r="H1986">
        <v>106</v>
      </c>
      <c r="I1986">
        <v>1.71</v>
      </c>
      <c r="J1986" s="1">
        <v>3786</v>
      </c>
    </row>
    <row r="1987" spans="1:10" ht="14.25" customHeight="1" x14ac:dyDescent="0.25">
      <c r="A1987" s="21" t="str">
        <f t="shared" si="21"/>
        <v>06095</v>
      </c>
      <c r="B1987" s="21"/>
      <c r="E1987">
        <v>23</v>
      </c>
      <c r="H1987">
        <v>50</v>
      </c>
    </row>
    <row r="1988" spans="1:10" ht="14.25" customHeight="1" x14ac:dyDescent="0.25">
      <c r="A1988" s="21" t="str">
        <f t="shared" si="21"/>
        <v>06095</v>
      </c>
      <c r="B1988" s="21"/>
      <c r="C1988">
        <v>115.3</v>
      </c>
      <c r="D1988">
        <v>4.5999999999999996</v>
      </c>
      <c r="E1988">
        <v>281</v>
      </c>
      <c r="F1988">
        <v>182</v>
      </c>
      <c r="G1988">
        <v>24</v>
      </c>
      <c r="H1988">
        <v>132</v>
      </c>
      <c r="I1988">
        <v>1.66</v>
      </c>
      <c r="J1988" s="1">
        <v>9516</v>
      </c>
    </row>
    <row r="1989" spans="1:10" ht="14.25" customHeight="1" x14ac:dyDescent="0.25">
      <c r="A1989" s="21" t="str">
        <f t="shared" si="21"/>
        <v>06095</v>
      </c>
      <c r="B1989" s="21"/>
      <c r="C1989">
        <v>64.7</v>
      </c>
      <c r="D1989">
        <v>4.3</v>
      </c>
      <c r="E1989">
        <v>340</v>
      </c>
      <c r="F1989">
        <v>140</v>
      </c>
      <c r="G1989">
        <v>16</v>
      </c>
      <c r="H1989">
        <v>140</v>
      </c>
      <c r="I1989">
        <v>1.9</v>
      </c>
      <c r="J1989" s="1">
        <v>5904</v>
      </c>
    </row>
    <row r="1990" spans="1:10" ht="14.25" customHeight="1" x14ac:dyDescent="0.25">
      <c r="A1990" s="21" t="str">
        <f t="shared" si="21"/>
        <v>06095</v>
      </c>
      <c r="B1990" s="21"/>
      <c r="H1990">
        <v>64</v>
      </c>
    </row>
    <row r="1991" spans="1:10" ht="14.25" customHeight="1" x14ac:dyDescent="0.25">
      <c r="A1991" s="21" t="str">
        <f t="shared" ref="A1991:A1997" si="22">"06097"</f>
        <v>06097</v>
      </c>
      <c r="B1991" s="21"/>
      <c r="C1991">
        <v>2.8</v>
      </c>
      <c r="D1991">
        <v>17.399999999999999</v>
      </c>
      <c r="I1991">
        <v>1.06</v>
      </c>
      <c r="J1991">
        <v>59</v>
      </c>
    </row>
    <row r="1992" spans="1:10" ht="14.25" customHeight="1" x14ac:dyDescent="0.25">
      <c r="A1992" s="21" t="str">
        <f t="shared" si="22"/>
        <v>06097</v>
      </c>
      <c r="B1992" s="21"/>
      <c r="C1992">
        <v>86.2</v>
      </c>
      <c r="D1992">
        <v>3.8</v>
      </c>
      <c r="E1992">
        <v>446</v>
      </c>
      <c r="F1992">
        <v>173</v>
      </c>
      <c r="G1992">
        <v>20</v>
      </c>
      <c r="H1992">
        <v>173</v>
      </c>
      <c r="I1992">
        <v>1.5</v>
      </c>
      <c r="J1992" s="1">
        <v>9456</v>
      </c>
    </row>
    <row r="1993" spans="1:10" ht="14.25" customHeight="1" x14ac:dyDescent="0.25">
      <c r="A1993" s="21" t="str">
        <f t="shared" si="22"/>
        <v>06097</v>
      </c>
      <c r="B1993" s="21"/>
      <c r="C1993">
        <v>10.5</v>
      </c>
      <c r="D1993">
        <v>3.9</v>
      </c>
      <c r="E1993">
        <v>83</v>
      </c>
      <c r="F1993">
        <v>48</v>
      </c>
      <c r="G1993">
        <v>6</v>
      </c>
      <c r="H1993">
        <v>48</v>
      </c>
      <c r="I1993">
        <v>1.51</v>
      </c>
      <c r="J1993" s="1">
        <v>1022</v>
      </c>
    </row>
    <row r="1994" spans="1:10" ht="14.25" customHeight="1" x14ac:dyDescent="0.25">
      <c r="A1994" s="21" t="str">
        <f t="shared" si="22"/>
        <v>06097</v>
      </c>
      <c r="B1994" s="21"/>
      <c r="C1994">
        <v>27.5</v>
      </c>
      <c r="D1994">
        <v>4</v>
      </c>
      <c r="E1994">
        <v>140</v>
      </c>
      <c r="F1994">
        <v>80</v>
      </c>
      <c r="G1994">
        <v>9</v>
      </c>
      <c r="H1994">
        <v>80</v>
      </c>
      <c r="I1994">
        <v>1.44</v>
      </c>
      <c r="J1994" s="1">
        <v>2700</v>
      </c>
    </row>
    <row r="1995" spans="1:10" ht="14.25" customHeight="1" x14ac:dyDescent="0.25">
      <c r="A1995" s="21" t="str">
        <f t="shared" si="22"/>
        <v>06097</v>
      </c>
      <c r="B1995" s="21"/>
      <c r="C1995">
        <v>188.7</v>
      </c>
      <c r="D1995">
        <v>5.6</v>
      </c>
      <c r="E1995">
        <v>479</v>
      </c>
      <c r="F1995">
        <v>282</v>
      </c>
      <c r="G1995">
        <v>26</v>
      </c>
      <c r="H1995">
        <v>282</v>
      </c>
      <c r="I1995">
        <v>1.95</v>
      </c>
      <c r="J1995" s="1">
        <v>12004</v>
      </c>
    </row>
    <row r="1996" spans="1:10" ht="14.25" customHeight="1" x14ac:dyDescent="0.25">
      <c r="A1996" s="21" t="str">
        <f t="shared" si="22"/>
        <v>06097</v>
      </c>
      <c r="B1996" s="21"/>
      <c r="C1996">
        <v>65.099999999999994</v>
      </c>
      <c r="D1996">
        <v>5.0999999999999996</v>
      </c>
      <c r="E1996">
        <v>220</v>
      </c>
      <c r="F1996">
        <v>84</v>
      </c>
      <c r="G1996">
        <v>12</v>
      </c>
      <c r="H1996">
        <v>84</v>
      </c>
      <c r="I1996">
        <v>1.88</v>
      </c>
      <c r="J1996" s="1">
        <v>5603</v>
      </c>
    </row>
    <row r="1997" spans="1:10" ht="14.25" customHeight="1" x14ac:dyDescent="0.25">
      <c r="A1997" s="21" t="str">
        <f t="shared" si="22"/>
        <v>06097</v>
      </c>
      <c r="B1997" s="21"/>
    </row>
    <row r="1998" spans="1:10" ht="14.25" customHeight="1" x14ac:dyDescent="0.25">
      <c r="A1998" s="21" t="str">
        <f t="shared" ref="A1998:A2003" si="23">"06099"</f>
        <v>06099</v>
      </c>
      <c r="B1998" s="21"/>
      <c r="C1998">
        <v>93.2</v>
      </c>
      <c r="D1998">
        <v>4</v>
      </c>
      <c r="E1998">
        <v>194</v>
      </c>
      <c r="F1998">
        <v>209</v>
      </c>
      <c r="G1998">
        <v>12</v>
      </c>
      <c r="H1998">
        <v>209</v>
      </c>
      <c r="I1998">
        <v>1.43</v>
      </c>
      <c r="J1998" s="1">
        <v>9059</v>
      </c>
    </row>
    <row r="1999" spans="1:10" ht="14.25" customHeight="1" x14ac:dyDescent="0.25">
      <c r="A1999" s="21" t="str">
        <f t="shared" si="23"/>
        <v>06099</v>
      </c>
      <c r="B1999" s="21"/>
      <c r="C1999">
        <v>7.9</v>
      </c>
      <c r="D1999">
        <v>4.3</v>
      </c>
      <c r="E1999">
        <v>60</v>
      </c>
      <c r="F1999">
        <v>35</v>
      </c>
      <c r="G1999">
        <v>5</v>
      </c>
      <c r="H1999">
        <v>35</v>
      </c>
      <c r="I1999">
        <v>1.1399999999999999</v>
      </c>
      <c r="J1999">
        <v>680</v>
      </c>
    </row>
    <row r="2000" spans="1:10" ht="14.25" customHeight="1" x14ac:dyDescent="0.25">
      <c r="A2000" s="21" t="str">
        <f t="shared" si="23"/>
        <v>06099</v>
      </c>
      <c r="B2000" s="21"/>
      <c r="C2000">
        <v>2.4</v>
      </c>
      <c r="D2000">
        <v>1.9</v>
      </c>
      <c r="E2000">
        <v>75</v>
      </c>
      <c r="F2000">
        <v>23</v>
      </c>
      <c r="H2000">
        <v>23</v>
      </c>
      <c r="I2000">
        <v>2.1</v>
      </c>
      <c r="J2000">
        <v>476</v>
      </c>
    </row>
    <row r="2001" spans="1:10" ht="14.25" customHeight="1" x14ac:dyDescent="0.25">
      <c r="A2001" s="21" t="str">
        <f t="shared" si="23"/>
        <v>06099</v>
      </c>
      <c r="B2001" s="21"/>
      <c r="C2001">
        <v>206.3</v>
      </c>
      <c r="D2001">
        <v>4.9000000000000004</v>
      </c>
      <c r="E2001">
        <v>493</v>
      </c>
      <c r="F2001">
        <v>419</v>
      </c>
      <c r="G2001">
        <v>35</v>
      </c>
      <c r="H2001">
        <v>419</v>
      </c>
      <c r="I2001">
        <v>1.84</v>
      </c>
      <c r="J2001" s="1">
        <v>15932</v>
      </c>
    </row>
    <row r="2002" spans="1:10" ht="14.25" customHeight="1" x14ac:dyDescent="0.25">
      <c r="A2002" s="21" t="str">
        <f t="shared" si="23"/>
        <v>06099</v>
      </c>
      <c r="B2002" s="21"/>
      <c r="C2002">
        <v>305.2</v>
      </c>
      <c r="D2002">
        <v>5.0999999999999996</v>
      </c>
      <c r="E2002">
        <v>276</v>
      </c>
      <c r="F2002">
        <v>380</v>
      </c>
      <c r="G2002">
        <v>22</v>
      </c>
      <c r="H2002">
        <v>380</v>
      </c>
      <c r="I2002">
        <v>1.82</v>
      </c>
      <c r="J2002" s="1">
        <v>22967</v>
      </c>
    </row>
    <row r="2003" spans="1:10" ht="14.25" customHeight="1" x14ac:dyDescent="0.25">
      <c r="A2003" s="21" t="str">
        <f t="shared" si="23"/>
        <v>06099</v>
      </c>
      <c r="B2003" s="21"/>
      <c r="H2003">
        <v>152</v>
      </c>
    </row>
    <row r="2004" spans="1:10" ht="14.25" customHeight="1" x14ac:dyDescent="0.25">
      <c r="A2004" s="21" t="str">
        <f>"06101"</f>
        <v>06101</v>
      </c>
      <c r="B2004" s="21"/>
      <c r="C2004">
        <v>3.2</v>
      </c>
      <c r="D2004">
        <v>2.4</v>
      </c>
      <c r="E2004">
        <v>26</v>
      </c>
      <c r="F2004">
        <v>14</v>
      </c>
      <c r="H2004">
        <v>14</v>
      </c>
      <c r="I2004">
        <v>2.14</v>
      </c>
      <c r="J2004">
        <v>485</v>
      </c>
    </row>
    <row r="2005" spans="1:10" ht="14.25" customHeight="1" x14ac:dyDescent="0.25">
      <c r="A2005" s="21" t="str">
        <f>"06101"</f>
        <v>06101</v>
      </c>
      <c r="B2005" s="21"/>
    </row>
    <row r="2006" spans="1:10" ht="14.25" customHeight="1" x14ac:dyDescent="0.25">
      <c r="A2006" s="21" t="str">
        <f>"06103"</f>
        <v>06103</v>
      </c>
      <c r="B2006" s="21"/>
      <c r="C2006">
        <v>27.1</v>
      </c>
      <c r="D2006">
        <v>3.4</v>
      </c>
      <c r="E2006">
        <v>125</v>
      </c>
      <c r="F2006">
        <v>49</v>
      </c>
      <c r="G2006">
        <v>8</v>
      </c>
      <c r="H2006">
        <v>49</v>
      </c>
      <c r="I2006">
        <v>1.41</v>
      </c>
      <c r="J2006" s="1">
        <v>3191</v>
      </c>
    </row>
    <row r="2007" spans="1:10" ht="14.25" customHeight="1" x14ac:dyDescent="0.25">
      <c r="A2007" s="21" t="str">
        <f>"06103"</f>
        <v>06103</v>
      </c>
      <c r="B2007" s="21"/>
      <c r="H2007">
        <v>16</v>
      </c>
    </row>
    <row r="2008" spans="1:10" ht="14.25" customHeight="1" x14ac:dyDescent="0.25">
      <c r="A2008" s="21" t="str">
        <f>"06107"</f>
        <v>06107</v>
      </c>
      <c r="B2008" s="21"/>
      <c r="C2008">
        <v>298.3</v>
      </c>
      <c r="D2008">
        <v>4.9000000000000004</v>
      </c>
      <c r="E2008">
        <v>594</v>
      </c>
      <c r="F2008">
        <v>403</v>
      </c>
      <c r="G2008">
        <v>41</v>
      </c>
      <c r="H2008">
        <v>403</v>
      </c>
      <c r="I2008">
        <v>1.72</v>
      </c>
      <c r="J2008" s="1">
        <v>23675</v>
      </c>
    </row>
    <row r="2009" spans="1:10" ht="14.25" customHeight="1" x14ac:dyDescent="0.25">
      <c r="A2009" s="21" t="str">
        <f>"06107"</f>
        <v>06107</v>
      </c>
      <c r="B2009" s="21"/>
      <c r="C2009">
        <v>9.1999999999999993</v>
      </c>
      <c r="D2009">
        <v>4.9000000000000004</v>
      </c>
      <c r="E2009">
        <v>76</v>
      </c>
      <c r="F2009">
        <v>108</v>
      </c>
      <c r="G2009">
        <v>14</v>
      </c>
      <c r="H2009">
        <v>108</v>
      </c>
      <c r="J2009">
        <v>703</v>
      </c>
    </row>
    <row r="2010" spans="1:10" ht="14.25" customHeight="1" x14ac:dyDescent="0.25">
      <c r="A2010" s="21" t="str">
        <f>"06107"</f>
        <v>06107</v>
      </c>
      <c r="B2010" s="21"/>
      <c r="C2010">
        <v>64.900000000000006</v>
      </c>
      <c r="D2010">
        <v>4.3</v>
      </c>
      <c r="E2010">
        <v>180</v>
      </c>
      <c r="F2010">
        <v>128</v>
      </c>
      <c r="G2010">
        <v>10</v>
      </c>
      <c r="H2010">
        <v>128</v>
      </c>
      <c r="I2010">
        <v>1.51</v>
      </c>
      <c r="J2010" s="1">
        <v>6182</v>
      </c>
    </row>
    <row r="2011" spans="1:10" ht="14.25" customHeight="1" x14ac:dyDescent="0.25">
      <c r="A2011" s="21" t="str">
        <f>"06107"</f>
        <v>06107</v>
      </c>
      <c r="B2011" s="21"/>
      <c r="C2011">
        <v>3.2</v>
      </c>
      <c r="D2011">
        <v>31.2</v>
      </c>
      <c r="E2011">
        <v>8</v>
      </c>
      <c r="F2011">
        <v>44</v>
      </c>
      <c r="H2011">
        <v>44</v>
      </c>
      <c r="I2011">
        <v>0.82</v>
      </c>
      <c r="J2011">
        <v>37</v>
      </c>
    </row>
    <row r="2012" spans="1:10" ht="14.25" customHeight="1" x14ac:dyDescent="0.25">
      <c r="A2012" s="21" t="str">
        <f>"06107"</f>
        <v>06107</v>
      </c>
      <c r="B2012" s="21"/>
      <c r="H2012">
        <v>63</v>
      </c>
    </row>
    <row r="2013" spans="1:10" ht="14.25" customHeight="1" x14ac:dyDescent="0.25">
      <c r="A2013" s="21" t="str">
        <f>"06109"</f>
        <v>06109</v>
      </c>
      <c r="B2013" s="21"/>
      <c r="C2013">
        <v>42.6</v>
      </c>
      <c r="D2013">
        <v>4</v>
      </c>
      <c r="E2013">
        <v>231</v>
      </c>
      <c r="F2013">
        <v>84</v>
      </c>
      <c r="G2013">
        <v>6</v>
      </c>
      <c r="H2013">
        <v>84</v>
      </c>
      <c r="I2013">
        <v>1.67</v>
      </c>
      <c r="J2013" s="1">
        <v>4158</v>
      </c>
    </row>
    <row r="2014" spans="1:10" ht="14.25" customHeight="1" x14ac:dyDescent="0.25">
      <c r="A2014" s="21" t="str">
        <f>"06109"</f>
        <v>06109</v>
      </c>
      <c r="B2014" s="21"/>
    </row>
    <row r="2015" spans="1:10" ht="14.25" customHeight="1" x14ac:dyDescent="0.25">
      <c r="A2015" s="21" t="str">
        <f t="shared" ref="A2015:A2022" si="24">"06111"</f>
        <v>06111</v>
      </c>
      <c r="B2015" s="21"/>
      <c r="C2015">
        <v>71.2</v>
      </c>
      <c r="D2015">
        <v>4.0999999999999996</v>
      </c>
      <c r="E2015">
        <v>196</v>
      </c>
      <c r="F2015">
        <v>144</v>
      </c>
      <c r="G2015">
        <v>24</v>
      </c>
      <c r="H2015">
        <v>144</v>
      </c>
      <c r="I2015">
        <v>1.45</v>
      </c>
      <c r="J2015" s="1">
        <v>6574</v>
      </c>
    </row>
    <row r="2016" spans="1:10" ht="14.25" customHeight="1" x14ac:dyDescent="0.25">
      <c r="A2016" s="21" t="str">
        <f t="shared" si="24"/>
        <v>06111</v>
      </c>
      <c r="B2016" s="21"/>
      <c r="C2016">
        <v>130</v>
      </c>
      <c r="D2016">
        <v>4.7</v>
      </c>
      <c r="E2016">
        <v>236</v>
      </c>
      <c r="F2016">
        <v>242</v>
      </c>
      <c r="G2016">
        <v>20</v>
      </c>
      <c r="H2016">
        <v>242</v>
      </c>
      <c r="I2016">
        <v>1.85</v>
      </c>
      <c r="J2016" s="1">
        <v>10593</v>
      </c>
    </row>
    <row r="2017" spans="1:10" ht="14.25" customHeight="1" x14ac:dyDescent="0.25">
      <c r="A2017" s="21" t="str">
        <f t="shared" si="24"/>
        <v>06111</v>
      </c>
      <c r="B2017" s="21"/>
      <c r="C2017">
        <v>117</v>
      </c>
      <c r="D2017">
        <v>3.4</v>
      </c>
      <c r="E2017">
        <v>402</v>
      </c>
      <c r="F2017">
        <v>272</v>
      </c>
      <c r="G2017">
        <v>60</v>
      </c>
      <c r="H2017">
        <v>272</v>
      </c>
      <c r="I2017">
        <v>1.45</v>
      </c>
      <c r="J2017" s="1">
        <v>13606</v>
      </c>
    </row>
    <row r="2018" spans="1:10" ht="14.25" customHeight="1" x14ac:dyDescent="0.25">
      <c r="A2018" s="21" t="str">
        <f t="shared" si="24"/>
        <v>06111</v>
      </c>
      <c r="B2018" s="21"/>
      <c r="H2018">
        <v>21</v>
      </c>
    </row>
    <row r="2019" spans="1:10" ht="14.25" customHeight="1" x14ac:dyDescent="0.25">
      <c r="A2019" s="21" t="str">
        <f t="shared" si="24"/>
        <v>06111</v>
      </c>
      <c r="B2019" s="21"/>
      <c r="C2019">
        <v>40</v>
      </c>
      <c r="D2019">
        <v>3.8</v>
      </c>
      <c r="E2019">
        <v>97</v>
      </c>
      <c r="F2019">
        <v>81</v>
      </c>
      <c r="G2019">
        <v>8</v>
      </c>
      <c r="H2019">
        <v>81</v>
      </c>
      <c r="I2019">
        <v>1.53</v>
      </c>
      <c r="J2019" s="1">
        <v>3806</v>
      </c>
    </row>
    <row r="2020" spans="1:10" ht="14.25" customHeight="1" x14ac:dyDescent="0.25">
      <c r="A2020" s="21" t="str">
        <f t="shared" si="24"/>
        <v>06111</v>
      </c>
      <c r="B2020" s="21"/>
      <c r="C2020">
        <v>125.9</v>
      </c>
      <c r="D2020">
        <v>4.3</v>
      </c>
      <c r="E2020">
        <v>455</v>
      </c>
      <c r="F2020">
        <v>201</v>
      </c>
      <c r="G2020">
        <v>21</v>
      </c>
      <c r="H2020">
        <v>201</v>
      </c>
      <c r="I2020">
        <v>1.81</v>
      </c>
      <c r="J2020" s="1">
        <v>11698</v>
      </c>
    </row>
    <row r="2021" spans="1:10" ht="14.25" customHeight="1" x14ac:dyDescent="0.25">
      <c r="A2021" s="21" t="str">
        <f t="shared" si="24"/>
        <v>06111</v>
      </c>
      <c r="B2021" s="21"/>
      <c r="C2021">
        <v>192.5</v>
      </c>
      <c r="D2021">
        <v>4.8</v>
      </c>
      <c r="E2021">
        <v>418</v>
      </c>
      <c r="F2021">
        <v>287</v>
      </c>
      <c r="G2021">
        <v>24</v>
      </c>
      <c r="H2021">
        <v>287</v>
      </c>
      <c r="I2021">
        <v>1.83</v>
      </c>
      <c r="J2021" s="1">
        <v>15484</v>
      </c>
    </row>
    <row r="2022" spans="1:10" ht="14.25" customHeight="1" x14ac:dyDescent="0.25">
      <c r="A2022" s="21" t="str">
        <f t="shared" si="24"/>
        <v>06111</v>
      </c>
      <c r="B2022" s="21"/>
      <c r="H2022">
        <v>49</v>
      </c>
    </row>
    <row r="2023" spans="1:10" ht="14.25" customHeight="1" x14ac:dyDescent="0.25">
      <c r="A2023" s="21" t="str">
        <f>"06113"</f>
        <v>06113</v>
      </c>
      <c r="B2023" s="21"/>
      <c r="C2023">
        <v>29.3</v>
      </c>
      <c r="D2023">
        <v>4.3</v>
      </c>
      <c r="E2023">
        <v>149</v>
      </c>
      <c r="F2023">
        <v>48</v>
      </c>
      <c r="G2023">
        <v>6</v>
      </c>
      <c r="H2023">
        <v>48</v>
      </c>
      <c r="I2023">
        <v>1.58</v>
      </c>
      <c r="J2023" s="1">
        <v>3038</v>
      </c>
    </row>
    <row r="2024" spans="1:10" ht="14.25" customHeight="1" x14ac:dyDescent="0.25">
      <c r="A2024" s="21" t="str">
        <f>"06113"</f>
        <v>06113</v>
      </c>
      <c r="B2024" s="21"/>
      <c r="C2024">
        <v>26.3</v>
      </c>
      <c r="D2024">
        <v>3.1</v>
      </c>
      <c r="E2024">
        <v>214</v>
      </c>
      <c r="F2024">
        <v>77</v>
      </c>
      <c r="G2024">
        <v>8</v>
      </c>
      <c r="H2024">
        <v>77</v>
      </c>
      <c r="I2024">
        <v>1.64</v>
      </c>
      <c r="J2024" s="1">
        <v>3497</v>
      </c>
    </row>
    <row r="2025" spans="1:10" ht="14.25" customHeight="1" x14ac:dyDescent="0.25">
      <c r="A2025" s="21" t="str">
        <f>"06115"</f>
        <v>06115</v>
      </c>
      <c r="B2025" s="21"/>
      <c r="C2025">
        <v>147.80000000000001</v>
      </c>
      <c r="D2025">
        <v>4.9000000000000004</v>
      </c>
      <c r="E2025">
        <v>274</v>
      </c>
      <c r="F2025">
        <v>209</v>
      </c>
      <c r="G2025">
        <v>24</v>
      </c>
      <c r="H2025">
        <v>149</v>
      </c>
      <c r="I2025">
        <v>1.67</v>
      </c>
      <c r="J2025" s="1">
        <v>11677</v>
      </c>
    </row>
    <row r="2026" spans="1:10" ht="14.25" customHeight="1" x14ac:dyDescent="0.25">
      <c r="A2026" s="21" t="str">
        <f>"08001"</f>
        <v>08001</v>
      </c>
      <c r="B2026" s="21"/>
      <c r="C2026">
        <v>30</v>
      </c>
      <c r="D2026">
        <v>3.9</v>
      </c>
      <c r="E2026">
        <v>184</v>
      </c>
      <c r="F2026">
        <v>89</v>
      </c>
      <c r="G2026">
        <v>8</v>
      </c>
      <c r="H2026">
        <v>89</v>
      </c>
      <c r="I2026">
        <v>1.82</v>
      </c>
      <c r="J2026" s="1">
        <v>3063</v>
      </c>
    </row>
    <row r="2027" spans="1:10" ht="14.25" customHeight="1" x14ac:dyDescent="0.25">
      <c r="A2027" s="21" t="str">
        <f>"08001"</f>
        <v>08001</v>
      </c>
      <c r="B2027" s="21"/>
      <c r="C2027">
        <v>543.1</v>
      </c>
      <c r="D2027">
        <v>5.9</v>
      </c>
      <c r="E2027" s="1">
        <v>2013</v>
      </c>
      <c r="F2027">
        <v>650</v>
      </c>
      <c r="G2027">
        <v>101</v>
      </c>
      <c r="H2027">
        <v>650</v>
      </c>
      <c r="I2027">
        <v>2.41</v>
      </c>
      <c r="J2027" s="1">
        <v>34516</v>
      </c>
    </row>
    <row r="2028" spans="1:10" ht="14.25" customHeight="1" x14ac:dyDescent="0.25">
      <c r="A2028" s="21" t="str">
        <f>"08001"</f>
        <v>08001</v>
      </c>
      <c r="B2028" s="21"/>
      <c r="C2028">
        <v>72.5</v>
      </c>
      <c r="D2028">
        <v>3.9</v>
      </c>
      <c r="E2028">
        <v>185</v>
      </c>
      <c r="F2028">
        <v>127</v>
      </c>
      <c r="G2028">
        <v>16</v>
      </c>
      <c r="H2028">
        <v>127</v>
      </c>
      <c r="I2028">
        <v>1.76</v>
      </c>
      <c r="J2028" s="1">
        <v>7623</v>
      </c>
    </row>
    <row r="2029" spans="1:10" ht="14.25" customHeight="1" x14ac:dyDescent="0.25">
      <c r="A2029" s="21" t="str">
        <f>"08001"</f>
        <v>08001</v>
      </c>
      <c r="B2029" s="21"/>
      <c r="H2029">
        <v>8</v>
      </c>
    </row>
    <row r="2030" spans="1:10" ht="14.25" customHeight="1" x14ac:dyDescent="0.25">
      <c r="A2030" s="21" t="str">
        <f>"08003"</f>
        <v>08003</v>
      </c>
      <c r="B2030" s="21"/>
      <c r="C2030">
        <v>18.5</v>
      </c>
      <c r="D2030">
        <v>3.9</v>
      </c>
      <c r="E2030">
        <v>112</v>
      </c>
      <c r="F2030">
        <v>49</v>
      </c>
      <c r="G2030">
        <v>6</v>
      </c>
      <c r="H2030">
        <v>49</v>
      </c>
      <c r="I2030">
        <v>1.58</v>
      </c>
      <c r="J2030" s="1">
        <v>1926</v>
      </c>
    </row>
    <row r="2031" spans="1:10" ht="14.25" customHeight="1" x14ac:dyDescent="0.25">
      <c r="A2031" s="21" t="str">
        <f>"08005"</f>
        <v>08005</v>
      </c>
      <c r="B2031" s="21"/>
      <c r="C2031">
        <v>209.1</v>
      </c>
      <c r="D2031">
        <v>4.8</v>
      </c>
      <c r="E2031">
        <v>489</v>
      </c>
      <c r="F2031">
        <v>309</v>
      </c>
      <c r="G2031">
        <v>45</v>
      </c>
      <c r="H2031">
        <v>309</v>
      </c>
      <c r="I2031">
        <v>1.92</v>
      </c>
      <c r="J2031" s="1">
        <v>16424</v>
      </c>
    </row>
    <row r="2032" spans="1:10" ht="14.25" customHeight="1" x14ac:dyDescent="0.25">
      <c r="A2032" s="21" t="str">
        <f>"08005"</f>
        <v>08005</v>
      </c>
      <c r="B2032" s="21"/>
      <c r="C2032">
        <v>249</v>
      </c>
      <c r="D2032">
        <v>4.9000000000000004</v>
      </c>
      <c r="E2032">
        <v>644</v>
      </c>
      <c r="F2032">
        <v>327</v>
      </c>
      <c r="G2032">
        <v>58</v>
      </c>
      <c r="H2032">
        <v>327</v>
      </c>
      <c r="I2032">
        <v>2.04</v>
      </c>
      <c r="J2032" s="1">
        <v>19362</v>
      </c>
    </row>
    <row r="2033" spans="1:10" ht="14.25" customHeight="1" x14ac:dyDescent="0.25">
      <c r="A2033" s="21" t="str">
        <f>"08005"</f>
        <v>08005</v>
      </c>
      <c r="B2033" s="21"/>
      <c r="C2033">
        <v>105</v>
      </c>
      <c r="D2033">
        <v>4.2</v>
      </c>
      <c r="E2033">
        <v>472</v>
      </c>
      <c r="F2033">
        <v>159</v>
      </c>
      <c r="G2033">
        <v>24</v>
      </c>
      <c r="H2033">
        <v>159</v>
      </c>
      <c r="I2033">
        <v>1.77</v>
      </c>
      <c r="J2033" s="1">
        <v>9833</v>
      </c>
    </row>
    <row r="2034" spans="1:10" ht="14.25" customHeight="1" x14ac:dyDescent="0.25">
      <c r="A2034" s="21" t="str">
        <f>"08005"</f>
        <v>08005</v>
      </c>
      <c r="B2034" s="21"/>
      <c r="H2034">
        <v>8</v>
      </c>
    </row>
    <row r="2035" spans="1:10" ht="14.25" customHeight="1" x14ac:dyDescent="0.25">
      <c r="A2035" s="21" t="str">
        <f>"08013"</f>
        <v>08013</v>
      </c>
      <c r="B2035" s="21"/>
      <c r="C2035">
        <v>127.5</v>
      </c>
      <c r="D2035">
        <v>4.0999999999999996</v>
      </c>
      <c r="E2035">
        <v>633</v>
      </c>
      <c r="F2035">
        <v>183</v>
      </c>
      <c r="G2035">
        <v>24</v>
      </c>
      <c r="H2035">
        <v>183</v>
      </c>
      <c r="I2035">
        <v>1.75</v>
      </c>
      <c r="J2035" s="1">
        <v>12173</v>
      </c>
    </row>
    <row r="2036" spans="1:10" ht="14.25" customHeight="1" x14ac:dyDescent="0.25">
      <c r="A2036" s="21" t="str">
        <f>"08013"</f>
        <v>08013</v>
      </c>
      <c r="B2036" s="21"/>
      <c r="C2036">
        <v>37.799999999999997</v>
      </c>
      <c r="D2036">
        <v>3.7</v>
      </c>
      <c r="E2036">
        <v>208</v>
      </c>
      <c r="F2036">
        <v>108</v>
      </c>
      <c r="G2036">
        <v>8</v>
      </c>
      <c r="H2036">
        <v>108</v>
      </c>
      <c r="I2036">
        <v>1.84</v>
      </c>
      <c r="J2036" s="1">
        <v>4716</v>
      </c>
    </row>
    <row r="2037" spans="1:10" ht="14.25" customHeight="1" x14ac:dyDescent="0.25">
      <c r="A2037" s="21" t="str">
        <f>"08013"</f>
        <v>08013</v>
      </c>
      <c r="B2037" s="21"/>
    </row>
    <row r="2038" spans="1:10" ht="14.25" customHeight="1" x14ac:dyDescent="0.25">
      <c r="A2038" s="21" t="str">
        <f>"08013"</f>
        <v>08013</v>
      </c>
      <c r="B2038" s="21"/>
      <c r="C2038">
        <v>50.5</v>
      </c>
      <c r="D2038">
        <v>4.2</v>
      </c>
      <c r="E2038">
        <v>172</v>
      </c>
      <c r="F2038">
        <v>131</v>
      </c>
      <c r="G2038">
        <v>16</v>
      </c>
      <c r="H2038">
        <v>131</v>
      </c>
      <c r="I2038">
        <v>1.61</v>
      </c>
      <c r="J2038" s="1">
        <v>4621</v>
      </c>
    </row>
    <row r="2039" spans="1:10" ht="14.25" customHeight="1" x14ac:dyDescent="0.25">
      <c r="A2039" s="21" t="str">
        <f>"08013"</f>
        <v>08013</v>
      </c>
      <c r="B2039" s="21"/>
      <c r="C2039">
        <v>69.3</v>
      </c>
      <c r="D2039">
        <v>3.5</v>
      </c>
      <c r="E2039">
        <v>512</v>
      </c>
      <c r="F2039">
        <v>139</v>
      </c>
      <c r="G2039">
        <v>18</v>
      </c>
      <c r="H2039">
        <v>139</v>
      </c>
      <c r="I2039">
        <v>1.9</v>
      </c>
      <c r="J2039" s="1">
        <v>7637</v>
      </c>
    </row>
    <row r="2040" spans="1:10" ht="14.25" customHeight="1" x14ac:dyDescent="0.25">
      <c r="A2040" s="21" t="str">
        <f>"08014"</f>
        <v>08014</v>
      </c>
      <c r="B2040" s="21"/>
      <c r="C2040">
        <v>51.5</v>
      </c>
      <c r="D2040">
        <v>3.4</v>
      </c>
      <c r="E2040">
        <v>213</v>
      </c>
      <c r="F2040">
        <v>92</v>
      </c>
      <c r="G2040">
        <v>20</v>
      </c>
      <c r="H2040">
        <v>92</v>
      </c>
      <c r="I2040">
        <v>1.7</v>
      </c>
      <c r="J2040" s="1">
        <v>5982</v>
      </c>
    </row>
    <row r="2041" spans="1:10" ht="14.25" customHeight="1" x14ac:dyDescent="0.25">
      <c r="A2041" s="21" t="str">
        <f>"08014"</f>
        <v>08014</v>
      </c>
      <c r="B2041" s="21"/>
      <c r="C2041">
        <v>0.1</v>
      </c>
      <c r="D2041">
        <v>1.4</v>
      </c>
      <c r="I2041">
        <v>1.1499999999999999</v>
      </c>
      <c r="J2041">
        <v>27</v>
      </c>
    </row>
    <row r="2042" spans="1:10" ht="14.25" customHeight="1" x14ac:dyDescent="0.25">
      <c r="A2042" s="21" t="str">
        <f>"08017"</f>
        <v>08017</v>
      </c>
      <c r="B2042" s="21"/>
      <c r="C2042">
        <v>0.6</v>
      </c>
      <c r="D2042">
        <v>4.0999999999999996</v>
      </c>
      <c r="E2042">
        <v>6</v>
      </c>
      <c r="H2042">
        <v>11</v>
      </c>
      <c r="I2042">
        <v>0.89</v>
      </c>
      <c r="J2042">
        <v>56</v>
      </c>
    </row>
    <row r="2043" spans="1:10" ht="14.25" customHeight="1" x14ac:dyDescent="0.25">
      <c r="A2043" s="21" t="str">
        <f>"08029"</f>
        <v>08029</v>
      </c>
      <c r="B2043" s="21"/>
      <c r="C2043">
        <v>13.4</v>
      </c>
      <c r="D2043">
        <v>3.2</v>
      </c>
      <c r="E2043">
        <v>99</v>
      </c>
      <c r="F2043">
        <v>49</v>
      </c>
      <c r="G2043">
        <v>6</v>
      </c>
      <c r="H2043">
        <v>49</v>
      </c>
      <c r="I2043">
        <v>1.39</v>
      </c>
      <c r="J2043" s="1">
        <v>1586</v>
      </c>
    </row>
    <row r="2044" spans="1:10" ht="14.25" customHeight="1" x14ac:dyDescent="0.25">
      <c r="A2044" s="21" t="str">
        <f t="shared" ref="A2044:A2050" si="25">"08031"</f>
        <v>08031</v>
      </c>
      <c r="B2044" s="21"/>
      <c r="C2044">
        <v>0.5</v>
      </c>
      <c r="D2044">
        <v>3.7</v>
      </c>
      <c r="E2044">
        <v>218</v>
      </c>
      <c r="F2044">
        <v>24</v>
      </c>
      <c r="H2044">
        <v>24</v>
      </c>
      <c r="I2044">
        <v>1.38</v>
      </c>
      <c r="J2044">
        <v>50</v>
      </c>
    </row>
    <row r="2045" spans="1:10" ht="14.25" customHeight="1" x14ac:dyDescent="0.25">
      <c r="A2045" s="21" t="str">
        <f t="shared" si="25"/>
        <v>08031</v>
      </c>
      <c r="B2045" s="21"/>
      <c r="C2045">
        <v>110.3</v>
      </c>
      <c r="D2045">
        <v>4.3</v>
      </c>
      <c r="E2045">
        <v>479</v>
      </c>
      <c r="F2045">
        <v>226</v>
      </c>
      <c r="G2045">
        <v>35</v>
      </c>
      <c r="H2045">
        <v>226</v>
      </c>
      <c r="I2045">
        <v>2.0299999999999998</v>
      </c>
      <c r="J2045" s="1">
        <v>11221</v>
      </c>
    </row>
    <row r="2046" spans="1:10" ht="14.25" customHeight="1" x14ac:dyDescent="0.25">
      <c r="A2046" s="21" t="str">
        <f t="shared" si="25"/>
        <v>08031</v>
      </c>
      <c r="B2046" s="21"/>
      <c r="C2046">
        <v>90.2</v>
      </c>
      <c r="D2046">
        <v>4.3</v>
      </c>
      <c r="E2046">
        <v>264</v>
      </c>
      <c r="F2046">
        <v>176</v>
      </c>
      <c r="G2046">
        <v>36</v>
      </c>
      <c r="H2046">
        <v>176</v>
      </c>
      <c r="I2046">
        <v>2.19</v>
      </c>
      <c r="J2046" s="1">
        <v>7686</v>
      </c>
    </row>
    <row r="2047" spans="1:10" ht="14.25" customHeight="1" x14ac:dyDescent="0.25">
      <c r="A2047" s="21" t="str">
        <f t="shared" si="25"/>
        <v>08031</v>
      </c>
      <c r="B2047" s="21"/>
      <c r="C2047">
        <v>229.4</v>
      </c>
      <c r="D2047">
        <v>4.8</v>
      </c>
      <c r="E2047">
        <v>560</v>
      </c>
      <c r="F2047">
        <v>361</v>
      </c>
      <c r="G2047">
        <v>30</v>
      </c>
      <c r="H2047">
        <v>361</v>
      </c>
      <c r="I2047">
        <v>2.14</v>
      </c>
      <c r="J2047" s="1">
        <v>18901</v>
      </c>
    </row>
    <row r="2048" spans="1:10" ht="14.25" customHeight="1" x14ac:dyDescent="0.25">
      <c r="A2048" s="21" t="str">
        <f t="shared" si="25"/>
        <v>08031</v>
      </c>
      <c r="B2048" s="21"/>
      <c r="C2048">
        <v>242.4</v>
      </c>
      <c r="D2048">
        <v>5.4</v>
      </c>
      <c r="E2048">
        <v>852</v>
      </c>
      <c r="F2048">
        <v>378</v>
      </c>
      <c r="G2048">
        <v>32</v>
      </c>
      <c r="H2048">
        <v>378</v>
      </c>
      <c r="I2048">
        <v>1.92</v>
      </c>
      <c r="J2048" s="1">
        <v>17751</v>
      </c>
    </row>
    <row r="2049" spans="1:10" ht="14.25" customHeight="1" x14ac:dyDescent="0.25">
      <c r="A2049" s="21" t="str">
        <f t="shared" si="25"/>
        <v>08031</v>
      </c>
      <c r="B2049" s="21"/>
      <c r="C2049">
        <v>183.3</v>
      </c>
      <c r="D2049">
        <v>7.8</v>
      </c>
      <c r="E2049">
        <v>354</v>
      </c>
      <c r="F2049">
        <v>307</v>
      </c>
      <c r="G2049">
        <v>59</v>
      </c>
      <c r="H2049">
        <v>307</v>
      </c>
      <c r="I2049">
        <v>2.69</v>
      </c>
      <c r="J2049" s="1">
        <v>10706</v>
      </c>
    </row>
    <row r="2050" spans="1:10" ht="14.25" customHeight="1" x14ac:dyDescent="0.25">
      <c r="A2050" s="21" t="str">
        <f t="shared" si="25"/>
        <v>08031</v>
      </c>
      <c r="B2050" s="21"/>
      <c r="E2050">
        <v>2</v>
      </c>
      <c r="H2050">
        <v>279</v>
      </c>
    </row>
    <row r="2051" spans="1:10" ht="14.25" customHeight="1" x14ac:dyDescent="0.25">
      <c r="A2051" s="21" t="str">
        <f>"08035"</f>
        <v>08035</v>
      </c>
      <c r="B2051" s="21"/>
      <c r="C2051">
        <v>143.4</v>
      </c>
      <c r="D2051">
        <v>3.6</v>
      </c>
      <c r="E2051">
        <v>485</v>
      </c>
      <c r="F2051">
        <v>272</v>
      </c>
      <c r="G2051">
        <v>30</v>
      </c>
      <c r="H2051">
        <v>284</v>
      </c>
      <c r="I2051">
        <v>2.19</v>
      </c>
      <c r="J2051" s="1">
        <v>16241</v>
      </c>
    </row>
    <row r="2052" spans="1:10" ht="14.25" customHeight="1" x14ac:dyDescent="0.25">
      <c r="A2052" s="21" t="str">
        <f>"08035"</f>
        <v>08035</v>
      </c>
      <c r="B2052" s="21"/>
      <c r="C2052">
        <v>79.7</v>
      </c>
      <c r="D2052">
        <v>3.8</v>
      </c>
      <c r="E2052">
        <v>285</v>
      </c>
      <c r="F2052">
        <v>165</v>
      </c>
      <c r="G2052">
        <v>16</v>
      </c>
      <c r="H2052">
        <v>165</v>
      </c>
      <c r="I2052">
        <v>1.95</v>
      </c>
      <c r="J2052" s="1">
        <v>8362</v>
      </c>
    </row>
    <row r="2053" spans="1:10" ht="14.25" customHeight="1" x14ac:dyDescent="0.25">
      <c r="A2053" s="21" t="str">
        <f>"08035"</f>
        <v>08035</v>
      </c>
      <c r="B2053" s="21"/>
      <c r="C2053">
        <v>28.2</v>
      </c>
      <c r="D2053">
        <v>3.2</v>
      </c>
      <c r="E2053">
        <v>124</v>
      </c>
      <c r="F2053">
        <v>53</v>
      </c>
      <c r="G2053">
        <v>8</v>
      </c>
      <c r="H2053">
        <v>53</v>
      </c>
      <c r="I2053">
        <v>1.75</v>
      </c>
      <c r="J2053" s="1">
        <v>3677</v>
      </c>
    </row>
    <row r="2054" spans="1:10" ht="14.25" customHeight="1" x14ac:dyDescent="0.25">
      <c r="A2054" s="21" t="str">
        <f>"08035"</f>
        <v>08035</v>
      </c>
      <c r="B2054" s="21"/>
      <c r="E2054">
        <v>60</v>
      </c>
      <c r="H2054">
        <v>87</v>
      </c>
    </row>
    <row r="2055" spans="1:10" ht="14.25" customHeight="1" x14ac:dyDescent="0.25">
      <c r="A2055" s="21" t="str">
        <f>"08037"</f>
        <v>08037</v>
      </c>
      <c r="B2055" s="21"/>
      <c r="C2055">
        <v>13.9</v>
      </c>
      <c r="D2055">
        <v>3</v>
      </c>
      <c r="E2055">
        <v>200</v>
      </c>
      <c r="F2055">
        <v>56</v>
      </c>
      <c r="G2055">
        <v>5</v>
      </c>
      <c r="H2055">
        <v>56</v>
      </c>
      <c r="I2055">
        <v>2.11</v>
      </c>
      <c r="J2055" s="1">
        <v>2077</v>
      </c>
    </row>
    <row r="2056" spans="1:10" ht="14.25" customHeight="1" x14ac:dyDescent="0.25">
      <c r="A2056" s="21" t="str">
        <f>"08041"</f>
        <v>08041</v>
      </c>
      <c r="B2056" s="21"/>
      <c r="C2056">
        <v>332.5</v>
      </c>
      <c r="D2056">
        <v>4.9000000000000004</v>
      </c>
      <c r="E2056">
        <v>981</v>
      </c>
      <c r="F2056">
        <v>515</v>
      </c>
      <c r="G2056">
        <v>46</v>
      </c>
      <c r="H2056">
        <v>515</v>
      </c>
      <c r="I2056">
        <v>1.88</v>
      </c>
      <c r="J2056" s="1">
        <v>25575</v>
      </c>
    </row>
    <row r="2057" spans="1:10" ht="14.25" customHeight="1" x14ac:dyDescent="0.25">
      <c r="A2057" s="21" t="str">
        <f>"08041"</f>
        <v>08041</v>
      </c>
      <c r="B2057" s="21"/>
      <c r="C2057">
        <v>264.7</v>
      </c>
      <c r="D2057">
        <v>4</v>
      </c>
      <c r="E2057">
        <v>766</v>
      </c>
      <c r="F2057">
        <v>445</v>
      </c>
      <c r="G2057">
        <v>45</v>
      </c>
      <c r="I2057">
        <v>1.93</v>
      </c>
      <c r="J2057" s="1">
        <v>24836</v>
      </c>
    </row>
    <row r="2058" spans="1:10" ht="14.25" customHeight="1" x14ac:dyDescent="0.25">
      <c r="A2058" s="21" t="str">
        <f>"08041"</f>
        <v>08041</v>
      </c>
      <c r="B2058" s="21"/>
      <c r="H2058">
        <v>86</v>
      </c>
    </row>
    <row r="2059" spans="1:10" ht="14.25" customHeight="1" x14ac:dyDescent="0.25">
      <c r="A2059" s="21" t="str">
        <f>"08041"</f>
        <v>08041</v>
      </c>
      <c r="B2059" s="21"/>
      <c r="E2059">
        <v>21</v>
      </c>
      <c r="H2059">
        <v>117</v>
      </c>
    </row>
    <row r="2060" spans="1:10" ht="14.25" customHeight="1" x14ac:dyDescent="0.25">
      <c r="A2060" s="21" t="str">
        <f>"08041"</f>
        <v>08041</v>
      </c>
      <c r="B2060" s="21"/>
      <c r="C2060">
        <v>5.4</v>
      </c>
      <c r="D2060">
        <v>2.2000000000000002</v>
      </c>
      <c r="E2060">
        <v>4</v>
      </c>
      <c r="F2060">
        <v>22</v>
      </c>
      <c r="H2060">
        <v>22</v>
      </c>
      <c r="I2060">
        <v>1.87</v>
      </c>
      <c r="J2060">
        <v>890</v>
      </c>
    </row>
    <row r="2061" spans="1:10" ht="14.25" customHeight="1" x14ac:dyDescent="0.25">
      <c r="A2061" s="21" t="str">
        <f>"08045"</f>
        <v>08045</v>
      </c>
      <c r="B2061" s="21"/>
      <c r="C2061">
        <v>33</v>
      </c>
      <c r="D2061">
        <v>4.4000000000000004</v>
      </c>
      <c r="E2061">
        <v>178</v>
      </c>
      <c r="F2061">
        <v>41</v>
      </c>
      <c r="G2061">
        <v>5</v>
      </c>
      <c r="H2061">
        <v>41</v>
      </c>
      <c r="I2061">
        <v>1.76</v>
      </c>
      <c r="J2061" s="1">
        <v>3028</v>
      </c>
    </row>
    <row r="2062" spans="1:10" ht="14.25" customHeight="1" x14ac:dyDescent="0.25">
      <c r="A2062" s="21" t="str">
        <f>"08059"</f>
        <v>08059</v>
      </c>
      <c r="B2062" s="21"/>
      <c r="C2062">
        <v>153.6</v>
      </c>
      <c r="D2062">
        <v>4.8</v>
      </c>
      <c r="E2062">
        <v>498</v>
      </c>
      <c r="F2062">
        <v>220</v>
      </c>
      <c r="G2062">
        <v>28</v>
      </c>
      <c r="H2062">
        <v>220</v>
      </c>
      <c r="I2062">
        <v>1.96</v>
      </c>
      <c r="J2062" s="1">
        <v>11621</v>
      </c>
    </row>
    <row r="2063" spans="1:10" ht="14.25" customHeight="1" x14ac:dyDescent="0.25">
      <c r="A2063" s="21" t="str">
        <f>"08059"</f>
        <v>08059</v>
      </c>
      <c r="B2063" s="21"/>
      <c r="C2063">
        <v>118.3</v>
      </c>
      <c r="D2063">
        <v>4.2</v>
      </c>
      <c r="E2063">
        <v>589</v>
      </c>
      <c r="F2063">
        <v>186</v>
      </c>
      <c r="G2063">
        <v>18</v>
      </c>
      <c r="H2063">
        <v>186</v>
      </c>
      <c r="I2063">
        <v>1.75</v>
      </c>
      <c r="J2063" s="1">
        <v>11169</v>
      </c>
    </row>
    <row r="2064" spans="1:10" ht="14.25" customHeight="1" x14ac:dyDescent="0.25">
      <c r="A2064" s="21" t="str">
        <f>"08059"</f>
        <v>08059</v>
      </c>
      <c r="B2064" s="21"/>
      <c r="C2064">
        <v>14.8</v>
      </c>
      <c r="D2064">
        <v>1.9</v>
      </c>
      <c r="E2064">
        <v>71</v>
      </c>
      <c r="F2064">
        <v>48</v>
      </c>
      <c r="H2064">
        <v>48</v>
      </c>
      <c r="I2064">
        <v>2.66</v>
      </c>
      <c r="J2064" s="1">
        <v>2889</v>
      </c>
    </row>
    <row r="2065" spans="1:10" ht="14.25" customHeight="1" x14ac:dyDescent="0.25">
      <c r="A2065" s="21" t="str">
        <f>"08059"</f>
        <v>08059</v>
      </c>
      <c r="B2065" s="21"/>
      <c r="C2065">
        <v>6.3</v>
      </c>
      <c r="D2065">
        <v>8.1999999999999993</v>
      </c>
      <c r="E2065">
        <v>15</v>
      </c>
      <c r="F2065">
        <v>22</v>
      </c>
      <c r="H2065">
        <v>22</v>
      </c>
      <c r="I2065">
        <v>1.58</v>
      </c>
      <c r="J2065">
        <v>280</v>
      </c>
    </row>
    <row r="2066" spans="1:10" ht="14.25" customHeight="1" x14ac:dyDescent="0.25">
      <c r="A2066" s="21" t="str">
        <f>"08059"</f>
        <v>08059</v>
      </c>
      <c r="B2066" s="21"/>
    </row>
    <row r="2067" spans="1:10" ht="14.25" customHeight="1" x14ac:dyDescent="0.25">
      <c r="A2067" s="21" t="str">
        <f>"08067"</f>
        <v>08067</v>
      </c>
      <c r="B2067" s="21"/>
      <c r="C2067">
        <v>2.4</v>
      </c>
      <c r="D2067">
        <v>1.8</v>
      </c>
      <c r="E2067">
        <v>59</v>
      </c>
      <c r="F2067">
        <v>12</v>
      </c>
      <c r="H2067">
        <v>12</v>
      </c>
      <c r="I2067">
        <v>2.12</v>
      </c>
      <c r="J2067">
        <v>505</v>
      </c>
    </row>
    <row r="2068" spans="1:10" ht="14.25" customHeight="1" x14ac:dyDescent="0.25">
      <c r="A2068" s="21" t="str">
        <f>"08067"</f>
        <v>08067</v>
      </c>
      <c r="B2068" s="21"/>
      <c r="C2068">
        <v>36.799999999999997</v>
      </c>
      <c r="D2068">
        <v>3.5</v>
      </c>
      <c r="E2068">
        <v>233</v>
      </c>
      <c r="F2068">
        <v>82</v>
      </c>
      <c r="G2068">
        <v>11</v>
      </c>
      <c r="H2068">
        <v>82</v>
      </c>
      <c r="I2068">
        <v>1.96</v>
      </c>
      <c r="J2068" s="1">
        <v>4296</v>
      </c>
    </row>
    <row r="2069" spans="1:10" ht="14.25" customHeight="1" x14ac:dyDescent="0.25">
      <c r="A2069" s="21" t="str">
        <f>"08069"</f>
        <v>08069</v>
      </c>
      <c r="B2069" s="21"/>
      <c r="C2069">
        <v>26.2</v>
      </c>
      <c r="D2069">
        <v>3.5</v>
      </c>
      <c r="E2069">
        <v>183</v>
      </c>
      <c r="F2069">
        <v>115</v>
      </c>
      <c r="G2069">
        <v>11</v>
      </c>
      <c r="H2069">
        <v>115</v>
      </c>
      <c r="I2069">
        <v>1.62</v>
      </c>
      <c r="J2069" s="1">
        <v>3057</v>
      </c>
    </row>
    <row r="2070" spans="1:10" ht="14.25" customHeight="1" x14ac:dyDescent="0.25">
      <c r="A2070" s="21" t="str">
        <f>"08069"</f>
        <v>08069</v>
      </c>
      <c r="B2070" s="21"/>
      <c r="C2070">
        <v>135.4</v>
      </c>
      <c r="D2070">
        <v>4.3</v>
      </c>
      <c r="E2070">
        <v>698</v>
      </c>
      <c r="F2070">
        <v>225</v>
      </c>
      <c r="G2070">
        <v>12</v>
      </c>
      <c r="H2070">
        <v>225</v>
      </c>
      <c r="I2070">
        <v>1.75</v>
      </c>
      <c r="J2070" s="1">
        <v>12300</v>
      </c>
    </row>
    <row r="2071" spans="1:10" ht="14.25" customHeight="1" x14ac:dyDescent="0.25">
      <c r="A2071" s="21" t="str">
        <f>"08069"</f>
        <v>08069</v>
      </c>
      <c r="B2071" s="21"/>
      <c r="C2071">
        <v>132.9</v>
      </c>
      <c r="D2071">
        <v>4.3</v>
      </c>
      <c r="E2071">
        <v>375</v>
      </c>
      <c r="F2071">
        <v>174</v>
      </c>
      <c r="G2071">
        <v>20</v>
      </c>
      <c r="H2071">
        <v>174</v>
      </c>
      <c r="I2071">
        <v>2.33</v>
      </c>
      <c r="J2071" s="1">
        <v>12220</v>
      </c>
    </row>
    <row r="2072" spans="1:10" ht="14.25" customHeight="1" x14ac:dyDescent="0.25">
      <c r="A2072" s="21" t="str">
        <f>"08069"</f>
        <v>08069</v>
      </c>
      <c r="B2072" s="21"/>
      <c r="C2072">
        <v>8</v>
      </c>
      <c r="D2072">
        <v>3.1</v>
      </c>
      <c r="E2072">
        <v>56</v>
      </c>
      <c r="F2072">
        <v>23</v>
      </c>
      <c r="H2072">
        <v>23</v>
      </c>
      <c r="I2072">
        <v>1.89</v>
      </c>
      <c r="J2072" s="1">
        <v>1202</v>
      </c>
    </row>
    <row r="2073" spans="1:10" ht="14.25" customHeight="1" x14ac:dyDescent="0.25">
      <c r="A2073" s="21" t="str">
        <f>"08075"</f>
        <v>08075</v>
      </c>
      <c r="B2073" s="21"/>
      <c r="C2073">
        <v>8.1</v>
      </c>
      <c r="D2073">
        <v>3</v>
      </c>
      <c r="E2073">
        <v>68</v>
      </c>
      <c r="F2073">
        <v>25</v>
      </c>
      <c r="G2073">
        <v>4</v>
      </c>
      <c r="H2073">
        <v>25</v>
      </c>
      <c r="I2073">
        <v>1.46</v>
      </c>
      <c r="J2073" s="1">
        <v>1100</v>
      </c>
    </row>
    <row r="2074" spans="1:10" ht="14.25" customHeight="1" x14ac:dyDescent="0.25">
      <c r="A2074" s="21" t="str">
        <f>"08077"</f>
        <v>08077</v>
      </c>
      <c r="B2074" s="21"/>
      <c r="C2074">
        <v>17.100000000000001</v>
      </c>
      <c r="D2074">
        <v>2.5</v>
      </c>
      <c r="E2074">
        <v>190</v>
      </c>
      <c r="F2074">
        <v>53</v>
      </c>
      <c r="G2074">
        <v>12</v>
      </c>
      <c r="H2074">
        <v>53</v>
      </c>
      <c r="I2074">
        <v>1.82</v>
      </c>
      <c r="J2074" s="1">
        <v>2777</v>
      </c>
    </row>
    <row r="2075" spans="1:10" ht="14.25" customHeight="1" x14ac:dyDescent="0.25">
      <c r="A2075" s="21" t="str">
        <f>"08077"</f>
        <v>08077</v>
      </c>
      <c r="B2075" s="21"/>
      <c r="C2075">
        <v>155.19999999999999</v>
      </c>
      <c r="D2075">
        <v>3.7</v>
      </c>
      <c r="E2075">
        <v>530</v>
      </c>
      <c r="F2075">
        <v>257</v>
      </c>
      <c r="G2075">
        <v>18</v>
      </c>
      <c r="H2075">
        <v>257</v>
      </c>
      <c r="I2075">
        <v>1.93</v>
      </c>
      <c r="J2075" s="1">
        <v>15864</v>
      </c>
    </row>
    <row r="2076" spans="1:10" ht="14.25" customHeight="1" x14ac:dyDescent="0.25">
      <c r="A2076" s="21" t="str">
        <f>"08085"</f>
        <v>08085</v>
      </c>
      <c r="B2076" s="21"/>
      <c r="C2076">
        <v>18.3</v>
      </c>
      <c r="D2076">
        <v>2.4</v>
      </c>
      <c r="E2076">
        <v>177</v>
      </c>
      <c r="F2076">
        <v>50</v>
      </c>
      <c r="G2076">
        <v>8</v>
      </c>
      <c r="H2076">
        <v>50</v>
      </c>
      <c r="I2076">
        <v>1.42</v>
      </c>
      <c r="J2076" s="1">
        <v>3031</v>
      </c>
    </row>
    <row r="2077" spans="1:10" ht="14.25" customHeight="1" x14ac:dyDescent="0.25">
      <c r="A2077" s="21" t="str">
        <f>"08087"</f>
        <v>08087</v>
      </c>
      <c r="B2077" s="21"/>
      <c r="C2077">
        <v>5.2</v>
      </c>
      <c r="D2077">
        <v>2.6</v>
      </c>
      <c r="E2077">
        <v>54</v>
      </c>
      <c r="F2077">
        <v>36</v>
      </c>
      <c r="G2077">
        <v>6</v>
      </c>
      <c r="H2077">
        <v>36</v>
      </c>
      <c r="I2077">
        <v>1.32</v>
      </c>
      <c r="J2077">
        <v>950</v>
      </c>
    </row>
    <row r="2078" spans="1:10" ht="14.25" customHeight="1" x14ac:dyDescent="0.25">
      <c r="A2078" s="21" t="str">
        <f>"08101"</f>
        <v>08101</v>
      </c>
      <c r="B2078" s="21"/>
      <c r="C2078">
        <v>22</v>
      </c>
      <c r="D2078">
        <v>4</v>
      </c>
      <c r="E2078">
        <v>190</v>
      </c>
      <c r="F2078">
        <v>42</v>
      </c>
      <c r="G2078">
        <v>6</v>
      </c>
      <c r="H2078">
        <v>42</v>
      </c>
      <c r="I2078">
        <v>1.78</v>
      </c>
      <c r="J2078" s="1">
        <v>2027</v>
      </c>
    </row>
    <row r="2079" spans="1:10" ht="14.25" customHeight="1" x14ac:dyDescent="0.25">
      <c r="A2079" s="21" t="str">
        <f>"08101"</f>
        <v>08101</v>
      </c>
      <c r="B2079" s="21"/>
      <c r="C2079">
        <v>185.8</v>
      </c>
      <c r="D2079">
        <v>5.2</v>
      </c>
      <c r="E2079">
        <v>537</v>
      </c>
      <c r="F2079">
        <v>276</v>
      </c>
      <c r="G2079">
        <v>12</v>
      </c>
      <c r="H2079">
        <v>276</v>
      </c>
      <c r="I2079">
        <v>1.71</v>
      </c>
      <c r="J2079" s="1">
        <v>13976</v>
      </c>
    </row>
    <row r="2080" spans="1:10" ht="14.25" customHeight="1" x14ac:dyDescent="0.25">
      <c r="A2080" s="21" t="str">
        <f>"08101"</f>
        <v>08101</v>
      </c>
      <c r="B2080" s="21"/>
    </row>
    <row r="2081" spans="1:10" ht="14.25" customHeight="1" x14ac:dyDescent="0.25">
      <c r="A2081" s="21" t="str">
        <f>"08107"</f>
        <v>08107</v>
      </c>
      <c r="B2081" s="21"/>
      <c r="C2081">
        <v>8.6999999999999993</v>
      </c>
      <c r="D2081">
        <v>2.8</v>
      </c>
      <c r="E2081">
        <v>106</v>
      </c>
      <c r="F2081">
        <v>39</v>
      </c>
      <c r="G2081">
        <v>4</v>
      </c>
      <c r="H2081">
        <v>39</v>
      </c>
      <c r="I2081">
        <v>1.97</v>
      </c>
      <c r="J2081" s="1">
        <v>1334</v>
      </c>
    </row>
    <row r="2082" spans="1:10" ht="14.25" customHeight="1" x14ac:dyDescent="0.25">
      <c r="A2082" s="21" t="str">
        <f>"08117"</f>
        <v>08117</v>
      </c>
      <c r="B2082" s="21"/>
      <c r="C2082">
        <v>8.6</v>
      </c>
      <c r="D2082">
        <v>3</v>
      </c>
      <c r="E2082">
        <v>94</v>
      </c>
      <c r="F2082">
        <v>34</v>
      </c>
      <c r="G2082">
        <v>8</v>
      </c>
      <c r="H2082">
        <v>34</v>
      </c>
      <c r="I2082">
        <v>1.72</v>
      </c>
      <c r="J2082" s="1">
        <v>1286</v>
      </c>
    </row>
    <row r="2083" spans="1:10" ht="14.25" customHeight="1" x14ac:dyDescent="0.25">
      <c r="A2083" s="21" t="str">
        <f>"08123"</f>
        <v>08123</v>
      </c>
      <c r="B2083" s="21"/>
      <c r="C2083">
        <v>117.8</v>
      </c>
      <c r="D2083">
        <v>4.5999999999999996</v>
      </c>
      <c r="E2083">
        <v>387</v>
      </c>
      <c r="F2083">
        <v>225</v>
      </c>
      <c r="G2083">
        <v>16</v>
      </c>
      <c r="H2083">
        <v>225</v>
      </c>
      <c r="I2083">
        <v>1.94</v>
      </c>
      <c r="J2083" s="1">
        <v>10375</v>
      </c>
    </row>
    <row r="2084" spans="1:10" ht="14.25" customHeight="1" x14ac:dyDescent="0.25">
      <c r="A2084" s="21" t="str">
        <f>"08123"</f>
        <v>08123</v>
      </c>
      <c r="B2084" s="21"/>
      <c r="C2084">
        <v>24.5</v>
      </c>
      <c r="D2084">
        <v>5.2</v>
      </c>
      <c r="E2084">
        <v>133</v>
      </c>
      <c r="F2084">
        <v>50</v>
      </c>
      <c r="G2084">
        <v>6</v>
      </c>
      <c r="H2084">
        <v>50</v>
      </c>
      <c r="I2084">
        <v>1.64</v>
      </c>
      <c r="J2084" s="1">
        <v>2011</v>
      </c>
    </row>
    <row r="2085" spans="1:10" ht="14.25" customHeight="1" x14ac:dyDescent="0.25">
      <c r="A2085" s="21" t="str">
        <f>"08123"</f>
        <v>08123</v>
      </c>
      <c r="B2085" s="21"/>
      <c r="E2085">
        <v>41</v>
      </c>
    </row>
    <row r="2086" spans="1:10" ht="14.25" customHeight="1" x14ac:dyDescent="0.25">
      <c r="A2086" s="21" t="str">
        <f t="shared" ref="A2086:A2091" si="26">"09001"</f>
        <v>09001</v>
      </c>
      <c r="B2086" s="21"/>
      <c r="C2086">
        <v>127.1</v>
      </c>
      <c r="D2086">
        <v>4.7</v>
      </c>
      <c r="E2086">
        <v>404</v>
      </c>
      <c r="F2086">
        <v>191</v>
      </c>
      <c r="G2086">
        <v>14</v>
      </c>
      <c r="H2086">
        <v>191</v>
      </c>
      <c r="I2086">
        <v>1.77</v>
      </c>
      <c r="J2086" s="1">
        <v>10371</v>
      </c>
    </row>
    <row r="2087" spans="1:10" ht="14.25" customHeight="1" x14ac:dyDescent="0.25">
      <c r="A2087" s="21" t="str">
        <f t="shared" si="26"/>
        <v>09001</v>
      </c>
      <c r="B2087" s="21"/>
      <c r="C2087">
        <v>245.5</v>
      </c>
      <c r="D2087">
        <v>4.7</v>
      </c>
      <c r="E2087">
        <v>914</v>
      </c>
      <c r="F2087">
        <v>348</v>
      </c>
      <c r="G2087">
        <v>19</v>
      </c>
      <c r="H2087">
        <v>348</v>
      </c>
      <c r="I2087">
        <v>1.68</v>
      </c>
      <c r="J2087" s="1">
        <v>19997</v>
      </c>
    </row>
    <row r="2088" spans="1:10" ht="14.25" customHeight="1" x14ac:dyDescent="0.25">
      <c r="A2088" s="21" t="str">
        <f t="shared" si="26"/>
        <v>09001</v>
      </c>
      <c r="B2088" s="21"/>
      <c r="C2088">
        <v>111</v>
      </c>
      <c r="D2088">
        <v>4.5</v>
      </c>
      <c r="E2088">
        <v>504</v>
      </c>
      <c r="F2088">
        <v>181</v>
      </c>
      <c r="G2088">
        <v>10</v>
      </c>
      <c r="H2088">
        <v>181</v>
      </c>
      <c r="I2088">
        <v>1.65</v>
      </c>
      <c r="J2088" s="1">
        <v>10325</v>
      </c>
    </row>
    <row r="2089" spans="1:10" ht="14.25" customHeight="1" x14ac:dyDescent="0.25">
      <c r="A2089" s="21" t="str">
        <f t="shared" si="26"/>
        <v>09001</v>
      </c>
      <c r="B2089" s="21"/>
      <c r="C2089">
        <v>216.2</v>
      </c>
      <c r="D2089">
        <v>4.4000000000000004</v>
      </c>
      <c r="E2089">
        <v>970</v>
      </c>
      <c r="F2089">
        <v>350</v>
      </c>
      <c r="G2089">
        <v>39</v>
      </c>
      <c r="H2089">
        <v>350</v>
      </c>
      <c r="I2089">
        <v>1.59</v>
      </c>
      <c r="J2089" s="1">
        <v>19036</v>
      </c>
    </row>
    <row r="2090" spans="1:10" ht="14.25" customHeight="1" x14ac:dyDescent="0.25">
      <c r="A2090" s="21" t="str">
        <f t="shared" si="26"/>
        <v>09001</v>
      </c>
      <c r="B2090" s="21"/>
      <c r="C2090">
        <v>117.7</v>
      </c>
      <c r="D2090">
        <v>4.3</v>
      </c>
      <c r="E2090">
        <v>399</v>
      </c>
      <c r="F2090">
        <v>235</v>
      </c>
      <c r="G2090">
        <v>40</v>
      </c>
      <c r="H2090">
        <v>235</v>
      </c>
      <c r="I2090">
        <v>1.51</v>
      </c>
      <c r="J2090" s="1">
        <v>10693</v>
      </c>
    </row>
    <row r="2091" spans="1:10" ht="14.25" customHeight="1" x14ac:dyDescent="0.25">
      <c r="A2091" s="21" t="str">
        <f t="shared" si="26"/>
        <v>09001</v>
      </c>
      <c r="B2091" s="21"/>
      <c r="C2091">
        <v>169.1</v>
      </c>
      <c r="D2091">
        <v>4.5</v>
      </c>
      <c r="E2091">
        <v>853</v>
      </c>
      <c r="F2091">
        <v>288</v>
      </c>
      <c r="G2091">
        <v>36</v>
      </c>
      <c r="H2091">
        <v>288</v>
      </c>
      <c r="I2091">
        <v>1.69</v>
      </c>
      <c r="J2091" s="1">
        <v>14882</v>
      </c>
    </row>
    <row r="2092" spans="1:10" ht="14.25" customHeight="1" x14ac:dyDescent="0.25">
      <c r="A2092" s="21" t="str">
        <f t="shared" ref="A2092:A2101" si="27">"09003"</f>
        <v>09003</v>
      </c>
      <c r="B2092" s="21"/>
      <c r="C2092">
        <v>150.19999999999999</v>
      </c>
      <c r="D2092">
        <v>4.9000000000000004</v>
      </c>
      <c r="E2092">
        <v>380</v>
      </c>
      <c r="F2092">
        <v>246</v>
      </c>
      <c r="G2092">
        <v>24</v>
      </c>
      <c r="H2092">
        <v>84</v>
      </c>
      <c r="I2092">
        <v>1.67</v>
      </c>
      <c r="J2092" s="1">
        <v>11910</v>
      </c>
    </row>
    <row r="2093" spans="1:10" ht="14.25" customHeight="1" x14ac:dyDescent="0.25">
      <c r="A2093" s="21" t="str">
        <f t="shared" si="27"/>
        <v>09003</v>
      </c>
      <c r="B2093" s="21"/>
      <c r="C2093">
        <v>88.8</v>
      </c>
      <c r="D2093">
        <v>3.5</v>
      </c>
      <c r="E2093">
        <v>567</v>
      </c>
      <c r="F2093">
        <v>138</v>
      </c>
      <c r="G2093">
        <v>20</v>
      </c>
      <c r="H2093">
        <v>138</v>
      </c>
      <c r="I2093">
        <v>1.72</v>
      </c>
      <c r="J2093" s="1">
        <v>9620</v>
      </c>
    </row>
    <row r="2094" spans="1:10" ht="14.25" customHeight="1" x14ac:dyDescent="0.25">
      <c r="A2094" s="21" t="str">
        <f t="shared" si="27"/>
        <v>09003</v>
      </c>
      <c r="B2094" s="21"/>
      <c r="C2094">
        <v>571</v>
      </c>
      <c r="D2094">
        <v>4.9000000000000004</v>
      </c>
      <c r="E2094" s="1">
        <v>1671</v>
      </c>
      <c r="F2094">
        <v>702</v>
      </c>
      <c r="G2094">
        <v>87</v>
      </c>
      <c r="H2094">
        <v>702</v>
      </c>
      <c r="I2094">
        <v>2.06</v>
      </c>
      <c r="J2094" s="1">
        <v>44019</v>
      </c>
    </row>
    <row r="2095" spans="1:10" ht="14.25" customHeight="1" x14ac:dyDescent="0.25">
      <c r="A2095" s="21" t="str">
        <f t="shared" si="27"/>
        <v>09003</v>
      </c>
      <c r="B2095" s="21"/>
      <c r="C2095">
        <v>75.099999999999994</v>
      </c>
      <c r="D2095">
        <v>4.5999999999999996</v>
      </c>
      <c r="E2095">
        <v>386</v>
      </c>
      <c r="F2095">
        <v>140</v>
      </c>
      <c r="G2095">
        <v>32</v>
      </c>
      <c r="H2095">
        <v>140</v>
      </c>
      <c r="I2095">
        <v>1.45</v>
      </c>
      <c r="J2095" s="1">
        <v>6505</v>
      </c>
    </row>
    <row r="2096" spans="1:10" ht="14.25" customHeight="1" x14ac:dyDescent="0.25">
      <c r="A2096" s="21" t="str">
        <f t="shared" si="27"/>
        <v>09003</v>
      </c>
      <c r="B2096" s="21"/>
      <c r="C2096">
        <v>61.2</v>
      </c>
      <c r="D2096">
        <v>3.7</v>
      </c>
      <c r="E2096">
        <v>271</v>
      </c>
      <c r="F2096">
        <v>106</v>
      </c>
      <c r="G2096">
        <v>14</v>
      </c>
      <c r="H2096">
        <v>106</v>
      </c>
      <c r="I2096">
        <v>1.46</v>
      </c>
      <c r="J2096" s="1">
        <v>6425</v>
      </c>
    </row>
    <row r="2097" spans="1:10" ht="14.25" customHeight="1" x14ac:dyDescent="0.25">
      <c r="A2097" s="21" t="str">
        <f t="shared" si="27"/>
        <v>09003</v>
      </c>
      <c r="B2097" s="21"/>
      <c r="C2097">
        <v>0.2</v>
      </c>
      <c r="D2097">
        <v>5.4</v>
      </c>
      <c r="E2097">
        <v>6</v>
      </c>
      <c r="F2097">
        <v>23</v>
      </c>
      <c r="H2097">
        <v>23</v>
      </c>
      <c r="I2097">
        <v>1.1599999999999999</v>
      </c>
      <c r="J2097">
        <v>11</v>
      </c>
    </row>
    <row r="2098" spans="1:10" ht="14.25" customHeight="1" x14ac:dyDescent="0.25">
      <c r="A2098" s="21" t="str">
        <f t="shared" si="27"/>
        <v>09003</v>
      </c>
      <c r="B2098" s="21"/>
      <c r="C2098">
        <v>302.5</v>
      </c>
      <c r="D2098">
        <v>4.0999999999999996</v>
      </c>
      <c r="E2098">
        <v>932</v>
      </c>
      <c r="F2098">
        <v>474</v>
      </c>
      <c r="G2098">
        <v>42</v>
      </c>
      <c r="H2098">
        <v>474</v>
      </c>
      <c r="I2098">
        <v>1.83</v>
      </c>
      <c r="J2098" s="1">
        <v>28738</v>
      </c>
    </row>
    <row r="2099" spans="1:10" ht="14.25" customHeight="1" x14ac:dyDescent="0.25">
      <c r="A2099" s="21" t="str">
        <f t="shared" si="27"/>
        <v>09003</v>
      </c>
      <c r="B2099" s="21"/>
      <c r="E2099">
        <v>78</v>
      </c>
      <c r="H2099">
        <v>330</v>
      </c>
    </row>
    <row r="2100" spans="1:10" ht="14.25" customHeight="1" x14ac:dyDescent="0.25">
      <c r="A2100" s="21" t="str">
        <f t="shared" si="27"/>
        <v>09003</v>
      </c>
      <c r="B2100" s="21"/>
      <c r="H2100">
        <v>16</v>
      </c>
    </row>
    <row r="2101" spans="1:10" ht="14.25" customHeight="1" x14ac:dyDescent="0.25">
      <c r="A2101" s="21" t="str">
        <f t="shared" si="27"/>
        <v>09003</v>
      </c>
      <c r="B2101" s="21"/>
      <c r="H2101">
        <v>617</v>
      </c>
    </row>
    <row r="2102" spans="1:10" ht="14.25" customHeight="1" x14ac:dyDescent="0.25">
      <c r="A2102" s="21" t="str">
        <f>"09005"</f>
        <v>09005</v>
      </c>
      <c r="B2102" s="21"/>
      <c r="C2102">
        <v>12.4</v>
      </c>
      <c r="D2102">
        <v>2.8</v>
      </c>
      <c r="E2102">
        <v>104</v>
      </c>
      <c r="F2102">
        <v>66</v>
      </c>
      <c r="G2102">
        <v>11</v>
      </c>
      <c r="H2102">
        <v>66</v>
      </c>
      <c r="I2102">
        <v>1.24</v>
      </c>
      <c r="J2102" s="1">
        <v>1784</v>
      </c>
    </row>
    <row r="2103" spans="1:10" ht="14.25" customHeight="1" x14ac:dyDescent="0.25">
      <c r="A2103" s="21" t="str">
        <f>"09005"</f>
        <v>09005</v>
      </c>
      <c r="B2103" s="21"/>
      <c r="C2103">
        <v>55.3</v>
      </c>
      <c r="D2103">
        <v>4.2</v>
      </c>
      <c r="E2103">
        <v>233</v>
      </c>
      <c r="F2103">
        <v>91</v>
      </c>
      <c r="G2103">
        <v>10</v>
      </c>
      <c r="H2103">
        <v>91</v>
      </c>
      <c r="I2103">
        <v>1.42</v>
      </c>
      <c r="J2103" s="1">
        <v>5023</v>
      </c>
    </row>
    <row r="2104" spans="1:10" ht="14.25" customHeight="1" x14ac:dyDescent="0.25">
      <c r="A2104" s="21" t="str">
        <f>"09005"</f>
        <v>09005</v>
      </c>
      <c r="B2104" s="21"/>
      <c r="E2104">
        <v>9</v>
      </c>
      <c r="H2104">
        <v>85</v>
      </c>
    </row>
    <row r="2105" spans="1:10" ht="14.25" customHeight="1" x14ac:dyDescent="0.25">
      <c r="A2105" s="21" t="str">
        <f>"09007"</f>
        <v>09007</v>
      </c>
      <c r="B2105" s="21"/>
      <c r="C2105">
        <v>116.7</v>
      </c>
      <c r="D2105">
        <v>4.0999999999999996</v>
      </c>
      <c r="E2105">
        <v>656</v>
      </c>
      <c r="F2105">
        <v>187</v>
      </c>
      <c r="G2105">
        <v>24</v>
      </c>
      <c r="H2105">
        <v>187</v>
      </c>
      <c r="I2105">
        <v>1.5</v>
      </c>
      <c r="J2105" s="1">
        <v>10920</v>
      </c>
    </row>
    <row r="2106" spans="1:10" ht="14.25" customHeight="1" x14ac:dyDescent="0.25">
      <c r="A2106" s="21" t="str">
        <f>"09007"</f>
        <v>09007</v>
      </c>
      <c r="B2106" s="21"/>
      <c r="H2106">
        <v>91</v>
      </c>
    </row>
    <row r="2107" spans="1:10" ht="14.25" customHeight="1" x14ac:dyDescent="0.25">
      <c r="A2107" s="21" t="str">
        <f t="shared" ref="A2107:A2118" si="28">"09009"</f>
        <v>09009</v>
      </c>
      <c r="B2107" s="21"/>
      <c r="C2107">
        <v>27.1</v>
      </c>
      <c r="D2107">
        <v>4.9000000000000004</v>
      </c>
      <c r="E2107">
        <v>57</v>
      </c>
      <c r="F2107">
        <v>106</v>
      </c>
      <c r="G2107">
        <v>10</v>
      </c>
      <c r="H2107">
        <v>106</v>
      </c>
      <c r="I2107">
        <v>1.54</v>
      </c>
      <c r="J2107" s="1">
        <v>2035</v>
      </c>
    </row>
    <row r="2108" spans="1:10" ht="14.25" customHeight="1" x14ac:dyDescent="0.25">
      <c r="A2108" s="21" t="str">
        <f t="shared" si="28"/>
        <v>09009</v>
      </c>
      <c r="B2108" s="21"/>
      <c r="C2108">
        <v>98.9</v>
      </c>
      <c r="D2108">
        <v>3.7</v>
      </c>
      <c r="E2108">
        <v>455</v>
      </c>
      <c r="F2108">
        <v>151</v>
      </c>
      <c r="G2108">
        <v>16</v>
      </c>
      <c r="H2108">
        <v>151</v>
      </c>
      <c r="I2108">
        <v>1.67</v>
      </c>
      <c r="J2108" s="1">
        <v>10170</v>
      </c>
    </row>
    <row r="2109" spans="1:10" ht="14.25" customHeight="1" x14ac:dyDescent="0.25">
      <c r="A2109" s="21" t="str">
        <f t="shared" si="28"/>
        <v>09009</v>
      </c>
      <c r="B2109" s="21"/>
      <c r="C2109">
        <v>102</v>
      </c>
      <c r="D2109">
        <v>4.0999999999999996</v>
      </c>
      <c r="E2109">
        <v>302</v>
      </c>
      <c r="F2109">
        <v>144</v>
      </c>
      <c r="H2109">
        <v>144</v>
      </c>
      <c r="I2109">
        <v>1.69</v>
      </c>
      <c r="J2109" s="1">
        <v>9504</v>
      </c>
    </row>
    <row r="2110" spans="1:10" ht="14.25" customHeight="1" x14ac:dyDescent="0.25">
      <c r="A2110" s="21" t="str">
        <f t="shared" si="28"/>
        <v>09009</v>
      </c>
      <c r="B2110" s="21"/>
      <c r="C2110" s="2">
        <v>1046.4000000000001</v>
      </c>
      <c r="D2110">
        <v>6.3</v>
      </c>
      <c r="E2110" s="1">
        <v>3044</v>
      </c>
      <c r="F2110" s="1">
        <v>1288</v>
      </c>
      <c r="G2110">
        <v>48</v>
      </c>
      <c r="H2110">
        <v>581</v>
      </c>
      <c r="I2110">
        <v>1.92</v>
      </c>
      <c r="J2110" s="1">
        <v>62598</v>
      </c>
    </row>
    <row r="2111" spans="1:10" ht="14.25" customHeight="1" x14ac:dyDescent="0.25">
      <c r="A2111" s="21" t="str">
        <f t="shared" si="28"/>
        <v>09009</v>
      </c>
      <c r="B2111" s="21"/>
      <c r="C2111">
        <v>5</v>
      </c>
      <c r="D2111">
        <v>11.4</v>
      </c>
      <c r="E2111">
        <v>1</v>
      </c>
      <c r="F2111">
        <v>10</v>
      </c>
      <c r="H2111">
        <v>10</v>
      </c>
      <c r="I2111">
        <v>1.06</v>
      </c>
      <c r="J2111">
        <v>159</v>
      </c>
    </row>
    <row r="2112" spans="1:10" ht="14.25" customHeight="1" x14ac:dyDescent="0.25">
      <c r="A2112" s="21" t="str">
        <f t="shared" si="28"/>
        <v>09009</v>
      </c>
      <c r="B2112" s="21"/>
      <c r="C2112">
        <v>5.7</v>
      </c>
      <c r="D2112">
        <v>4.7</v>
      </c>
      <c r="E2112">
        <v>32</v>
      </c>
      <c r="F2112">
        <v>30</v>
      </c>
      <c r="H2112">
        <v>30</v>
      </c>
      <c r="I2112">
        <v>1.1299999999999999</v>
      </c>
      <c r="J2112">
        <v>443</v>
      </c>
    </row>
    <row r="2113" spans="1:10" ht="14.25" customHeight="1" x14ac:dyDescent="0.25">
      <c r="A2113" s="21" t="str">
        <f t="shared" si="28"/>
        <v>09009</v>
      </c>
      <c r="B2113" s="21"/>
      <c r="C2113">
        <v>66.5</v>
      </c>
      <c r="D2113">
        <v>4</v>
      </c>
      <c r="E2113">
        <v>309</v>
      </c>
      <c r="F2113">
        <v>101</v>
      </c>
      <c r="G2113">
        <v>14</v>
      </c>
      <c r="H2113">
        <v>101</v>
      </c>
      <c r="I2113">
        <v>1.45</v>
      </c>
      <c r="J2113" s="1">
        <v>6296</v>
      </c>
    </row>
    <row r="2114" spans="1:10" ht="14.25" customHeight="1" x14ac:dyDescent="0.25">
      <c r="A2114" s="21" t="str">
        <f t="shared" si="28"/>
        <v>09009</v>
      </c>
      <c r="B2114" s="21"/>
      <c r="C2114">
        <v>111.9</v>
      </c>
      <c r="D2114">
        <v>4.3</v>
      </c>
      <c r="E2114">
        <v>343</v>
      </c>
      <c r="F2114">
        <v>213</v>
      </c>
      <c r="G2114">
        <v>20</v>
      </c>
      <c r="H2114">
        <v>213</v>
      </c>
      <c r="I2114">
        <v>1.62</v>
      </c>
      <c r="J2114" s="1">
        <v>10331</v>
      </c>
    </row>
    <row r="2115" spans="1:10" ht="14.25" customHeight="1" x14ac:dyDescent="0.25">
      <c r="A2115" s="21" t="str">
        <f t="shared" si="28"/>
        <v>09009</v>
      </c>
      <c r="B2115" s="21"/>
      <c r="E2115">
        <v>1</v>
      </c>
      <c r="H2115">
        <v>511</v>
      </c>
    </row>
    <row r="2116" spans="1:10" ht="14.25" customHeight="1" x14ac:dyDescent="0.25">
      <c r="A2116" s="21" t="str">
        <f t="shared" si="28"/>
        <v>09009</v>
      </c>
      <c r="B2116" s="21"/>
    </row>
    <row r="2117" spans="1:10" ht="14.25" customHeight="1" x14ac:dyDescent="0.25">
      <c r="A2117" s="21" t="str">
        <f t="shared" si="28"/>
        <v>09009</v>
      </c>
      <c r="B2117" s="21"/>
    </row>
    <row r="2118" spans="1:10" ht="14.25" customHeight="1" x14ac:dyDescent="0.25">
      <c r="A2118" s="21" t="str">
        <f t="shared" si="28"/>
        <v>09009</v>
      </c>
      <c r="B2118" s="21"/>
    </row>
    <row r="2119" spans="1:10" ht="14.25" customHeight="1" x14ac:dyDescent="0.25">
      <c r="A2119" s="21" t="str">
        <f>"09011"</f>
        <v>09011</v>
      </c>
      <c r="B2119" s="21"/>
      <c r="C2119">
        <v>153.9</v>
      </c>
      <c r="D2119">
        <v>4.9000000000000004</v>
      </c>
      <c r="E2119">
        <v>505</v>
      </c>
      <c r="F2119">
        <v>236</v>
      </c>
      <c r="G2119">
        <v>10</v>
      </c>
      <c r="H2119">
        <v>236</v>
      </c>
      <c r="I2119">
        <v>1.55</v>
      </c>
      <c r="J2119" s="1">
        <v>12068</v>
      </c>
    </row>
    <row r="2120" spans="1:10" ht="14.25" customHeight="1" x14ac:dyDescent="0.25">
      <c r="A2120" s="21" t="str">
        <f>"09011"</f>
        <v>09011</v>
      </c>
      <c r="B2120" s="21"/>
      <c r="C2120">
        <v>116.3</v>
      </c>
      <c r="D2120">
        <v>4.3</v>
      </c>
      <c r="E2120">
        <v>432</v>
      </c>
      <c r="F2120">
        <v>165</v>
      </c>
      <c r="G2120">
        <v>12</v>
      </c>
      <c r="H2120">
        <v>165</v>
      </c>
      <c r="I2120">
        <v>1.69</v>
      </c>
      <c r="J2120" s="1">
        <v>10236</v>
      </c>
    </row>
    <row r="2121" spans="1:10" ht="14.25" customHeight="1" x14ac:dyDescent="0.25">
      <c r="A2121" s="21" t="str">
        <f>"09011"</f>
        <v>09011</v>
      </c>
      <c r="B2121" s="21"/>
      <c r="E2121">
        <v>2</v>
      </c>
      <c r="H2121">
        <v>18</v>
      </c>
    </row>
    <row r="2122" spans="1:10" ht="14.25" customHeight="1" x14ac:dyDescent="0.25">
      <c r="A2122" s="21" t="str">
        <f>"09013"</f>
        <v>09013</v>
      </c>
      <c r="B2122" s="21"/>
      <c r="C2122">
        <v>42</v>
      </c>
      <c r="D2122">
        <v>7.6</v>
      </c>
      <c r="E2122">
        <v>87</v>
      </c>
      <c r="F2122">
        <v>102</v>
      </c>
      <c r="G2122">
        <v>9</v>
      </c>
      <c r="H2122">
        <v>102</v>
      </c>
      <c r="I2122">
        <v>1.45</v>
      </c>
      <c r="J2122" s="1">
        <v>2026</v>
      </c>
    </row>
    <row r="2123" spans="1:10" ht="14.25" customHeight="1" x14ac:dyDescent="0.25">
      <c r="A2123" s="21" t="str">
        <f>"09013"</f>
        <v>09013</v>
      </c>
      <c r="B2123" s="21"/>
      <c r="C2123">
        <v>18.600000000000001</v>
      </c>
      <c r="D2123">
        <v>3.5</v>
      </c>
      <c r="E2123">
        <v>113</v>
      </c>
      <c r="F2123">
        <v>50</v>
      </c>
      <c r="G2123">
        <v>7</v>
      </c>
      <c r="H2123">
        <v>50</v>
      </c>
      <c r="I2123">
        <v>1.36</v>
      </c>
      <c r="J2123" s="1">
        <v>1944</v>
      </c>
    </row>
    <row r="2124" spans="1:10" ht="14.25" customHeight="1" x14ac:dyDescent="0.25">
      <c r="A2124" s="21" t="str">
        <f>"09015"</f>
        <v>09015</v>
      </c>
      <c r="B2124" s="21"/>
      <c r="C2124">
        <v>37.700000000000003</v>
      </c>
      <c r="D2124">
        <v>4.0999999999999996</v>
      </c>
      <c r="E2124">
        <v>207</v>
      </c>
      <c r="F2124">
        <v>104</v>
      </c>
      <c r="G2124">
        <v>6</v>
      </c>
      <c r="H2124">
        <v>104</v>
      </c>
      <c r="I2124">
        <v>1.2</v>
      </c>
      <c r="J2124" s="1">
        <v>3619</v>
      </c>
    </row>
    <row r="2125" spans="1:10" ht="14.25" customHeight="1" x14ac:dyDescent="0.25">
      <c r="A2125" s="21" t="str">
        <f>"09015"</f>
        <v>09015</v>
      </c>
      <c r="B2125" s="21"/>
      <c r="C2125">
        <v>27</v>
      </c>
      <c r="D2125">
        <v>3.9</v>
      </c>
      <c r="E2125">
        <v>164</v>
      </c>
      <c r="F2125">
        <v>40</v>
      </c>
      <c r="H2125">
        <v>40</v>
      </c>
      <c r="I2125">
        <v>1.46</v>
      </c>
      <c r="J2125" s="1">
        <v>2599</v>
      </c>
    </row>
    <row r="2126" spans="1:10" ht="14.25" customHeight="1" x14ac:dyDescent="0.25">
      <c r="A2126" s="21">
        <v>10001</v>
      </c>
      <c r="B2126" s="21"/>
      <c r="C2126">
        <v>193.2</v>
      </c>
      <c r="D2126">
        <v>4.9000000000000004</v>
      </c>
      <c r="E2126">
        <v>523</v>
      </c>
      <c r="F2126">
        <v>281</v>
      </c>
      <c r="G2126">
        <v>29</v>
      </c>
      <c r="H2126">
        <v>281</v>
      </c>
      <c r="I2126">
        <v>1.63</v>
      </c>
      <c r="J2126" s="1">
        <v>15070</v>
      </c>
    </row>
    <row r="2127" spans="1:10" ht="14.25" customHeight="1" x14ac:dyDescent="0.25">
      <c r="A2127" s="21">
        <v>10003</v>
      </c>
      <c r="B2127" s="21"/>
      <c r="C2127">
        <v>777.4</v>
      </c>
      <c r="D2127">
        <v>5.6</v>
      </c>
      <c r="E2127" s="1">
        <v>1956</v>
      </c>
      <c r="F2127" s="1">
        <v>1097</v>
      </c>
      <c r="G2127">
        <v>73</v>
      </c>
      <c r="H2127">
        <v>906</v>
      </c>
      <c r="I2127">
        <v>1.82</v>
      </c>
      <c r="J2127" s="1">
        <v>51262</v>
      </c>
    </row>
    <row r="2128" spans="1:10" ht="14.25" customHeight="1" x14ac:dyDescent="0.25">
      <c r="A2128" s="21">
        <v>10003</v>
      </c>
      <c r="B2128" s="21"/>
      <c r="C2128">
        <v>58.7</v>
      </c>
      <c r="D2128">
        <v>3.8</v>
      </c>
      <c r="E2128">
        <v>168</v>
      </c>
      <c r="F2128">
        <v>180</v>
      </c>
      <c r="G2128">
        <v>20</v>
      </c>
      <c r="H2128">
        <v>180</v>
      </c>
      <c r="I2128">
        <v>1.61</v>
      </c>
      <c r="J2128" s="1">
        <v>5815</v>
      </c>
    </row>
    <row r="2129" spans="1:10" ht="14.25" customHeight="1" x14ac:dyDescent="0.25">
      <c r="A2129" s="21">
        <v>10003</v>
      </c>
      <c r="B2129" s="21"/>
      <c r="H2129">
        <v>241</v>
      </c>
    </row>
    <row r="2130" spans="1:10" ht="14.25" customHeight="1" x14ac:dyDescent="0.25">
      <c r="A2130" s="21">
        <v>10005</v>
      </c>
      <c r="B2130" s="21"/>
      <c r="C2130">
        <v>50.2</v>
      </c>
      <c r="D2130">
        <v>3.1</v>
      </c>
      <c r="E2130">
        <v>212</v>
      </c>
      <c r="F2130">
        <v>94</v>
      </c>
      <c r="G2130">
        <v>9</v>
      </c>
      <c r="H2130">
        <v>94</v>
      </c>
      <c r="I2130">
        <v>1.58</v>
      </c>
      <c r="J2130" s="1">
        <v>6414</v>
      </c>
    </row>
    <row r="2131" spans="1:10" ht="14.25" customHeight="1" x14ac:dyDescent="0.25">
      <c r="A2131" s="21">
        <v>10005</v>
      </c>
      <c r="B2131" s="21"/>
      <c r="C2131">
        <v>123.9</v>
      </c>
      <c r="D2131">
        <v>4.4000000000000004</v>
      </c>
      <c r="E2131">
        <v>490</v>
      </c>
      <c r="F2131">
        <v>195</v>
      </c>
      <c r="H2131">
        <v>195</v>
      </c>
      <c r="I2131">
        <v>1.69</v>
      </c>
      <c r="J2131" s="1">
        <v>10655</v>
      </c>
    </row>
    <row r="2132" spans="1:10" ht="14.25" customHeight="1" x14ac:dyDescent="0.25">
      <c r="A2132" s="21">
        <v>10005</v>
      </c>
      <c r="B2132" s="21"/>
      <c r="C2132">
        <v>61.1</v>
      </c>
      <c r="D2132">
        <v>5</v>
      </c>
      <c r="J2132" s="1">
        <v>4685</v>
      </c>
    </row>
    <row r="2133" spans="1:10" ht="14.25" customHeight="1" x14ac:dyDescent="0.25">
      <c r="A2133" s="21">
        <v>10005</v>
      </c>
      <c r="B2133" s="21"/>
      <c r="C2133">
        <v>50.2</v>
      </c>
      <c r="D2133">
        <v>4.0999999999999996</v>
      </c>
      <c r="E2133">
        <v>106</v>
      </c>
      <c r="F2133">
        <v>114</v>
      </c>
      <c r="G2133">
        <v>9</v>
      </c>
      <c r="H2133">
        <v>128</v>
      </c>
      <c r="I2133">
        <v>1.42</v>
      </c>
      <c r="J2133" s="1">
        <v>4689</v>
      </c>
    </row>
    <row r="2134" spans="1:10" ht="14.25" customHeight="1" x14ac:dyDescent="0.25">
      <c r="A2134" s="21">
        <v>10005</v>
      </c>
      <c r="B2134" s="21"/>
    </row>
    <row r="2135" spans="1:10" ht="14.25" customHeight="1" x14ac:dyDescent="0.25">
      <c r="A2135" s="21">
        <v>11001</v>
      </c>
      <c r="B2135" s="21"/>
      <c r="C2135">
        <v>302</v>
      </c>
      <c r="D2135">
        <v>5.0999999999999996</v>
      </c>
      <c r="E2135">
        <v>903</v>
      </c>
      <c r="F2135">
        <v>329</v>
      </c>
      <c r="G2135">
        <v>56</v>
      </c>
      <c r="H2135">
        <v>329</v>
      </c>
      <c r="I2135">
        <v>1.91</v>
      </c>
      <c r="J2135" s="1">
        <v>22598</v>
      </c>
    </row>
    <row r="2136" spans="1:10" ht="14.25" customHeight="1" x14ac:dyDescent="0.25">
      <c r="A2136" s="21">
        <v>11001</v>
      </c>
      <c r="B2136" s="21"/>
      <c r="C2136">
        <v>112.1</v>
      </c>
      <c r="D2136">
        <v>6</v>
      </c>
      <c r="E2136">
        <v>290</v>
      </c>
      <c r="F2136">
        <v>200</v>
      </c>
      <c r="G2136">
        <v>36</v>
      </c>
      <c r="H2136">
        <v>200</v>
      </c>
      <c r="I2136">
        <v>1.49</v>
      </c>
      <c r="J2136" s="1">
        <v>7749</v>
      </c>
    </row>
    <row r="2137" spans="1:10" ht="14.25" customHeight="1" x14ac:dyDescent="0.25">
      <c r="A2137" s="21">
        <v>11001</v>
      </c>
      <c r="B2137" s="21"/>
      <c r="C2137">
        <v>331.9</v>
      </c>
      <c r="D2137">
        <v>7.8</v>
      </c>
      <c r="E2137">
        <v>880</v>
      </c>
      <c r="F2137">
        <v>393</v>
      </c>
      <c r="G2137">
        <v>19</v>
      </c>
      <c r="H2137">
        <v>393</v>
      </c>
      <c r="I2137">
        <v>2.2400000000000002</v>
      </c>
      <c r="J2137" s="1">
        <v>15751</v>
      </c>
    </row>
    <row r="2138" spans="1:10" ht="14.25" customHeight="1" x14ac:dyDescent="0.25">
      <c r="A2138" s="21">
        <v>11001</v>
      </c>
      <c r="B2138" s="21"/>
      <c r="C2138">
        <v>111.1</v>
      </c>
      <c r="D2138">
        <v>4.7</v>
      </c>
      <c r="E2138">
        <v>782</v>
      </c>
      <c r="F2138">
        <v>189</v>
      </c>
      <c r="H2138">
        <v>189</v>
      </c>
      <c r="I2138">
        <v>1.72</v>
      </c>
      <c r="J2138" s="1">
        <v>11192</v>
      </c>
    </row>
    <row r="2139" spans="1:10" ht="14.25" customHeight="1" x14ac:dyDescent="0.25">
      <c r="A2139" s="21">
        <v>11001</v>
      </c>
      <c r="B2139" s="21"/>
      <c r="C2139">
        <v>37.1</v>
      </c>
      <c r="D2139">
        <v>6.5</v>
      </c>
      <c r="I2139">
        <v>1.67</v>
      </c>
      <c r="J2139" s="1">
        <v>2099</v>
      </c>
    </row>
    <row r="2140" spans="1:10" ht="14.25" customHeight="1" x14ac:dyDescent="0.25">
      <c r="A2140" s="21">
        <v>11001</v>
      </c>
      <c r="B2140" s="21"/>
      <c r="C2140">
        <v>80.400000000000006</v>
      </c>
      <c r="D2140">
        <v>5.9</v>
      </c>
      <c r="E2140">
        <v>178</v>
      </c>
      <c r="F2140">
        <v>157</v>
      </c>
      <c r="G2140">
        <v>13</v>
      </c>
      <c r="H2140">
        <v>157</v>
      </c>
      <c r="I2140">
        <v>1.66</v>
      </c>
      <c r="J2140" s="1">
        <v>4981</v>
      </c>
    </row>
    <row r="2141" spans="1:10" ht="14.25" customHeight="1" x14ac:dyDescent="0.25">
      <c r="A2141" s="21">
        <v>11001</v>
      </c>
      <c r="B2141" s="21"/>
      <c r="C2141">
        <v>578.9</v>
      </c>
      <c r="D2141">
        <v>7.1</v>
      </c>
      <c r="E2141" s="1">
        <v>1368</v>
      </c>
      <c r="F2141">
        <v>701</v>
      </c>
      <c r="G2141">
        <v>37</v>
      </c>
      <c r="H2141">
        <v>701</v>
      </c>
      <c r="I2141">
        <v>2.41</v>
      </c>
      <c r="J2141" s="1">
        <v>30954</v>
      </c>
    </row>
    <row r="2142" spans="1:10" ht="14.25" customHeight="1" x14ac:dyDescent="0.25">
      <c r="A2142" s="21">
        <v>11001</v>
      </c>
      <c r="B2142" s="21"/>
    </row>
    <row r="2143" spans="1:10" ht="14.25" customHeight="1" x14ac:dyDescent="0.25">
      <c r="A2143" s="21">
        <v>12001</v>
      </c>
      <c r="B2143" s="21"/>
      <c r="C2143">
        <v>767</v>
      </c>
      <c r="D2143">
        <v>6.2</v>
      </c>
      <c r="E2143" s="1">
        <v>1329</v>
      </c>
      <c r="F2143">
        <v>921</v>
      </c>
      <c r="G2143">
        <v>66</v>
      </c>
      <c r="H2143">
        <v>742</v>
      </c>
      <c r="I2143">
        <v>2.09</v>
      </c>
      <c r="J2143" s="1">
        <v>47352</v>
      </c>
    </row>
    <row r="2144" spans="1:10" ht="14.25" customHeight="1" x14ac:dyDescent="0.25">
      <c r="A2144" s="21">
        <v>12001</v>
      </c>
      <c r="B2144" s="21"/>
      <c r="C2144">
        <v>310.39999999999998</v>
      </c>
      <c r="D2144">
        <v>5</v>
      </c>
      <c r="E2144">
        <v>550</v>
      </c>
      <c r="F2144">
        <v>381</v>
      </c>
      <c r="H2144">
        <v>381</v>
      </c>
      <c r="I2144">
        <v>1.81</v>
      </c>
      <c r="J2144" s="1">
        <v>23847</v>
      </c>
    </row>
    <row r="2145" spans="1:10" ht="14.25" customHeight="1" x14ac:dyDescent="0.25">
      <c r="A2145" s="21">
        <v>12001</v>
      </c>
      <c r="B2145" s="21"/>
      <c r="H2145">
        <v>425</v>
      </c>
    </row>
    <row r="2146" spans="1:10" ht="14.25" customHeight="1" x14ac:dyDescent="0.25">
      <c r="A2146" s="21">
        <v>12001</v>
      </c>
      <c r="B2146" s="21"/>
      <c r="H2146">
        <v>48</v>
      </c>
    </row>
    <row r="2147" spans="1:10" ht="14.25" customHeight="1" x14ac:dyDescent="0.25">
      <c r="A2147" s="21">
        <v>12003</v>
      </c>
      <c r="B2147" s="21"/>
      <c r="C2147">
        <v>2.9</v>
      </c>
      <c r="D2147">
        <v>3.4</v>
      </c>
      <c r="E2147">
        <v>54</v>
      </c>
      <c r="F2147">
        <v>21</v>
      </c>
      <c r="H2147">
        <v>21</v>
      </c>
      <c r="I2147">
        <v>0.94</v>
      </c>
      <c r="J2147">
        <v>312</v>
      </c>
    </row>
    <row r="2148" spans="1:10" ht="14.25" customHeight="1" x14ac:dyDescent="0.25">
      <c r="A2148" s="21">
        <v>12005</v>
      </c>
      <c r="B2148" s="21"/>
      <c r="C2148">
        <v>154.4</v>
      </c>
      <c r="D2148">
        <v>4.5</v>
      </c>
      <c r="E2148">
        <v>292</v>
      </c>
      <c r="F2148">
        <v>222</v>
      </c>
      <c r="G2148">
        <v>20</v>
      </c>
      <c r="H2148">
        <v>222</v>
      </c>
      <c r="I2148">
        <v>1.7</v>
      </c>
      <c r="J2148" s="1">
        <v>12143</v>
      </c>
    </row>
    <row r="2149" spans="1:10" ht="14.25" customHeight="1" x14ac:dyDescent="0.25">
      <c r="A2149" s="21">
        <v>12005</v>
      </c>
      <c r="B2149" s="21"/>
      <c r="C2149">
        <v>162.9</v>
      </c>
      <c r="D2149">
        <v>5.3</v>
      </c>
      <c r="E2149">
        <v>258</v>
      </c>
      <c r="F2149">
        <v>293</v>
      </c>
      <c r="G2149">
        <v>57</v>
      </c>
      <c r="H2149">
        <v>293</v>
      </c>
      <c r="I2149">
        <v>1.77</v>
      </c>
      <c r="J2149" s="1">
        <v>11247</v>
      </c>
    </row>
    <row r="2150" spans="1:10" ht="14.25" customHeight="1" x14ac:dyDescent="0.25">
      <c r="A2150" s="21">
        <v>12009</v>
      </c>
      <c r="B2150" s="21"/>
      <c r="C2150">
        <v>30.3</v>
      </c>
      <c r="D2150">
        <v>4</v>
      </c>
      <c r="E2150">
        <v>72</v>
      </c>
      <c r="F2150">
        <v>113</v>
      </c>
      <c r="G2150">
        <v>12</v>
      </c>
      <c r="H2150">
        <v>113</v>
      </c>
      <c r="I2150">
        <v>1.98</v>
      </c>
      <c r="J2150" s="1">
        <v>2776</v>
      </c>
    </row>
    <row r="2151" spans="1:10" ht="14.25" customHeight="1" x14ac:dyDescent="0.25">
      <c r="A2151" s="21">
        <v>12009</v>
      </c>
      <c r="B2151" s="21"/>
      <c r="C2151">
        <v>381.6</v>
      </c>
      <c r="D2151">
        <v>4.3</v>
      </c>
      <c r="E2151">
        <v>751</v>
      </c>
      <c r="F2151">
        <v>514</v>
      </c>
      <c r="G2151">
        <v>54</v>
      </c>
      <c r="H2151">
        <v>514</v>
      </c>
      <c r="I2151">
        <v>1.9</v>
      </c>
      <c r="J2151" s="1">
        <v>33333</v>
      </c>
    </row>
    <row r="2152" spans="1:10" ht="14.25" customHeight="1" x14ac:dyDescent="0.25">
      <c r="A2152" s="21">
        <v>12009</v>
      </c>
      <c r="B2152" s="21"/>
      <c r="C2152">
        <v>111.8</v>
      </c>
      <c r="D2152">
        <v>5.3</v>
      </c>
      <c r="E2152">
        <v>252</v>
      </c>
      <c r="F2152">
        <v>274</v>
      </c>
      <c r="G2152">
        <v>31</v>
      </c>
      <c r="H2152">
        <v>274</v>
      </c>
      <c r="I2152">
        <v>1.6</v>
      </c>
      <c r="J2152" s="1">
        <v>7766</v>
      </c>
    </row>
    <row r="2153" spans="1:10" ht="14.25" customHeight="1" x14ac:dyDescent="0.25">
      <c r="A2153" s="21">
        <v>12009</v>
      </c>
      <c r="B2153" s="21"/>
      <c r="C2153">
        <v>73.7</v>
      </c>
      <c r="D2153">
        <v>3.6</v>
      </c>
      <c r="E2153">
        <v>170</v>
      </c>
      <c r="F2153">
        <v>150</v>
      </c>
      <c r="G2153">
        <v>12</v>
      </c>
      <c r="H2153">
        <v>150</v>
      </c>
      <c r="I2153">
        <v>1.52</v>
      </c>
      <c r="J2153" s="1">
        <v>8013</v>
      </c>
    </row>
    <row r="2154" spans="1:10" ht="14.25" customHeight="1" x14ac:dyDescent="0.25">
      <c r="A2154" s="21">
        <v>12009</v>
      </c>
      <c r="B2154" s="21"/>
      <c r="C2154">
        <v>70.7</v>
      </c>
      <c r="D2154">
        <v>3.8</v>
      </c>
      <c r="E2154">
        <v>100</v>
      </c>
      <c r="F2154">
        <v>120</v>
      </c>
      <c r="G2154">
        <v>12</v>
      </c>
      <c r="H2154">
        <v>120</v>
      </c>
      <c r="I2154">
        <v>1.45</v>
      </c>
      <c r="J2154" s="1">
        <v>6865</v>
      </c>
    </row>
    <row r="2155" spans="1:10" ht="14.25" customHeight="1" x14ac:dyDescent="0.25">
      <c r="A2155" s="21">
        <v>12009</v>
      </c>
      <c r="B2155" s="21"/>
      <c r="C2155">
        <v>49</v>
      </c>
      <c r="D2155">
        <v>3.5</v>
      </c>
      <c r="E2155">
        <v>115</v>
      </c>
      <c r="F2155">
        <v>84</v>
      </c>
      <c r="G2155">
        <v>20</v>
      </c>
      <c r="H2155">
        <v>84</v>
      </c>
      <c r="I2155">
        <v>1.45</v>
      </c>
      <c r="J2155" s="1">
        <v>5137</v>
      </c>
    </row>
    <row r="2156" spans="1:10" ht="14.25" customHeight="1" x14ac:dyDescent="0.25">
      <c r="A2156" s="21">
        <v>12009</v>
      </c>
      <c r="B2156" s="21"/>
      <c r="C2156">
        <v>71</v>
      </c>
      <c r="D2156">
        <v>4.3</v>
      </c>
      <c r="E2156">
        <v>275</v>
      </c>
      <c r="F2156">
        <v>210</v>
      </c>
      <c r="G2156">
        <v>8</v>
      </c>
      <c r="H2156">
        <v>210</v>
      </c>
      <c r="I2156">
        <v>1.57</v>
      </c>
      <c r="J2156" s="1">
        <v>6279</v>
      </c>
    </row>
    <row r="2157" spans="1:10" ht="14.25" customHeight="1" x14ac:dyDescent="0.25">
      <c r="A2157" s="21">
        <v>12011</v>
      </c>
      <c r="B2157" s="21"/>
      <c r="C2157">
        <v>276.5</v>
      </c>
      <c r="D2157">
        <v>5.0999999999999996</v>
      </c>
      <c r="E2157">
        <v>405</v>
      </c>
      <c r="F2157">
        <v>589</v>
      </c>
      <c r="G2157">
        <v>61</v>
      </c>
      <c r="H2157">
        <v>264</v>
      </c>
      <c r="I2157">
        <v>1.54</v>
      </c>
      <c r="J2157" s="1">
        <v>21688</v>
      </c>
    </row>
    <row r="2158" spans="1:10" ht="14.25" customHeight="1" x14ac:dyDescent="0.25">
      <c r="A2158" s="21">
        <v>12011</v>
      </c>
      <c r="B2158" s="21"/>
      <c r="C2158">
        <v>164</v>
      </c>
      <c r="D2158">
        <v>4.4000000000000004</v>
      </c>
      <c r="E2158">
        <v>277</v>
      </c>
      <c r="F2158">
        <v>224</v>
      </c>
      <c r="G2158">
        <v>32</v>
      </c>
      <c r="H2158">
        <v>224</v>
      </c>
      <c r="I2158">
        <v>1.68</v>
      </c>
      <c r="J2158" s="1">
        <v>13562</v>
      </c>
    </row>
    <row r="2159" spans="1:10" ht="14.25" customHeight="1" x14ac:dyDescent="0.25">
      <c r="A2159" s="21">
        <v>12011</v>
      </c>
      <c r="B2159" s="21"/>
      <c r="C2159">
        <v>85.8</v>
      </c>
      <c r="D2159">
        <v>4.8</v>
      </c>
      <c r="E2159">
        <v>226</v>
      </c>
      <c r="F2159">
        <v>301</v>
      </c>
      <c r="G2159">
        <v>24</v>
      </c>
      <c r="H2159">
        <v>301</v>
      </c>
      <c r="I2159">
        <v>1.51</v>
      </c>
      <c r="J2159" s="1">
        <v>6501</v>
      </c>
    </row>
    <row r="2160" spans="1:10" ht="14.25" customHeight="1" x14ac:dyDescent="0.25">
      <c r="A2160" s="21">
        <v>12011</v>
      </c>
      <c r="B2160" s="21"/>
      <c r="C2160">
        <v>158</v>
      </c>
      <c r="D2160">
        <v>4.3</v>
      </c>
      <c r="E2160">
        <v>252</v>
      </c>
      <c r="F2160">
        <v>228</v>
      </c>
      <c r="G2160">
        <v>24</v>
      </c>
      <c r="H2160">
        <v>228</v>
      </c>
      <c r="I2160">
        <v>1.57</v>
      </c>
      <c r="J2160" s="1">
        <v>14230</v>
      </c>
    </row>
    <row r="2161" spans="1:10" ht="14.25" customHeight="1" x14ac:dyDescent="0.25">
      <c r="A2161" s="21">
        <v>12011</v>
      </c>
      <c r="B2161" s="21"/>
      <c r="C2161">
        <v>70.099999999999994</v>
      </c>
      <c r="D2161">
        <v>4.7</v>
      </c>
      <c r="E2161">
        <v>218</v>
      </c>
      <c r="F2161">
        <v>129</v>
      </c>
      <c r="G2161">
        <v>10</v>
      </c>
      <c r="H2161">
        <v>129</v>
      </c>
      <c r="I2161">
        <v>1.48</v>
      </c>
      <c r="J2161" s="1">
        <v>5477</v>
      </c>
    </row>
    <row r="2162" spans="1:10" ht="14.25" customHeight="1" x14ac:dyDescent="0.25">
      <c r="A2162" s="21">
        <v>12011</v>
      </c>
      <c r="B2162" s="21"/>
      <c r="C2162">
        <v>81.3</v>
      </c>
      <c r="D2162">
        <v>4.0999999999999996</v>
      </c>
      <c r="E2162">
        <v>171</v>
      </c>
      <c r="F2162">
        <v>245</v>
      </c>
      <c r="G2162">
        <v>15</v>
      </c>
      <c r="H2162">
        <v>245</v>
      </c>
      <c r="I2162">
        <v>1.38</v>
      </c>
      <c r="J2162" s="1">
        <v>7158</v>
      </c>
    </row>
    <row r="2163" spans="1:10" ht="14.25" customHeight="1" x14ac:dyDescent="0.25">
      <c r="A2163" s="21">
        <v>12011</v>
      </c>
      <c r="B2163" s="21"/>
      <c r="C2163">
        <v>179.8</v>
      </c>
      <c r="D2163">
        <v>5.0999999999999996</v>
      </c>
      <c r="E2163">
        <v>246</v>
      </c>
      <c r="F2163">
        <v>304</v>
      </c>
      <c r="G2163">
        <v>29</v>
      </c>
      <c r="H2163">
        <v>304</v>
      </c>
      <c r="I2163">
        <v>1.63</v>
      </c>
      <c r="J2163" s="1">
        <v>12749</v>
      </c>
    </row>
    <row r="2164" spans="1:10" ht="14.25" customHeight="1" x14ac:dyDescent="0.25">
      <c r="A2164" s="21">
        <v>12011</v>
      </c>
      <c r="B2164" s="21"/>
      <c r="C2164">
        <v>184.3</v>
      </c>
      <c r="D2164">
        <v>4.2</v>
      </c>
      <c r="E2164">
        <v>538</v>
      </c>
      <c r="F2164">
        <v>319</v>
      </c>
      <c r="G2164">
        <v>42</v>
      </c>
      <c r="H2164">
        <v>319</v>
      </c>
      <c r="I2164">
        <v>1.82</v>
      </c>
      <c r="J2164" s="1">
        <v>15923</v>
      </c>
    </row>
    <row r="2165" spans="1:10" ht="14.25" customHeight="1" x14ac:dyDescent="0.25">
      <c r="A2165" s="21">
        <v>12011</v>
      </c>
      <c r="B2165" s="21"/>
      <c r="C2165">
        <v>504.8</v>
      </c>
      <c r="D2165">
        <v>6.5</v>
      </c>
      <c r="E2165">
        <v>975</v>
      </c>
      <c r="F2165">
        <v>870</v>
      </c>
      <c r="G2165">
        <v>92</v>
      </c>
      <c r="H2165">
        <v>553</v>
      </c>
      <c r="I2165">
        <v>1.79</v>
      </c>
      <c r="J2165" s="1">
        <v>30148</v>
      </c>
    </row>
    <row r="2166" spans="1:10" ht="14.25" customHeight="1" x14ac:dyDescent="0.25">
      <c r="A2166" s="21">
        <v>12011</v>
      </c>
      <c r="B2166" s="21"/>
      <c r="C2166">
        <v>347.7</v>
      </c>
      <c r="D2166">
        <v>6</v>
      </c>
      <c r="E2166">
        <v>416</v>
      </c>
      <c r="F2166">
        <v>572</v>
      </c>
      <c r="G2166">
        <v>57</v>
      </c>
      <c r="H2166">
        <v>572</v>
      </c>
      <c r="I2166">
        <v>1.9</v>
      </c>
      <c r="J2166" s="1">
        <v>22268</v>
      </c>
    </row>
    <row r="2167" spans="1:10" ht="14.25" customHeight="1" x14ac:dyDescent="0.25">
      <c r="A2167" s="21">
        <v>12011</v>
      </c>
      <c r="B2167" s="21"/>
      <c r="C2167">
        <v>175.2</v>
      </c>
      <c r="D2167">
        <v>4.5</v>
      </c>
      <c r="E2167">
        <v>521</v>
      </c>
      <c r="F2167">
        <v>206</v>
      </c>
      <c r="G2167">
        <v>48</v>
      </c>
      <c r="H2167">
        <v>206</v>
      </c>
      <c r="I2167">
        <v>2.2799999999999998</v>
      </c>
      <c r="J2167" s="1">
        <v>11392</v>
      </c>
    </row>
    <row r="2168" spans="1:10" ht="14.25" customHeight="1" x14ac:dyDescent="0.25">
      <c r="A2168" s="21">
        <v>12011</v>
      </c>
      <c r="B2168" s="21"/>
      <c r="C2168">
        <v>81.7</v>
      </c>
      <c r="D2168">
        <v>4.2</v>
      </c>
      <c r="E2168">
        <v>237</v>
      </c>
      <c r="F2168">
        <v>178</v>
      </c>
      <c r="G2168">
        <v>18</v>
      </c>
      <c r="H2168">
        <v>178</v>
      </c>
      <c r="I2168">
        <v>1.36</v>
      </c>
      <c r="J2168" s="1">
        <v>8883</v>
      </c>
    </row>
    <row r="2169" spans="1:10" ht="14.25" customHeight="1" x14ac:dyDescent="0.25">
      <c r="A2169" s="21">
        <v>12011</v>
      </c>
      <c r="B2169" s="21"/>
      <c r="C2169">
        <v>100.5</v>
      </c>
      <c r="D2169">
        <v>4.3</v>
      </c>
      <c r="E2169">
        <v>297</v>
      </c>
      <c r="F2169">
        <v>196</v>
      </c>
      <c r="G2169">
        <v>16</v>
      </c>
      <c r="H2169">
        <v>196</v>
      </c>
      <c r="I2169">
        <v>1.44</v>
      </c>
      <c r="J2169" s="1">
        <v>10900</v>
      </c>
    </row>
    <row r="2170" spans="1:10" ht="14.25" customHeight="1" x14ac:dyDescent="0.25">
      <c r="A2170" s="21">
        <v>12011</v>
      </c>
      <c r="B2170" s="21"/>
      <c r="C2170">
        <v>275.8</v>
      </c>
      <c r="D2170">
        <v>5.4</v>
      </c>
      <c r="E2170">
        <v>519</v>
      </c>
      <c r="F2170">
        <v>486</v>
      </c>
      <c r="G2170">
        <v>32</v>
      </c>
      <c r="H2170">
        <v>486</v>
      </c>
      <c r="I2170">
        <v>1.66</v>
      </c>
      <c r="J2170" s="1">
        <v>19937</v>
      </c>
    </row>
    <row r="2171" spans="1:10" ht="14.25" customHeight="1" x14ac:dyDescent="0.25">
      <c r="A2171" s="21">
        <v>12011</v>
      </c>
      <c r="B2171" s="21"/>
      <c r="E2171">
        <v>80</v>
      </c>
      <c r="H2171">
        <v>459</v>
      </c>
    </row>
    <row r="2172" spans="1:10" ht="14.25" customHeight="1" x14ac:dyDescent="0.25">
      <c r="A2172" s="21">
        <v>12011</v>
      </c>
      <c r="B2172" s="21"/>
      <c r="C2172">
        <v>48.7</v>
      </c>
      <c r="D2172">
        <v>4.5</v>
      </c>
      <c r="J2172" s="1">
        <v>3976</v>
      </c>
    </row>
    <row r="2173" spans="1:10" ht="14.25" customHeight="1" x14ac:dyDescent="0.25">
      <c r="A2173" s="21">
        <v>12011</v>
      </c>
      <c r="B2173" s="21"/>
      <c r="E2173">
        <v>49</v>
      </c>
      <c r="H2173">
        <v>180</v>
      </c>
    </row>
    <row r="2174" spans="1:10" ht="14.25" customHeight="1" x14ac:dyDescent="0.25">
      <c r="A2174" s="21">
        <v>12011</v>
      </c>
      <c r="B2174" s="21"/>
    </row>
    <row r="2175" spans="1:10" ht="14.25" customHeight="1" x14ac:dyDescent="0.25">
      <c r="A2175" s="21">
        <v>12015</v>
      </c>
      <c r="B2175" s="21"/>
      <c r="C2175">
        <v>47.6</v>
      </c>
      <c r="D2175">
        <v>4.4000000000000004</v>
      </c>
      <c r="E2175">
        <v>95</v>
      </c>
      <c r="F2175">
        <v>136</v>
      </c>
      <c r="G2175">
        <v>22</v>
      </c>
      <c r="H2175">
        <v>136</v>
      </c>
      <c r="I2175">
        <v>1.44</v>
      </c>
      <c r="J2175" s="1">
        <v>3990</v>
      </c>
    </row>
    <row r="2176" spans="1:10" ht="14.25" customHeight="1" x14ac:dyDescent="0.25">
      <c r="A2176" s="21">
        <v>12015</v>
      </c>
      <c r="B2176" s="21"/>
      <c r="C2176">
        <v>132.1</v>
      </c>
      <c r="D2176">
        <v>4.7</v>
      </c>
      <c r="E2176">
        <v>137</v>
      </c>
      <c r="F2176">
        <v>254</v>
      </c>
      <c r="G2176">
        <v>22</v>
      </c>
      <c r="H2176">
        <v>254</v>
      </c>
      <c r="I2176">
        <v>1.68</v>
      </c>
      <c r="J2176" s="1">
        <v>10620</v>
      </c>
    </row>
    <row r="2177" spans="1:10" ht="14.25" customHeight="1" x14ac:dyDescent="0.25">
      <c r="A2177" s="21">
        <v>12015</v>
      </c>
      <c r="B2177" s="21"/>
      <c r="C2177">
        <v>141.19999999999999</v>
      </c>
      <c r="D2177">
        <v>4.8</v>
      </c>
      <c r="E2177">
        <v>254</v>
      </c>
      <c r="F2177">
        <v>217</v>
      </c>
      <c r="G2177">
        <v>19</v>
      </c>
      <c r="H2177">
        <v>217</v>
      </c>
      <c r="I2177">
        <v>1.75</v>
      </c>
      <c r="J2177" s="1">
        <v>10640</v>
      </c>
    </row>
    <row r="2178" spans="1:10" ht="14.25" customHeight="1" x14ac:dyDescent="0.25">
      <c r="A2178" s="21">
        <v>12017</v>
      </c>
      <c r="B2178" s="21"/>
      <c r="C2178">
        <v>68.599999999999994</v>
      </c>
      <c r="D2178">
        <v>4.3</v>
      </c>
      <c r="E2178">
        <v>104</v>
      </c>
      <c r="F2178">
        <v>128</v>
      </c>
      <c r="G2178">
        <v>16</v>
      </c>
      <c r="H2178">
        <v>128</v>
      </c>
      <c r="I2178">
        <v>1.63</v>
      </c>
      <c r="J2178" s="1">
        <v>5963</v>
      </c>
    </row>
    <row r="2179" spans="1:10" ht="14.25" customHeight="1" x14ac:dyDescent="0.25">
      <c r="A2179" s="21">
        <v>12017</v>
      </c>
      <c r="B2179" s="21"/>
      <c r="C2179">
        <v>123.3</v>
      </c>
      <c r="D2179">
        <v>4.3</v>
      </c>
      <c r="E2179">
        <v>295</v>
      </c>
      <c r="F2179">
        <v>204</v>
      </c>
      <c r="G2179">
        <v>24</v>
      </c>
      <c r="H2179">
        <v>204</v>
      </c>
      <c r="I2179">
        <v>1.58</v>
      </c>
      <c r="J2179" s="1">
        <v>10707</v>
      </c>
    </row>
    <row r="2180" spans="1:10" ht="14.25" customHeight="1" x14ac:dyDescent="0.25">
      <c r="A2180" s="21">
        <v>12019</v>
      </c>
      <c r="B2180" s="21"/>
      <c r="C2180">
        <v>215.4</v>
      </c>
      <c r="D2180">
        <v>4.5999999999999996</v>
      </c>
      <c r="E2180">
        <v>320</v>
      </c>
      <c r="F2180">
        <v>273</v>
      </c>
      <c r="G2180">
        <v>28</v>
      </c>
      <c r="H2180">
        <v>273</v>
      </c>
      <c r="I2180">
        <v>1.84</v>
      </c>
      <c r="J2180" s="1">
        <v>17604</v>
      </c>
    </row>
    <row r="2181" spans="1:10" ht="14.25" customHeight="1" x14ac:dyDescent="0.25">
      <c r="A2181" s="21">
        <v>12019</v>
      </c>
      <c r="B2181" s="21"/>
      <c r="C2181">
        <v>59.9</v>
      </c>
      <c r="D2181">
        <v>3.3</v>
      </c>
      <c r="E2181">
        <v>133</v>
      </c>
      <c r="F2181">
        <v>106</v>
      </c>
      <c r="G2181">
        <v>8</v>
      </c>
      <c r="H2181">
        <v>106</v>
      </c>
      <c r="I2181">
        <v>1.51</v>
      </c>
      <c r="J2181" s="1">
        <v>6948</v>
      </c>
    </row>
    <row r="2182" spans="1:10" ht="14.25" customHeight="1" x14ac:dyDescent="0.25">
      <c r="A2182" s="21">
        <v>12021</v>
      </c>
      <c r="B2182" s="21"/>
      <c r="C2182">
        <v>141.9</v>
      </c>
      <c r="D2182">
        <v>4.0999999999999996</v>
      </c>
      <c r="E2182">
        <v>345</v>
      </c>
      <c r="F2182">
        <v>201</v>
      </c>
      <c r="G2182">
        <v>24</v>
      </c>
      <c r="H2182">
        <v>101</v>
      </c>
      <c r="I2182">
        <v>1.65</v>
      </c>
      <c r="J2182" s="1">
        <v>12571</v>
      </c>
    </row>
    <row r="2183" spans="1:10" ht="14.25" customHeight="1" x14ac:dyDescent="0.25">
      <c r="A2183" s="21">
        <v>12021</v>
      </c>
      <c r="B2183" s="21"/>
      <c r="C2183">
        <v>338.3</v>
      </c>
      <c r="D2183">
        <v>5.3</v>
      </c>
      <c r="E2183">
        <v>765</v>
      </c>
      <c r="F2183">
        <v>535</v>
      </c>
      <c r="G2183">
        <v>34</v>
      </c>
      <c r="H2183">
        <v>535</v>
      </c>
      <c r="I2183">
        <v>1.67</v>
      </c>
      <c r="J2183" s="1">
        <v>24467</v>
      </c>
    </row>
    <row r="2184" spans="1:10" ht="14.25" customHeight="1" x14ac:dyDescent="0.25">
      <c r="A2184" s="21">
        <v>12021</v>
      </c>
      <c r="B2184" s="21"/>
      <c r="H2184">
        <v>261</v>
      </c>
    </row>
    <row r="2185" spans="1:10" ht="14.25" customHeight="1" x14ac:dyDescent="0.25">
      <c r="A2185" s="21">
        <v>12021</v>
      </c>
      <c r="B2185" s="21"/>
      <c r="E2185">
        <v>14</v>
      </c>
      <c r="H2185">
        <v>100</v>
      </c>
    </row>
    <row r="2186" spans="1:10" ht="14.25" customHeight="1" x14ac:dyDescent="0.25">
      <c r="A2186" s="21">
        <v>12023</v>
      </c>
      <c r="B2186" s="21"/>
      <c r="C2186">
        <v>25.5</v>
      </c>
      <c r="D2186">
        <v>4.5</v>
      </c>
      <c r="E2186">
        <v>52</v>
      </c>
      <c r="F2186">
        <v>87</v>
      </c>
      <c r="G2186">
        <v>9</v>
      </c>
      <c r="H2186">
        <v>87</v>
      </c>
      <c r="I2186">
        <v>1.18</v>
      </c>
      <c r="J2186" s="1">
        <v>2311</v>
      </c>
    </row>
    <row r="2187" spans="1:10" ht="14.25" customHeight="1" x14ac:dyDescent="0.25">
      <c r="A2187" s="21">
        <v>12023</v>
      </c>
      <c r="B2187" s="21"/>
      <c r="C2187">
        <v>60.9</v>
      </c>
      <c r="D2187">
        <v>3.7</v>
      </c>
      <c r="E2187">
        <v>112</v>
      </c>
      <c r="F2187">
        <v>91</v>
      </c>
      <c r="G2187">
        <v>18</v>
      </c>
      <c r="H2187">
        <v>91</v>
      </c>
      <c r="I2187">
        <v>1.31</v>
      </c>
      <c r="J2187" s="1">
        <v>6083</v>
      </c>
    </row>
    <row r="2188" spans="1:10" ht="14.25" customHeight="1" x14ac:dyDescent="0.25">
      <c r="A2188" s="21">
        <v>12027</v>
      </c>
      <c r="B2188" s="21"/>
      <c r="C2188">
        <v>8.5</v>
      </c>
      <c r="D2188">
        <v>3.5</v>
      </c>
      <c r="E2188">
        <v>70</v>
      </c>
      <c r="F2188">
        <v>49</v>
      </c>
      <c r="G2188">
        <v>8</v>
      </c>
      <c r="H2188">
        <v>49</v>
      </c>
      <c r="I2188">
        <v>1.27</v>
      </c>
      <c r="J2188">
        <v>877</v>
      </c>
    </row>
    <row r="2189" spans="1:10" ht="14.25" customHeight="1" x14ac:dyDescent="0.25">
      <c r="A2189" s="21">
        <v>12031</v>
      </c>
      <c r="B2189" s="21"/>
      <c r="C2189">
        <v>277.60000000000002</v>
      </c>
      <c r="D2189">
        <v>5.2</v>
      </c>
      <c r="E2189">
        <v>404</v>
      </c>
      <c r="F2189">
        <v>377</v>
      </c>
      <c r="G2189">
        <v>51</v>
      </c>
      <c r="H2189">
        <v>377</v>
      </c>
      <c r="I2189">
        <v>1.79</v>
      </c>
      <c r="J2189" s="1">
        <v>19782</v>
      </c>
    </row>
    <row r="2190" spans="1:10" ht="14.25" customHeight="1" x14ac:dyDescent="0.25">
      <c r="A2190" s="21">
        <v>12031</v>
      </c>
      <c r="B2190" s="21"/>
      <c r="C2190">
        <v>201.4</v>
      </c>
      <c r="D2190">
        <v>5</v>
      </c>
      <c r="E2190" s="1">
        <v>1051</v>
      </c>
      <c r="F2190">
        <v>277</v>
      </c>
      <c r="G2190">
        <v>54</v>
      </c>
      <c r="H2190">
        <v>277</v>
      </c>
      <c r="I2190">
        <v>2.2999999999999998</v>
      </c>
      <c r="J2190" s="1">
        <v>14727</v>
      </c>
    </row>
    <row r="2191" spans="1:10" ht="14.25" customHeight="1" x14ac:dyDescent="0.25">
      <c r="A2191" s="21">
        <v>12031</v>
      </c>
      <c r="B2191" s="21"/>
      <c r="C2191">
        <v>74</v>
      </c>
      <c r="D2191">
        <v>3.4</v>
      </c>
      <c r="E2191">
        <v>275</v>
      </c>
      <c r="F2191">
        <v>135</v>
      </c>
      <c r="H2191">
        <v>135</v>
      </c>
      <c r="I2191">
        <v>1.36</v>
      </c>
      <c r="J2191" s="1">
        <v>8586</v>
      </c>
    </row>
    <row r="2192" spans="1:10" ht="14.25" customHeight="1" x14ac:dyDescent="0.25">
      <c r="A2192" s="21">
        <v>12031</v>
      </c>
      <c r="B2192" s="21"/>
      <c r="E2192">
        <v>3</v>
      </c>
      <c r="H2192">
        <v>120</v>
      </c>
    </row>
    <row r="2193" spans="1:10" ht="14.25" customHeight="1" x14ac:dyDescent="0.25">
      <c r="A2193" s="21">
        <v>12031</v>
      </c>
      <c r="B2193" s="21"/>
      <c r="C2193">
        <v>404.6</v>
      </c>
      <c r="D2193">
        <v>5.3</v>
      </c>
      <c r="E2193">
        <v>685</v>
      </c>
      <c r="F2193">
        <v>533</v>
      </c>
      <c r="G2193">
        <v>80</v>
      </c>
      <c r="H2193">
        <v>533</v>
      </c>
      <c r="I2193">
        <v>1.79</v>
      </c>
      <c r="J2193" s="1">
        <v>29255</v>
      </c>
    </row>
    <row r="2194" spans="1:10" ht="14.25" customHeight="1" x14ac:dyDescent="0.25">
      <c r="A2194" s="21">
        <v>12031</v>
      </c>
      <c r="B2194" s="21"/>
      <c r="C2194">
        <v>265.60000000000002</v>
      </c>
      <c r="D2194">
        <v>4.5</v>
      </c>
      <c r="E2194">
        <v>966</v>
      </c>
      <c r="F2194">
        <v>479</v>
      </c>
      <c r="G2194">
        <v>29</v>
      </c>
      <c r="H2194">
        <v>479</v>
      </c>
      <c r="I2194">
        <v>2.11</v>
      </c>
      <c r="J2194" s="1">
        <v>22120</v>
      </c>
    </row>
    <row r="2195" spans="1:10" ht="14.25" customHeight="1" x14ac:dyDescent="0.25">
      <c r="A2195" s="21">
        <v>12031</v>
      </c>
      <c r="B2195" s="21"/>
      <c r="C2195">
        <v>93.1</v>
      </c>
      <c r="D2195">
        <v>3.6</v>
      </c>
      <c r="E2195">
        <v>194</v>
      </c>
      <c r="F2195">
        <v>260</v>
      </c>
      <c r="G2195">
        <v>17</v>
      </c>
      <c r="H2195">
        <v>260</v>
      </c>
      <c r="I2195">
        <v>1.89</v>
      </c>
      <c r="J2195" s="1">
        <v>10336</v>
      </c>
    </row>
    <row r="2196" spans="1:10" ht="14.25" customHeight="1" x14ac:dyDescent="0.25">
      <c r="A2196" s="21">
        <v>12031</v>
      </c>
      <c r="B2196" s="21"/>
      <c r="H2196">
        <v>192</v>
      </c>
    </row>
    <row r="2197" spans="1:10" ht="14.25" customHeight="1" x14ac:dyDescent="0.25">
      <c r="A2197" s="21">
        <v>12031</v>
      </c>
      <c r="B2197" s="21"/>
      <c r="C2197">
        <v>644.5</v>
      </c>
      <c r="D2197">
        <v>5.0999999999999996</v>
      </c>
      <c r="E2197" s="1">
        <v>1342</v>
      </c>
      <c r="F2197">
        <v>855</v>
      </c>
      <c r="G2197">
        <v>120</v>
      </c>
      <c r="H2197">
        <v>439</v>
      </c>
      <c r="I2197">
        <v>1.73</v>
      </c>
      <c r="J2197" s="1">
        <v>47629</v>
      </c>
    </row>
    <row r="2198" spans="1:10" ht="14.25" customHeight="1" x14ac:dyDescent="0.25">
      <c r="A2198" s="21">
        <v>12031</v>
      </c>
      <c r="B2198" s="21"/>
      <c r="H2198">
        <v>92</v>
      </c>
    </row>
    <row r="2199" spans="1:10" ht="14.25" customHeight="1" x14ac:dyDescent="0.25">
      <c r="A2199" s="21">
        <v>12031</v>
      </c>
      <c r="B2199" s="21"/>
    </row>
    <row r="2200" spans="1:10" ht="14.25" customHeight="1" x14ac:dyDescent="0.25">
      <c r="A2200" s="21">
        <v>12033</v>
      </c>
      <c r="B2200" s="21"/>
      <c r="C2200">
        <v>329.5</v>
      </c>
      <c r="D2200">
        <v>5.2</v>
      </c>
      <c r="E2200">
        <v>805</v>
      </c>
      <c r="F2200">
        <v>561</v>
      </c>
      <c r="G2200">
        <v>34</v>
      </c>
      <c r="H2200">
        <v>561</v>
      </c>
      <c r="I2200">
        <v>1.87</v>
      </c>
      <c r="J2200" s="1">
        <v>24138</v>
      </c>
    </row>
    <row r="2201" spans="1:10" ht="14.25" customHeight="1" x14ac:dyDescent="0.25">
      <c r="A2201" s="21">
        <v>12033</v>
      </c>
      <c r="B2201" s="21"/>
      <c r="C2201">
        <v>197.3</v>
      </c>
      <c r="D2201">
        <v>5</v>
      </c>
      <c r="E2201">
        <v>483</v>
      </c>
      <c r="F2201">
        <v>266</v>
      </c>
      <c r="G2201">
        <v>25</v>
      </c>
      <c r="H2201">
        <v>266</v>
      </c>
      <c r="I2201">
        <v>1.99</v>
      </c>
      <c r="J2201" s="1">
        <v>15016</v>
      </c>
    </row>
    <row r="2202" spans="1:10" ht="14.25" customHeight="1" x14ac:dyDescent="0.25">
      <c r="A2202" s="21">
        <v>12033</v>
      </c>
      <c r="B2202" s="21"/>
      <c r="C2202">
        <v>229.2</v>
      </c>
      <c r="D2202">
        <v>4.5</v>
      </c>
      <c r="E2202">
        <v>333</v>
      </c>
      <c r="F2202">
        <v>356</v>
      </c>
      <c r="G2202">
        <v>26</v>
      </c>
      <c r="H2202">
        <v>356</v>
      </c>
      <c r="I2202">
        <v>1.56</v>
      </c>
      <c r="J2202" s="1">
        <v>19029</v>
      </c>
    </row>
    <row r="2203" spans="1:10" ht="14.25" customHeight="1" x14ac:dyDescent="0.25">
      <c r="A2203" s="21">
        <v>12033</v>
      </c>
      <c r="B2203" s="21"/>
    </row>
    <row r="2204" spans="1:10" ht="14.25" customHeight="1" x14ac:dyDescent="0.25">
      <c r="A2204" s="21">
        <v>12035</v>
      </c>
      <c r="B2204" s="21"/>
      <c r="C2204">
        <v>89.5</v>
      </c>
      <c r="D2204">
        <v>4</v>
      </c>
      <c r="E2204">
        <v>203</v>
      </c>
      <c r="F2204">
        <v>99</v>
      </c>
      <c r="G2204">
        <v>18</v>
      </c>
      <c r="H2204">
        <v>99</v>
      </c>
      <c r="I2204">
        <v>1.53</v>
      </c>
      <c r="J2204" s="1">
        <v>8093</v>
      </c>
    </row>
    <row r="2205" spans="1:10" ht="14.25" customHeight="1" x14ac:dyDescent="0.25">
      <c r="A2205" s="21">
        <v>12039</v>
      </c>
      <c r="B2205" s="21"/>
      <c r="C2205">
        <v>4.7</v>
      </c>
      <c r="E2205">
        <v>9</v>
      </c>
      <c r="F2205">
        <v>24</v>
      </c>
      <c r="H2205">
        <v>24</v>
      </c>
    </row>
    <row r="2206" spans="1:10" ht="14.25" customHeight="1" x14ac:dyDescent="0.25">
      <c r="A2206" s="21">
        <v>12045</v>
      </c>
      <c r="B2206" s="21"/>
      <c r="C2206">
        <v>3.9</v>
      </c>
      <c r="D2206">
        <v>3.6</v>
      </c>
      <c r="E2206">
        <v>30</v>
      </c>
      <c r="F2206">
        <v>19</v>
      </c>
      <c r="H2206">
        <v>19</v>
      </c>
      <c r="I2206">
        <v>1.1499999999999999</v>
      </c>
      <c r="J2206">
        <v>396</v>
      </c>
    </row>
    <row r="2207" spans="1:10" ht="14.25" customHeight="1" x14ac:dyDescent="0.25">
      <c r="A2207" s="21">
        <v>12053</v>
      </c>
      <c r="B2207" s="21"/>
      <c r="C2207">
        <v>235.2</v>
      </c>
      <c r="D2207">
        <v>4.5999999999999996</v>
      </c>
      <c r="E2207">
        <v>381</v>
      </c>
      <c r="F2207">
        <v>280</v>
      </c>
      <c r="G2207">
        <v>24</v>
      </c>
      <c r="H2207">
        <v>280</v>
      </c>
      <c r="I2207">
        <v>1.52</v>
      </c>
      <c r="J2207" s="1">
        <v>19220</v>
      </c>
    </row>
    <row r="2208" spans="1:10" ht="14.25" customHeight="1" x14ac:dyDescent="0.25">
      <c r="A2208" s="21">
        <v>12053</v>
      </c>
      <c r="B2208" s="21"/>
      <c r="C2208">
        <v>106.8</v>
      </c>
      <c r="D2208">
        <v>3.9</v>
      </c>
      <c r="E2208">
        <v>112</v>
      </c>
      <c r="F2208">
        <v>244</v>
      </c>
      <c r="G2208">
        <v>20</v>
      </c>
      <c r="H2208">
        <v>120</v>
      </c>
      <c r="I2208">
        <v>1.4</v>
      </c>
      <c r="J2208" s="1">
        <v>10167</v>
      </c>
    </row>
    <row r="2209" spans="1:10" ht="14.25" customHeight="1" x14ac:dyDescent="0.25">
      <c r="A2209" s="21">
        <v>12053</v>
      </c>
      <c r="B2209" s="21"/>
      <c r="E2209">
        <v>29</v>
      </c>
      <c r="H2209">
        <v>124</v>
      </c>
    </row>
    <row r="2210" spans="1:10" ht="14.25" customHeight="1" x14ac:dyDescent="0.25">
      <c r="A2210" s="21">
        <v>12055</v>
      </c>
      <c r="B2210" s="21"/>
      <c r="C2210">
        <v>33.700000000000003</v>
      </c>
      <c r="D2210">
        <v>4</v>
      </c>
      <c r="E2210">
        <v>74</v>
      </c>
      <c r="F2210">
        <v>110</v>
      </c>
      <c r="G2210">
        <v>16</v>
      </c>
      <c r="H2210">
        <v>110</v>
      </c>
      <c r="I2210">
        <v>1.53</v>
      </c>
      <c r="J2210" s="1">
        <v>3269</v>
      </c>
    </row>
    <row r="2211" spans="1:10" ht="14.25" customHeight="1" x14ac:dyDescent="0.25">
      <c r="A2211" s="21">
        <v>12055</v>
      </c>
      <c r="B2211" s="21"/>
      <c r="C2211">
        <v>120.3</v>
      </c>
      <c r="D2211">
        <v>4.2</v>
      </c>
      <c r="E2211">
        <v>284</v>
      </c>
      <c r="F2211">
        <v>180</v>
      </c>
      <c r="G2211">
        <v>22</v>
      </c>
      <c r="H2211">
        <v>180</v>
      </c>
      <c r="I2211">
        <v>1.62</v>
      </c>
      <c r="J2211" s="1">
        <v>10927</v>
      </c>
    </row>
    <row r="2212" spans="1:10" ht="14.25" customHeight="1" x14ac:dyDescent="0.25">
      <c r="A2212" s="21">
        <v>12055</v>
      </c>
      <c r="B2212" s="21"/>
      <c r="H2212">
        <v>33</v>
      </c>
    </row>
    <row r="2213" spans="1:10" ht="14.25" customHeight="1" x14ac:dyDescent="0.25">
      <c r="A2213" s="21">
        <v>12057</v>
      </c>
      <c r="B2213" s="21"/>
      <c r="C2213">
        <v>723.1</v>
      </c>
      <c r="D2213">
        <v>5.8</v>
      </c>
      <c r="E2213" s="1">
        <v>1309</v>
      </c>
      <c r="F2213">
        <v>920</v>
      </c>
      <c r="G2213">
        <v>77</v>
      </c>
      <c r="H2213">
        <v>920</v>
      </c>
      <c r="I2213">
        <v>2.04</v>
      </c>
      <c r="J2213" s="1">
        <v>47752</v>
      </c>
    </row>
    <row r="2214" spans="1:10" ht="14.25" customHeight="1" x14ac:dyDescent="0.25">
      <c r="A2214" s="21">
        <v>12057</v>
      </c>
      <c r="B2214" s="21"/>
      <c r="C2214">
        <v>72</v>
      </c>
      <c r="D2214">
        <v>3.7</v>
      </c>
      <c r="E2214">
        <v>142</v>
      </c>
      <c r="F2214">
        <v>147</v>
      </c>
      <c r="G2214">
        <v>25</v>
      </c>
      <c r="H2214">
        <v>147</v>
      </c>
      <c r="I2214">
        <v>1.47</v>
      </c>
      <c r="J2214" s="1">
        <v>7317</v>
      </c>
    </row>
    <row r="2215" spans="1:10" ht="14.25" customHeight="1" x14ac:dyDescent="0.25">
      <c r="A2215" s="21">
        <v>12057</v>
      </c>
      <c r="B2215" s="21"/>
      <c r="C2215">
        <v>246.9</v>
      </c>
      <c r="D2215">
        <v>4</v>
      </c>
      <c r="E2215">
        <v>421</v>
      </c>
      <c r="F2215">
        <v>393</v>
      </c>
      <c r="G2215">
        <v>54</v>
      </c>
      <c r="H2215">
        <v>393</v>
      </c>
      <c r="I2215">
        <v>1.63</v>
      </c>
      <c r="J2215" s="1">
        <v>24027</v>
      </c>
    </row>
    <row r="2216" spans="1:10" ht="14.25" customHeight="1" x14ac:dyDescent="0.25">
      <c r="A2216" s="21">
        <v>12057</v>
      </c>
      <c r="B2216" s="21"/>
      <c r="C2216">
        <v>311.7</v>
      </c>
      <c r="D2216">
        <v>5.4</v>
      </c>
      <c r="E2216">
        <v>570</v>
      </c>
      <c r="F2216">
        <v>506</v>
      </c>
      <c r="G2216">
        <v>58</v>
      </c>
      <c r="H2216">
        <v>506</v>
      </c>
      <c r="I2216">
        <v>1.83</v>
      </c>
      <c r="J2216" s="1">
        <v>21845</v>
      </c>
    </row>
    <row r="2217" spans="1:10" ht="14.25" customHeight="1" x14ac:dyDescent="0.25">
      <c r="A2217" s="21">
        <v>12057</v>
      </c>
      <c r="B2217" s="21"/>
      <c r="C2217">
        <v>44</v>
      </c>
      <c r="D2217">
        <v>4</v>
      </c>
      <c r="E2217">
        <v>190</v>
      </c>
      <c r="F2217">
        <v>147</v>
      </c>
      <c r="G2217">
        <v>12</v>
      </c>
      <c r="H2217">
        <v>147</v>
      </c>
      <c r="I2217">
        <v>1.45</v>
      </c>
      <c r="J2217" s="1">
        <v>4039</v>
      </c>
    </row>
    <row r="2218" spans="1:10" ht="14.25" customHeight="1" x14ac:dyDescent="0.25">
      <c r="A2218" s="21">
        <v>12057</v>
      </c>
      <c r="B2218" s="21"/>
      <c r="C2218">
        <v>701.8</v>
      </c>
      <c r="D2218">
        <v>5.3</v>
      </c>
      <c r="E2218" s="1">
        <v>1540</v>
      </c>
      <c r="F2218" s="1">
        <v>1062</v>
      </c>
      <c r="G2218">
        <v>106</v>
      </c>
      <c r="H2218">
        <v>527</v>
      </c>
      <c r="I2218">
        <v>1.67</v>
      </c>
      <c r="J2218" s="1">
        <v>51623</v>
      </c>
    </row>
    <row r="2219" spans="1:10" ht="14.25" customHeight="1" x14ac:dyDescent="0.25">
      <c r="A2219" s="21">
        <v>12057</v>
      </c>
      <c r="B2219" s="21"/>
      <c r="C2219">
        <v>53.1</v>
      </c>
      <c r="D2219">
        <v>3.8</v>
      </c>
      <c r="E2219">
        <v>123</v>
      </c>
      <c r="F2219">
        <v>103</v>
      </c>
      <c r="G2219">
        <v>8</v>
      </c>
      <c r="H2219">
        <v>103</v>
      </c>
      <c r="I2219">
        <v>1.96</v>
      </c>
      <c r="J2219" s="1">
        <v>5157</v>
      </c>
    </row>
    <row r="2220" spans="1:10" ht="14.25" customHeight="1" x14ac:dyDescent="0.25">
      <c r="A2220" s="21">
        <v>12057</v>
      </c>
      <c r="B2220" s="21"/>
      <c r="C2220">
        <v>40.9</v>
      </c>
      <c r="D2220">
        <v>4.7</v>
      </c>
      <c r="E2220">
        <v>15</v>
      </c>
      <c r="F2220">
        <v>182</v>
      </c>
      <c r="G2220">
        <v>11</v>
      </c>
      <c r="H2220">
        <v>182</v>
      </c>
      <c r="I2220">
        <v>1.34</v>
      </c>
      <c r="J2220" s="1">
        <v>3184</v>
      </c>
    </row>
    <row r="2221" spans="1:10" ht="14.25" customHeight="1" x14ac:dyDescent="0.25">
      <c r="A2221" s="21">
        <v>12057</v>
      </c>
      <c r="B2221" s="21"/>
      <c r="C2221">
        <v>67.3</v>
      </c>
      <c r="D2221">
        <v>3.9</v>
      </c>
      <c r="E2221">
        <v>106</v>
      </c>
      <c r="F2221">
        <v>138</v>
      </c>
      <c r="G2221">
        <v>12</v>
      </c>
      <c r="H2221">
        <v>138</v>
      </c>
      <c r="I2221">
        <v>1.37</v>
      </c>
      <c r="J2221" s="1">
        <v>6366</v>
      </c>
    </row>
    <row r="2222" spans="1:10" ht="14.25" customHeight="1" x14ac:dyDescent="0.25">
      <c r="A2222" s="21">
        <v>12057</v>
      </c>
      <c r="B2222" s="21"/>
      <c r="C2222">
        <v>165.2</v>
      </c>
      <c r="D2222">
        <v>6.4</v>
      </c>
      <c r="E2222">
        <v>751</v>
      </c>
      <c r="F2222">
        <v>206</v>
      </c>
      <c r="G2222">
        <v>30</v>
      </c>
      <c r="H2222">
        <v>206</v>
      </c>
      <c r="I2222">
        <v>2.31</v>
      </c>
      <c r="J2222" s="1">
        <v>9422</v>
      </c>
    </row>
    <row r="2223" spans="1:10" ht="14.25" customHeight="1" x14ac:dyDescent="0.25">
      <c r="A2223" s="21">
        <v>12057</v>
      </c>
      <c r="B2223" s="21"/>
      <c r="E2223">
        <v>54</v>
      </c>
      <c r="H2223">
        <v>157</v>
      </c>
    </row>
    <row r="2224" spans="1:10" ht="14.25" customHeight="1" x14ac:dyDescent="0.25">
      <c r="A2224" s="21">
        <v>12057</v>
      </c>
      <c r="B2224" s="21"/>
    </row>
    <row r="2225" spans="1:10" ht="14.25" customHeight="1" x14ac:dyDescent="0.25">
      <c r="A2225" s="21">
        <v>12057</v>
      </c>
      <c r="B2225" s="21"/>
    </row>
    <row r="2226" spans="1:10" ht="14.25" customHeight="1" x14ac:dyDescent="0.25">
      <c r="A2226" s="21">
        <v>12057</v>
      </c>
      <c r="B2226" s="21"/>
      <c r="H2226">
        <v>90</v>
      </c>
    </row>
    <row r="2227" spans="1:10" ht="14.25" customHeight="1" x14ac:dyDescent="0.25">
      <c r="A2227" s="21">
        <v>12057</v>
      </c>
      <c r="B2227" s="21"/>
      <c r="H2227">
        <v>72</v>
      </c>
    </row>
    <row r="2228" spans="1:10" ht="14.25" customHeight="1" x14ac:dyDescent="0.25">
      <c r="A2228" s="21">
        <v>12061</v>
      </c>
      <c r="B2228" s="21"/>
      <c r="C2228">
        <v>151.80000000000001</v>
      </c>
      <c r="D2228">
        <v>4.2</v>
      </c>
      <c r="E2228">
        <v>437</v>
      </c>
      <c r="F2228">
        <v>310</v>
      </c>
      <c r="G2228">
        <v>24</v>
      </c>
      <c r="H2228">
        <v>310</v>
      </c>
      <c r="I2228">
        <v>1.75</v>
      </c>
      <c r="J2228" s="1">
        <v>13462</v>
      </c>
    </row>
    <row r="2229" spans="1:10" ht="14.25" customHeight="1" x14ac:dyDescent="0.25">
      <c r="A2229" s="21">
        <v>12061</v>
      </c>
      <c r="B2229" s="21"/>
      <c r="C2229">
        <v>56.9</v>
      </c>
      <c r="D2229">
        <v>4.4000000000000004</v>
      </c>
      <c r="E2229">
        <v>145</v>
      </c>
      <c r="F2229">
        <v>121</v>
      </c>
      <c r="G2229">
        <v>16</v>
      </c>
      <c r="H2229">
        <v>121</v>
      </c>
      <c r="I2229">
        <v>1.58</v>
      </c>
      <c r="J2229" s="1">
        <v>4738</v>
      </c>
    </row>
    <row r="2230" spans="1:10" ht="14.25" customHeight="1" x14ac:dyDescent="0.25">
      <c r="A2230" s="21">
        <v>12063</v>
      </c>
      <c r="B2230" s="21"/>
      <c r="C2230">
        <v>34.700000000000003</v>
      </c>
      <c r="D2230">
        <v>5.2</v>
      </c>
      <c r="E2230">
        <v>84</v>
      </c>
      <c r="F2230">
        <v>66</v>
      </c>
      <c r="G2230">
        <v>7</v>
      </c>
      <c r="H2230">
        <v>66</v>
      </c>
      <c r="I2230">
        <v>1.2</v>
      </c>
      <c r="J2230" s="1">
        <v>2567</v>
      </c>
    </row>
    <row r="2231" spans="1:10" ht="14.25" customHeight="1" x14ac:dyDescent="0.25">
      <c r="A2231" s="21">
        <v>12069</v>
      </c>
      <c r="B2231" s="21"/>
      <c r="C2231">
        <v>161.6</v>
      </c>
      <c r="D2231">
        <v>4.5999999999999996</v>
      </c>
      <c r="E2231">
        <v>260</v>
      </c>
      <c r="F2231">
        <v>277</v>
      </c>
      <c r="G2231">
        <v>56</v>
      </c>
      <c r="H2231">
        <v>277</v>
      </c>
      <c r="I2231">
        <v>1.52</v>
      </c>
      <c r="J2231" s="1">
        <v>12745</v>
      </c>
    </row>
    <row r="2232" spans="1:10" ht="14.25" customHeight="1" x14ac:dyDescent="0.25">
      <c r="A2232" s="21">
        <v>12069</v>
      </c>
      <c r="B2232" s="21"/>
      <c r="C2232">
        <v>182.7</v>
      </c>
      <c r="D2232">
        <v>4.8</v>
      </c>
      <c r="E2232">
        <v>236</v>
      </c>
      <c r="F2232">
        <v>308</v>
      </c>
      <c r="G2232">
        <v>46</v>
      </c>
      <c r="H2232">
        <v>308</v>
      </c>
      <c r="I2232">
        <v>1.78</v>
      </c>
      <c r="J2232" s="1">
        <v>13986</v>
      </c>
    </row>
    <row r="2233" spans="1:10" ht="14.25" customHeight="1" x14ac:dyDescent="0.25">
      <c r="A2233" s="21">
        <v>12069</v>
      </c>
      <c r="B2233" s="21"/>
      <c r="C2233">
        <v>175.2</v>
      </c>
      <c r="D2233">
        <v>4.3</v>
      </c>
      <c r="E2233">
        <v>302</v>
      </c>
      <c r="F2233">
        <v>269</v>
      </c>
      <c r="H2233">
        <v>269</v>
      </c>
      <c r="I2233">
        <v>1.74</v>
      </c>
      <c r="J2233" s="1">
        <v>15150</v>
      </c>
    </row>
    <row r="2234" spans="1:10" ht="14.25" customHeight="1" x14ac:dyDescent="0.25">
      <c r="A2234" s="21">
        <v>12069</v>
      </c>
      <c r="B2234" s="21"/>
      <c r="C2234">
        <v>122.1</v>
      </c>
      <c r="D2234">
        <v>3.2</v>
      </c>
      <c r="E2234">
        <v>349</v>
      </c>
      <c r="F2234">
        <v>140</v>
      </c>
      <c r="G2234">
        <v>16</v>
      </c>
      <c r="H2234">
        <v>140</v>
      </c>
      <c r="I2234">
        <v>1.4</v>
      </c>
      <c r="J2234" s="1">
        <v>14409</v>
      </c>
    </row>
    <row r="2235" spans="1:10" ht="14.25" customHeight="1" x14ac:dyDescent="0.25">
      <c r="A2235" s="21">
        <v>12071</v>
      </c>
      <c r="B2235" s="21"/>
      <c r="C2235">
        <v>25.9</v>
      </c>
      <c r="D2235">
        <v>3.8</v>
      </c>
      <c r="E2235">
        <v>62</v>
      </c>
      <c r="F2235">
        <v>78</v>
      </c>
      <c r="G2235">
        <v>8</v>
      </c>
      <c r="H2235">
        <v>78</v>
      </c>
      <c r="I2235">
        <v>1.83</v>
      </c>
      <c r="J2235" s="1">
        <v>2473</v>
      </c>
    </row>
    <row r="2236" spans="1:10" ht="14.25" customHeight="1" x14ac:dyDescent="0.25">
      <c r="A2236" s="21">
        <v>12071</v>
      </c>
      <c r="B2236" s="21"/>
      <c r="C2236">
        <v>536.1</v>
      </c>
      <c r="D2236">
        <v>4.8</v>
      </c>
      <c r="E2236" s="1">
        <v>1120</v>
      </c>
      <c r="F2236">
        <v>754</v>
      </c>
      <c r="G2236">
        <v>75</v>
      </c>
      <c r="H2236">
        <v>355</v>
      </c>
      <c r="I2236">
        <v>1.81</v>
      </c>
      <c r="J2236" s="1">
        <v>42141</v>
      </c>
    </row>
    <row r="2237" spans="1:10" ht="14.25" customHeight="1" x14ac:dyDescent="0.25">
      <c r="A2237" s="21">
        <v>12071</v>
      </c>
      <c r="B2237" s="21"/>
      <c r="C2237">
        <v>272.60000000000002</v>
      </c>
      <c r="D2237">
        <v>4.5</v>
      </c>
      <c r="E2237">
        <v>333</v>
      </c>
      <c r="F2237">
        <v>356</v>
      </c>
      <c r="G2237">
        <v>36</v>
      </c>
      <c r="H2237">
        <v>356</v>
      </c>
      <c r="I2237">
        <v>1.81</v>
      </c>
      <c r="J2237" s="1">
        <v>21995</v>
      </c>
    </row>
    <row r="2238" spans="1:10" ht="14.25" customHeight="1" x14ac:dyDescent="0.25">
      <c r="A2238" s="21">
        <v>12071</v>
      </c>
      <c r="B2238" s="21"/>
      <c r="C2238">
        <v>188.5</v>
      </c>
      <c r="D2238">
        <v>4.2</v>
      </c>
      <c r="E2238">
        <v>702</v>
      </c>
      <c r="F2238">
        <v>291</v>
      </c>
      <c r="G2238">
        <v>22</v>
      </c>
      <c r="H2238">
        <v>291</v>
      </c>
      <c r="I2238">
        <v>1.52</v>
      </c>
      <c r="J2238" s="1">
        <v>16413</v>
      </c>
    </row>
    <row r="2239" spans="1:10" ht="14.25" customHeight="1" x14ac:dyDescent="0.25">
      <c r="A2239" s="21">
        <v>12071</v>
      </c>
      <c r="B2239" s="21"/>
      <c r="H2239">
        <v>368</v>
      </c>
    </row>
    <row r="2240" spans="1:10" ht="14.25" customHeight="1" x14ac:dyDescent="0.25">
      <c r="A2240" s="21">
        <v>12073</v>
      </c>
      <c r="B2240" s="21"/>
      <c r="C2240">
        <v>173.9</v>
      </c>
      <c r="D2240">
        <v>4</v>
      </c>
      <c r="E2240">
        <v>235</v>
      </c>
      <c r="F2240">
        <v>266</v>
      </c>
      <c r="G2240">
        <v>20</v>
      </c>
      <c r="H2240">
        <v>266</v>
      </c>
      <c r="I2240">
        <v>1.48</v>
      </c>
      <c r="J2240" s="1">
        <v>16269</v>
      </c>
    </row>
    <row r="2241" spans="1:10" ht="14.25" customHeight="1" x14ac:dyDescent="0.25">
      <c r="A2241" s="21">
        <v>12073</v>
      </c>
      <c r="B2241" s="21"/>
      <c r="C2241">
        <v>336.4</v>
      </c>
      <c r="D2241">
        <v>4.4000000000000004</v>
      </c>
      <c r="E2241">
        <v>855</v>
      </c>
      <c r="F2241">
        <v>386</v>
      </c>
      <c r="G2241">
        <v>30</v>
      </c>
      <c r="H2241">
        <v>386</v>
      </c>
      <c r="I2241">
        <v>1.87</v>
      </c>
      <c r="J2241" s="1">
        <v>29878</v>
      </c>
    </row>
    <row r="2242" spans="1:10" ht="14.25" customHeight="1" x14ac:dyDescent="0.25">
      <c r="A2242" s="21">
        <v>12075</v>
      </c>
      <c r="B2242" s="21"/>
      <c r="C2242">
        <v>2</v>
      </c>
      <c r="D2242">
        <v>3.8</v>
      </c>
      <c r="I2242">
        <v>0.85</v>
      </c>
      <c r="J2242">
        <v>198</v>
      </c>
    </row>
    <row r="2243" spans="1:10" ht="14.25" customHeight="1" x14ac:dyDescent="0.25">
      <c r="A2243" s="21">
        <v>12081</v>
      </c>
      <c r="B2243" s="21"/>
      <c r="C2243">
        <v>205.7</v>
      </c>
      <c r="D2243">
        <v>4.9000000000000004</v>
      </c>
      <c r="E2243">
        <v>313</v>
      </c>
      <c r="F2243">
        <v>355</v>
      </c>
      <c r="G2243">
        <v>43</v>
      </c>
      <c r="H2243">
        <v>355</v>
      </c>
      <c r="I2243">
        <v>1.64</v>
      </c>
      <c r="J2243" s="1">
        <v>13892</v>
      </c>
    </row>
    <row r="2244" spans="1:10" ht="14.25" customHeight="1" x14ac:dyDescent="0.25">
      <c r="A2244" s="21">
        <v>12081</v>
      </c>
      <c r="B2244" s="21"/>
      <c r="C2244">
        <v>211.3</v>
      </c>
      <c r="D2244">
        <v>4.3</v>
      </c>
      <c r="E2244">
        <v>352</v>
      </c>
      <c r="F2244">
        <v>295</v>
      </c>
      <c r="G2244">
        <v>35</v>
      </c>
      <c r="H2244">
        <v>295</v>
      </c>
      <c r="I2244">
        <v>1.8</v>
      </c>
      <c r="J2244" s="1">
        <v>18448</v>
      </c>
    </row>
    <row r="2245" spans="1:10" ht="14.25" customHeight="1" x14ac:dyDescent="0.25">
      <c r="A2245" s="21">
        <v>12081</v>
      </c>
      <c r="B2245" s="21"/>
      <c r="C2245">
        <v>63.8</v>
      </c>
      <c r="D2245">
        <v>3.8</v>
      </c>
      <c r="E2245">
        <v>188</v>
      </c>
      <c r="F2245">
        <v>120</v>
      </c>
      <c r="G2245">
        <v>20</v>
      </c>
      <c r="H2245">
        <v>120</v>
      </c>
      <c r="I2245">
        <v>1.67</v>
      </c>
      <c r="J2245" s="1">
        <v>6417</v>
      </c>
    </row>
    <row r="2246" spans="1:10" ht="14.25" customHeight="1" x14ac:dyDescent="0.25">
      <c r="A2246" s="21">
        <v>12083</v>
      </c>
      <c r="B2246" s="21"/>
      <c r="C2246">
        <v>215</v>
      </c>
      <c r="D2246">
        <v>4.3</v>
      </c>
      <c r="E2246">
        <v>420</v>
      </c>
      <c r="F2246">
        <v>425</v>
      </c>
      <c r="G2246">
        <v>44</v>
      </c>
      <c r="H2246">
        <v>425</v>
      </c>
      <c r="I2246">
        <v>1.81</v>
      </c>
      <c r="J2246" s="1">
        <v>19306</v>
      </c>
    </row>
    <row r="2247" spans="1:10" ht="14.25" customHeight="1" x14ac:dyDescent="0.25">
      <c r="A2247" s="21">
        <v>12083</v>
      </c>
      <c r="B2247" s="21"/>
      <c r="C2247">
        <v>375.5</v>
      </c>
      <c r="D2247">
        <v>4.5</v>
      </c>
      <c r="E2247">
        <v>491</v>
      </c>
      <c r="F2247">
        <v>430</v>
      </c>
      <c r="G2247">
        <v>66</v>
      </c>
      <c r="H2247">
        <v>200</v>
      </c>
      <c r="I2247">
        <v>1.74</v>
      </c>
      <c r="J2247" s="1">
        <v>27527</v>
      </c>
    </row>
    <row r="2248" spans="1:10" ht="14.25" customHeight="1" x14ac:dyDescent="0.25">
      <c r="A2248" s="21">
        <v>12083</v>
      </c>
      <c r="B2248" s="21"/>
      <c r="H2248">
        <v>70</v>
      </c>
    </row>
    <row r="2249" spans="1:10" ht="14.25" customHeight="1" x14ac:dyDescent="0.25">
      <c r="A2249" s="21">
        <v>12085</v>
      </c>
      <c r="B2249" s="21"/>
      <c r="C2249">
        <v>316.89999999999998</v>
      </c>
      <c r="D2249">
        <v>4.5999999999999996</v>
      </c>
      <c r="E2249">
        <v>858</v>
      </c>
      <c r="F2249">
        <v>521</v>
      </c>
      <c r="G2249">
        <v>57</v>
      </c>
      <c r="H2249">
        <v>244</v>
      </c>
      <c r="I2249">
        <v>1.58</v>
      </c>
      <c r="J2249" s="1">
        <v>26870</v>
      </c>
    </row>
    <row r="2250" spans="1:10" ht="14.25" customHeight="1" x14ac:dyDescent="0.25">
      <c r="A2250" s="21">
        <v>12085</v>
      </c>
      <c r="B2250" s="21"/>
      <c r="H2250">
        <v>100</v>
      </c>
    </row>
    <row r="2251" spans="1:10" ht="14.25" customHeight="1" x14ac:dyDescent="0.25">
      <c r="A2251" s="21">
        <v>12086</v>
      </c>
      <c r="B2251" s="21"/>
      <c r="C2251">
        <v>266.3</v>
      </c>
      <c r="D2251">
        <v>4.5999999999999996</v>
      </c>
      <c r="E2251">
        <v>670</v>
      </c>
      <c r="F2251">
        <v>473</v>
      </c>
      <c r="G2251">
        <v>72</v>
      </c>
      <c r="H2251">
        <v>473</v>
      </c>
      <c r="I2251">
        <v>1.78</v>
      </c>
      <c r="J2251" s="1">
        <v>22517</v>
      </c>
    </row>
    <row r="2252" spans="1:10" ht="14.25" customHeight="1" x14ac:dyDescent="0.25">
      <c r="A2252" s="21">
        <v>12086</v>
      </c>
      <c r="B2252" s="21"/>
      <c r="C2252">
        <v>51.3</v>
      </c>
      <c r="D2252">
        <v>5.5</v>
      </c>
      <c r="E2252">
        <v>154</v>
      </c>
      <c r="F2252">
        <v>119</v>
      </c>
      <c r="G2252">
        <v>14</v>
      </c>
      <c r="H2252">
        <v>119</v>
      </c>
      <c r="I2252">
        <v>1.32</v>
      </c>
      <c r="J2252" s="1">
        <v>3979</v>
      </c>
    </row>
    <row r="2253" spans="1:10" ht="14.25" customHeight="1" x14ac:dyDescent="0.25">
      <c r="A2253" s="21">
        <v>12086</v>
      </c>
      <c r="B2253" s="21"/>
      <c r="C2253">
        <v>287.89999999999998</v>
      </c>
      <c r="D2253">
        <v>4.7</v>
      </c>
      <c r="E2253">
        <v>247</v>
      </c>
      <c r="F2253">
        <v>748</v>
      </c>
      <c r="G2253">
        <v>58</v>
      </c>
      <c r="H2253">
        <v>305</v>
      </c>
      <c r="I2253">
        <v>1.55</v>
      </c>
      <c r="J2253" s="1">
        <v>23084</v>
      </c>
    </row>
    <row r="2254" spans="1:10" ht="14.25" customHeight="1" x14ac:dyDescent="0.25">
      <c r="A2254" s="21">
        <v>12086</v>
      </c>
      <c r="B2254" s="21"/>
      <c r="C2254">
        <v>974.7</v>
      </c>
      <c r="D2254">
        <v>6.3</v>
      </c>
      <c r="E2254" s="1">
        <v>1005</v>
      </c>
      <c r="F2254" s="1">
        <v>1622</v>
      </c>
      <c r="G2254">
        <v>26</v>
      </c>
      <c r="H2254" s="1">
        <v>1622</v>
      </c>
      <c r="I2254">
        <v>2</v>
      </c>
      <c r="J2254" s="1">
        <v>57870</v>
      </c>
    </row>
    <row r="2255" spans="1:10" ht="14.25" customHeight="1" x14ac:dyDescent="0.25">
      <c r="A2255" s="21">
        <v>12086</v>
      </c>
      <c r="B2255" s="21"/>
      <c r="C2255">
        <v>514.20000000000005</v>
      </c>
      <c r="D2255">
        <v>6.4</v>
      </c>
      <c r="E2255" s="1">
        <v>1280</v>
      </c>
      <c r="F2255">
        <v>705</v>
      </c>
      <c r="G2255">
        <v>40</v>
      </c>
      <c r="H2255">
        <v>705</v>
      </c>
      <c r="I2255">
        <v>1.85</v>
      </c>
      <c r="J2255" s="1">
        <v>30607</v>
      </c>
    </row>
    <row r="2256" spans="1:10" ht="14.25" customHeight="1" x14ac:dyDescent="0.25">
      <c r="A2256" s="21">
        <v>12086</v>
      </c>
      <c r="B2256" s="21"/>
      <c r="E2256">
        <v>200</v>
      </c>
    </row>
    <row r="2257" spans="1:10" ht="14.25" customHeight="1" x14ac:dyDescent="0.25">
      <c r="A2257" s="21">
        <v>12086</v>
      </c>
      <c r="B2257" s="21"/>
      <c r="C2257">
        <v>133.6</v>
      </c>
      <c r="D2257">
        <v>4</v>
      </c>
      <c r="E2257">
        <v>156</v>
      </c>
      <c r="F2257">
        <v>362</v>
      </c>
      <c r="G2257">
        <v>21</v>
      </c>
      <c r="H2257">
        <v>362</v>
      </c>
      <c r="I2257">
        <v>1.32</v>
      </c>
      <c r="J2257" s="1">
        <v>12735</v>
      </c>
    </row>
    <row r="2258" spans="1:10" ht="14.25" customHeight="1" x14ac:dyDescent="0.25">
      <c r="A2258" s="21">
        <v>12086</v>
      </c>
      <c r="B2258" s="21"/>
      <c r="E2258">
        <v>74</v>
      </c>
      <c r="H2258">
        <v>488</v>
      </c>
    </row>
    <row r="2259" spans="1:10" ht="14.25" customHeight="1" x14ac:dyDescent="0.25">
      <c r="A2259" s="21">
        <v>12086</v>
      </c>
      <c r="B2259" s="21"/>
      <c r="C2259">
        <v>48.1</v>
      </c>
      <c r="D2259">
        <v>4.4000000000000004</v>
      </c>
      <c r="J2259" s="1">
        <v>3982</v>
      </c>
    </row>
    <row r="2260" spans="1:10" ht="14.25" customHeight="1" x14ac:dyDescent="0.25">
      <c r="A2260" s="21">
        <v>12086</v>
      </c>
      <c r="B2260" s="21"/>
      <c r="C2260">
        <v>289.3</v>
      </c>
      <c r="D2260">
        <v>5.0999999999999996</v>
      </c>
      <c r="E2260">
        <v>395</v>
      </c>
      <c r="F2260">
        <v>394</v>
      </c>
      <c r="G2260">
        <v>52</v>
      </c>
      <c r="H2260">
        <v>394</v>
      </c>
      <c r="I2260">
        <v>1.88</v>
      </c>
      <c r="J2260" s="1">
        <v>21569</v>
      </c>
    </row>
    <row r="2261" spans="1:10" ht="14.25" customHeight="1" x14ac:dyDescent="0.25">
      <c r="A2261" s="21">
        <v>12086</v>
      </c>
      <c r="B2261" s="21"/>
      <c r="C2261">
        <v>70.099999999999994</v>
      </c>
      <c r="D2261">
        <v>6.2</v>
      </c>
      <c r="E2261">
        <v>208</v>
      </c>
      <c r="F2261">
        <v>111</v>
      </c>
      <c r="G2261">
        <v>8</v>
      </c>
      <c r="H2261">
        <v>111</v>
      </c>
      <c r="I2261">
        <v>1.4</v>
      </c>
      <c r="J2261" s="1">
        <v>4124</v>
      </c>
    </row>
    <row r="2262" spans="1:10" ht="14.25" customHeight="1" x14ac:dyDescent="0.25">
      <c r="A2262" s="21">
        <v>12086</v>
      </c>
      <c r="B2262" s="21"/>
      <c r="C2262">
        <v>80.3</v>
      </c>
      <c r="D2262">
        <v>3.7</v>
      </c>
      <c r="E2262">
        <v>217</v>
      </c>
      <c r="F2262">
        <v>245</v>
      </c>
      <c r="G2262">
        <v>16</v>
      </c>
      <c r="H2262">
        <v>245</v>
      </c>
      <c r="I2262">
        <v>1.3</v>
      </c>
      <c r="J2262" s="1">
        <v>7861</v>
      </c>
    </row>
    <row r="2263" spans="1:10" ht="14.25" customHeight="1" x14ac:dyDescent="0.25">
      <c r="A2263" s="21">
        <v>12086</v>
      </c>
      <c r="B2263" s="21"/>
      <c r="C2263">
        <v>205.4</v>
      </c>
      <c r="D2263">
        <v>4</v>
      </c>
      <c r="E2263">
        <v>332</v>
      </c>
      <c r="F2263">
        <v>367</v>
      </c>
      <c r="G2263">
        <v>57</v>
      </c>
      <c r="H2263">
        <v>367</v>
      </c>
      <c r="I2263">
        <v>1.62</v>
      </c>
      <c r="J2263" s="1">
        <v>19282</v>
      </c>
    </row>
    <row r="2264" spans="1:10" ht="14.25" customHeight="1" x14ac:dyDescent="0.25">
      <c r="A2264" s="21">
        <v>12086</v>
      </c>
      <c r="B2264" s="21"/>
      <c r="E2264">
        <v>8</v>
      </c>
    </row>
    <row r="2265" spans="1:10" ht="14.25" customHeight="1" x14ac:dyDescent="0.25">
      <c r="A2265" s="21">
        <v>12086</v>
      </c>
      <c r="B2265" s="21"/>
      <c r="C2265">
        <v>82.4</v>
      </c>
      <c r="D2265">
        <v>4.2</v>
      </c>
      <c r="E2265">
        <v>203</v>
      </c>
      <c r="F2265">
        <v>147</v>
      </c>
      <c r="G2265">
        <v>16</v>
      </c>
      <c r="H2265">
        <v>147</v>
      </c>
      <c r="I2265">
        <v>1.51</v>
      </c>
      <c r="J2265" s="1">
        <v>7727</v>
      </c>
    </row>
    <row r="2266" spans="1:10" ht="14.25" customHeight="1" x14ac:dyDescent="0.25">
      <c r="A2266" s="21">
        <v>12086</v>
      </c>
      <c r="B2266" s="21"/>
      <c r="C2266">
        <v>194.2</v>
      </c>
      <c r="D2266">
        <v>5.6</v>
      </c>
      <c r="E2266">
        <v>528</v>
      </c>
      <c r="F2266">
        <v>436</v>
      </c>
      <c r="G2266">
        <v>28</v>
      </c>
      <c r="H2266">
        <v>436</v>
      </c>
      <c r="I2266">
        <v>1.7</v>
      </c>
      <c r="J2266" s="1">
        <v>13935</v>
      </c>
    </row>
    <row r="2267" spans="1:10" ht="14.25" customHeight="1" x14ac:dyDescent="0.25">
      <c r="A2267" s="21">
        <v>12086</v>
      </c>
      <c r="B2267" s="21"/>
      <c r="C2267">
        <v>255.4</v>
      </c>
      <c r="D2267">
        <v>5.3</v>
      </c>
      <c r="E2267">
        <v>363</v>
      </c>
      <c r="F2267">
        <v>351</v>
      </c>
      <c r="G2267">
        <v>77</v>
      </c>
      <c r="H2267">
        <v>351</v>
      </c>
      <c r="I2267">
        <v>1.69</v>
      </c>
      <c r="J2267" s="1">
        <v>17469</v>
      </c>
    </row>
    <row r="2268" spans="1:10" ht="14.25" customHeight="1" x14ac:dyDescent="0.25">
      <c r="A2268" s="21">
        <v>12086</v>
      </c>
      <c r="B2268" s="21"/>
      <c r="C2268">
        <v>66.7</v>
      </c>
      <c r="D2268">
        <v>4.3</v>
      </c>
      <c r="E2268">
        <v>168</v>
      </c>
      <c r="F2268">
        <v>281</v>
      </c>
      <c r="G2268">
        <v>12</v>
      </c>
      <c r="H2268">
        <v>281</v>
      </c>
      <c r="I2268">
        <v>1.5</v>
      </c>
      <c r="J2268" s="1">
        <v>5666</v>
      </c>
    </row>
    <row r="2269" spans="1:10" ht="14.25" customHeight="1" x14ac:dyDescent="0.25">
      <c r="A2269" s="21">
        <v>12086</v>
      </c>
      <c r="B2269" s="21"/>
      <c r="C2269">
        <v>41.8</v>
      </c>
      <c r="D2269">
        <v>4.9000000000000004</v>
      </c>
      <c r="E2269">
        <v>62</v>
      </c>
      <c r="F2269">
        <v>98</v>
      </c>
      <c r="G2269">
        <v>8</v>
      </c>
      <c r="H2269">
        <v>125</v>
      </c>
      <c r="I2269">
        <v>1.18</v>
      </c>
      <c r="J2269" s="1">
        <v>3099</v>
      </c>
    </row>
    <row r="2270" spans="1:10" ht="14.25" customHeight="1" x14ac:dyDescent="0.25">
      <c r="A2270" s="21">
        <v>12086</v>
      </c>
      <c r="B2270" s="21"/>
      <c r="C2270">
        <v>4</v>
      </c>
      <c r="D2270">
        <v>5</v>
      </c>
      <c r="E2270">
        <v>36</v>
      </c>
      <c r="F2270">
        <v>32</v>
      </c>
      <c r="H2270">
        <v>32</v>
      </c>
      <c r="I2270">
        <v>0.93</v>
      </c>
      <c r="J2270">
        <v>295</v>
      </c>
    </row>
    <row r="2271" spans="1:10" ht="14.25" customHeight="1" x14ac:dyDescent="0.25">
      <c r="A2271" s="21">
        <v>12086</v>
      </c>
      <c r="B2271" s="21"/>
      <c r="H2271">
        <v>262</v>
      </c>
    </row>
    <row r="2272" spans="1:10" ht="14.25" customHeight="1" x14ac:dyDescent="0.25">
      <c r="A2272" s="21">
        <v>12086</v>
      </c>
      <c r="B2272" s="21"/>
      <c r="E2272">
        <v>59</v>
      </c>
      <c r="H2272">
        <v>382</v>
      </c>
    </row>
    <row r="2273" spans="1:10" ht="14.25" customHeight="1" x14ac:dyDescent="0.25">
      <c r="A2273" s="21">
        <v>12086</v>
      </c>
      <c r="B2273" s="21"/>
      <c r="C2273">
        <v>85.5</v>
      </c>
      <c r="D2273">
        <v>4.2</v>
      </c>
      <c r="E2273">
        <v>145</v>
      </c>
      <c r="F2273">
        <v>133</v>
      </c>
      <c r="G2273">
        <v>12</v>
      </c>
      <c r="H2273">
        <v>133</v>
      </c>
      <c r="I2273">
        <v>1.46</v>
      </c>
      <c r="J2273" s="1">
        <v>8006</v>
      </c>
    </row>
    <row r="2274" spans="1:10" ht="14.25" customHeight="1" x14ac:dyDescent="0.25">
      <c r="A2274" s="21">
        <v>12086</v>
      </c>
      <c r="B2274" s="21"/>
      <c r="H2274">
        <v>238</v>
      </c>
    </row>
    <row r="2275" spans="1:10" ht="14.25" customHeight="1" x14ac:dyDescent="0.25">
      <c r="A2275" s="21">
        <v>12086</v>
      </c>
      <c r="B2275" s="21"/>
      <c r="H2275">
        <v>100</v>
      </c>
    </row>
    <row r="2276" spans="1:10" ht="14.25" customHeight="1" x14ac:dyDescent="0.25">
      <c r="A2276" s="21">
        <v>12086</v>
      </c>
      <c r="B2276" s="21"/>
    </row>
    <row r="2277" spans="1:10" ht="14.25" customHeight="1" x14ac:dyDescent="0.25">
      <c r="A2277" s="21">
        <v>12086</v>
      </c>
      <c r="B2277" s="21"/>
    </row>
    <row r="2278" spans="1:10" ht="14.25" customHeight="1" x14ac:dyDescent="0.25">
      <c r="A2278" s="21">
        <v>12086</v>
      </c>
      <c r="B2278" s="21"/>
    </row>
    <row r="2279" spans="1:10" ht="14.25" customHeight="1" x14ac:dyDescent="0.25">
      <c r="A2279" s="21">
        <v>12086</v>
      </c>
      <c r="B2279" s="21"/>
      <c r="C2279">
        <v>303.60000000000002</v>
      </c>
      <c r="D2279">
        <v>5.9</v>
      </c>
      <c r="E2279" s="1">
        <v>1151</v>
      </c>
      <c r="F2279">
        <v>524</v>
      </c>
      <c r="G2279">
        <v>23</v>
      </c>
      <c r="H2279">
        <v>524</v>
      </c>
      <c r="I2279">
        <v>1.9</v>
      </c>
      <c r="J2279" s="1">
        <v>18851</v>
      </c>
    </row>
    <row r="2280" spans="1:10" ht="14.25" customHeight="1" x14ac:dyDescent="0.25">
      <c r="A2280" s="21">
        <v>12087</v>
      </c>
      <c r="B2280" s="21"/>
      <c r="C2280">
        <v>27.6</v>
      </c>
      <c r="D2280">
        <v>3.9</v>
      </c>
      <c r="E2280">
        <v>103</v>
      </c>
      <c r="F2280">
        <v>99</v>
      </c>
      <c r="G2280">
        <v>9</v>
      </c>
      <c r="H2280">
        <v>99</v>
      </c>
      <c r="I2280">
        <v>1.47</v>
      </c>
      <c r="J2280" s="1">
        <v>2784</v>
      </c>
    </row>
    <row r="2281" spans="1:10" ht="14.25" customHeight="1" x14ac:dyDescent="0.25">
      <c r="A2281" s="21">
        <v>12089</v>
      </c>
      <c r="B2281" s="21"/>
      <c r="C2281">
        <v>29.9</v>
      </c>
      <c r="D2281">
        <v>3.1</v>
      </c>
      <c r="E2281">
        <v>125</v>
      </c>
      <c r="F2281">
        <v>54</v>
      </c>
      <c r="H2281">
        <v>54</v>
      </c>
      <c r="I2281">
        <v>1.34</v>
      </c>
      <c r="J2281" s="1">
        <v>3700</v>
      </c>
    </row>
    <row r="2282" spans="1:10" ht="14.25" customHeight="1" x14ac:dyDescent="0.25">
      <c r="A2282" s="21">
        <v>12091</v>
      </c>
      <c r="B2282" s="21"/>
      <c r="C2282">
        <v>55.5</v>
      </c>
      <c r="D2282">
        <v>4.0999999999999996</v>
      </c>
      <c r="E2282">
        <v>110</v>
      </c>
      <c r="F2282">
        <v>110</v>
      </c>
      <c r="G2282">
        <v>20</v>
      </c>
      <c r="H2282">
        <v>110</v>
      </c>
      <c r="I2282">
        <v>1.6</v>
      </c>
      <c r="J2282" s="1">
        <v>5130</v>
      </c>
    </row>
    <row r="2283" spans="1:10" ht="14.25" customHeight="1" x14ac:dyDescent="0.25">
      <c r="A2283" s="21">
        <v>12091</v>
      </c>
      <c r="B2283" s="21"/>
      <c r="C2283">
        <v>162.19999999999999</v>
      </c>
      <c r="D2283">
        <v>5</v>
      </c>
      <c r="E2283">
        <v>319</v>
      </c>
      <c r="F2283">
        <v>189</v>
      </c>
      <c r="G2283">
        <v>23</v>
      </c>
      <c r="H2283">
        <v>189</v>
      </c>
      <c r="I2283">
        <v>1.79</v>
      </c>
      <c r="J2283" s="1">
        <v>12172</v>
      </c>
    </row>
    <row r="2284" spans="1:10" ht="14.25" customHeight="1" x14ac:dyDescent="0.25">
      <c r="A2284" s="21">
        <v>12091</v>
      </c>
      <c r="B2284" s="21"/>
      <c r="C2284">
        <v>23.3</v>
      </c>
      <c r="D2284">
        <v>3.7</v>
      </c>
      <c r="E2284">
        <v>84</v>
      </c>
      <c r="F2284">
        <v>65</v>
      </c>
      <c r="G2284">
        <v>8</v>
      </c>
      <c r="H2284">
        <v>65</v>
      </c>
      <c r="I2284">
        <v>1.47</v>
      </c>
      <c r="J2284" s="1">
        <v>2282</v>
      </c>
    </row>
    <row r="2285" spans="1:10" ht="14.25" customHeight="1" x14ac:dyDescent="0.25">
      <c r="A2285" s="21">
        <v>12093</v>
      </c>
      <c r="B2285" s="21"/>
      <c r="C2285">
        <v>47.5</v>
      </c>
      <c r="D2285">
        <v>4</v>
      </c>
      <c r="E2285">
        <v>95</v>
      </c>
      <c r="F2285">
        <v>100</v>
      </c>
      <c r="G2285">
        <v>8</v>
      </c>
      <c r="H2285">
        <v>100</v>
      </c>
      <c r="I2285">
        <v>1.31</v>
      </c>
      <c r="J2285" s="1">
        <v>4383</v>
      </c>
    </row>
    <row r="2286" spans="1:10" ht="14.25" customHeight="1" x14ac:dyDescent="0.25">
      <c r="A2286" s="21">
        <v>12095</v>
      </c>
      <c r="B2286" s="21"/>
      <c r="C2286" s="2">
        <v>1027</v>
      </c>
      <c r="D2286">
        <v>4.4000000000000004</v>
      </c>
      <c r="E2286" s="1">
        <v>1675</v>
      </c>
      <c r="F2286" s="1">
        <v>1468</v>
      </c>
      <c r="G2286">
        <v>71</v>
      </c>
      <c r="H2286">
        <v>808</v>
      </c>
      <c r="I2286">
        <v>1.89</v>
      </c>
      <c r="J2286" s="1">
        <v>92416</v>
      </c>
    </row>
    <row r="2287" spans="1:10" ht="14.25" customHeight="1" x14ac:dyDescent="0.25">
      <c r="A2287" s="21">
        <v>12095</v>
      </c>
      <c r="B2287" s="21"/>
      <c r="C2287" s="2">
        <v>1740.4</v>
      </c>
      <c r="D2287">
        <v>5.0999999999999996</v>
      </c>
      <c r="E2287" s="1">
        <v>3472</v>
      </c>
      <c r="F2287" s="1">
        <v>2753</v>
      </c>
      <c r="G2287">
        <v>221</v>
      </c>
      <c r="H2287" s="1">
        <v>2753</v>
      </c>
      <c r="I2287">
        <v>1.9</v>
      </c>
      <c r="J2287" s="1">
        <v>128501</v>
      </c>
    </row>
    <row r="2288" spans="1:10" ht="14.25" customHeight="1" x14ac:dyDescent="0.25">
      <c r="A2288" s="21">
        <v>12095</v>
      </c>
      <c r="B2288" s="21"/>
      <c r="C2288">
        <v>153.6</v>
      </c>
      <c r="D2288">
        <v>4.0999999999999996</v>
      </c>
      <c r="E2288">
        <v>212</v>
      </c>
      <c r="F2288">
        <v>211</v>
      </c>
      <c r="G2288">
        <v>14</v>
      </c>
      <c r="H2288">
        <v>211</v>
      </c>
      <c r="I2288">
        <v>1.55</v>
      </c>
      <c r="J2288" s="1">
        <v>13520</v>
      </c>
    </row>
    <row r="2289" spans="1:10" ht="14.25" customHeight="1" x14ac:dyDescent="0.25">
      <c r="A2289" s="21">
        <v>12095</v>
      </c>
      <c r="B2289" s="21"/>
      <c r="E2289">
        <v>4</v>
      </c>
      <c r="H2289">
        <v>285</v>
      </c>
    </row>
    <row r="2290" spans="1:10" ht="14.25" customHeight="1" x14ac:dyDescent="0.25">
      <c r="A2290" s="21">
        <v>12095</v>
      </c>
      <c r="B2290" s="21"/>
      <c r="H2290">
        <v>237</v>
      </c>
    </row>
    <row r="2291" spans="1:10" ht="14.25" customHeight="1" x14ac:dyDescent="0.25">
      <c r="A2291" s="21">
        <v>12095</v>
      </c>
      <c r="B2291" s="21"/>
    </row>
    <row r="2292" spans="1:10" ht="14.25" customHeight="1" x14ac:dyDescent="0.25">
      <c r="A2292" s="21">
        <v>12095</v>
      </c>
      <c r="B2292" s="21"/>
      <c r="H2292">
        <v>295</v>
      </c>
    </row>
    <row r="2293" spans="1:10" ht="14.25" customHeight="1" x14ac:dyDescent="0.25">
      <c r="A2293" s="21">
        <v>12095</v>
      </c>
      <c r="B2293" s="21"/>
      <c r="E2293">
        <v>21</v>
      </c>
    </row>
    <row r="2294" spans="1:10" ht="14.25" customHeight="1" x14ac:dyDescent="0.25">
      <c r="A2294" s="21">
        <v>12095</v>
      </c>
      <c r="B2294" s="21"/>
      <c r="E2294">
        <v>1</v>
      </c>
      <c r="H2294">
        <v>60</v>
      </c>
    </row>
    <row r="2295" spans="1:10" ht="14.25" customHeight="1" x14ac:dyDescent="0.25">
      <c r="A2295" s="21">
        <v>12095</v>
      </c>
      <c r="B2295" s="21"/>
      <c r="H2295">
        <v>24</v>
      </c>
    </row>
    <row r="2296" spans="1:10" ht="14.25" customHeight="1" x14ac:dyDescent="0.25">
      <c r="A2296" s="21">
        <v>12095</v>
      </c>
      <c r="B2296" s="21"/>
    </row>
    <row r="2297" spans="1:10" ht="14.25" customHeight="1" x14ac:dyDescent="0.25">
      <c r="A2297" s="21">
        <v>12095</v>
      </c>
      <c r="B2297" s="21"/>
    </row>
    <row r="2298" spans="1:10" ht="14.25" customHeight="1" x14ac:dyDescent="0.25">
      <c r="A2298" s="21">
        <v>12097</v>
      </c>
      <c r="B2298" s="21"/>
      <c r="C2298">
        <v>284.7</v>
      </c>
      <c r="D2298">
        <v>4.7</v>
      </c>
      <c r="E2298">
        <v>368</v>
      </c>
      <c r="F2298">
        <v>351</v>
      </c>
      <c r="G2298">
        <v>52</v>
      </c>
      <c r="H2298">
        <v>351</v>
      </c>
      <c r="I2298">
        <v>1.71</v>
      </c>
      <c r="J2298" s="1">
        <v>22863</v>
      </c>
    </row>
    <row r="2299" spans="1:10" ht="14.25" customHeight="1" x14ac:dyDescent="0.25">
      <c r="A2299" s="21">
        <v>12097</v>
      </c>
      <c r="B2299" s="21"/>
      <c r="C2299">
        <v>43.6</v>
      </c>
      <c r="D2299">
        <v>3.9</v>
      </c>
      <c r="E2299">
        <v>96</v>
      </c>
      <c r="F2299">
        <v>84</v>
      </c>
      <c r="G2299">
        <v>8</v>
      </c>
      <c r="H2299">
        <v>84</v>
      </c>
      <c r="I2299">
        <v>1.41</v>
      </c>
      <c r="J2299" s="1">
        <v>4051</v>
      </c>
    </row>
    <row r="2300" spans="1:10" ht="14.25" customHeight="1" x14ac:dyDescent="0.25">
      <c r="A2300" s="21">
        <v>12097</v>
      </c>
      <c r="B2300" s="21"/>
      <c r="E2300">
        <v>7</v>
      </c>
      <c r="H2300">
        <v>227</v>
      </c>
    </row>
    <row r="2301" spans="1:10" ht="14.25" customHeight="1" x14ac:dyDescent="0.25">
      <c r="A2301" s="21">
        <v>12097</v>
      </c>
      <c r="B2301" s="21"/>
    </row>
    <row r="2302" spans="1:10" ht="14.25" customHeight="1" x14ac:dyDescent="0.25">
      <c r="A2302" s="21">
        <v>12097</v>
      </c>
      <c r="B2302" s="21"/>
      <c r="C2302">
        <v>43.3</v>
      </c>
      <c r="D2302">
        <v>3.8</v>
      </c>
      <c r="E2302">
        <v>86</v>
      </c>
      <c r="F2302">
        <v>76</v>
      </c>
      <c r="G2302">
        <v>6</v>
      </c>
      <c r="H2302">
        <v>76</v>
      </c>
      <c r="I2302">
        <v>1.35</v>
      </c>
      <c r="J2302" s="1">
        <v>4207</v>
      </c>
    </row>
    <row r="2303" spans="1:10" ht="14.25" customHeight="1" x14ac:dyDescent="0.25">
      <c r="A2303" s="21">
        <v>12099</v>
      </c>
      <c r="B2303" s="21"/>
      <c r="C2303">
        <v>214.7</v>
      </c>
      <c r="D2303">
        <v>4.8</v>
      </c>
      <c r="E2303">
        <v>379</v>
      </c>
      <c r="F2303">
        <v>356</v>
      </c>
      <c r="G2303">
        <v>52</v>
      </c>
      <c r="H2303">
        <v>356</v>
      </c>
      <c r="I2303">
        <v>1.73</v>
      </c>
      <c r="J2303" s="1">
        <v>16226</v>
      </c>
    </row>
    <row r="2304" spans="1:10" ht="14.25" customHeight="1" x14ac:dyDescent="0.25">
      <c r="A2304" s="21">
        <v>12099</v>
      </c>
      <c r="B2304" s="21"/>
      <c r="C2304">
        <v>124.2</v>
      </c>
      <c r="D2304">
        <v>4.7</v>
      </c>
      <c r="E2304">
        <v>491</v>
      </c>
      <c r="F2304">
        <v>333</v>
      </c>
      <c r="G2304">
        <v>22</v>
      </c>
      <c r="H2304">
        <v>333</v>
      </c>
      <c r="I2304">
        <v>1.52</v>
      </c>
      <c r="J2304" s="1">
        <v>9845</v>
      </c>
    </row>
    <row r="2305" spans="1:10" ht="14.25" customHeight="1" x14ac:dyDescent="0.25">
      <c r="A2305" s="21">
        <v>12099</v>
      </c>
      <c r="B2305" s="21"/>
      <c r="C2305">
        <v>223.6</v>
      </c>
      <c r="D2305">
        <v>5.4</v>
      </c>
      <c r="E2305">
        <v>307</v>
      </c>
      <c r="F2305">
        <v>370</v>
      </c>
      <c r="G2305">
        <v>26</v>
      </c>
      <c r="H2305">
        <v>370</v>
      </c>
      <c r="I2305">
        <v>1.52</v>
      </c>
      <c r="J2305" s="1">
        <v>16283</v>
      </c>
    </row>
    <row r="2306" spans="1:10" ht="14.25" customHeight="1" x14ac:dyDescent="0.25">
      <c r="A2306" s="21">
        <v>12099</v>
      </c>
      <c r="B2306" s="21"/>
      <c r="C2306">
        <v>142.9</v>
      </c>
      <c r="D2306">
        <v>4.0999999999999996</v>
      </c>
      <c r="E2306">
        <v>245</v>
      </c>
      <c r="F2306">
        <v>233</v>
      </c>
      <c r="G2306">
        <v>16</v>
      </c>
      <c r="H2306">
        <v>233</v>
      </c>
      <c r="I2306">
        <v>1.68</v>
      </c>
      <c r="J2306" s="1">
        <v>13631</v>
      </c>
    </row>
    <row r="2307" spans="1:10" ht="14.25" customHeight="1" x14ac:dyDescent="0.25">
      <c r="A2307" s="21">
        <v>12099</v>
      </c>
      <c r="B2307" s="21"/>
      <c r="C2307">
        <v>98.3</v>
      </c>
      <c r="D2307">
        <v>3.6</v>
      </c>
      <c r="E2307">
        <v>252</v>
      </c>
      <c r="F2307">
        <v>194</v>
      </c>
      <c r="G2307">
        <v>16</v>
      </c>
      <c r="H2307">
        <v>194</v>
      </c>
      <c r="I2307">
        <v>1.33</v>
      </c>
      <c r="J2307" s="1">
        <v>10905</v>
      </c>
    </row>
    <row r="2308" spans="1:10" ht="14.25" customHeight="1" x14ac:dyDescent="0.25">
      <c r="A2308" s="21">
        <v>12099</v>
      </c>
      <c r="B2308" s="21"/>
      <c r="C2308">
        <v>144.4</v>
      </c>
      <c r="D2308">
        <v>4.2</v>
      </c>
      <c r="E2308">
        <v>258</v>
      </c>
      <c r="F2308">
        <v>204</v>
      </c>
      <c r="G2308">
        <v>18</v>
      </c>
      <c r="H2308">
        <v>204</v>
      </c>
      <c r="I2308">
        <v>1.56</v>
      </c>
      <c r="J2308" s="1">
        <v>13440</v>
      </c>
    </row>
    <row r="2309" spans="1:10" ht="14.25" customHeight="1" x14ac:dyDescent="0.25">
      <c r="A2309" s="21">
        <v>12099</v>
      </c>
      <c r="B2309" s="21"/>
      <c r="C2309">
        <v>13.8</v>
      </c>
      <c r="D2309">
        <v>2.7</v>
      </c>
      <c r="E2309">
        <v>50</v>
      </c>
      <c r="F2309">
        <v>54</v>
      </c>
      <c r="G2309">
        <v>6</v>
      </c>
      <c r="H2309">
        <v>54</v>
      </c>
      <c r="I2309">
        <v>1.43</v>
      </c>
      <c r="J2309" s="1">
        <v>2056</v>
      </c>
    </row>
    <row r="2310" spans="1:10" ht="14.25" customHeight="1" x14ac:dyDescent="0.25">
      <c r="A2310" s="21">
        <v>12099</v>
      </c>
      <c r="B2310" s="21"/>
      <c r="C2310">
        <v>234.4</v>
      </c>
      <c r="D2310">
        <v>4.5999999999999996</v>
      </c>
      <c r="E2310">
        <v>849</v>
      </c>
      <c r="F2310">
        <v>370</v>
      </c>
      <c r="G2310">
        <v>30</v>
      </c>
      <c r="H2310">
        <v>370</v>
      </c>
      <c r="I2310">
        <v>1.71</v>
      </c>
      <c r="J2310" s="1">
        <v>19708</v>
      </c>
    </row>
    <row r="2311" spans="1:10" ht="14.25" customHeight="1" x14ac:dyDescent="0.25">
      <c r="A2311" s="21">
        <v>12099</v>
      </c>
      <c r="B2311" s="21"/>
      <c r="C2311">
        <v>130.19999999999999</v>
      </c>
      <c r="D2311">
        <v>4.5999999999999996</v>
      </c>
      <c r="E2311">
        <v>153</v>
      </c>
      <c r="F2311">
        <v>199</v>
      </c>
      <c r="G2311">
        <v>44</v>
      </c>
      <c r="H2311">
        <v>199</v>
      </c>
      <c r="I2311">
        <v>1.78</v>
      </c>
      <c r="J2311" s="1">
        <v>10297</v>
      </c>
    </row>
    <row r="2312" spans="1:10" ht="14.25" customHeight="1" x14ac:dyDescent="0.25">
      <c r="A2312" s="21">
        <v>12099</v>
      </c>
      <c r="B2312" s="21"/>
      <c r="C2312">
        <v>131.19999999999999</v>
      </c>
      <c r="D2312">
        <v>3.8</v>
      </c>
      <c r="E2312">
        <v>586</v>
      </c>
      <c r="F2312">
        <v>207</v>
      </c>
      <c r="G2312">
        <v>17</v>
      </c>
      <c r="H2312">
        <v>207</v>
      </c>
      <c r="I2312">
        <v>1.77</v>
      </c>
      <c r="J2312" s="1">
        <v>13599</v>
      </c>
    </row>
    <row r="2313" spans="1:10" ht="14.25" customHeight="1" x14ac:dyDescent="0.25">
      <c r="A2313" s="21">
        <v>12099</v>
      </c>
      <c r="B2313" s="21"/>
      <c r="C2313">
        <v>65</v>
      </c>
      <c r="D2313">
        <v>4.2</v>
      </c>
      <c r="E2313">
        <v>83</v>
      </c>
      <c r="F2313">
        <v>168</v>
      </c>
      <c r="G2313">
        <v>20</v>
      </c>
      <c r="H2313">
        <v>168</v>
      </c>
      <c r="J2313" s="1">
        <v>5666</v>
      </c>
    </row>
    <row r="2314" spans="1:10" ht="14.25" customHeight="1" x14ac:dyDescent="0.25">
      <c r="A2314" s="21">
        <v>12099</v>
      </c>
      <c r="B2314" s="21"/>
      <c r="C2314">
        <v>255.5</v>
      </c>
      <c r="D2314">
        <v>4.9000000000000004</v>
      </c>
      <c r="E2314">
        <v>531</v>
      </c>
      <c r="F2314">
        <v>431</v>
      </c>
      <c r="G2314">
        <v>40</v>
      </c>
      <c r="H2314">
        <v>431</v>
      </c>
      <c r="I2314">
        <v>1.69</v>
      </c>
      <c r="J2314" s="1">
        <v>19077</v>
      </c>
    </row>
    <row r="2315" spans="1:10" ht="14.25" customHeight="1" x14ac:dyDescent="0.25">
      <c r="A2315" s="21">
        <v>12099</v>
      </c>
      <c r="B2315" s="21"/>
      <c r="C2315">
        <v>393.2</v>
      </c>
      <c r="D2315">
        <v>4.4000000000000004</v>
      </c>
      <c r="E2315">
        <v>501</v>
      </c>
      <c r="F2315">
        <v>623</v>
      </c>
      <c r="G2315">
        <v>72</v>
      </c>
      <c r="H2315">
        <v>486</v>
      </c>
      <c r="I2315">
        <v>1.81</v>
      </c>
      <c r="J2315" s="1">
        <v>32869</v>
      </c>
    </row>
    <row r="2316" spans="1:10" ht="14.25" customHeight="1" x14ac:dyDescent="0.25">
      <c r="A2316" s="21">
        <v>12099</v>
      </c>
      <c r="B2316" s="21"/>
      <c r="H2316">
        <v>80</v>
      </c>
    </row>
    <row r="2317" spans="1:10" ht="14.25" customHeight="1" x14ac:dyDescent="0.25">
      <c r="A2317" s="21">
        <v>12099</v>
      </c>
      <c r="B2317" s="21"/>
      <c r="H2317">
        <v>39</v>
      </c>
    </row>
    <row r="2318" spans="1:10" ht="14.25" customHeight="1" x14ac:dyDescent="0.25">
      <c r="A2318" s="21">
        <v>12101</v>
      </c>
      <c r="B2318" s="21"/>
      <c r="C2318">
        <v>90</v>
      </c>
      <c r="D2318">
        <v>3.8</v>
      </c>
      <c r="E2318">
        <v>195</v>
      </c>
      <c r="F2318">
        <v>149</v>
      </c>
      <c r="G2318">
        <v>14</v>
      </c>
      <c r="H2318">
        <v>149</v>
      </c>
      <c r="I2318">
        <v>1.61</v>
      </c>
      <c r="J2318" s="1">
        <v>8942</v>
      </c>
    </row>
    <row r="2319" spans="1:10" ht="14.25" customHeight="1" x14ac:dyDescent="0.25">
      <c r="A2319" s="21">
        <v>12101</v>
      </c>
      <c r="B2319" s="21"/>
      <c r="C2319">
        <v>145.9</v>
      </c>
      <c r="D2319">
        <v>4.3</v>
      </c>
      <c r="E2319">
        <v>98</v>
      </c>
      <c r="F2319">
        <v>187</v>
      </c>
      <c r="G2319">
        <v>22</v>
      </c>
      <c r="H2319">
        <v>187</v>
      </c>
      <c r="I2319">
        <v>1.33</v>
      </c>
      <c r="J2319" s="1">
        <v>12375</v>
      </c>
    </row>
    <row r="2320" spans="1:10" ht="14.25" customHeight="1" x14ac:dyDescent="0.25">
      <c r="A2320" s="21">
        <v>12101</v>
      </c>
      <c r="B2320" s="21"/>
      <c r="C2320">
        <v>164.2</v>
      </c>
      <c r="D2320">
        <v>4.5</v>
      </c>
      <c r="E2320">
        <v>274</v>
      </c>
      <c r="F2320">
        <v>245</v>
      </c>
      <c r="G2320">
        <v>34</v>
      </c>
      <c r="H2320">
        <v>245</v>
      </c>
      <c r="I2320">
        <v>1.54</v>
      </c>
      <c r="J2320" s="1">
        <v>13759</v>
      </c>
    </row>
    <row r="2321" spans="1:10" ht="14.25" customHeight="1" x14ac:dyDescent="0.25">
      <c r="A2321" s="21">
        <v>12101</v>
      </c>
      <c r="B2321" s="21"/>
      <c r="C2321">
        <v>14.6</v>
      </c>
      <c r="D2321">
        <v>3.2</v>
      </c>
      <c r="E2321">
        <v>32</v>
      </c>
      <c r="F2321">
        <v>75</v>
      </c>
      <c r="G2321">
        <v>12</v>
      </c>
      <c r="H2321">
        <v>75</v>
      </c>
      <c r="I2321">
        <v>1.55</v>
      </c>
      <c r="J2321" s="1">
        <v>2334</v>
      </c>
    </row>
    <row r="2322" spans="1:10" ht="14.25" customHeight="1" x14ac:dyDescent="0.25">
      <c r="A2322" s="21">
        <v>12101</v>
      </c>
      <c r="B2322" s="21"/>
      <c r="C2322">
        <v>203</v>
      </c>
      <c r="D2322">
        <v>4.5</v>
      </c>
      <c r="E2322">
        <v>236</v>
      </c>
      <c r="F2322">
        <v>290</v>
      </c>
      <c r="G2322">
        <v>20</v>
      </c>
      <c r="H2322">
        <v>290</v>
      </c>
      <c r="I2322">
        <v>1.81</v>
      </c>
      <c r="J2322" s="1">
        <v>16433</v>
      </c>
    </row>
    <row r="2323" spans="1:10" ht="14.25" customHeight="1" x14ac:dyDescent="0.25">
      <c r="A2323" s="21">
        <v>12101</v>
      </c>
      <c r="B2323" s="21"/>
      <c r="C2323">
        <v>62.4</v>
      </c>
      <c r="D2323">
        <v>3</v>
      </c>
      <c r="E2323">
        <v>193</v>
      </c>
      <c r="F2323">
        <v>145</v>
      </c>
      <c r="G2323">
        <v>24</v>
      </c>
      <c r="H2323">
        <v>145</v>
      </c>
      <c r="I2323">
        <v>1.63</v>
      </c>
      <c r="J2323" s="1">
        <v>7822</v>
      </c>
    </row>
    <row r="2324" spans="1:10" ht="14.25" customHeight="1" x14ac:dyDescent="0.25">
      <c r="A2324" s="21">
        <v>12103</v>
      </c>
      <c r="B2324" s="21"/>
      <c r="C2324">
        <v>199.3</v>
      </c>
      <c r="D2324">
        <v>4.8</v>
      </c>
      <c r="E2324">
        <v>457</v>
      </c>
      <c r="F2324">
        <v>311</v>
      </c>
      <c r="G2324">
        <v>26</v>
      </c>
      <c r="H2324">
        <v>311</v>
      </c>
      <c r="I2324">
        <v>1.59</v>
      </c>
      <c r="J2324" s="1">
        <v>15981</v>
      </c>
    </row>
    <row r="2325" spans="1:10" ht="14.25" customHeight="1" x14ac:dyDescent="0.25">
      <c r="A2325" s="21">
        <v>12103</v>
      </c>
      <c r="B2325" s="21"/>
      <c r="C2325">
        <v>130</v>
      </c>
      <c r="D2325">
        <v>4.7</v>
      </c>
      <c r="E2325">
        <v>159</v>
      </c>
      <c r="F2325">
        <v>221</v>
      </c>
      <c r="G2325">
        <v>32</v>
      </c>
      <c r="H2325">
        <v>221</v>
      </c>
      <c r="I2325">
        <v>1.95</v>
      </c>
      <c r="J2325" s="1">
        <v>10180</v>
      </c>
    </row>
    <row r="2326" spans="1:10" ht="14.25" customHeight="1" x14ac:dyDescent="0.25">
      <c r="A2326" s="21">
        <v>12103</v>
      </c>
      <c r="B2326" s="21"/>
      <c r="C2326">
        <v>29.1</v>
      </c>
      <c r="D2326">
        <v>4.2</v>
      </c>
      <c r="J2326" s="1">
        <v>2512</v>
      </c>
    </row>
    <row r="2327" spans="1:10" ht="14.25" customHeight="1" x14ac:dyDescent="0.25">
      <c r="A2327" s="21">
        <v>12103</v>
      </c>
      <c r="B2327" s="21"/>
      <c r="C2327">
        <v>175.6</v>
      </c>
      <c r="D2327">
        <v>5.3</v>
      </c>
      <c r="E2327">
        <v>290</v>
      </c>
      <c r="F2327">
        <v>262</v>
      </c>
      <c r="G2327">
        <v>22</v>
      </c>
      <c r="H2327">
        <v>250</v>
      </c>
      <c r="I2327">
        <v>1.64</v>
      </c>
      <c r="J2327" s="1">
        <v>12139</v>
      </c>
    </row>
    <row r="2328" spans="1:10" ht="14.25" customHeight="1" x14ac:dyDescent="0.25">
      <c r="A2328" s="21">
        <v>12103</v>
      </c>
      <c r="B2328" s="21"/>
      <c r="C2328">
        <v>63</v>
      </c>
      <c r="D2328">
        <v>4.4000000000000004</v>
      </c>
      <c r="E2328">
        <v>97</v>
      </c>
      <c r="F2328">
        <v>168</v>
      </c>
      <c r="G2328">
        <v>21</v>
      </c>
      <c r="H2328">
        <v>168</v>
      </c>
      <c r="I2328">
        <v>1.62</v>
      </c>
      <c r="J2328" s="1">
        <v>5482</v>
      </c>
    </row>
    <row r="2329" spans="1:10" ht="14.25" customHeight="1" x14ac:dyDescent="0.25">
      <c r="A2329" s="21">
        <v>12103</v>
      </c>
      <c r="B2329" s="21"/>
      <c r="C2329">
        <v>71.2</v>
      </c>
      <c r="D2329">
        <v>5</v>
      </c>
      <c r="E2329">
        <v>145</v>
      </c>
      <c r="F2329">
        <v>167</v>
      </c>
      <c r="G2329">
        <v>18</v>
      </c>
      <c r="H2329">
        <v>167</v>
      </c>
      <c r="I2329">
        <v>1.56</v>
      </c>
      <c r="J2329" s="1">
        <v>5180</v>
      </c>
    </row>
    <row r="2330" spans="1:10" ht="14.25" customHeight="1" x14ac:dyDescent="0.25">
      <c r="A2330" s="21">
        <v>12103</v>
      </c>
      <c r="B2330" s="21"/>
      <c r="C2330">
        <v>328.2</v>
      </c>
      <c r="D2330">
        <v>5</v>
      </c>
      <c r="E2330">
        <v>986</v>
      </c>
      <c r="F2330">
        <v>530</v>
      </c>
      <c r="G2330">
        <v>38</v>
      </c>
      <c r="H2330">
        <v>530</v>
      </c>
      <c r="I2330">
        <v>2.0099999999999998</v>
      </c>
      <c r="J2330" s="1">
        <v>24682</v>
      </c>
    </row>
    <row r="2331" spans="1:10" ht="14.25" customHeight="1" x14ac:dyDescent="0.25">
      <c r="A2331" s="21">
        <v>12103</v>
      </c>
      <c r="B2331" s="21"/>
      <c r="C2331">
        <v>238.8</v>
      </c>
      <c r="D2331">
        <v>4.3</v>
      </c>
      <c r="E2331">
        <v>392</v>
      </c>
      <c r="F2331">
        <v>308</v>
      </c>
      <c r="G2331">
        <v>18</v>
      </c>
      <c r="H2331">
        <v>308</v>
      </c>
      <c r="I2331">
        <v>1.57</v>
      </c>
      <c r="J2331" s="1">
        <v>20441</v>
      </c>
    </row>
    <row r="2332" spans="1:10" ht="14.25" customHeight="1" x14ac:dyDescent="0.25">
      <c r="A2332" s="21">
        <v>12103</v>
      </c>
      <c r="B2332" s="21"/>
      <c r="C2332">
        <v>57</v>
      </c>
      <c r="D2332">
        <v>3.9</v>
      </c>
      <c r="E2332">
        <v>153</v>
      </c>
      <c r="F2332">
        <v>136</v>
      </c>
      <c r="G2332">
        <v>13</v>
      </c>
      <c r="H2332">
        <v>136</v>
      </c>
      <c r="I2332">
        <v>1.61</v>
      </c>
      <c r="J2332" s="1">
        <v>5389</v>
      </c>
    </row>
    <row r="2333" spans="1:10" ht="14.25" customHeight="1" x14ac:dyDescent="0.25">
      <c r="A2333" s="21">
        <v>12103</v>
      </c>
      <c r="B2333" s="21"/>
      <c r="C2333">
        <v>181.4</v>
      </c>
      <c r="D2333">
        <v>4.8</v>
      </c>
      <c r="E2333">
        <v>365</v>
      </c>
      <c r="F2333">
        <v>343</v>
      </c>
      <c r="G2333">
        <v>32</v>
      </c>
      <c r="H2333">
        <v>343</v>
      </c>
      <c r="I2333">
        <v>1.78</v>
      </c>
      <c r="J2333" s="1">
        <v>15392</v>
      </c>
    </row>
    <row r="2334" spans="1:10" ht="14.25" customHeight="1" x14ac:dyDescent="0.25">
      <c r="A2334" s="21">
        <v>12103</v>
      </c>
      <c r="B2334" s="21"/>
      <c r="C2334">
        <v>79.400000000000006</v>
      </c>
      <c r="D2334">
        <v>4.3</v>
      </c>
      <c r="E2334">
        <v>52</v>
      </c>
      <c r="F2334">
        <v>112</v>
      </c>
      <c r="G2334">
        <v>20</v>
      </c>
      <c r="H2334">
        <v>112</v>
      </c>
      <c r="I2334">
        <v>1.47</v>
      </c>
      <c r="J2334" s="1">
        <v>6705</v>
      </c>
    </row>
    <row r="2335" spans="1:10" ht="14.25" customHeight="1" x14ac:dyDescent="0.25">
      <c r="A2335" s="21">
        <v>12103</v>
      </c>
      <c r="B2335" s="21"/>
      <c r="E2335">
        <v>3</v>
      </c>
      <c r="H2335">
        <v>86</v>
      </c>
    </row>
    <row r="2336" spans="1:10" ht="14.25" customHeight="1" x14ac:dyDescent="0.25">
      <c r="A2336" s="21">
        <v>12105</v>
      </c>
      <c r="B2336" s="21"/>
      <c r="C2336">
        <v>47.5</v>
      </c>
      <c r="D2336">
        <v>3.2</v>
      </c>
      <c r="E2336">
        <v>76</v>
      </c>
      <c r="F2336">
        <v>93</v>
      </c>
      <c r="G2336">
        <v>8</v>
      </c>
      <c r="H2336">
        <v>93</v>
      </c>
      <c r="I2336">
        <v>1.39</v>
      </c>
      <c r="J2336" s="1">
        <v>5416</v>
      </c>
    </row>
    <row r="2337" spans="1:10" ht="14.25" customHeight="1" x14ac:dyDescent="0.25">
      <c r="A2337" s="21">
        <v>12105</v>
      </c>
      <c r="B2337" s="21"/>
      <c r="C2337">
        <v>230.2</v>
      </c>
      <c r="D2337">
        <v>4.5999999999999996</v>
      </c>
      <c r="E2337">
        <v>398</v>
      </c>
      <c r="F2337">
        <v>476</v>
      </c>
      <c r="G2337">
        <v>44</v>
      </c>
      <c r="H2337">
        <v>447</v>
      </c>
      <c r="I2337">
        <v>1.59</v>
      </c>
      <c r="J2337" s="1">
        <v>19025</v>
      </c>
    </row>
    <row r="2338" spans="1:10" ht="14.25" customHeight="1" x14ac:dyDescent="0.25">
      <c r="A2338" s="21">
        <v>12105</v>
      </c>
      <c r="B2338" s="21"/>
      <c r="C2338">
        <v>94.6</v>
      </c>
      <c r="D2338">
        <v>4.4000000000000004</v>
      </c>
      <c r="E2338">
        <v>137</v>
      </c>
      <c r="F2338">
        <v>193</v>
      </c>
      <c r="G2338">
        <v>15</v>
      </c>
      <c r="H2338">
        <v>193</v>
      </c>
      <c r="I2338">
        <v>1.65</v>
      </c>
      <c r="J2338" s="1">
        <v>8275</v>
      </c>
    </row>
    <row r="2339" spans="1:10" ht="14.25" customHeight="1" x14ac:dyDescent="0.25">
      <c r="A2339" s="21">
        <v>12105</v>
      </c>
      <c r="B2339" s="21"/>
      <c r="C2339">
        <v>31.5</v>
      </c>
      <c r="D2339">
        <v>3.8</v>
      </c>
      <c r="E2339">
        <v>54</v>
      </c>
      <c r="F2339">
        <v>72</v>
      </c>
      <c r="G2339">
        <v>6</v>
      </c>
      <c r="H2339">
        <v>72</v>
      </c>
      <c r="I2339">
        <v>1.56</v>
      </c>
      <c r="J2339" s="1">
        <v>3005</v>
      </c>
    </row>
    <row r="2340" spans="1:10" ht="14.25" customHeight="1" x14ac:dyDescent="0.25">
      <c r="A2340" s="21">
        <v>12105</v>
      </c>
      <c r="B2340" s="21"/>
      <c r="C2340">
        <v>474.7</v>
      </c>
      <c r="D2340">
        <v>4.4000000000000004</v>
      </c>
      <c r="E2340">
        <v>680</v>
      </c>
      <c r="F2340">
        <v>774</v>
      </c>
      <c r="G2340">
        <v>81</v>
      </c>
      <c r="H2340">
        <v>774</v>
      </c>
      <c r="I2340">
        <v>1.56</v>
      </c>
      <c r="J2340" s="1">
        <v>41142</v>
      </c>
    </row>
    <row r="2341" spans="1:10" ht="14.25" customHeight="1" x14ac:dyDescent="0.25">
      <c r="A2341" s="21">
        <v>12105</v>
      </c>
      <c r="B2341" s="21"/>
      <c r="H2341">
        <v>61</v>
      </c>
    </row>
    <row r="2342" spans="1:10" ht="14.25" customHeight="1" x14ac:dyDescent="0.25">
      <c r="A2342" s="21">
        <v>12107</v>
      </c>
      <c r="B2342" s="21"/>
      <c r="C2342">
        <v>64.3</v>
      </c>
      <c r="D2342">
        <v>4.0999999999999996</v>
      </c>
      <c r="E2342">
        <v>152</v>
      </c>
      <c r="F2342">
        <v>99</v>
      </c>
      <c r="G2342">
        <v>10</v>
      </c>
      <c r="H2342">
        <v>99</v>
      </c>
      <c r="I2342">
        <v>1.42</v>
      </c>
      <c r="J2342" s="1">
        <v>5873</v>
      </c>
    </row>
    <row r="2343" spans="1:10" ht="14.25" customHeight="1" x14ac:dyDescent="0.25">
      <c r="A2343" s="21">
        <v>12109</v>
      </c>
      <c r="B2343" s="21"/>
      <c r="C2343">
        <v>156.30000000000001</v>
      </c>
      <c r="D2343">
        <v>4.4000000000000004</v>
      </c>
      <c r="E2343">
        <v>445</v>
      </c>
      <c r="F2343">
        <v>335</v>
      </c>
      <c r="G2343">
        <v>47</v>
      </c>
      <c r="H2343">
        <v>335</v>
      </c>
      <c r="I2343">
        <v>1.77</v>
      </c>
      <c r="J2343" s="1">
        <v>13432</v>
      </c>
    </row>
    <row r="2344" spans="1:10" ht="14.25" customHeight="1" x14ac:dyDescent="0.25">
      <c r="A2344" s="21">
        <v>12111</v>
      </c>
      <c r="B2344" s="21"/>
      <c r="C2344">
        <v>243.5</v>
      </c>
      <c r="D2344">
        <v>5.3</v>
      </c>
      <c r="E2344">
        <v>280</v>
      </c>
      <c r="F2344">
        <v>312</v>
      </c>
      <c r="G2344">
        <v>36</v>
      </c>
      <c r="H2344">
        <v>312</v>
      </c>
      <c r="I2344">
        <v>1.76</v>
      </c>
      <c r="J2344" s="1">
        <v>17319</v>
      </c>
    </row>
    <row r="2345" spans="1:10" ht="14.25" customHeight="1" x14ac:dyDescent="0.25">
      <c r="A2345" s="21">
        <v>12111</v>
      </c>
      <c r="B2345" s="21"/>
      <c r="C2345">
        <v>138.30000000000001</v>
      </c>
      <c r="D2345">
        <v>4.2</v>
      </c>
      <c r="E2345">
        <v>210</v>
      </c>
      <c r="F2345">
        <v>207</v>
      </c>
      <c r="G2345">
        <v>18</v>
      </c>
      <c r="H2345">
        <v>207</v>
      </c>
      <c r="I2345">
        <v>1.48</v>
      </c>
      <c r="J2345" s="1">
        <v>12416</v>
      </c>
    </row>
    <row r="2346" spans="1:10" ht="14.25" customHeight="1" x14ac:dyDescent="0.25">
      <c r="A2346" s="21">
        <v>12111</v>
      </c>
      <c r="B2346" s="21"/>
      <c r="H2346">
        <v>134</v>
      </c>
    </row>
    <row r="2347" spans="1:10" ht="14.25" customHeight="1" x14ac:dyDescent="0.25">
      <c r="A2347" s="21">
        <v>12113</v>
      </c>
      <c r="B2347" s="21"/>
      <c r="C2347">
        <v>39.4</v>
      </c>
      <c r="D2347">
        <v>3.7</v>
      </c>
      <c r="E2347">
        <v>136</v>
      </c>
      <c r="F2347">
        <v>65</v>
      </c>
      <c r="G2347">
        <v>8</v>
      </c>
      <c r="H2347">
        <v>65</v>
      </c>
      <c r="I2347">
        <v>1.73</v>
      </c>
      <c r="J2347" s="1">
        <v>3864</v>
      </c>
    </row>
    <row r="2348" spans="1:10" ht="14.25" customHeight="1" x14ac:dyDescent="0.25">
      <c r="A2348" s="21">
        <v>12113</v>
      </c>
      <c r="B2348" s="21"/>
      <c r="C2348">
        <v>39</v>
      </c>
      <c r="D2348">
        <v>3.4</v>
      </c>
      <c r="E2348">
        <v>99</v>
      </c>
      <c r="F2348">
        <v>108</v>
      </c>
      <c r="G2348">
        <v>8</v>
      </c>
      <c r="H2348">
        <v>108</v>
      </c>
      <c r="I2348">
        <v>1.39</v>
      </c>
      <c r="J2348" s="1">
        <v>4399</v>
      </c>
    </row>
    <row r="2349" spans="1:10" ht="14.25" customHeight="1" x14ac:dyDescent="0.25">
      <c r="A2349" s="21">
        <v>12113</v>
      </c>
      <c r="B2349" s="21"/>
      <c r="C2349">
        <v>8.6999999999999993</v>
      </c>
      <c r="D2349">
        <v>6.9</v>
      </c>
      <c r="E2349">
        <v>18</v>
      </c>
      <c r="F2349">
        <v>21</v>
      </c>
      <c r="H2349">
        <v>21</v>
      </c>
      <c r="I2349">
        <v>1.04</v>
      </c>
      <c r="J2349">
        <v>456</v>
      </c>
    </row>
    <row r="2350" spans="1:10" ht="14.25" customHeight="1" x14ac:dyDescent="0.25">
      <c r="A2350" s="21">
        <v>12115</v>
      </c>
      <c r="B2350" s="21"/>
      <c r="C2350">
        <v>464.9</v>
      </c>
      <c r="D2350">
        <v>4</v>
      </c>
      <c r="E2350" s="1">
        <v>1393</v>
      </c>
      <c r="F2350">
        <v>708</v>
      </c>
      <c r="G2350">
        <v>62</v>
      </c>
      <c r="H2350">
        <v>708</v>
      </c>
      <c r="I2350">
        <v>1.89</v>
      </c>
      <c r="J2350" s="1">
        <v>42832</v>
      </c>
    </row>
    <row r="2351" spans="1:10" ht="14.25" customHeight="1" x14ac:dyDescent="0.25">
      <c r="A2351" s="21">
        <v>12115</v>
      </c>
      <c r="B2351" s="21"/>
      <c r="C2351">
        <v>94</v>
      </c>
      <c r="D2351">
        <v>4.0999999999999996</v>
      </c>
      <c r="E2351">
        <v>291</v>
      </c>
      <c r="F2351">
        <v>229</v>
      </c>
      <c r="G2351">
        <v>32</v>
      </c>
      <c r="H2351">
        <v>229</v>
      </c>
      <c r="I2351">
        <v>1.75</v>
      </c>
      <c r="J2351" s="1">
        <v>8315</v>
      </c>
    </row>
    <row r="2352" spans="1:10" ht="14.25" customHeight="1" x14ac:dyDescent="0.25">
      <c r="A2352" s="21">
        <v>12115</v>
      </c>
      <c r="B2352" s="21"/>
      <c r="C2352">
        <v>81.2</v>
      </c>
      <c r="D2352">
        <v>3.9</v>
      </c>
      <c r="E2352">
        <v>139</v>
      </c>
      <c r="F2352">
        <v>139</v>
      </c>
      <c r="G2352">
        <v>16</v>
      </c>
      <c r="H2352">
        <v>139</v>
      </c>
      <c r="I2352">
        <v>1.72</v>
      </c>
      <c r="J2352" s="1">
        <v>7665</v>
      </c>
    </row>
    <row r="2353" spans="1:10" ht="14.25" customHeight="1" x14ac:dyDescent="0.25">
      <c r="A2353" s="21">
        <v>12115</v>
      </c>
      <c r="B2353" s="21"/>
      <c r="C2353">
        <v>28.5</v>
      </c>
      <c r="D2353">
        <v>3.1</v>
      </c>
      <c r="E2353">
        <v>80</v>
      </c>
      <c r="F2353">
        <v>100</v>
      </c>
      <c r="G2353">
        <v>8</v>
      </c>
      <c r="H2353">
        <v>100</v>
      </c>
      <c r="I2353">
        <v>1.43</v>
      </c>
      <c r="J2353" s="1">
        <v>3352</v>
      </c>
    </row>
    <row r="2354" spans="1:10" ht="14.25" customHeight="1" x14ac:dyDescent="0.25">
      <c r="A2354" s="21">
        <v>12117</v>
      </c>
      <c r="B2354" s="21"/>
      <c r="C2354">
        <v>138</v>
      </c>
      <c r="D2354">
        <v>4.4000000000000004</v>
      </c>
      <c r="E2354">
        <v>172</v>
      </c>
      <c r="F2354">
        <v>208</v>
      </c>
      <c r="G2354">
        <v>28</v>
      </c>
      <c r="H2354">
        <v>208</v>
      </c>
      <c r="I2354">
        <v>1.78</v>
      </c>
      <c r="J2354" s="1">
        <v>11676</v>
      </c>
    </row>
    <row r="2355" spans="1:10" ht="14.25" customHeight="1" x14ac:dyDescent="0.25">
      <c r="A2355" s="21">
        <v>12117</v>
      </c>
      <c r="B2355" s="21"/>
      <c r="H2355">
        <v>341</v>
      </c>
    </row>
    <row r="2356" spans="1:10" ht="14.25" customHeight="1" x14ac:dyDescent="0.25">
      <c r="A2356" s="21">
        <v>12117</v>
      </c>
      <c r="B2356" s="21"/>
      <c r="H2356">
        <v>206</v>
      </c>
    </row>
    <row r="2357" spans="1:10" ht="14.25" customHeight="1" x14ac:dyDescent="0.25">
      <c r="A2357" s="21">
        <v>12117</v>
      </c>
      <c r="B2357" s="21"/>
      <c r="C2357">
        <v>30.8</v>
      </c>
      <c r="D2357">
        <v>3.8</v>
      </c>
      <c r="E2357">
        <v>58</v>
      </c>
      <c r="F2357">
        <v>64</v>
      </c>
      <c r="G2357">
        <v>10</v>
      </c>
      <c r="H2357">
        <v>64</v>
      </c>
      <c r="I2357">
        <v>1.42</v>
      </c>
      <c r="J2357" s="1">
        <v>3140</v>
      </c>
    </row>
    <row r="2358" spans="1:10" ht="14.25" customHeight="1" x14ac:dyDescent="0.25">
      <c r="A2358" s="21">
        <v>12123</v>
      </c>
      <c r="B2358" s="21"/>
      <c r="C2358">
        <v>5.3</v>
      </c>
      <c r="D2358">
        <v>2.7</v>
      </c>
      <c r="E2358">
        <v>50</v>
      </c>
      <c r="F2358">
        <v>48</v>
      </c>
      <c r="G2358">
        <v>6</v>
      </c>
      <c r="H2358">
        <v>48</v>
      </c>
      <c r="I2358">
        <v>1.19</v>
      </c>
      <c r="J2358">
        <v>711</v>
      </c>
    </row>
    <row r="2359" spans="1:10" ht="14.25" customHeight="1" x14ac:dyDescent="0.25">
      <c r="A2359" s="21">
        <v>12125</v>
      </c>
      <c r="B2359" s="21"/>
      <c r="H2359">
        <v>120</v>
      </c>
    </row>
    <row r="2360" spans="1:10" ht="14.25" customHeight="1" x14ac:dyDescent="0.25">
      <c r="A2360" s="21">
        <v>12127</v>
      </c>
      <c r="B2360" s="21"/>
      <c r="C2360">
        <v>117</v>
      </c>
      <c r="D2360">
        <v>4.4000000000000004</v>
      </c>
      <c r="E2360">
        <v>187</v>
      </c>
      <c r="F2360">
        <v>179</v>
      </c>
      <c r="G2360">
        <v>21</v>
      </c>
      <c r="H2360">
        <v>179</v>
      </c>
      <c r="I2360">
        <v>1.58</v>
      </c>
      <c r="J2360" s="1">
        <v>9710</v>
      </c>
    </row>
    <row r="2361" spans="1:10" ht="14.25" customHeight="1" x14ac:dyDescent="0.25">
      <c r="A2361" s="21">
        <v>12127</v>
      </c>
      <c r="B2361" s="21"/>
      <c r="C2361">
        <v>213</v>
      </c>
      <c r="D2361">
        <v>4.9000000000000004</v>
      </c>
      <c r="E2361">
        <v>326</v>
      </c>
      <c r="F2361">
        <v>295</v>
      </c>
      <c r="G2361">
        <v>46</v>
      </c>
      <c r="H2361">
        <v>277</v>
      </c>
      <c r="I2361">
        <v>1.85</v>
      </c>
      <c r="J2361" s="1">
        <v>16502</v>
      </c>
    </row>
    <row r="2362" spans="1:10" ht="14.25" customHeight="1" x14ac:dyDescent="0.25">
      <c r="A2362" s="21">
        <v>12127</v>
      </c>
      <c r="B2362" s="21"/>
      <c r="C2362">
        <v>91.4</v>
      </c>
      <c r="D2362">
        <v>4.0999999999999996</v>
      </c>
      <c r="E2362">
        <v>184</v>
      </c>
      <c r="F2362">
        <v>154</v>
      </c>
      <c r="G2362">
        <v>24</v>
      </c>
      <c r="H2362">
        <v>154</v>
      </c>
      <c r="I2362">
        <v>1.52</v>
      </c>
      <c r="J2362" s="1">
        <v>8436</v>
      </c>
    </row>
    <row r="2363" spans="1:10" ht="14.25" customHeight="1" x14ac:dyDescent="0.25">
      <c r="A2363" s="21">
        <v>12127</v>
      </c>
      <c r="B2363" s="21"/>
      <c r="C2363">
        <v>67.599999999999994</v>
      </c>
      <c r="D2363">
        <v>4.4000000000000004</v>
      </c>
      <c r="E2363">
        <v>150</v>
      </c>
      <c r="F2363">
        <v>112</v>
      </c>
      <c r="G2363">
        <v>14</v>
      </c>
      <c r="H2363">
        <v>112</v>
      </c>
      <c r="I2363">
        <v>1.52</v>
      </c>
      <c r="J2363" s="1">
        <v>5605</v>
      </c>
    </row>
    <row r="2364" spans="1:10" ht="14.25" customHeight="1" x14ac:dyDescent="0.25">
      <c r="A2364" s="21">
        <v>12127</v>
      </c>
      <c r="B2364" s="21"/>
      <c r="C2364">
        <v>293</v>
      </c>
      <c r="D2364">
        <v>5.4</v>
      </c>
      <c r="E2364">
        <v>549</v>
      </c>
      <c r="F2364">
        <v>436</v>
      </c>
      <c r="H2364">
        <v>436</v>
      </c>
      <c r="I2364">
        <v>1.8</v>
      </c>
      <c r="J2364" s="1">
        <v>20901</v>
      </c>
    </row>
    <row r="2365" spans="1:10" ht="14.25" customHeight="1" x14ac:dyDescent="0.25">
      <c r="A2365" s="21">
        <v>12127</v>
      </c>
      <c r="B2365" s="21"/>
      <c r="H2365">
        <v>80</v>
      </c>
    </row>
    <row r="2366" spans="1:10" ht="14.25" customHeight="1" x14ac:dyDescent="0.25">
      <c r="A2366" s="21">
        <v>12127</v>
      </c>
      <c r="B2366" s="21"/>
    </row>
    <row r="2367" spans="1:10" ht="14.25" customHeight="1" x14ac:dyDescent="0.25">
      <c r="A2367" s="21">
        <v>12127</v>
      </c>
      <c r="B2367" s="21"/>
    </row>
    <row r="2368" spans="1:10" ht="14.25" customHeight="1" x14ac:dyDescent="0.25">
      <c r="A2368" s="21">
        <v>12131</v>
      </c>
      <c r="B2368" s="21"/>
      <c r="C2368">
        <v>5.7</v>
      </c>
      <c r="D2368">
        <v>4.2</v>
      </c>
      <c r="E2368">
        <v>29</v>
      </c>
      <c r="F2368">
        <v>50</v>
      </c>
      <c r="G2368">
        <v>6</v>
      </c>
      <c r="H2368">
        <v>50</v>
      </c>
      <c r="I2368">
        <v>1.08</v>
      </c>
      <c r="J2368">
        <v>492</v>
      </c>
    </row>
    <row r="2369" spans="1:10" ht="14.25" customHeight="1" x14ac:dyDescent="0.25">
      <c r="A2369" s="21">
        <v>12131</v>
      </c>
      <c r="B2369" s="21"/>
      <c r="C2369">
        <v>36.4</v>
      </c>
      <c r="D2369">
        <v>3</v>
      </c>
      <c r="E2369">
        <v>204</v>
      </c>
      <c r="F2369">
        <v>62</v>
      </c>
      <c r="G2369">
        <v>22</v>
      </c>
      <c r="H2369">
        <v>62</v>
      </c>
      <c r="I2369">
        <v>1.71</v>
      </c>
      <c r="J2369" s="1">
        <v>5380</v>
      </c>
    </row>
    <row r="2370" spans="1:10" ht="14.25" customHeight="1" x14ac:dyDescent="0.25">
      <c r="A2370" s="21">
        <v>13001</v>
      </c>
      <c r="B2370" s="21"/>
      <c r="C2370">
        <v>6.8</v>
      </c>
      <c r="D2370">
        <v>4.5999999999999996</v>
      </c>
      <c r="E2370">
        <v>36</v>
      </c>
      <c r="F2370">
        <v>34</v>
      </c>
      <c r="G2370">
        <v>3</v>
      </c>
      <c r="H2370">
        <v>34</v>
      </c>
      <c r="I2370">
        <v>1.18</v>
      </c>
      <c r="J2370">
        <v>541</v>
      </c>
    </row>
    <row r="2371" spans="1:10" ht="14.25" customHeight="1" x14ac:dyDescent="0.25">
      <c r="A2371" s="21">
        <v>13009</v>
      </c>
      <c r="B2371" s="21"/>
      <c r="C2371">
        <v>36</v>
      </c>
      <c r="D2371">
        <v>4.7</v>
      </c>
      <c r="E2371">
        <v>121</v>
      </c>
      <c r="F2371">
        <v>103</v>
      </c>
      <c r="G2371">
        <v>12</v>
      </c>
      <c r="H2371">
        <v>103</v>
      </c>
      <c r="I2371">
        <v>1.44</v>
      </c>
      <c r="J2371" s="1">
        <v>3023</v>
      </c>
    </row>
    <row r="2372" spans="1:10" ht="14.25" customHeight="1" x14ac:dyDescent="0.25">
      <c r="A2372" s="21">
        <v>13013</v>
      </c>
      <c r="B2372" s="21"/>
      <c r="C2372">
        <v>11.4</v>
      </c>
      <c r="D2372">
        <v>3</v>
      </c>
      <c r="E2372">
        <v>51</v>
      </c>
      <c r="F2372">
        <v>56</v>
      </c>
      <c r="G2372">
        <v>6</v>
      </c>
      <c r="H2372">
        <v>56</v>
      </c>
      <c r="I2372">
        <v>1.23</v>
      </c>
      <c r="J2372" s="1">
        <v>1384</v>
      </c>
    </row>
    <row r="2373" spans="1:10" ht="14.25" customHeight="1" x14ac:dyDescent="0.25">
      <c r="A2373" s="21">
        <v>13015</v>
      </c>
      <c r="B2373" s="21"/>
      <c r="C2373">
        <v>93.2</v>
      </c>
      <c r="D2373">
        <v>4.5</v>
      </c>
      <c r="E2373">
        <v>175</v>
      </c>
      <c r="F2373">
        <v>119</v>
      </c>
      <c r="G2373">
        <v>21</v>
      </c>
      <c r="H2373">
        <v>119</v>
      </c>
      <c r="I2373">
        <v>1.64</v>
      </c>
      <c r="J2373" s="1">
        <v>7974</v>
      </c>
    </row>
    <row r="2374" spans="1:10" ht="14.25" customHeight="1" x14ac:dyDescent="0.25">
      <c r="A2374" s="21">
        <v>13017</v>
      </c>
      <c r="B2374" s="21"/>
      <c r="C2374">
        <v>10.5</v>
      </c>
      <c r="D2374">
        <v>3.7</v>
      </c>
      <c r="E2374">
        <v>38</v>
      </c>
      <c r="F2374">
        <v>48</v>
      </c>
      <c r="G2374">
        <v>5</v>
      </c>
      <c r="H2374">
        <v>48</v>
      </c>
      <c r="I2374">
        <v>1.1000000000000001</v>
      </c>
      <c r="J2374" s="1">
        <v>1102</v>
      </c>
    </row>
    <row r="2375" spans="1:10" ht="14.25" customHeight="1" x14ac:dyDescent="0.25">
      <c r="A2375" s="21">
        <v>13019</v>
      </c>
      <c r="B2375" s="21"/>
      <c r="C2375">
        <v>1.6</v>
      </c>
      <c r="D2375">
        <v>4.5999999999999996</v>
      </c>
      <c r="E2375">
        <v>10</v>
      </c>
      <c r="F2375">
        <v>51</v>
      </c>
      <c r="H2375">
        <v>51</v>
      </c>
      <c r="I2375">
        <v>1.1000000000000001</v>
      </c>
      <c r="J2375">
        <v>126</v>
      </c>
    </row>
    <row r="2376" spans="1:10" ht="14.25" customHeight="1" x14ac:dyDescent="0.25">
      <c r="A2376" s="21">
        <v>13021</v>
      </c>
      <c r="B2376" s="21"/>
      <c r="C2376">
        <v>146.1</v>
      </c>
      <c r="D2376">
        <v>5.0999999999999996</v>
      </c>
      <c r="E2376">
        <v>228</v>
      </c>
      <c r="F2376">
        <v>179</v>
      </c>
      <c r="G2376">
        <v>28</v>
      </c>
      <c r="H2376">
        <v>179</v>
      </c>
      <c r="I2376">
        <v>1.84</v>
      </c>
      <c r="J2376" s="1">
        <v>10985</v>
      </c>
    </row>
    <row r="2377" spans="1:10" ht="14.25" customHeight="1" x14ac:dyDescent="0.25">
      <c r="A2377" s="21">
        <v>13021</v>
      </c>
      <c r="B2377" s="21"/>
      <c r="C2377">
        <v>488</v>
      </c>
      <c r="D2377">
        <v>5.7</v>
      </c>
      <c r="E2377">
        <v>714</v>
      </c>
      <c r="F2377">
        <v>619</v>
      </c>
      <c r="G2377">
        <v>79</v>
      </c>
      <c r="H2377">
        <v>619</v>
      </c>
      <c r="I2377">
        <v>2.02</v>
      </c>
      <c r="J2377" s="1">
        <v>32989</v>
      </c>
    </row>
    <row r="2378" spans="1:10" ht="14.25" customHeight="1" x14ac:dyDescent="0.25">
      <c r="A2378" s="21">
        <v>13021</v>
      </c>
      <c r="B2378" s="21"/>
      <c r="C2378">
        <v>30</v>
      </c>
      <c r="D2378">
        <v>3.4</v>
      </c>
      <c r="E2378">
        <v>60</v>
      </c>
      <c r="F2378">
        <v>85</v>
      </c>
      <c r="G2378">
        <v>10</v>
      </c>
      <c r="H2378">
        <v>85</v>
      </c>
      <c r="I2378">
        <v>1.82</v>
      </c>
      <c r="J2378" s="1">
        <v>3186</v>
      </c>
    </row>
    <row r="2379" spans="1:10" ht="14.25" customHeight="1" x14ac:dyDescent="0.25">
      <c r="A2379" s="21">
        <v>13031</v>
      </c>
      <c r="B2379" s="21"/>
      <c r="C2379">
        <v>76.2</v>
      </c>
      <c r="D2379">
        <v>4.0999999999999996</v>
      </c>
      <c r="E2379">
        <v>150</v>
      </c>
      <c r="F2379">
        <v>144</v>
      </c>
      <c r="G2379">
        <v>24</v>
      </c>
      <c r="H2379">
        <v>144</v>
      </c>
      <c r="I2379">
        <v>1.61</v>
      </c>
      <c r="J2379" s="1">
        <v>7952</v>
      </c>
    </row>
    <row r="2380" spans="1:10" ht="14.25" customHeight="1" x14ac:dyDescent="0.25">
      <c r="A2380" s="21">
        <v>13031</v>
      </c>
      <c r="B2380" s="21"/>
      <c r="E2380">
        <v>2</v>
      </c>
      <c r="H2380">
        <v>40</v>
      </c>
    </row>
    <row r="2381" spans="1:10" ht="14.25" customHeight="1" x14ac:dyDescent="0.25">
      <c r="A2381" s="21">
        <v>13033</v>
      </c>
      <c r="B2381" s="21"/>
      <c r="C2381">
        <v>2.8</v>
      </c>
      <c r="D2381">
        <v>4.4000000000000004</v>
      </c>
      <c r="E2381">
        <v>32</v>
      </c>
      <c r="F2381">
        <v>40</v>
      </c>
      <c r="H2381">
        <v>40</v>
      </c>
      <c r="I2381">
        <v>0.85</v>
      </c>
      <c r="J2381">
        <v>233</v>
      </c>
    </row>
    <row r="2382" spans="1:10" ht="14.25" customHeight="1" x14ac:dyDescent="0.25">
      <c r="A2382" s="21">
        <v>13039</v>
      </c>
      <c r="B2382" s="21"/>
      <c r="C2382">
        <v>18.2</v>
      </c>
      <c r="D2382">
        <v>3.1</v>
      </c>
      <c r="E2382">
        <v>90</v>
      </c>
      <c r="F2382">
        <v>40</v>
      </c>
      <c r="G2382">
        <v>5</v>
      </c>
      <c r="H2382">
        <v>40</v>
      </c>
      <c r="I2382">
        <v>1.41</v>
      </c>
      <c r="J2382" s="1">
        <v>2563</v>
      </c>
    </row>
    <row r="2383" spans="1:10" ht="14.25" customHeight="1" x14ac:dyDescent="0.25">
      <c r="A2383" s="21">
        <v>13045</v>
      </c>
      <c r="B2383" s="21"/>
      <c r="C2383">
        <v>110.7</v>
      </c>
      <c r="D2383">
        <v>4.9000000000000004</v>
      </c>
      <c r="E2383">
        <v>271</v>
      </c>
      <c r="F2383">
        <v>157</v>
      </c>
      <c r="G2383">
        <v>12</v>
      </c>
      <c r="H2383">
        <v>157</v>
      </c>
      <c r="I2383">
        <v>1.76</v>
      </c>
      <c r="J2383" s="1">
        <v>8791</v>
      </c>
    </row>
    <row r="2384" spans="1:10" ht="14.25" customHeight="1" x14ac:dyDescent="0.25">
      <c r="A2384" s="21">
        <v>13045</v>
      </c>
      <c r="B2384" s="21"/>
      <c r="C2384">
        <v>31.6</v>
      </c>
      <c r="D2384">
        <v>4.0999999999999996</v>
      </c>
      <c r="E2384">
        <v>79</v>
      </c>
      <c r="F2384">
        <v>40</v>
      </c>
      <c r="G2384">
        <v>6</v>
      </c>
      <c r="H2384">
        <v>40</v>
      </c>
      <c r="I2384">
        <v>1.33</v>
      </c>
      <c r="J2384" s="1">
        <v>3091</v>
      </c>
    </row>
    <row r="2385" spans="1:10" ht="14.25" customHeight="1" x14ac:dyDescent="0.25">
      <c r="A2385" s="21">
        <v>13047</v>
      </c>
      <c r="B2385" s="21"/>
      <c r="C2385">
        <v>3.9</v>
      </c>
      <c r="D2385">
        <v>3.2</v>
      </c>
      <c r="E2385">
        <v>27</v>
      </c>
      <c r="F2385">
        <v>36</v>
      </c>
      <c r="H2385">
        <v>36</v>
      </c>
      <c r="I2385">
        <v>0.96</v>
      </c>
      <c r="J2385">
        <v>440</v>
      </c>
    </row>
    <row r="2386" spans="1:10" ht="14.25" customHeight="1" x14ac:dyDescent="0.25">
      <c r="A2386" s="21">
        <v>13051</v>
      </c>
      <c r="B2386" s="21"/>
      <c r="C2386">
        <v>139.80000000000001</v>
      </c>
      <c r="D2386">
        <v>5.7</v>
      </c>
      <c r="E2386">
        <v>465</v>
      </c>
      <c r="F2386">
        <v>212</v>
      </c>
      <c r="G2386">
        <v>20</v>
      </c>
      <c r="H2386">
        <v>212</v>
      </c>
      <c r="I2386">
        <v>1.58</v>
      </c>
      <c r="J2386" s="1">
        <v>10464</v>
      </c>
    </row>
    <row r="2387" spans="1:10" ht="14.25" customHeight="1" x14ac:dyDescent="0.25">
      <c r="A2387" s="21">
        <v>13051</v>
      </c>
      <c r="B2387" s="21"/>
      <c r="C2387">
        <v>398.7</v>
      </c>
      <c r="D2387">
        <v>5.8</v>
      </c>
      <c r="E2387">
        <v>394</v>
      </c>
      <c r="F2387">
        <v>517</v>
      </c>
      <c r="G2387">
        <v>20</v>
      </c>
      <c r="H2387">
        <v>517</v>
      </c>
      <c r="I2387">
        <v>2.19</v>
      </c>
      <c r="J2387" s="1">
        <v>25485</v>
      </c>
    </row>
    <row r="2388" spans="1:10" ht="14.25" customHeight="1" x14ac:dyDescent="0.25">
      <c r="A2388" s="21">
        <v>13051</v>
      </c>
      <c r="B2388" s="21"/>
      <c r="C2388">
        <v>150.9</v>
      </c>
      <c r="D2388">
        <v>5</v>
      </c>
      <c r="E2388">
        <v>194</v>
      </c>
      <c r="F2388">
        <v>210</v>
      </c>
      <c r="G2388">
        <v>22</v>
      </c>
      <c r="H2388">
        <v>210</v>
      </c>
      <c r="I2388">
        <v>1.96</v>
      </c>
      <c r="J2388" s="1">
        <v>11035</v>
      </c>
    </row>
    <row r="2389" spans="1:10" ht="14.25" customHeight="1" x14ac:dyDescent="0.25">
      <c r="A2389" s="21">
        <v>13057</v>
      </c>
      <c r="B2389" s="21"/>
      <c r="C2389">
        <v>141</v>
      </c>
      <c r="D2389">
        <v>5.4</v>
      </c>
      <c r="E2389">
        <v>353</v>
      </c>
      <c r="F2389">
        <v>150</v>
      </c>
      <c r="G2389">
        <v>19</v>
      </c>
      <c r="H2389">
        <v>150</v>
      </c>
      <c r="I2389">
        <v>1.69</v>
      </c>
      <c r="J2389" s="1">
        <v>10548</v>
      </c>
    </row>
    <row r="2390" spans="1:10" ht="14.25" customHeight="1" x14ac:dyDescent="0.25">
      <c r="A2390" s="21">
        <v>13059</v>
      </c>
      <c r="B2390" s="21"/>
      <c r="C2390">
        <v>104.4</v>
      </c>
      <c r="D2390">
        <v>4.4000000000000004</v>
      </c>
      <c r="E2390">
        <v>214</v>
      </c>
      <c r="F2390">
        <v>165</v>
      </c>
      <c r="G2390">
        <v>68</v>
      </c>
      <c r="H2390">
        <v>165</v>
      </c>
      <c r="I2390">
        <v>1.72</v>
      </c>
      <c r="J2390" s="1">
        <v>9713</v>
      </c>
    </row>
    <row r="2391" spans="1:10" ht="14.25" customHeight="1" x14ac:dyDescent="0.25">
      <c r="A2391" s="21">
        <v>13059</v>
      </c>
      <c r="B2391" s="21"/>
      <c r="C2391">
        <v>260.10000000000002</v>
      </c>
      <c r="D2391">
        <v>4.8</v>
      </c>
      <c r="E2391">
        <v>771</v>
      </c>
      <c r="F2391">
        <v>357</v>
      </c>
      <c r="G2391">
        <v>24</v>
      </c>
      <c r="H2391">
        <v>357</v>
      </c>
      <c r="I2391">
        <v>1.72</v>
      </c>
      <c r="J2391" s="1">
        <v>20937</v>
      </c>
    </row>
    <row r="2392" spans="1:10" ht="14.25" customHeight="1" x14ac:dyDescent="0.25">
      <c r="A2392" s="21">
        <v>13063</v>
      </c>
      <c r="B2392" s="21"/>
      <c r="C2392">
        <v>118.3</v>
      </c>
      <c r="D2392">
        <v>4.5</v>
      </c>
      <c r="E2392">
        <v>178</v>
      </c>
      <c r="F2392">
        <v>244</v>
      </c>
      <c r="G2392">
        <v>34</v>
      </c>
      <c r="H2392">
        <v>244</v>
      </c>
      <c r="I2392">
        <v>1.81</v>
      </c>
      <c r="J2392" s="1">
        <v>10572</v>
      </c>
    </row>
    <row r="2393" spans="1:10" ht="14.25" customHeight="1" x14ac:dyDescent="0.25">
      <c r="A2393" s="21">
        <v>13067</v>
      </c>
      <c r="B2393" s="21"/>
      <c r="C2393">
        <v>242.2</v>
      </c>
      <c r="D2393">
        <v>5.0999999999999996</v>
      </c>
      <c r="E2393">
        <v>545</v>
      </c>
      <c r="F2393">
        <v>367</v>
      </c>
      <c r="G2393">
        <v>26</v>
      </c>
      <c r="H2393">
        <v>367</v>
      </c>
      <c r="I2393">
        <v>1.78</v>
      </c>
      <c r="J2393" s="1">
        <v>18504</v>
      </c>
    </row>
    <row r="2394" spans="1:10" ht="14.25" customHeight="1" x14ac:dyDescent="0.25">
      <c r="A2394" s="21">
        <v>13067</v>
      </c>
      <c r="B2394" s="21"/>
      <c r="C2394">
        <v>13.1</v>
      </c>
      <c r="D2394">
        <v>3.6</v>
      </c>
      <c r="J2394" s="1">
        <v>1326</v>
      </c>
    </row>
    <row r="2395" spans="1:10" ht="14.25" customHeight="1" x14ac:dyDescent="0.25">
      <c r="A2395" s="21">
        <v>13067</v>
      </c>
      <c r="B2395" s="21"/>
      <c r="C2395">
        <v>526.1</v>
      </c>
      <c r="D2395">
        <v>5.0999999999999996</v>
      </c>
      <c r="E2395" s="1">
        <v>1154</v>
      </c>
      <c r="F2395">
        <v>642</v>
      </c>
      <c r="G2395">
        <v>55</v>
      </c>
      <c r="H2395">
        <v>633</v>
      </c>
      <c r="I2395">
        <v>1.9</v>
      </c>
      <c r="J2395" s="1">
        <v>40080</v>
      </c>
    </row>
    <row r="2396" spans="1:10" ht="14.25" customHeight="1" x14ac:dyDescent="0.25">
      <c r="A2396" s="21">
        <v>13069</v>
      </c>
      <c r="B2396" s="21"/>
      <c r="C2396">
        <v>45.4</v>
      </c>
      <c r="D2396">
        <v>3.7</v>
      </c>
      <c r="E2396">
        <v>98</v>
      </c>
      <c r="F2396">
        <v>86</v>
      </c>
      <c r="G2396">
        <v>10</v>
      </c>
      <c r="H2396">
        <v>86</v>
      </c>
      <c r="I2396">
        <v>1.33</v>
      </c>
      <c r="J2396" s="1">
        <v>4801</v>
      </c>
    </row>
    <row r="2397" spans="1:10" ht="14.25" customHeight="1" x14ac:dyDescent="0.25">
      <c r="A2397" s="21">
        <v>13071</v>
      </c>
      <c r="B2397" s="21"/>
      <c r="C2397">
        <v>60.3</v>
      </c>
      <c r="D2397">
        <v>4.8</v>
      </c>
      <c r="E2397">
        <v>143</v>
      </c>
      <c r="F2397">
        <v>94</v>
      </c>
      <c r="G2397">
        <v>10</v>
      </c>
      <c r="H2397">
        <v>94</v>
      </c>
      <c r="I2397">
        <v>1.41</v>
      </c>
      <c r="J2397" s="1">
        <v>4796</v>
      </c>
    </row>
    <row r="2398" spans="1:10" ht="14.25" customHeight="1" x14ac:dyDescent="0.25">
      <c r="A2398" s="21">
        <v>13071</v>
      </c>
      <c r="B2398" s="21"/>
      <c r="C2398">
        <v>34.4</v>
      </c>
      <c r="D2398">
        <v>3.9</v>
      </c>
      <c r="E2398">
        <v>8</v>
      </c>
      <c r="F2398">
        <v>33</v>
      </c>
      <c r="H2398">
        <v>33</v>
      </c>
      <c r="I2398">
        <v>1.25</v>
      </c>
      <c r="J2398" s="1">
        <v>3248</v>
      </c>
    </row>
    <row r="2399" spans="1:10" ht="14.25" customHeight="1" x14ac:dyDescent="0.25">
      <c r="A2399" s="21">
        <v>13073</v>
      </c>
      <c r="B2399" s="21"/>
    </row>
    <row r="2400" spans="1:10" ht="14.25" customHeight="1" x14ac:dyDescent="0.25">
      <c r="A2400" s="21">
        <v>13075</v>
      </c>
      <c r="B2400" s="21"/>
      <c r="C2400">
        <v>2.9</v>
      </c>
      <c r="D2400">
        <v>8.6999999999999993</v>
      </c>
      <c r="E2400">
        <v>10</v>
      </c>
      <c r="F2400">
        <v>33</v>
      </c>
      <c r="H2400">
        <v>33</v>
      </c>
      <c r="I2400">
        <v>1.0900000000000001</v>
      </c>
      <c r="J2400">
        <v>123</v>
      </c>
    </row>
    <row r="2401" spans="1:10" ht="14.25" customHeight="1" x14ac:dyDescent="0.25">
      <c r="A2401" s="21">
        <v>13077</v>
      </c>
      <c r="B2401" s="21"/>
      <c r="C2401">
        <v>117.8</v>
      </c>
      <c r="D2401">
        <v>4.3</v>
      </c>
      <c r="E2401">
        <v>276</v>
      </c>
      <c r="F2401">
        <v>150</v>
      </c>
      <c r="G2401">
        <v>18</v>
      </c>
      <c r="H2401">
        <v>150</v>
      </c>
      <c r="I2401">
        <v>1.63</v>
      </c>
      <c r="J2401" s="1">
        <v>10607</v>
      </c>
    </row>
    <row r="2402" spans="1:10" ht="14.25" customHeight="1" x14ac:dyDescent="0.25">
      <c r="A2402" s="21">
        <v>13077</v>
      </c>
      <c r="B2402" s="21"/>
      <c r="C2402">
        <v>23.8</v>
      </c>
      <c r="D2402">
        <v>5</v>
      </c>
      <c r="E2402">
        <v>119</v>
      </c>
      <c r="F2402">
        <v>50</v>
      </c>
      <c r="G2402">
        <v>5</v>
      </c>
      <c r="H2402">
        <v>50</v>
      </c>
      <c r="I2402">
        <v>1.8</v>
      </c>
      <c r="J2402" s="1">
        <v>1734</v>
      </c>
    </row>
    <row r="2403" spans="1:10" ht="14.25" customHeight="1" x14ac:dyDescent="0.25">
      <c r="A2403" s="21">
        <v>13081</v>
      </c>
      <c r="B2403" s="21"/>
      <c r="C2403">
        <v>33.6</v>
      </c>
      <c r="D2403">
        <v>4.2</v>
      </c>
      <c r="E2403">
        <v>95</v>
      </c>
      <c r="F2403">
        <v>65</v>
      </c>
      <c r="G2403">
        <v>16</v>
      </c>
      <c r="H2403">
        <v>65</v>
      </c>
      <c r="I2403">
        <v>1.47</v>
      </c>
      <c r="J2403" s="1">
        <v>3052</v>
      </c>
    </row>
    <row r="2404" spans="1:10" ht="14.25" customHeight="1" x14ac:dyDescent="0.25">
      <c r="A2404" s="21">
        <v>13083</v>
      </c>
      <c r="B2404" s="21"/>
      <c r="E2404">
        <v>5</v>
      </c>
      <c r="H2404">
        <v>36</v>
      </c>
    </row>
    <row r="2405" spans="1:10" ht="14.25" customHeight="1" x14ac:dyDescent="0.25">
      <c r="A2405" s="21">
        <v>13087</v>
      </c>
      <c r="B2405" s="21"/>
      <c r="C2405">
        <v>15.8</v>
      </c>
      <c r="D2405">
        <v>2.9</v>
      </c>
      <c r="E2405">
        <v>57</v>
      </c>
      <c r="F2405">
        <v>80</v>
      </c>
      <c r="G2405">
        <v>10</v>
      </c>
      <c r="H2405">
        <v>80</v>
      </c>
      <c r="I2405">
        <v>1.08</v>
      </c>
      <c r="J2405" s="1">
        <v>2201</v>
      </c>
    </row>
    <row r="2406" spans="1:10" ht="14.25" customHeight="1" x14ac:dyDescent="0.25">
      <c r="A2406" s="21">
        <v>13089</v>
      </c>
      <c r="B2406" s="21"/>
      <c r="C2406">
        <v>215.1</v>
      </c>
      <c r="D2406">
        <v>4.5999999999999996</v>
      </c>
      <c r="E2406">
        <v>568</v>
      </c>
      <c r="F2406">
        <v>392</v>
      </c>
      <c r="G2406">
        <v>32</v>
      </c>
      <c r="H2406">
        <v>392</v>
      </c>
      <c r="I2406">
        <v>1.62</v>
      </c>
      <c r="J2406" s="1">
        <v>18512</v>
      </c>
    </row>
    <row r="2407" spans="1:10" ht="14.25" customHeight="1" x14ac:dyDescent="0.25">
      <c r="A2407" s="21">
        <v>13089</v>
      </c>
      <c r="B2407" s="21"/>
      <c r="C2407">
        <v>522</v>
      </c>
      <c r="D2407">
        <v>6.8</v>
      </c>
      <c r="E2407" s="1">
        <v>1325</v>
      </c>
      <c r="F2407">
        <v>601</v>
      </c>
      <c r="G2407">
        <v>115</v>
      </c>
      <c r="H2407">
        <v>601</v>
      </c>
      <c r="I2407">
        <v>2.31</v>
      </c>
      <c r="J2407" s="1">
        <v>27956</v>
      </c>
    </row>
    <row r="2408" spans="1:10" ht="14.25" customHeight="1" x14ac:dyDescent="0.25">
      <c r="A2408" s="21">
        <v>13089</v>
      </c>
      <c r="B2408" s="21"/>
      <c r="C2408">
        <v>51.3</v>
      </c>
      <c r="D2408">
        <v>4.3</v>
      </c>
      <c r="E2408">
        <v>102</v>
      </c>
      <c r="F2408">
        <v>90</v>
      </c>
      <c r="G2408">
        <v>8</v>
      </c>
      <c r="H2408">
        <v>90</v>
      </c>
      <c r="I2408">
        <v>1.41</v>
      </c>
      <c r="J2408" s="1">
        <v>4356</v>
      </c>
    </row>
    <row r="2409" spans="1:10" ht="14.25" customHeight="1" x14ac:dyDescent="0.25">
      <c r="A2409" s="21">
        <v>13089</v>
      </c>
      <c r="B2409" s="21"/>
      <c r="C2409">
        <v>26.8</v>
      </c>
      <c r="D2409">
        <v>4.5999999999999996</v>
      </c>
      <c r="H2409">
        <v>99</v>
      </c>
      <c r="J2409" s="1">
        <v>2147</v>
      </c>
    </row>
    <row r="2410" spans="1:10" ht="14.25" customHeight="1" x14ac:dyDescent="0.25">
      <c r="A2410" s="21">
        <v>13089</v>
      </c>
      <c r="B2410" s="21"/>
      <c r="E2410">
        <v>3</v>
      </c>
      <c r="H2410">
        <v>50</v>
      </c>
    </row>
    <row r="2411" spans="1:10" ht="14.25" customHeight="1" x14ac:dyDescent="0.25">
      <c r="A2411" s="21">
        <v>13091</v>
      </c>
      <c r="B2411" s="21"/>
      <c r="C2411">
        <v>14.5</v>
      </c>
      <c r="D2411">
        <v>4.5999999999999996</v>
      </c>
      <c r="E2411">
        <v>36</v>
      </c>
      <c r="F2411">
        <v>40</v>
      </c>
      <c r="G2411">
        <v>6</v>
      </c>
      <c r="H2411">
        <v>40</v>
      </c>
      <c r="I2411">
        <v>1.24</v>
      </c>
      <c r="J2411" s="1">
        <v>1212</v>
      </c>
    </row>
    <row r="2412" spans="1:10" ht="14.25" customHeight="1" x14ac:dyDescent="0.25">
      <c r="A2412" s="21">
        <v>13095</v>
      </c>
      <c r="B2412" s="21"/>
      <c r="E2412">
        <v>1</v>
      </c>
      <c r="H2412">
        <v>248</v>
      </c>
    </row>
    <row r="2413" spans="1:10" ht="14.25" customHeight="1" x14ac:dyDescent="0.25">
      <c r="A2413" s="21">
        <v>13095</v>
      </c>
      <c r="B2413" s="21"/>
      <c r="C2413">
        <v>264.39999999999998</v>
      </c>
      <c r="D2413">
        <v>6</v>
      </c>
      <c r="E2413">
        <v>517</v>
      </c>
      <c r="F2413">
        <v>405</v>
      </c>
      <c r="G2413">
        <v>38</v>
      </c>
      <c r="H2413">
        <v>405</v>
      </c>
      <c r="I2413">
        <v>1.79</v>
      </c>
      <c r="J2413" s="1">
        <v>17446</v>
      </c>
    </row>
    <row r="2414" spans="1:10" ht="14.25" customHeight="1" x14ac:dyDescent="0.25">
      <c r="A2414" s="21">
        <v>13097</v>
      </c>
      <c r="B2414" s="21"/>
      <c r="C2414">
        <v>71.2</v>
      </c>
      <c r="D2414">
        <v>4</v>
      </c>
      <c r="E2414">
        <v>180</v>
      </c>
      <c r="F2414">
        <v>102</v>
      </c>
      <c r="G2414">
        <v>8</v>
      </c>
      <c r="H2414">
        <v>102</v>
      </c>
      <c r="I2414">
        <v>1.68</v>
      </c>
      <c r="J2414" s="1">
        <v>6713</v>
      </c>
    </row>
    <row r="2415" spans="1:10" ht="14.25" customHeight="1" x14ac:dyDescent="0.25">
      <c r="A2415" s="21">
        <v>13107</v>
      </c>
      <c r="B2415" s="21"/>
      <c r="C2415">
        <v>9</v>
      </c>
      <c r="D2415">
        <v>3.5</v>
      </c>
      <c r="E2415">
        <v>38</v>
      </c>
      <c r="F2415">
        <v>45</v>
      </c>
      <c r="G2415">
        <v>8</v>
      </c>
      <c r="H2415">
        <v>45</v>
      </c>
      <c r="I2415">
        <v>1.1299999999999999</v>
      </c>
      <c r="J2415">
        <v>931</v>
      </c>
    </row>
    <row r="2416" spans="1:10" ht="14.25" customHeight="1" x14ac:dyDescent="0.25">
      <c r="A2416" s="21">
        <v>13109</v>
      </c>
      <c r="B2416" s="21"/>
      <c r="C2416">
        <v>3.3</v>
      </c>
      <c r="D2416">
        <v>3</v>
      </c>
      <c r="E2416">
        <v>28</v>
      </c>
      <c r="F2416">
        <v>49</v>
      </c>
      <c r="H2416">
        <v>49</v>
      </c>
      <c r="I2416">
        <v>1.1399999999999999</v>
      </c>
      <c r="J2416">
        <v>408</v>
      </c>
    </row>
    <row r="2417" spans="1:10" ht="14.25" customHeight="1" x14ac:dyDescent="0.25">
      <c r="A2417" s="21">
        <v>13111</v>
      </c>
      <c r="B2417" s="21"/>
      <c r="C2417">
        <v>8.9</v>
      </c>
      <c r="D2417">
        <v>3</v>
      </c>
      <c r="E2417">
        <v>67</v>
      </c>
      <c r="F2417">
        <v>50</v>
      </c>
      <c r="G2417">
        <v>5</v>
      </c>
      <c r="H2417">
        <v>50</v>
      </c>
      <c r="I2417">
        <v>1.3</v>
      </c>
      <c r="J2417" s="1">
        <v>1137</v>
      </c>
    </row>
    <row r="2418" spans="1:10" ht="14.25" customHeight="1" x14ac:dyDescent="0.25">
      <c r="A2418" s="21">
        <v>13113</v>
      </c>
      <c r="B2418" s="21"/>
      <c r="C2418">
        <v>235.7</v>
      </c>
      <c r="D2418">
        <v>4.5999999999999996</v>
      </c>
      <c r="E2418">
        <v>449</v>
      </c>
      <c r="F2418">
        <v>290</v>
      </c>
      <c r="G2418">
        <v>66</v>
      </c>
      <c r="H2418">
        <v>221</v>
      </c>
      <c r="I2418">
        <v>1.65</v>
      </c>
      <c r="J2418" s="1">
        <v>17251</v>
      </c>
    </row>
    <row r="2419" spans="1:10" ht="14.25" customHeight="1" x14ac:dyDescent="0.25">
      <c r="A2419" s="21">
        <v>13115</v>
      </c>
      <c r="B2419" s="21"/>
      <c r="C2419">
        <v>139.9</v>
      </c>
      <c r="D2419">
        <v>4.3</v>
      </c>
      <c r="E2419">
        <v>161</v>
      </c>
      <c r="F2419">
        <v>208</v>
      </c>
      <c r="G2419">
        <v>16</v>
      </c>
      <c r="H2419">
        <v>208</v>
      </c>
      <c r="I2419">
        <v>1.85</v>
      </c>
      <c r="J2419" s="1">
        <v>11565</v>
      </c>
    </row>
    <row r="2420" spans="1:10" ht="14.25" customHeight="1" x14ac:dyDescent="0.25">
      <c r="A2420" s="21">
        <v>13115</v>
      </c>
      <c r="B2420" s="21"/>
      <c r="C2420">
        <v>166.1</v>
      </c>
      <c r="D2420">
        <v>5.0999999999999996</v>
      </c>
      <c r="E2420">
        <v>481</v>
      </c>
      <c r="F2420">
        <v>227</v>
      </c>
      <c r="G2420">
        <v>26</v>
      </c>
      <c r="H2420">
        <v>227</v>
      </c>
      <c r="I2420">
        <v>1.56</v>
      </c>
      <c r="J2420" s="1">
        <v>13772</v>
      </c>
    </row>
    <row r="2421" spans="1:10" ht="14.25" customHeight="1" x14ac:dyDescent="0.25">
      <c r="A2421" s="21">
        <v>13117</v>
      </c>
      <c r="B2421" s="21"/>
      <c r="C2421">
        <v>212.7</v>
      </c>
      <c r="D2421">
        <v>5.7</v>
      </c>
      <c r="E2421" s="1">
        <v>1011</v>
      </c>
      <c r="F2421">
        <v>298</v>
      </c>
      <c r="G2421">
        <v>24</v>
      </c>
      <c r="H2421">
        <v>304</v>
      </c>
      <c r="I2421">
        <v>1.67</v>
      </c>
      <c r="J2421" s="1">
        <v>16022</v>
      </c>
    </row>
    <row r="2422" spans="1:10" ht="14.25" customHeight="1" x14ac:dyDescent="0.25">
      <c r="A2422" s="21">
        <v>13119</v>
      </c>
      <c r="B2422" s="21"/>
      <c r="C2422">
        <v>18</v>
      </c>
      <c r="D2422">
        <v>3.8</v>
      </c>
      <c r="E2422">
        <v>59</v>
      </c>
      <c r="F2422">
        <v>56</v>
      </c>
      <c r="G2422">
        <v>8</v>
      </c>
      <c r="H2422">
        <v>56</v>
      </c>
      <c r="I2422">
        <v>1.1399999999999999</v>
      </c>
      <c r="J2422" s="1">
        <v>1882</v>
      </c>
    </row>
    <row r="2423" spans="1:10" ht="14.25" customHeight="1" x14ac:dyDescent="0.25">
      <c r="A2423" s="21">
        <v>13121</v>
      </c>
      <c r="B2423" s="21"/>
      <c r="C2423">
        <v>94.4</v>
      </c>
      <c r="D2423">
        <v>4.3</v>
      </c>
      <c r="E2423">
        <v>277</v>
      </c>
      <c r="F2423">
        <v>118</v>
      </c>
      <c r="G2423">
        <v>14</v>
      </c>
      <c r="H2423">
        <v>110</v>
      </c>
      <c r="I2423">
        <v>1.67</v>
      </c>
      <c r="J2423" s="1">
        <v>8525</v>
      </c>
    </row>
    <row r="2424" spans="1:10" ht="14.25" customHeight="1" x14ac:dyDescent="0.25">
      <c r="A2424" s="21">
        <v>13121</v>
      </c>
      <c r="B2424" s="21"/>
      <c r="C2424">
        <v>346.7</v>
      </c>
      <c r="D2424">
        <v>4.5999999999999996</v>
      </c>
      <c r="E2424">
        <v>785</v>
      </c>
      <c r="F2424">
        <v>529</v>
      </c>
      <c r="G2424">
        <v>50</v>
      </c>
      <c r="H2424">
        <v>529</v>
      </c>
      <c r="I2424">
        <v>2.35</v>
      </c>
      <c r="J2424" s="1">
        <v>32224</v>
      </c>
    </row>
    <row r="2425" spans="1:10" ht="14.25" customHeight="1" x14ac:dyDescent="0.25">
      <c r="A2425" s="21">
        <v>13121</v>
      </c>
      <c r="B2425" s="21"/>
      <c r="C2425">
        <v>603</v>
      </c>
      <c r="D2425">
        <v>6.7</v>
      </c>
      <c r="E2425">
        <v>947</v>
      </c>
      <c r="F2425">
        <v>659</v>
      </c>
      <c r="G2425">
        <v>140</v>
      </c>
      <c r="H2425">
        <v>659</v>
      </c>
      <c r="I2425">
        <v>1.86</v>
      </c>
      <c r="J2425" s="1">
        <v>33496</v>
      </c>
    </row>
    <row r="2426" spans="1:10" ht="14.25" customHeight="1" x14ac:dyDescent="0.25">
      <c r="A2426" s="21">
        <v>13121</v>
      </c>
      <c r="B2426" s="21"/>
      <c r="C2426">
        <v>246.6</v>
      </c>
      <c r="D2426">
        <v>4.7</v>
      </c>
      <c r="E2426">
        <v>487</v>
      </c>
      <c r="F2426">
        <v>356</v>
      </c>
      <c r="G2426">
        <v>45</v>
      </c>
      <c r="H2426">
        <v>356</v>
      </c>
      <c r="I2426">
        <v>2.08</v>
      </c>
      <c r="J2426" s="1">
        <v>18913</v>
      </c>
    </row>
    <row r="2427" spans="1:10" ht="14.25" customHeight="1" x14ac:dyDescent="0.25">
      <c r="A2427" s="21">
        <v>13121</v>
      </c>
      <c r="B2427" s="21"/>
      <c r="C2427">
        <v>384</v>
      </c>
      <c r="D2427">
        <v>5.4</v>
      </c>
      <c r="E2427" s="1">
        <v>1262</v>
      </c>
      <c r="F2427">
        <v>512</v>
      </c>
      <c r="G2427">
        <v>56</v>
      </c>
      <c r="H2427">
        <v>488</v>
      </c>
      <c r="I2427">
        <v>2.42</v>
      </c>
      <c r="J2427" s="1">
        <v>26947</v>
      </c>
    </row>
    <row r="2428" spans="1:10" ht="14.25" customHeight="1" x14ac:dyDescent="0.25">
      <c r="A2428" s="21">
        <v>13121</v>
      </c>
      <c r="B2428" s="21"/>
      <c r="C2428">
        <v>262.10000000000002</v>
      </c>
      <c r="D2428">
        <v>5.9</v>
      </c>
      <c r="E2428">
        <v>345</v>
      </c>
      <c r="F2428">
        <v>491</v>
      </c>
      <c r="G2428">
        <v>63</v>
      </c>
      <c r="H2428">
        <v>491</v>
      </c>
      <c r="I2428">
        <v>1.82</v>
      </c>
      <c r="J2428" s="1">
        <v>16822</v>
      </c>
    </row>
    <row r="2429" spans="1:10" ht="14.25" customHeight="1" x14ac:dyDescent="0.25">
      <c r="A2429" s="21">
        <v>13121</v>
      </c>
      <c r="B2429" s="21"/>
      <c r="C2429">
        <v>359.2</v>
      </c>
      <c r="D2429">
        <v>6.3</v>
      </c>
      <c r="E2429" s="1">
        <v>1254</v>
      </c>
      <c r="F2429">
        <v>506</v>
      </c>
      <c r="G2429">
        <v>28</v>
      </c>
      <c r="H2429">
        <v>506</v>
      </c>
      <c r="I2429">
        <v>1.85</v>
      </c>
      <c r="J2429" s="1">
        <v>31243</v>
      </c>
    </row>
    <row r="2430" spans="1:10" ht="14.25" customHeight="1" x14ac:dyDescent="0.25">
      <c r="A2430" s="21">
        <v>13121</v>
      </c>
      <c r="B2430" s="21"/>
      <c r="C2430">
        <v>78.8</v>
      </c>
      <c r="D2430">
        <v>4.5999999999999996</v>
      </c>
      <c r="E2430">
        <v>195</v>
      </c>
      <c r="F2430">
        <v>169</v>
      </c>
      <c r="G2430">
        <v>28</v>
      </c>
      <c r="H2430">
        <v>169</v>
      </c>
      <c r="I2430">
        <v>1.54</v>
      </c>
      <c r="J2430" s="1">
        <v>6871</v>
      </c>
    </row>
    <row r="2431" spans="1:10" ht="14.25" customHeight="1" x14ac:dyDescent="0.25">
      <c r="A2431" s="21">
        <v>13121</v>
      </c>
      <c r="B2431" s="21"/>
      <c r="E2431">
        <v>5</v>
      </c>
    </row>
    <row r="2432" spans="1:10" ht="14.25" customHeight="1" x14ac:dyDescent="0.25">
      <c r="A2432" s="21">
        <v>13121</v>
      </c>
      <c r="B2432" s="21"/>
      <c r="E2432">
        <v>24</v>
      </c>
    </row>
    <row r="2433" spans="1:10" ht="14.25" customHeight="1" x14ac:dyDescent="0.25">
      <c r="A2433" s="21">
        <v>13123</v>
      </c>
      <c r="B2433" s="21"/>
      <c r="C2433">
        <v>2.2000000000000002</v>
      </c>
      <c r="D2433">
        <v>3.2</v>
      </c>
      <c r="J2433">
        <v>247</v>
      </c>
    </row>
    <row r="2434" spans="1:10" ht="14.25" customHeight="1" x14ac:dyDescent="0.25">
      <c r="A2434" s="21">
        <v>13127</v>
      </c>
      <c r="B2434" s="21"/>
      <c r="C2434">
        <v>174.7</v>
      </c>
      <c r="D2434">
        <v>5.3</v>
      </c>
      <c r="E2434">
        <v>351</v>
      </c>
      <c r="F2434">
        <v>300</v>
      </c>
      <c r="H2434">
        <v>300</v>
      </c>
      <c r="I2434">
        <v>1.73</v>
      </c>
      <c r="J2434" s="1">
        <v>12617</v>
      </c>
    </row>
    <row r="2435" spans="1:10" ht="14.25" customHeight="1" x14ac:dyDescent="0.25">
      <c r="A2435" s="21">
        <v>13129</v>
      </c>
      <c r="B2435" s="21"/>
      <c r="C2435">
        <v>44.3</v>
      </c>
      <c r="D2435">
        <v>4.3</v>
      </c>
      <c r="E2435">
        <v>132</v>
      </c>
      <c r="F2435">
        <v>69</v>
      </c>
      <c r="G2435">
        <v>8</v>
      </c>
      <c r="H2435">
        <v>69</v>
      </c>
      <c r="I2435">
        <v>1.66</v>
      </c>
      <c r="J2435" s="1">
        <v>3996</v>
      </c>
    </row>
    <row r="2436" spans="1:10" ht="14.25" customHeight="1" x14ac:dyDescent="0.25">
      <c r="A2436" s="21">
        <v>13131</v>
      </c>
      <c r="B2436" s="21"/>
      <c r="C2436">
        <v>13.4</v>
      </c>
      <c r="D2436">
        <v>5.2</v>
      </c>
      <c r="E2436">
        <v>37</v>
      </c>
      <c r="F2436">
        <v>44</v>
      </c>
      <c r="G2436">
        <v>2</v>
      </c>
      <c r="H2436">
        <v>44</v>
      </c>
      <c r="I2436">
        <v>1.21</v>
      </c>
      <c r="J2436" s="1">
        <v>1024</v>
      </c>
    </row>
    <row r="2437" spans="1:10" ht="14.25" customHeight="1" x14ac:dyDescent="0.25">
      <c r="A2437" s="21">
        <v>13135</v>
      </c>
      <c r="B2437" s="21"/>
      <c r="C2437">
        <v>354.1</v>
      </c>
      <c r="D2437">
        <v>4.9000000000000004</v>
      </c>
      <c r="E2437">
        <v>745</v>
      </c>
      <c r="F2437">
        <v>462</v>
      </c>
      <c r="G2437">
        <v>44</v>
      </c>
      <c r="H2437">
        <v>462</v>
      </c>
      <c r="I2437">
        <v>1.73</v>
      </c>
      <c r="J2437" s="1">
        <v>28620</v>
      </c>
    </row>
    <row r="2438" spans="1:10" ht="14.25" customHeight="1" x14ac:dyDescent="0.25">
      <c r="A2438" s="21">
        <v>13135</v>
      </c>
      <c r="B2438" s="21"/>
      <c r="C2438">
        <v>129.4</v>
      </c>
      <c r="D2438">
        <v>4.2</v>
      </c>
      <c r="E2438">
        <v>339</v>
      </c>
      <c r="F2438">
        <v>206</v>
      </c>
      <c r="G2438">
        <v>24</v>
      </c>
      <c r="H2438">
        <v>206</v>
      </c>
      <c r="I2438">
        <v>1.51</v>
      </c>
      <c r="J2438" s="1">
        <v>11229</v>
      </c>
    </row>
    <row r="2439" spans="1:10" ht="14.25" customHeight="1" x14ac:dyDescent="0.25">
      <c r="A2439" s="21">
        <v>13135</v>
      </c>
      <c r="B2439" s="21"/>
      <c r="E2439">
        <v>20</v>
      </c>
    </row>
    <row r="2440" spans="1:10" ht="14.25" customHeight="1" x14ac:dyDescent="0.25">
      <c r="A2440" s="21">
        <v>13137</v>
      </c>
      <c r="B2440" s="21"/>
      <c r="C2440">
        <v>15.9</v>
      </c>
      <c r="D2440">
        <v>3.9</v>
      </c>
      <c r="E2440">
        <v>70</v>
      </c>
      <c r="F2440">
        <v>53</v>
      </c>
      <c r="G2440">
        <v>4</v>
      </c>
      <c r="H2440">
        <v>53</v>
      </c>
      <c r="I2440">
        <v>1.27</v>
      </c>
      <c r="J2440" s="1">
        <v>1640</v>
      </c>
    </row>
    <row r="2441" spans="1:10" ht="14.25" customHeight="1" x14ac:dyDescent="0.25">
      <c r="A2441" s="21">
        <v>13139</v>
      </c>
      <c r="B2441" s="21"/>
      <c r="C2441">
        <v>439.5</v>
      </c>
      <c r="D2441">
        <v>4.9000000000000004</v>
      </c>
      <c r="E2441" s="1">
        <v>1046</v>
      </c>
      <c r="F2441">
        <v>542</v>
      </c>
      <c r="G2441">
        <v>79</v>
      </c>
      <c r="H2441">
        <v>542</v>
      </c>
      <c r="I2441">
        <v>1.87</v>
      </c>
      <c r="J2441" s="1">
        <v>36193</v>
      </c>
    </row>
    <row r="2442" spans="1:10" ht="14.25" customHeight="1" x14ac:dyDescent="0.25">
      <c r="A2442" s="21">
        <v>13147</v>
      </c>
      <c r="B2442" s="21"/>
      <c r="C2442">
        <v>5.2</v>
      </c>
      <c r="D2442">
        <v>3.4</v>
      </c>
      <c r="J2442">
        <v>566</v>
      </c>
    </row>
    <row r="2443" spans="1:10" ht="14.25" customHeight="1" x14ac:dyDescent="0.25">
      <c r="A2443" s="21">
        <v>13151</v>
      </c>
      <c r="B2443" s="21"/>
      <c r="C2443">
        <v>186.5</v>
      </c>
      <c r="D2443">
        <v>4.4000000000000004</v>
      </c>
      <c r="E2443">
        <v>469</v>
      </c>
      <c r="F2443">
        <v>252</v>
      </c>
      <c r="H2443">
        <v>215</v>
      </c>
      <c r="I2443">
        <v>1.61</v>
      </c>
      <c r="J2443" s="1">
        <v>15434</v>
      </c>
    </row>
    <row r="2444" spans="1:10" ht="14.25" customHeight="1" x14ac:dyDescent="0.25">
      <c r="A2444" s="21">
        <v>13153</v>
      </c>
      <c r="B2444" s="21"/>
      <c r="C2444">
        <v>163.69999999999999</v>
      </c>
      <c r="D2444">
        <v>5</v>
      </c>
      <c r="E2444">
        <v>293</v>
      </c>
      <c r="F2444">
        <v>237</v>
      </c>
      <c r="G2444">
        <v>32</v>
      </c>
      <c r="H2444">
        <v>237</v>
      </c>
      <c r="I2444">
        <v>1.46</v>
      </c>
      <c r="J2444" s="1">
        <v>13111</v>
      </c>
    </row>
    <row r="2445" spans="1:10" ht="14.25" customHeight="1" x14ac:dyDescent="0.25">
      <c r="A2445" s="21">
        <v>13153</v>
      </c>
      <c r="B2445" s="21"/>
      <c r="C2445">
        <v>18.7</v>
      </c>
      <c r="D2445">
        <v>5.6</v>
      </c>
      <c r="E2445">
        <v>39</v>
      </c>
      <c r="F2445">
        <v>39</v>
      </c>
      <c r="G2445">
        <v>4</v>
      </c>
      <c r="H2445">
        <v>39</v>
      </c>
      <c r="I2445">
        <v>1.24</v>
      </c>
      <c r="J2445" s="1">
        <v>1216</v>
      </c>
    </row>
    <row r="2446" spans="1:10" ht="14.25" customHeight="1" x14ac:dyDescent="0.25">
      <c r="A2446" s="21">
        <v>13155</v>
      </c>
      <c r="B2446" s="21"/>
      <c r="C2446">
        <v>4.0999999999999996</v>
      </c>
      <c r="D2446">
        <v>2.2000000000000002</v>
      </c>
      <c r="E2446">
        <v>20</v>
      </c>
      <c r="F2446">
        <v>34</v>
      </c>
      <c r="H2446">
        <v>34</v>
      </c>
      <c r="I2446">
        <v>0.98</v>
      </c>
      <c r="J2446" s="1">
        <v>1006</v>
      </c>
    </row>
    <row r="2447" spans="1:10" ht="14.25" customHeight="1" x14ac:dyDescent="0.25">
      <c r="A2447" s="21">
        <v>13157</v>
      </c>
      <c r="B2447" s="21"/>
      <c r="C2447">
        <v>3.4</v>
      </c>
      <c r="D2447">
        <v>3.8</v>
      </c>
      <c r="E2447">
        <v>33</v>
      </c>
      <c r="F2447">
        <v>28</v>
      </c>
      <c r="H2447">
        <v>28</v>
      </c>
      <c r="I2447">
        <v>1.1499999999999999</v>
      </c>
      <c r="J2447">
        <v>327</v>
      </c>
    </row>
    <row r="2448" spans="1:10" ht="14.25" customHeight="1" x14ac:dyDescent="0.25">
      <c r="A2448" s="21">
        <v>13157</v>
      </c>
      <c r="B2448" s="21"/>
      <c r="H2448">
        <v>100</v>
      </c>
    </row>
    <row r="2449" spans="1:10" ht="14.25" customHeight="1" x14ac:dyDescent="0.25">
      <c r="A2449" s="21">
        <v>13163</v>
      </c>
      <c r="B2449" s="21"/>
      <c r="C2449">
        <v>4.5999999999999996</v>
      </c>
      <c r="D2449">
        <v>4.4000000000000004</v>
      </c>
      <c r="E2449">
        <v>21</v>
      </c>
      <c r="F2449">
        <v>37</v>
      </c>
      <c r="H2449">
        <v>37</v>
      </c>
      <c r="I2449">
        <v>1.05</v>
      </c>
      <c r="J2449">
        <v>385</v>
      </c>
    </row>
    <row r="2450" spans="1:10" ht="14.25" customHeight="1" x14ac:dyDescent="0.25">
      <c r="A2450" s="21">
        <v>13175</v>
      </c>
      <c r="B2450" s="21"/>
      <c r="C2450">
        <v>77.7</v>
      </c>
      <c r="D2450">
        <v>4.0999999999999996</v>
      </c>
      <c r="E2450">
        <v>151</v>
      </c>
      <c r="F2450">
        <v>145</v>
      </c>
      <c r="G2450">
        <v>16</v>
      </c>
      <c r="H2450">
        <v>145</v>
      </c>
      <c r="I2450">
        <v>1.52</v>
      </c>
      <c r="J2450" s="1">
        <v>7425</v>
      </c>
    </row>
    <row r="2451" spans="1:10" ht="14.25" customHeight="1" x14ac:dyDescent="0.25">
      <c r="A2451" s="21">
        <v>13185</v>
      </c>
      <c r="B2451" s="21"/>
    </row>
    <row r="2452" spans="1:10" ht="14.25" customHeight="1" x14ac:dyDescent="0.25">
      <c r="A2452" s="21">
        <v>13185</v>
      </c>
      <c r="B2452" s="21"/>
      <c r="C2452">
        <v>174.1</v>
      </c>
      <c r="D2452">
        <v>4.9000000000000004</v>
      </c>
      <c r="E2452">
        <v>349</v>
      </c>
      <c r="F2452">
        <v>257</v>
      </c>
      <c r="G2452">
        <v>82</v>
      </c>
      <c r="H2452">
        <v>257</v>
      </c>
      <c r="I2452">
        <v>1.69</v>
      </c>
      <c r="J2452" s="1">
        <v>14043</v>
      </c>
    </row>
    <row r="2453" spans="1:10" ht="14.25" customHeight="1" x14ac:dyDescent="0.25">
      <c r="A2453" s="21">
        <v>13187</v>
      </c>
      <c r="B2453" s="21"/>
      <c r="C2453">
        <v>6.4</v>
      </c>
      <c r="D2453">
        <v>8.1</v>
      </c>
      <c r="I2453">
        <v>1.1200000000000001</v>
      </c>
      <c r="J2453">
        <v>308</v>
      </c>
    </row>
    <row r="2454" spans="1:10" ht="14.25" customHeight="1" x14ac:dyDescent="0.25">
      <c r="A2454" s="21">
        <v>13187</v>
      </c>
      <c r="B2454" s="21"/>
    </row>
    <row r="2455" spans="1:10" ht="14.25" customHeight="1" x14ac:dyDescent="0.25">
      <c r="A2455" s="21">
        <v>13189</v>
      </c>
      <c r="B2455" s="21"/>
      <c r="C2455">
        <v>14.7</v>
      </c>
      <c r="D2455">
        <v>10</v>
      </c>
      <c r="E2455">
        <v>30</v>
      </c>
      <c r="F2455">
        <v>25</v>
      </c>
      <c r="H2455">
        <v>25</v>
      </c>
      <c r="I2455">
        <v>1.34</v>
      </c>
      <c r="J2455">
        <v>540</v>
      </c>
    </row>
    <row r="2456" spans="1:10" ht="14.25" customHeight="1" x14ac:dyDescent="0.25">
      <c r="A2456" s="21">
        <v>13193</v>
      </c>
      <c r="B2456" s="21"/>
      <c r="C2456">
        <v>0.5</v>
      </c>
      <c r="D2456">
        <v>4.8</v>
      </c>
      <c r="E2456">
        <v>9</v>
      </c>
      <c r="F2456">
        <v>22</v>
      </c>
      <c r="H2456">
        <v>22</v>
      </c>
      <c r="I2456">
        <v>1.1499999999999999</v>
      </c>
      <c r="J2456">
        <v>41</v>
      </c>
    </row>
    <row r="2457" spans="1:10" ht="14.25" customHeight="1" x14ac:dyDescent="0.25">
      <c r="A2457" s="21">
        <v>13213</v>
      </c>
      <c r="B2457" s="21"/>
      <c r="C2457">
        <v>4.3</v>
      </c>
      <c r="D2457">
        <v>2.9</v>
      </c>
      <c r="E2457">
        <v>31</v>
      </c>
      <c r="F2457">
        <v>29</v>
      </c>
      <c r="H2457">
        <v>29</v>
      </c>
      <c r="I2457">
        <v>1.27</v>
      </c>
      <c r="J2457">
        <v>536</v>
      </c>
    </row>
    <row r="2458" spans="1:10" ht="14.25" customHeight="1" x14ac:dyDescent="0.25">
      <c r="A2458" s="21">
        <v>13215</v>
      </c>
      <c r="B2458" s="21"/>
      <c r="C2458">
        <v>210</v>
      </c>
      <c r="D2458">
        <v>5.3</v>
      </c>
      <c r="E2458">
        <v>397</v>
      </c>
      <c r="F2458">
        <v>334</v>
      </c>
      <c r="G2458">
        <v>28</v>
      </c>
      <c r="H2458">
        <v>334</v>
      </c>
      <c r="I2458">
        <v>1.85</v>
      </c>
      <c r="J2458" s="1">
        <v>15941</v>
      </c>
    </row>
    <row r="2459" spans="1:10" ht="14.25" customHeight="1" x14ac:dyDescent="0.25">
      <c r="A2459" s="21">
        <v>13215</v>
      </c>
      <c r="B2459" s="21"/>
      <c r="C2459">
        <v>14.1</v>
      </c>
      <c r="D2459">
        <v>3.9</v>
      </c>
      <c r="J2459" s="1">
        <v>1451</v>
      </c>
    </row>
    <row r="2460" spans="1:10" ht="14.25" customHeight="1" x14ac:dyDescent="0.25">
      <c r="A2460" s="21">
        <v>13215</v>
      </c>
      <c r="B2460" s="21"/>
      <c r="C2460">
        <v>23.5</v>
      </c>
      <c r="D2460">
        <v>2.7</v>
      </c>
      <c r="E2460">
        <v>62</v>
      </c>
      <c r="F2460">
        <v>58</v>
      </c>
      <c r="G2460">
        <v>5</v>
      </c>
      <c r="H2460">
        <v>58</v>
      </c>
      <c r="I2460">
        <v>2.02</v>
      </c>
      <c r="J2460" s="1">
        <v>3144</v>
      </c>
    </row>
    <row r="2461" spans="1:10" ht="14.25" customHeight="1" x14ac:dyDescent="0.25">
      <c r="A2461" s="21">
        <v>13215</v>
      </c>
      <c r="B2461" s="21"/>
      <c r="C2461">
        <v>170</v>
      </c>
      <c r="D2461">
        <v>4.8</v>
      </c>
      <c r="E2461">
        <v>359</v>
      </c>
      <c r="F2461">
        <v>312</v>
      </c>
      <c r="G2461">
        <v>28</v>
      </c>
      <c r="H2461">
        <v>312</v>
      </c>
      <c r="I2461">
        <v>1.72</v>
      </c>
      <c r="J2461" s="1">
        <v>13518</v>
      </c>
    </row>
    <row r="2462" spans="1:10" ht="14.25" customHeight="1" x14ac:dyDescent="0.25">
      <c r="A2462" s="21">
        <v>13217</v>
      </c>
      <c r="B2462" s="21"/>
      <c r="C2462">
        <v>45.7</v>
      </c>
      <c r="D2462">
        <v>3.6</v>
      </c>
      <c r="E2462">
        <v>156</v>
      </c>
      <c r="F2462">
        <v>94</v>
      </c>
      <c r="G2462">
        <v>10</v>
      </c>
      <c r="H2462">
        <v>94</v>
      </c>
      <c r="I2462">
        <v>1.43</v>
      </c>
      <c r="J2462" s="1">
        <v>5172</v>
      </c>
    </row>
    <row r="2463" spans="1:10" ht="14.25" customHeight="1" x14ac:dyDescent="0.25">
      <c r="A2463" s="21">
        <v>13223</v>
      </c>
      <c r="B2463" s="21"/>
      <c r="C2463">
        <v>77.400000000000006</v>
      </c>
      <c r="D2463">
        <v>3.4</v>
      </c>
      <c r="E2463">
        <v>139</v>
      </c>
      <c r="F2463">
        <v>112</v>
      </c>
      <c r="G2463">
        <v>8</v>
      </c>
      <c r="H2463">
        <v>112</v>
      </c>
      <c r="I2463">
        <v>1.35</v>
      </c>
      <c r="J2463" s="1">
        <v>8229</v>
      </c>
    </row>
    <row r="2464" spans="1:10" ht="14.25" customHeight="1" x14ac:dyDescent="0.25">
      <c r="A2464" s="21">
        <v>13227</v>
      </c>
      <c r="B2464" s="21"/>
      <c r="C2464">
        <v>36.4</v>
      </c>
      <c r="D2464">
        <v>3.7</v>
      </c>
      <c r="E2464">
        <v>144</v>
      </c>
      <c r="F2464">
        <v>52</v>
      </c>
      <c r="G2464">
        <v>6</v>
      </c>
      <c r="H2464">
        <v>52</v>
      </c>
      <c r="I2464">
        <v>1.36</v>
      </c>
      <c r="J2464" s="1">
        <v>3767</v>
      </c>
    </row>
    <row r="2465" spans="1:10" ht="14.25" customHeight="1" x14ac:dyDescent="0.25">
      <c r="A2465" s="21">
        <v>13235</v>
      </c>
      <c r="B2465" s="21"/>
      <c r="C2465">
        <v>8.6999999999999993</v>
      </c>
      <c r="D2465">
        <v>3.3</v>
      </c>
      <c r="E2465">
        <v>62</v>
      </c>
      <c r="F2465">
        <v>55</v>
      </c>
      <c r="G2465">
        <v>6</v>
      </c>
      <c r="H2465">
        <v>55</v>
      </c>
      <c r="I2465">
        <v>1.3</v>
      </c>
      <c r="J2465" s="1">
        <v>1065</v>
      </c>
    </row>
    <row r="2466" spans="1:10" ht="14.25" customHeight="1" x14ac:dyDescent="0.25">
      <c r="A2466" s="21">
        <v>13245</v>
      </c>
      <c r="B2466" s="21"/>
      <c r="C2466">
        <v>205.9</v>
      </c>
      <c r="D2466">
        <v>5.0999999999999996</v>
      </c>
      <c r="E2466">
        <v>403</v>
      </c>
      <c r="F2466">
        <v>260</v>
      </c>
      <c r="G2466">
        <v>24</v>
      </c>
      <c r="H2466">
        <v>260</v>
      </c>
      <c r="I2466">
        <v>1.97</v>
      </c>
      <c r="J2466" s="1">
        <v>15668</v>
      </c>
    </row>
    <row r="2467" spans="1:10" ht="14.25" customHeight="1" x14ac:dyDescent="0.25">
      <c r="A2467" s="21">
        <v>13245</v>
      </c>
      <c r="B2467" s="21"/>
      <c r="C2467">
        <v>357.9</v>
      </c>
      <c r="D2467">
        <v>5.0999999999999996</v>
      </c>
      <c r="E2467">
        <v>548</v>
      </c>
      <c r="F2467">
        <v>574</v>
      </c>
      <c r="G2467">
        <v>141</v>
      </c>
      <c r="H2467">
        <v>574</v>
      </c>
      <c r="I2467">
        <v>1.78</v>
      </c>
      <c r="J2467" s="1">
        <v>26244</v>
      </c>
    </row>
    <row r="2468" spans="1:10" ht="14.25" customHeight="1" x14ac:dyDescent="0.25">
      <c r="A2468" s="21">
        <v>13245</v>
      </c>
      <c r="B2468" s="21"/>
      <c r="E2468">
        <v>126</v>
      </c>
    </row>
    <row r="2469" spans="1:10" ht="14.25" customHeight="1" x14ac:dyDescent="0.25">
      <c r="A2469" s="21">
        <v>13245</v>
      </c>
      <c r="B2469" s="21"/>
      <c r="C2469">
        <v>327.10000000000002</v>
      </c>
      <c r="D2469">
        <v>5.6</v>
      </c>
      <c r="E2469">
        <v>749</v>
      </c>
      <c r="F2469">
        <v>466</v>
      </c>
      <c r="G2469">
        <v>44</v>
      </c>
      <c r="H2469">
        <v>466</v>
      </c>
      <c r="I2469">
        <v>1.98</v>
      </c>
      <c r="J2469" s="1">
        <v>21456</v>
      </c>
    </row>
    <row r="2470" spans="1:10" ht="14.25" customHeight="1" x14ac:dyDescent="0.25">
      <c r="A2470" s="21">
        <v>13247</v>
      </c>
      <c r="B2470" s="21"/>
      <c r="C2470">
        <v>106.9</v>
      </c>
      <c r="D2470">
        <v>5.0999999999999996</v>
      </c>
      <c r="E2470">
        <v>312</v>
      </c>
      <c r="F2470">
        <v>141</v>
      </c>
      <c r="G2470">
        <v>16</v>
      </c>
      <c r="H2470">
        <v>138</v>
      </c>
      <c r="I2470">
        <v>1.53</v>
      </c>
      <c r="J2470" s="1">
        <v>8820</v>
      </c>
    </row>
    <row r="2471" spans="1:10" ht="14.25" customHeight="1" x14ac:dyDescent="0.25">
      <c r="A2471" s="21">
        <v>13253</v>
      </c>
      <c r="B2471" s="21"/>
      <c r="C2471">
        <v>10.3</v>
      </c>
      <c r="D2471">
        <v>3.8</v>
      </c>
      <c r="E2471">
        <v>30</v>
      </c>
      <c r="F2471">
        <v>45</v>
      </c>
      <c r="H2471">
        <v>45</v>
      </c>
      <c r="I2471">
        <v>1.01</v>
      </c>
      <c r="J2471" s="1">
        <v>1101</v>
      </c>
    </row>
    <row r="2472" spans="1:10" ht="14.25" customHeight="1" x14ac:dyDescent="0.25">
      <c r="A2472" s="21">
        <v>13255</v>
      </c>
      <c r="B2472" s="21"/>
      <c r="C2472">
        <v>92.5</v>
      </c>
      <c r="D2472">
        <v>4.4000000000000004</v>
      </c>
      <c r="E2472">
        <v>148</v>
      </c>
      <c r="F2472">
        <v>160</v>
      </c>
      <c r="G2472">
        <v>22</v>
      </c>
      <c r="H2472">
        <v>160</v>
      </c>
      <c r="I2472">
        <v>1.43</v>
      </c>
      <c r="J2472" s="1">
        <v>8337</v>
      </c>
    </row>
    <row r="2473" spans="1:10" ht="14.25" customHeight="1" x14ac:dyDescent="0.25">
      <c r="A2473" s="21">
        <v>13257</v>
      </c>
      <c r="B2473" s="21"/>
      <c r="C2473">
        <v>18.8</v>
      </c>
      <c r="D2473">
        <v>4.4000000000000004</v>
      </c>
      <c r="E2473">
        <v>69</v>
      </c>
      <c r="F2473">
        <v>74</v>
      </c>
      <c r="G2473">
        <v>6</v>
      </c>
      <c r="H2473">
        <v>74</v>
      </c>
      <c r="I2473">
        <v>1.33</v>
      </c>
      <c r="J2473" s="1">
        <v>1632</v>
      </c>
    </row>
    <row r="2474" spans="1:10" ht="14.25" customHeight="1" x14ac:dyDescent="0.25">
      <c r="A2474" s="21">
        <v>13261</v>
      </c>
      <c r="B2474" s="21"/>
      <c r="C2474">
        <v>29.9</v>
      </c>
      <c r="D2474">
        <v>4.0999999999999996</v>
      </c>
      <c r="E2474">
        <v>108</v>
      </c>
      <c r="F2474">
        <v>54</v>
      </c>
      <c r="H2474">
        <v>54</v>
      </c>
      <c r="I2474">
        <v>1.35</v>
      </c>
      <c r="J2474" s="1">
        <v>2902</v>
      </c>
    </row>
    <row r="2475" spans="1:10" ht="14.25" customHeight="1" x14ac:dyDescent="0.25">
      <c r="A2475" s="21">
        <v>13275</v>
      </c>
      <c r="B2475" s="21"/>
      <c r="C2475">
        <v>143.69999999999999</v>
      </c>
      <c r="D2475">
        <v>6.3</v>
      </c>
      <c r="E2475">
        <v>261</v>
      </c>
      <c r="F2475">
        <v>226</v>
      </c>
      <c r="G2475">
        <v>35</v>
      </c>
      <c r="H2475">
        <v>226</v>
      </c>
      <c r="I2475">
        <v>1.74</v>
      </c>
      <c r="J2475" s="1">
        <v>8555</v>
      </c>
    </row>
    <row r="2476" spans="1:10" ht="14.25" customHeight="1" x14ac:dyDescent="0.25">
      <c r="A2476" s="21">
        <v>13277</v>
      </c>
      <c r="B2476" s="21"/>
      <c r="C2476">
        <v>115.4</v>
      </c>
      <c r="D2476">
        <v>4.9000000000000004</v>
      </c>
      <c r="E2476">
        <v>291</v>
      </c>
      <c r="F2476">
        <v>181</v>
      </c>
      <c r="G2476">
        <v>20</v>
      </c>
      <c r="H2476">
        <v>181</v>
      </c>
      <c r="I2476">
        <v>1.54</v>
      </c>
      <c r="J2476" s="1">
        <v>9327</v>
      </c>
    </row>
    <row r="2477" spans="1:10" ht="14.25" customHeight="1" x14ac:dyDescent="0.25">
      <c r="A2477" s="21">
        <v>13279</v>
      </c>
      <c r="B2477" s="21"/>
      <c r="C2477">
        <v>40</v>
      </c>
      <c r="D2477">
        <v>3.9</v>
      </c>
      <c r="E2477">
        <v>131</v>
      </c>
      <c r="F2477">
        <v>52</v>
      </c>
      <c r="G2477">
        <v>8</v>
      </c>
      <c r="H2477">
        <v>52</v>
      </c>
      <c r="I2477">
        <v>1.37</v>
      </c>
      <c r="J2477" s="1">
        <v>4160</v>
      </c>
    </row>
    <row r="2478" spans="1:10" ht="14.25" customHeight="1" x14ac:dyDescent="0.25">
      <c r="A2478" s="21">
        <v>13285</v>
      </c>
      <c r="B2478" s="21"/>
      <c r="C2478">
        <v>80.900000000000006</v>
      </c>
      <c r="D2478">
        <v>4.0999999999999996</v>
      </c>
      <c r="E2478">
        <v>181</v>
      </c>
      <c r="F2478">
        <v>276</v>
      </c>
      <c r="G2478">
        <v>20</v>
      </c>
      <c r="H2478">
        <v>276</v>
      </c>
      <c r="I2478">
        <v>1.44</v>
      </c>
      <c r="J2478" s="1">
        <v>7824</v>
      </c>
    </row>
    <row r="2479" spans="1:10" ht="14.25" customHeight="1" x14ac:dyDescent="0.25">
      <c r="A2479" s="21">
        <v>13291</v>
      </c>
      <c r="B2479" s="21"/>
      <c r="C2479">
        <v>19.600000000000001</v>
      </c>
      <c r="D2479">
        <v>3.4</v>
      </c>
      <c r="E2479">
        <v>116</v>
      </c>
      <c r="F2479">
        <v>39</v>
      </c>
      <c r="G2479">
        <v>5</v>
      </c>
      <c r="H2479">
        <v>39</v>
      </c>
      <c r="I2479">
        <v>1.27</v>
      </c>
      <c r="J2479" s="1">
        <v>2423</v>
      </c>
    </row>
    <row r="2480" spans="1:10" ht="14.25" customHeight="1" x14ac:dyDescent="0.25">
      <c r="A2480" s="21">
        <v>13293</v>
      </c>
      <c r="B2480" s="21"/>
      <c r="C2480">
        <v>32.4</v>
      </c>
      <c r="D2480">
        <v>4</v>
      </c>
      <c r="E2480">
        <v>103</v>
      </c>
      <c r="F2480">
        <v>87</v>
      </c>
      <c r="G2480">
        <v>28</v>
      </c>
      <c r="H2480">
        <v>87</v>
      </c>
      <c r="I2480">
        <v>1.42</v>
      </c>
      <c r="J2480" s="1">
        <v>3234</v>
      </c>
    </row>
    <row r="2481" spans="1:10" ht="14.25" customHeight="1" x14ac:dyDescent="0.25">
      <c r="A2481" s="21">
        <v>13297</v>
      </c>
      <c r="B2481" s="21"/>
      <c r="C2481">
        <v>25.2</v>
      </c>
      <c r="D2481">
        <v>3.7</v>
      </c>
      <c r="E2481">
        <v>111</v>
      </c>
      <c r="F2481">
        <v>76</v>
      </c>
      <c r="G2481">
        <v>7</v>
      </c>
      <c r="H2481">
        <v>76</v>
      </c>
      <c r="I2481">
        <v>1.54</v>
      </c>
      <c r="J2481" s="1">
        <v>2614</v>
      </c>
    </row>
    <row r="2482" spans="1:10" ht="14.25" customHeight="1" x14ac:dyDescent="0.25">
      <c r="A2482" s="21">
        <v>13299</v>
      </c>
      <c r="B2482" s="21"/>
      <c r="C2482">
        <v>69.5</v>
      </c>
      <c r="D2482">
        <v>3.6</v>
      </c>
      <c r="E2482">
        <v>153</v>
      </c>
      <c r="F2482">
        <v>134</v>
      </c>
      <c r="G2482">
        <v>10</v>
      </c>
      <c r="H2482">
        <v>134</v>
      </c>
      <c r="I2482">
        <v>1.37</v>
      </c>
      <c r="J2482" s="1">
        <v>7143</v>
      </c>
    </row>
    <row r="2483" spans="1:10" ht="14.25" customHeight="1" x14ac:dyDescent="0.25">
      <c r="A2483" s="21">
        <v>13303</v>
      </c>
      <c r="B2483" s="21"/>
      <c r="C2483">
        <v>6.6</v>
      </c>
      <c r="D2483">
        <v>5.3</v>
      </c>
      <c r="E2483">
        <v>42</v>
      </c>
      <c r="F2483">
        <v>56</v>
      </c>
      <c r="H2483">
        <v>56</v>
      </c>
      <c r="I2483">
        <v>1.05</v>
      </c>
      <c r="J2483">
        <v>457</v>
      </c>
    </row>
    <row r="2484" spans="1:10" ht="14.25" customHeight="1" x14ac:dyDescent="0.25">
      <c r="A2484" s="21">
        <v>13305</v>
      </c>
      <c r="B2484" s="21"/>
      <c r="C2484">
        <v>33.299999999999997</v>
      </c>
      <c r="D2484">
        <v>4.3</v>
      </c>
      <c r="E2484">
        <v>73</v>
      </c>
      <c r="F2484">
        <v>88</v>
      </c>
      <c r="G2484">
        <v>12</v>
      </c>
      <c r="H2484">
        <v>88</v>
      </c>
      <c r="I2484">
        <v>1.29</v>
      </c>
      <c r="J2484" s="1">
        <v>3123</v>
      </c>
    </row>
    <row r="2485" spans="1:10" ht="14.25" customHeight="1" x14ac:dyDescent="0.25">
      <c r="A2485" s="21">
        <v>13313</v>
      </c>
      <c r="B2485" s="21"/>
      <c r="C2485">
        <v>112.2</v>
      </c>
      <c r="D2485">
        <v>4.7</v>
      </c>
      <c r="E2485">
        <v>384</v>
      </c>
      <c r="F2485">
        <v>245</v>
      </c>
      <c r="G2485">
        <v>46</v>
      </c>
      <c r="H2485">
        <v>245</v>
      </c>
      <c r="I2485">
        <v>1.58</v>
      </c>
      <c r="J2485" s="1">
        <v>9308</v>
      </c>
    </row>
    <row r="2486" spans="1:10" ht="14.25" customHeight="1" x14ac:dyDescent="0.25">
      <c r="A2486" s="21">
        <v>15001</v>
      </c>
      <c r="B2486" s="21"/>
      <c r="C2486">
        <v>113.7</v>
      </c>
      <c r="D2486">
        <v>5.8</v>
      </c>
      <c r="E2486">
        <v>164</v>
      </c>
      <c r="F2486">
        <v>157</v>
      </c>
      <c r="G2486">
        <v>11</v>
      </c>
      <c r="H2486">
        <v>157</v>
      </c>
      <c r="I2486">
        <v>1.51</v>
      </c>
      <c r="J2486" s="1">
        <v>7459</v>
      </c>
    </row>
    <row r="2487" spans="1:10" ht="14.25" customHeight="1" x14ac:dyDescent="0.25">
      <c r="A2487" s="21">
        <v>15001</v>
      </c>
      <c r="B2487" s="21"/>
      <c r="C2487">
        <v>44</v>
      </c>
      <c r="D2487">
        <v>5.2</v>
      </c>
      <c r="E2487">
        <v>115</v>
      </c>
      <c r="F2487">
        <v>83</v>
      </c>
      <c r="G2487">
        <v>9</v>
      </c>
      <c r="H2487">
        <v>83</v>
      </c>
      <c r="I2487">
        <v>1.42</v>
      </c>
      <c r="J2487" s="1">
        <v>3276</v>
      </c>
    </row>
    <row r="2488" spans="1:10" ht="14.25" customHeight="1" x14ac:dyDescent="0.25">
      <c r="A2488" s="21">
        <v>15001</v>
      </c>
      <c r="B2488" s="21"/>
      <c r="C2488">
        <v>12.4</v>
      </c>
      <c r="D2488">
        <v>3.2</v>
      </c>
      <c r="E2488">
        <v>123</v>
      </c>
      <c r="F2488">
        <v>33</v>
      </c>
      <c r="G2488">
        <v>4</v>
      </c>
      <c r="H2488">
        <v>33</v>
      </c>
      <c r="I2488">
        <v>1.57</v>
      </c>
      <c r="J2488" s="1">
        <v>1709</v>
      </c>
    </row>
    <row r="2489" spans="1:10" ht="14.25" customHeight="1" x14ac:dyDescent="0.25">
      <c r="A2489" s="21">
        <v>15003</v>
      </c>
      <c r="B2489" s="21"/>
      <c r="C2489">
        <v>105.3</v>
      </c>
      <c r="D2489">
        <v>6</v>
      </c>
      <c r="E2489">
        <v>435</v>
      </c>
      <c r="F2489">
        <v>159</v>
      </c>
      <c r="G2489">
        <v>16</v>
      </c>
      <c r="H2489">
        <v>159</v>
      </c>
      <c r="I2489">
        <v>2.12</v>
      </c>
      <c r="J2489" s="1">
        <v>6379</v>
      </c>
    </row>
    <row r="2490" spans="1:10" ht="14.25" customHeight="1" x14ac:dyDescent="0.25">
      <c r="A2490" s="21">
        <v>15003</v>
      </c>
      <c r="B2490" s="21"/>
      <c r="C2490">
        <v>90.2</v>
      </c>
      <c r="D2490">
        <v>5.8</v>
      </c>
      <c r="E2490">
        <v>292</v>
      </c>
      <c r="F2490">
        <v>118</v>
      </c>
      <c r="G2490">
        <v>8</v>
      </c>
      <c r="H2490">
        <v>118</v>
      </c>
      <c r="I2490">
        <v>2.02</v>
      </c>
      <c r="J2490" s="1">
        <v>5656</v>
      </c>
    </row>
    <row r="2491" spans="1:10" ht="14.25" customHeight="1" x14ac:dyDescent="0.25">
      <c r="A2491" s="21">
        <v>15003</v>
      </c>
      <c r="B2491" s="21"/>
      <c r="E2491">
        <v>233</v>
      </c>
    </row>
    <row r="2492" spans="1:10" ht="14.25" customHeight="1" x14ac:dyDescent="0.25">
      <c r="A2492" s="21">
        <v>15003</v>
      </c>
      <c r="B2492" s="21"/>
      <c r="C2492">
        <v>83.8</v>
      </c>
      <c r="D2492">
        <v>4.3</v>
      </c>
      <c r="E2492">
        <v>185</v>
      </c>
      <c r="F2492">
        <v>160</v>
      </c>
      <c r="G2492">
        <v>8</v>
      </c>
      <c r="H2492">
        <v>160</v>
      </c>
      <c r="I2492">
        <v>1.77</v>
      </c>
      <c r="J2492" s="1">
        <v>7708</v>
      </c>
    </row>
    <row r="2493" spans="1:10" ht="14.25" customHeight="1" x14ac:dyDescent="0.25">
      <c r="A2493" s="21">
        <v>15003</v>
      </c>
      <c r="B2493" s="21"/>
      <c r="C2493">
        <v>59.2</v>
      </c>
      <c r="D2493">
        <v>6.2</v>
      </c>
      <c r="E2493">
        <v>172</v>
      </c>
      <c r="F2493">
        <v>170</v>
      </c>
      <c r="H2493">
        <v>170</v>
      </c>
      <c r="I2493">
        <v>2.0099999999999998</v>
      </c>
      <c r="J2493" s="1">
        <v>3485</v>
      </c>
    </row>
    <row r="2494" spans="1:10" ht="14.25" customHeight="1" x14ac:dyDescent="0.25">
      <c r="A2494" s="21">
        <v>15003</v>
      </c>
      <c r="B2494" s="21"/>
      <c r="C2494">
        <v>40.5</v>
      </c>
      <c r="D2494">
        <v>6.5</v>
      </c>
      <c r="J2494" s="1">
        <v>2275</v>
      </c>
    </row>
    <row r="2495" spans="1:10" ht="14.25" customHeight="1" x14ac:dyDescent="0.25">
      <c r="A2495" s="21">
        <v>15003</v>
      </c>
      <c r="B2495" s="21"/>
      <c r="C2495">
        <v>181.5</v>
      </c>
      <c r="D2495">
        <v>5.9</v>
      </c>
      <c r="E2495">
        <v>640</v>
      </c>
      <c r="F2495">
        <v>295</v>
      </c>
      <c r="G2495">
        <v>25</v>
      </c>
      <c r="H2495">
        <v>295</v>
      </c>
      <c r="I2495">
        <v>1.83</v>
      </c>
      <c r="J2495" s="1">
        <v>11715</v>
      </c>
    </row>
    <row r="2496" spans="1:10" ht="14.25" customHeight="1" x14ac:dyDescent="0.25">
      <c r="A2496" s="21">
        <v>15003</v>
      </c>
      <c r="B2496" s="21"/>
      <c r="C2496">
        <v>14</v>
      </c>
      <c r="D2496">
        <v>4.7</v>
      </c>
      <c r="E2496">
        <v>48</v>
      </c>
      <c r="F2496">
        <v>43</v>
      </c>
      <c r="G2496">
        <v>6</v>
      </c>
      <c r="H2496">
        <v>43</v>
      </c>
      <c r="I2496">
        <v>1.37</v>
      </c>
      <c r="J2496" s="1">
        <v>1099</v>
      </c>
    </row>
    <row r="2497" spans="1:10" ht="14.25" customHeight="1" x14ac:dyDescent="0.25">
      <c r="A2497" s="21">
        <v>15003</v>
      </c>
      <c r="B2497" s="21"/>
      <c r="C2497">
        <v>492.5</v>
      </c>
      <c r="D2497">
        <v>6.3</v>
      </c>
      <c r="E2497">
        <v>937</v>
      </c>
      <c r="F2497">
        <v>650</v>
      </c>
      <c r="G2497">
        <v>58</v>
      </c>
      <c r="H2497">
        <v>650</v>
      </c>
      <c r="I2497">
        <v>2.06</v>
      </c>
      <c r="J2497" s="1">
        <v>28353</v>
      </c>
    </row>
    <row r="2498" spans="1:10" ht="14.25" customHeight="1" x14ac:dyDescent="0.25">
      <c r="A2498" s="21">
        <v>15007</v>
      </c>
      <c r="B2498" s="21"/>
      <c r="C2498">
        <v>42.5</v>
      </c>
      <c r="D2498">
        <v>5.0999999999999996</v>
      </c>
      <c r="E2498">
        <v>158</v>
      </c>
      <c r="F2498">
        <v>72</v>
      </c>
      <c r="G2498">
        <v>7</v>
      </c>
      <c r="H2498">
        <v>72</v>
      </c>
      <c r="I2498">
        <v>1.55</v>
      </c>
      <c r="J2498" s="1">
        <v>3268</v>
      </c>
    </row>
    <row r="2499" spans="1:10" ht="14.25" customHeight="1" x14ac:dyDescent="0.25">
      <c r="A2499" s="21">
        <v>15009</v>
      </c>
      <c r="B2499" s="21"/>
      <c r="C2499">
        <v>153.1</v>
      </c>
      <c r="D2499">
        <v>6.6</v>
      </c>
      <c r="E2499">
        <v>205</v>
      </c>
      <c r="F2499">
        <v>219</v>
      </c>
      <c r="G2499">
        <v>20</v>
      </c>
      <c r="H2499">
        <v>219</v>
      </c>
      <c r="I2499">
        <v>1.9</v>
      </c>
      <c r="J2499" s="1">
        <v>8890</v>
      </c>
    </row>
    <row r="2500" spans="1:10" ht="14.25" customHeight="1" x14ac:dyDescent="0.25">
      <c r="A2500" s="21">
        <v>15009</v>
      </c>
      <c r="B2500" s="21"/>
    </row>
    <row r="2501" spans="1:10" ht="14.25" customHeight="1" x14ac:dyDescent="0.25">
      <c r="A2501" s="21">
        <v>16001</v>
      </c>
      <c r="B2501" s="21"/>
      <c r="C2501">
        <v>319.8</v>
      </c>
      <c r="D2501">
        <v>4.3</v>
      </c>
      <c r="E2501" s="1">
        <v>1547</v>
      </c>
      <c r="F2501">
        <v>559</v>
      </c>
      <c r="G2501">
        <v>46</v>
      </c>
      <c r="H2501">
        <v>559</v>
      </c>
      <c r="I2501">
        <v>1.89</v>
      </c>
      <c r="J2501" s="1">
        <v>29364</v>
      </c>
    </row>
    <row r="2502" spans="1:10" ht="14.25" customHeight="1" x14ac:dyDescent="0.25">
      <c r="A2502" s="21">
        <v>16001</v>
      </c>
      <c r="B2502" s="21"/>
      <c r="C2502">
        <v>215.8</v>
      </c>
      <c r="D2502">
        <v>4.9000000000000004</v>
      </c>
      <c r="E2502">
        <v>908</v>
      </c>
      <c r="F2502">
        <v>348</v>
      </c>
      <c r="G2502">
        <v>42</v>
      </c>
      <c r="H2502">
        <v>348</v>
      </c>
      <c r="I2502">
        <v>1.97</v>
      </c>
      <c r="J2502" s="1">
        <v>16465</v>
      </c>
    </row>
    <row r="2503" spans="1:10" ht="14.25" customHeight="1" x14ac:dyDescent="0.25">
      <c r="A2503" s="21">
        <v>16001</v>
      </c>
      <c r="B2503" s="21"/>
      <c r="C2503">
        <v>2.8</v>
      </c>
      <c r="D2503">
        <v>1.6</v>
      </c>
      <c r="E2503">
        <v>58</v>
      </c>
      <c r="F2503">
        <v>9</v>
      </c>
      <c r="H2503">
        <v>9</v>
      </c>
      <c r="I2503">
        <v>2.87</v>
      </c>
      <c r="J2503">
        <v>661</v>
      </c>
    </row>
    <row r="2504" spans="1:10" ht="14.25" customHeight="1" x14ac:dyDescent="0.25">
      <c r="A2504" s="21">
        <v>16001</v>
      </c>
      <c r="B2504" s="21"/>
      <c r="H2504">
        <v>158</v>
      </c>
    </row>
    <row r="2505" spans="1:10" ht="14.25" customHeight="1" x14ac:dyDescent="0.25">
      <c r="A2505" s="21">
        <v>16005</v>
      </c>
      <c r="B2505" s="21"/>
      <c r="C2505">
        <v>80.2</v>
      </c>
      <c r="D2505">
        <v>4.0999999999999996</v>
      </c>
      <c r="E2505">
        <v>284</v>
      </c>
      <c r="F2505">
        <v>137</v>
      </c>
      <c r="G2505">
        <v>20</v>
      </c>
      <c r="H2505">
        <v>137</v>
      </c>
      <c r="I2505">
        <v>1.77</v>
      </c>
      <c r="J2505" s="1">
        <v>7540</v>
      </c>
    </row>
    <row r="2506" spans="1:10" ht="14.25" customHeight="1" x14ac:dyDescent="0.25">
      <c r="A2506" s="21">
        <v>16011</v>
      </c>
      <c r="B2506" s="21"/>
      <c r="I2506">
        <v>2.81</v>
      </c>
    </row>
    <row r="2507" spans="1:10" ht="14.25" customHeight="1" x14ac:dyDescent="0.25">
      <c r="A2507" s="21">
        <v>16011</v>
      </c>
      <c r="B2507" s="21"/>
    </row>
    <row r="2508" spans="1:10" ht="14.25" customHeight="1" x14ac:dyDescent="0.25">
      <c r="A2508" s="21">
        <v>16019</v>
      </c>
      <c r="B2508" s="21"/>
      <c r="C2508">
        <v>125</v>
      </c>
      <c r="D2508">
        <v>4.9000000000000004</v>
      </c>
      <c r="E2508">
        <v>236</v>
      </c>
      <c r="F2508">
        <v>213</v>
      </c>
      <c r="G2508">
        <v>35</v>
      </c>
      <c r="H2508">
        <v>213</v>
      </c>
      <c r="I2508">
        <v>1.94</v>
      </c>
      <c r="J2508" s="1">
        <v>9947</v>
      </c>
    </row>
    <row r="2509" spans="1:10" ht="14.25" customHeight="1" x14ac:dyDescent="0.25">
      <c r="A2509" s="21">
        <v>16019</v>
      </c>
      <c r="B2509" s="21"/>
      <c r="C2509">
        <v>14.2</v>
      </c>
      <c r="D2509">
        <v>3</v>
      </c>
      <c r="E2509">
        <v>265</v>
      </c>
      <c r="F2509">
        <v>41</v>
      </c>
      <c r="H2509">
        <v>41</v>
      </c>
      <c r="I2509">
        <v>2.29</v>
      </c>
      <c r="J2509" s="1">
        <v>2628</v>
      </c>
    </row>
    <row r="2510" spans="1:10" ht="14.25" customHeight="1" x14ac:dyDescent="0.25">
      <c r="A2510" s="21">
        <v>16019</v>
      </c>
      <c r="B2510" s="21"/>
    </row>
    <row r="2511" spans="1:10" ht="14.25" customHeight="1" x14ac:dyDescent="0.25">
      <c r="A2511" s="21">
        <v>16019</v>
      </c>
      <c r="B2511" s="21"/>
    </row>
    <row r="2512" spans="1:10" ht="14.25" customHeight="1" x14ac:dyDescent="0.25">
      <c r="A2512" s="21">
        <v>16027</v>
      </c>
      <c r="B2512" s="21"/>
      <c r="C2512">
        <v>54.8</v>
      </c>
      <c r="D2512">
        <v>3.9</v>
      </c>
      <c r="E2512">
        <v>115</v>
      </c>
      <c r="F2512">
        <v>96</v>
      </c>
      <c r="G2512">
        <v>18</v>
      </c>
      <c r="H2512">
        <v>100</v>
      </c>
      <c r="I2512">
        <v>1.61</v>
      </c>
      <c r="J2512" s="1">
        <v>5637</v>
      </c>
    </row>
    <row r="2513" spans="1:10" ht="14.25" customHeight="1" x14ac:dyDescent="0.25">
      <c r="A2513" s="21">
        <v>16027</v>
      </c>
      <c r="B2513" s="21"/>
      <c r="C2513">
        <v>36.6</v>
      </c>
      <c r="D2513">
        <v>3.8</v>
      </c>
      <c r="E2513">
        <v>141</v>
      </c>
      <c r="F2513">
        <v>112</v>
      </c>
      <c r="G2513">
        <v>13</v>
      </c>
      <c r="H2513">
        <v>112</v>
      </c>
      <c r="I2513">
        <v>1.79</v>
      </c>
      <c r="J2513" s="1">
        <v>3717</v>
      </c>
    </row>
    <row r="2514" spans="1:10" ht="14.25" customHeight="1" x14ac:dyDescent="0.25">
      <c r="A2514" s="21">
        <v>16027</v>
      </c>
      <c r="B2514" s="21"/>
      <c r="C2514">
        <v>31.1</v>
      </c>
      <c r="D2514">
        <v>3.2</v>
      </c>
      <c r="E2514">
        <v>99</v>
      </c>
      <c r="F2514">
        <v>81</v>
      </c>
      <c r="G2514">
        <v>10</v>
      </c>
      <c r="H2514">
        <v>81</v>
      </c>
      <c r="I2514">
        <v>1.41</v>
      </c>
      <c r="J2514" s="1">
        <v>3954</v>
      </c>
    </row>
    <row r="2515" spans="1:10" ht="14.25" customHeight="1" x14ac:dyDescent="0.25">
      <c r="A2515" s="21">
        <v>16027</v>
      </c>
      <c r="B2515" s="21"/>
      <c r="C2515">
        <v>0.7</v>
      </c>
      <c r="D2515">
        <v>1.8</v>
      </c>
      <c r="J2515">
        <v>145</v>
      </c>
    </row>
    <row r="2516" spans="1:10" ht="14.25" customHeight="1" x14ac:dyDescent="0.25">
      <c r="A2516" s="21">
        <v>16055</v>
      </c>
      <c r="B2516" s="21"/>
      <c r="C2516">
        <v>6.7</v>
      </c>
      <c r="D2516">
        <v>1.9</v>
      </c>
      <c r="E2516">
        <v>75</v>
      </c>
      <c r="F2516">
        <v>34</v>
      </c>
      <c r="H2516">
        <v>34</v>
      </c>
      <c r="I2516">
        <v>2.6</v>
      </c>
      <c r="J2516" s="1">
        <v>1318</v>
      </c>
    </row>
    <row r="2517" spans="1:10" ht="14.25" customHeight="1" x14ac:dyDescent="0.25">
      <c r="A2517" s="21">
        <v>16055</v>
      </c>
      <c r="B2517" s="21"/>
      <c r="C2517">
        <v>183.5</v>
      </c>
      <c r="D2517">
        <v>4.7</v>
      </c>
      <c r="E2517">
        <v>575</v>
      </c>
      <c r="F2517">
        <v>297</v>
      </c>
      <c r="G2517">
        <v>55</v>
      </c>
      <c r="H2517">
        <v>297</v>
      </c>
      <c r="I2517">
        <v>1.96</v>
      </c>
      <c r="J2517" s="1">
        <v>14592</v>
      </c>
    </row>
    <row r="2518" spans="1:10" ht="14.25" customHeight="1" x14ac:dyDescent="0.25">
      <c r="A2518" s="21">
        <v>16065</v>
      </c>
      <c r="B2518" s="21"/>
      <c r="C2518">
        <v>18.100000000000001</v>
      </c>
      <c r="D2518">
        <v>3.4</v>
      </c>
      <c r="E2518">
        <v>85</v>
      </c>
      <c r="F2518">
        <v>67</v>
      </c>
      <c r="G2518">
        <v>4</v>
      </c>
      <c r="H2518">
        <v>67</v>
      </c>
      <c r="I2518">
        <v>1.57</v>
      </c>
      <c r="J2518" s="1">
        <v>2521</v>
      </c>
    </row>
    <row r="2519" spans="1:10" ht="14.25" customHeight="1" x14ac:dyDescent="0.25">
      <c r="A2519" s="21">
        <v>16069</v>
      </c>
      <c r="B2519" s="21"/>
      <c r="C2519">
        <v>38.4</v>
      </c>
      <c r="D2519">
        <v>3.6</v>
      </c>
      <c r="E2519">
        <v>180</v>
      </c>
      <c r="F2519">
        <v>110</v>
      </c>
      <c r="G2519">
        <v>9</v>
      </c>
      <c r="H2519">
        <v>110</v>
      </c>
      <c r="I2519">
        <v>1.79</v>
      </c>
      <c r="J2519" s="1">
        <v>4134</v>
      </c>
    </row>
    <row r="2520" spans="1:10" ht="14.25" customHeight="1" x14ac:dyDescent="0.25">
      <c r="A2520" s="21">
        <v>16083</v>
      </c>
      <c r="B2520" s="21"/>
      <c r="C2520">
        <v>87</v>
      </c>
      <c r="D2520">
        <v>3</v>
      </c>
      <c r="E2520">
        <v>359</v>
      </c>
      <c r="F2520">
        <v>169</v>
      </c>
      <c r="G2520">
        <v>26</v>
      </c>
      <c r="H2520">
        <v>186</v>
      </c>
      <c r="I2520">
        <v>1.68</v>
      </c>
      <c r="J2520" s="1">
        <v>11406</v>
      </c>
    </row>
    <row r="2521" spans="1:10" ht="14.25" customHeight="1" x14ac:dyDescent="0.25">
      <c r="A2521" s="21">
        <v>17001</v>
      </c>
      <c r="B2521" s="21"/>
      <c r="C2521">
        <v>121.3</v>
      </c>
      <c r="D2521">
        <v>4</v>
      </c>
      <c r="E2521">
        <v>336</v>
      </c>
      <c r="F2521">
        <v>248</v>
      </c>
      <c r="G2521">
        <v>25</v>
      </c>
      <c r="H2521">
        <v>248</v>
      </c>
      <c r="I2521">
        <v>1.62</v>
      </c>
      <c r="J2521" s="1">
        <v>11606</v>
      </c>
    </row>
    <row r="2522" spans="1:10" ht="14.25" customHeight="1" x14ac:dyDescent="0.25">
      <c r="A2522" s="21">
        <v>17001</v>
      </c>
      <c r="B2522" s="21"/>
    </row>
    <row r="2523" spans="1:10" ht="14.25" customHeight="1" x14ac:dyDescent="0.25">
      <c r="A2523" s="21">
        <v>17005</v>
      </c>
      <c r="B2523" s="21"/>
      <c r="C2523">
        <v>10.199999999999999</v>
      </c>
      <c r="D2523">
        <v>4.9000000000000004</v>
      </c>
      <c r="E2523">
        <v>48</v>
      </c>
      <c r="F2523">
        <v>32</v>
      </c>
      <c r="H2523">
        <v>32</v>
      </c>
      <c r="I2523">
        <v>1.23</v>
      </c>
      <c r="J2523">
        <v>825</v>
      </c>
    </row>
    <row r="2524" spans="1:10" ht="14.25" customHeight="1" x14ac:dyDescent="0.25">
      <c r="A2524" s="21">
        <v>17007</v>
      </c>
      <c r="B2524" s="21"/>
      <c r="E2524">
        <v>1</v>
      </c>
    </row>
    <row r="2525" spans="1:10" ht="14.25" customHeight="1" x14ac:dyDescent="0.25">
      <c r="A2525" s="21">
        <v>17011</v>
      </c>
      <c r="B2525" s="21"/>
      <c r="C2525">
        <v>16.600000000000001</v>
      </c>
      <c r="D2525">
        <v>3.6</v>
      </c>
      <c r="E2525">
        <v>83</v>
      </c>
      <c r="F2525">
        <v>44</v>
      </c>
      <c r="G2525">
        <v>6</v>
      </c>
      <c r="H2525">
        <v>44</v>
      </c>
      <c r="I2525">
        <v>1.51</v>
      </c>
      <c r="J2525" s="1">
        <v>1830</v>
      </c>
    </row>
    <row r="2526" spans="1:10" ht="14.25" customHeight="1" x14ac:dyDescent="0.25">
      <c r="A2526" s="21">
        <v>17019</v>
      </c>
      <c r="B2526" s="21"/>
      <c r="C2526">
        <v>289.3</v>
      </c>
      <c r="D2526">
        <v>4.3</v>
      </c>
      <c r="E2526">
        <v>881</v>
      </c>
      <c r="F2526">
        <v>391</v>
      </c>
      <c r="H2526">
        <v>391</v>
      </c>
      <c r="I2526">
        <v>1.74</v>
      </c>
      <c r="J2526" s="1">
        <v>27238</v>
      </c>
    </row>
    <row r="2527" spans="1:10" ht="14.25" customHeight="1" x14ac:dyDescent="0.25">
      <c r="A2527" s="21">
        <v>17019</v>
      </c>
      <c r="B2527" s="21"/>
      <c r="C2527">
        <v>52.2</v>
      </c>
      <c r="D2527">
        <v>3</v>
      </c>
      <c r="E2527">
        <v>171</v>
      </c>
      <c r="F2527">
        <v>179</v>
      </c>
      <c r="G2527">
        <v>15</v>
      </c>
      <c r="H2527">
        <v>179</v>
      </c>
      <c r="I2527">
        <v>1.55</v>
      </c>
      <c r="J2527" s="1">
        <v>6712</v>
      </c>
    </row>
    <row r="2528" spans="1:10" ht="14.25" customHeight="1" x14ac:dyDescent="0.25">
      <c r="A2528" s="21">
        <v>17027</v>
      </c>
      <c r="B2528" s="21"/>
      <c r="C2528">
        <v>9.6</v>
      </c>
      <c r="D2528">
        <v>3.4</v>
      </c>
      <c r="E2528">
        <v>88</v>
      </c>
      <c r="F2528">
        <v>46</v>
      </c>
      <c r="H2528">
        <v>46</v>
      </c>
      <c r="I2528">
        <v>1.32</v>
      </c>
      <c r="J2528" s="1">
        <v>1425</v>
      </c>
    </row>
    <row r="2529" spans="1:10" ht="14.25" customHeight="1" x14ac:dyDescent="0.25">
      <c r="A2529" s="21">
        <v>17029</v>
      </c>
      <c r="B2529" s="21"/>
      <c r="C2529">
        <v>48.9</v>
      </c>
      <c r="D2529">
        <v>3.3</v>
      </c>
      <c r="E2529">
        <v>271</v>
      </c>
      <c r="F2529">
        <v>82</v>
      </c>
      <c r="H2529">
        <v>82</v>
      </c>
      <c r="I2529">
        <v>1.46</v>
      </c>
      <c r="J2529" s="1">
        <v>5844</v>
      </c>
    </row>
    <row r="2530" spans="1:10" ht="14.25" customHeight="1" x14ac:dyDescent="0.25">
      <c r="A2530" s="21">
        <v>17031</v>
      </c>
      <c r="B2530" s="21"/>
      <c r="C2530">
        <v>145.30000000000001</v>
      </c>
      <c r="D2530">
        <v>4.7</v>
      </c>
      <c r="E2530">
        <v>375</v>
      </c>
      <c r="F2530">
        <v>268</v>
      </c>
      <c r="G2530">
        <v>25</v>
      </c>
      <c r="H2530">
        <v>268</v>
      </c>
      <c r="I2530">
        <v>1.56</v>
      </c>
      <c r="J2530" s="1">
        <v>11866</v>
      </c>
    </row>
    <row r="2531" spans="1:10" ht="14.25" customHeight="1" x14ac:dyDescent="0.25">
      <c r="A2531" s="21">
        <v>17031</v>
      </c>
      <c r="B2531" s="21"/>
      <c r="C2531">
        <v>42.4</v>
      </c>
      <c r="D2531">
        <v>4.7</v>
      </c>
      <c r="E2531">
        <v>37</v>
      </c>
      <c r="F2531">
        <v>145</v>
      </c>
      <c r="G2531">
        <v>9</v>
      </c>
      <c r="H2531">
        <v>145</v>
      </c>
      <c r="I2531">
        <v>1.1399999999999999</v>
      </c>
      <c r="J2531" s="1">
        <v>3311</v>
      </c>
    </row>
    <row r="2532" spans="1:10" ht="14.25" customHeight="1" x14ac:dyDescent="0.25">
      <c r="A2532" s="21">
        <v>17031</v>
      </c>
      <c r="B2532" s="21"/>
      <c r="C2532">
        <v>102.3</v>
      </c>
      <c r="D2532">
        <v>4.0999999999999996</v>
      </c>
      <c r="E2532">
        <v>252</v>
      </c>
      <c r="F2532">
        <v>192</v>
      </c>
      <c r="G2532">
        <v>31</v>
      </c>
      <c r="H2532">
        <v>88</v>
      </c>
      <c r="I2532">
        <v>1.52</v>
      </c>
      <c r="J2532" s="1">
        <v>10945</v>
      </c>
    </row>
    <row r="2533" spans="1:10" ht="14.25" customHeight="1" x14ac:dyDescent="0.25">
      <c r="A2533" s="21">
        <v>17031</v>
      </c>
      <c r="B2533" s="21"/>
      <c r="C2533">
        <v>72.400000000000006</v>
      </c>
      <c r="D2533">
        <v>4.3</v>
      </c>
      <c r="E2533">
        <v>67</v>
      </c>
      <c r="F2533">
        <v>201</v>
      </c>
      <c r="G2533">
        <v>8</v>
      </c>
      <c r="H2533">
        <v>201</v>
      </c>
      <c r="I2533">
        <v>1.1499999999999999</v>
      </c>
      <c r="J2533" s="1">
        <v>6093</v>
      </c>
    </row>
    <row r="2534" spans="1:10" ht="14.25" customHeight="1" x14ac:dyDescent="0.25">
      <c r="A2534" s="21">
        <v>17031</v>
      </c>
      <c r="B2534" s="21"/>
      <c r="C2534">
        <v>135.4</v>
      </c>
      <c r="D2534">
        <v>4.7</v>
      </c>
      <c r="E2534">
        <v>288</v>
      </c>
      <c r="F2534">
        <v>220</v>
      </c>
      <c r="G2534">
        <v>26</v>
      </c>
      <c r="H2534">
        <v>220</v>
      </c>
      <c r="I2534">
        <v>1.58</v>
      </c>
      <c r="J2534" s="1">
        <v>10794</v>
      </c>
    </row>
    <row r="2535" spans="1:10" ht="14.25" customHeight="1" x14ac:dyDescent="0.25">
      <c r="A2535" s="21">
        <v>17031</v>
      </c>
      <c r="B2535" s="21"/>
      <c r="C2535">
        <v>222.1</v>
      </c>
      <c r="D2535">
        <v>5</v>
      </c>
      <c r="E2535">
        <v>325</v>
      </c>
      <c r="F2535">
        <v>370</v>
      </c>
      <c r="G2535">
        <v>26</v>
      </c>
      <c r="H2535">
        <v>370</v>
      </c>
      <c r="I2535">
        <v>1.48</v>
      </c>
      <c r="J2535" s="1">
        <v>16912</v>
      </c>
    </row>
    <row r="2536" spans="1:10" ht="14.25" customHeight="1" x14ac:dyDescent="0.25">
      <c r="A2536" s="21">
        <v>17031</v>
      </c>
      <c r="B2536" s="21"/>
      <c r="C2536">
        <v>39.799999999999997</v>
      </c>
      <c r="D2536">
        <v>6.4</v>
      </c>
      <c r="E2536">
        <v>30</v>
      </c>
      <c r="F2536">
        <v>122</v>
      </c>
      <c r="G2536">
        <v>8</v>
      </c>
      <c r="H2536">
        <v>122</v>
      </c>
      <c r="I2536">
        <v>1.38</v>
      </c>
      <c r="J2536" s="1">
        <v>2284</v>
      </c>
    </row>
    <row r="2537" spans="1:10" ht="14.25" customHeight="1" x14ac:dyDescent="0.25">
      <c r="A2537" s="21">
        <v>17031</v>
      </c>
      <c r="B2537" s="21"/>
      <c r="C2537">
        <v>130.4</v>
      </c>
      <c r="D2537">
        <v>4.3</v>
      </c>
      <c r="E2537">
        <v>597</v>
      </c>
      <c r="F2537">
        <v>254</v>
      </c>
      <c r="G2537">
        <v>74</v>
      </c>
      <c r="H2537">
        <v>254</v>
      </c>
      <c r="I2537">
        <v>1.7</v>
      </c>
      <c r="J2537" s="1">
        <v>11900</v>
      </c>
    </row>
    <row r="2538" spans="1:10" ht="14.25" customHeight="1" x14ac:dyDescent="0.25">
      <c r="A2538" s="21">
        <v>17031</v>
      </c>
      <c r="B2538" s="21"/>
      <c r="C2538">
        <v>84.5</v>
      </c>
      <c r="D2538">
        <v>5.3</v>
      </c>
      <c r="E2538">
        <v>108</v>
      </c>
      <c r="F2538">
        <v>173</v>
      </c>
      <c r="G2538">
        <v>12</v>
      </c>
      <c r="H2538">
        <v>173</v>
      </c>
      <c r="I2538">
        <v>1.49</v>
      </c>
      <c r="J2538" s="1">
        <v>6045</v>
      </c>
    </row>
    <row r="2539" spans="1:10" ht="14.25" customHeight="1" x14ac:dyDescent="0.25">
      <c r="A2539" s="21">
        <v>17031</v>
      </c>
      <c r="B2539" s="21"/>
      <c r="C2539">
        <v>578.70000000000005</v>
      </c>
      <c r="D2539">
        <v>5.4</v>
      </c>
      <c r="E2539" s="1">
        <v>1127</v>
      </c>
      <c r="F2539">
        <v>706</v>
      </c>
      <c r="G2539">
        <v>123</v>
      </c>
      <c r="H2539">
        <v>706</v>
      </c>
      <c r="I2539">
        <v>2.08</v>
      </c>
      <c r="J2539" s="1">
        <v>42133</v>
      </c>
    </row>
    <row r="2540" spans="1:10" ht="14.25" customHeight="1" x14ac:dyDescent="0.25">
      <c r="A2540" s="21">
        <v>17031</v>
      </c>
      <c r="B2540" s="21"/>
      <c r="C2540">
        <v>379.9</v>
      </c>
      <c r="D2540">
        <v>5.3</v>
      </c>
      <c r="E2540" s="1">
        <v>1080</v>
      </c>
      <c r="F2540">
        <v>534</v>
      </c>
      <c r="G2540">
        <v>33</v>
      </c>
      <c r="H2540">
        <v>534</v>
      </c>
      <c r="I2540">
        <v>1.87</v>
      </c>
      <c r="J2540" s="1">
        <v>27333</v>
      </c>
    </row>
    <row r="2541" spans="1:10" ht="14.25" customHeight="1" x14ac:dyDescent="0.25">
      <c r="A2541" s="21">
        <v>17031</v>
      </c>
      <c r="B2541" s="21"/>
      <c r="C2541">
        <v>114.9</v>
      </c>
      <c r="D2541">
        <v>4.4000000000000004</v>
      </c>
      <c r="E2541">
        <v>294</v>
      </c>
      <c r="F2541">
        <v>277</v>
      </c>
      <c r="G2541">
        <v>19</v>
      </c>
      <c r="H2541">
        <v>277</v>
      </c>
      <c r="I2541">
        <v>1.47</v>
      </c>
      <c r="J2541" s="1">
        <v>9985</v>
      </c>
    </row>
    <row r="2542" spans="1:10" ht="14.25" customHeight="1" x14ac:dyDescent="0.25">
      <c r="A2542" s="21">
        <v>17031</v>
      </c>
      <c r="B2542" s="21"/>
      <c r="C2542">
        <v>45.8</v>
      </c>
      <c r="D2542">
        <v>5.4</v>
      </c>
      <c r="E2542">
        <v>26</v>
      </c>
      <c r="I2542">
        <v>1.36</v>
      </c>
      <c r="J2542" s="1">
        <v>3418</v>
      </c>
    </row>
    <row r="2543" spans="1:10" ht="14.25" customHeight="1" x14ac:dyDescent="0.25">
      <c r="A2543" s="21">
        <v>17031</v>
      </c>
      <c r="B2543" s="21"/>
      <c r="C2543">
        <v>101.6</v>
      </c>
      <c r="D2543">
        <v>4</v>
      </c>
      <c r="E2543">
        <v>303</v>
      </c>
      <c r="F2543">
        <v>233</v>
      </c>
      <c r="G2543">
        <v>20</v>
      </c>
      <c r="H2543">
        <v>233</v>
      </c>
      <c r="I2543">
        <v>1.68</v>
      </c>
      <c r="J2543" s="1">
        <v>9628</v>
      </c>
    </row>
    <row r="2544" spans="1:10" ht="14.25" customHeight="1" x14ac:dyDescent="0.25">
      <c r="A2544" s="21">
        <v>17031</v>
      </c>
      <c r="B2544" s="21"/>
      <c r="C2544">
        <v>84.7</v>
      </c>
      <c r="D2544">
        <v>5.5</v>
      </c>
      <c r="E2544">
        <v>128</v>
      </c>
      <c r="F2544">
        <v>213</v>
      </c>
      <c r="H2544">
        <v>213</v>
      </c>
      <c r="I2544">
        <v>1.57</v>
      </c>
      <c r="J2544" s="1">
        <v>5656</v>
      </c>
    </row>
    <row r="2545" spans="1:10" ht="14.25" customHeight="1" x14ac:dyDescent="0.25">
      <c r="A2545" s="21">
        <v>17031</v>
      </c>
      <c r="B2545" s="21"/>
      <c r="C2545">
        <v>223.6</v>
      </c>
      <c r="D2545">
        <v>4.2</v>
      </c>
      <c r="E2545">
        <v>783</v>
      </c>
      <c r="F2545">
        <v>424</v>
      </c>
      <c r="G2545">
        <v>60</v>
      </c>
      <c r="H2545">
        <v>424</v>
      </c>
      <c r="I2545">
        <v>1.64</v>
      </c>
      <c r="J2545" s="1">
        <v>20447</v>
      </c>
    </row>
    <row r="2546" spans="1:10" ht="14.25" customHeight="1" x14ac:dyDescent="0.25">
      <c r="A2546" s="21">
        <v>17031</v>
      </c>
      <c r="B2546" s="21"/>
      <c r="C2546">
        <v>190.4</v>
      </c>
      <c r="D2546">
        <v>4.8</v>
      </c>
      <c r="E2546">
        <v>587</v>
      </c>
      <c r="F2546">
        <v>257</v>
      </c>
      <c r="G2546">
        <v>36</v>
      </c>
      <c r="H2546">
        <v>257</v>
      </c>
      <c r="I2546">
        <v>1.75</v>
      </c>
      <c r="J2546" s="1">
        <v>15522</v>
      </c>
    </row>
    <row r="2547" spans="1:10" ht="14.25" customHeight="1" x14ac:dyDescent="0.25">
      <c r="A2547" s="21">
        <v>17031</v>
      </c>
      <c r="B2547" s="21"/>
      <c r="C2547">
        <v>673.6</v>
      </c>
      <c r="D2547">
        <v>6</v>
      </c>
      <c r="E2547" s="1">
        <v>2497</v>
      </c>
      <c r="F2547">
        <v>879</v>
      </c>
      <c r="G2547">
        <v>115</v>
      </c>
      <c r="H2547">
        <v>879</v>
      </c>
      <c r="I2547">
        <v>2.23</v>
      </c>
      <c r="J2547" s="1">
        <v>45106</v>
      </c>
    </row>
    <row r="2548" spans="1:10" ht="14.25" customHeight="1" x14ac:dyDescent="0.25">
      <c r="A2548" s="21">
        <v>17031</v>
      </c>
      <c r="B2548" s="21"/>
      <c r="C2548">
        <v>353.6</v>
      </c>
      <c r="D2548">
        <v>5.8</v>
      </c>
      <c r="E2548">
        <v>921</v>
      </c>
      <c r="F2548">
        <v>515</v>
      </c>
      <c r="G2548">
        <v>76</v>
      </c>
      <c r="H2548">
        <v>515</v>
      </c>
      <c r="I2548">
        <v>2.2999999999999998</v>
      </c>
      <c r="J2548" s="1">
        <v>22940</v>
      </c>
    </row>
    <row r="2549" spans="1:10" ht="14.25" customHeight="1" x14ac:dyDescent="0.25">
      <c r="A2549" s="21">
        <v>17031</v>
      </c>
      <c r="B2549" s="21"/>
      <c r="C2549">
        <v>193.8</v>
      </c>
      <c r="D2549">
        <v>4.5999999999999996</v>
      </c>
      <c r="E2549">
        <v>385</v>
      </c>
      <c r="F2549">
        <v>318</v>
      </c>
      <c r="G2549">
        <v>35</v>
      </c>
      <c r="H2549">
        <v>318</v>
      </c>
      <c r="I2549">
        <v>1.51</v>
      </c>
      <c r="J2549" s="1">
        <v>16621</v>
      </c>
    </row>
    <row r="2550" spans="1:10" ht="14.25" customHeight="1" x14ac:dyDescent="0.25">
      <c r="A2550" s="21">
        <v>17031</v>
      </c>
      <c r="B2550" s="21"/>
      <c r="C2550">
        <v>8.8000000000000007</v>
      </c>
      <c r="D2550">
        <v>5.5</v>
      </c>
      <c r="E2550">
        <v>76</v>
      </c>
      <c r="F2550">
        <v>25</v>
      </c>
      <c r="H2550">
        <v>25</v>
      </c>
      <c r="I2550">
        <v>1.01</v>
      </c>
      <c r="J2550">
        <v>582</v>
      </c>
    </row>
    <row r="2551" spans="1:10" ht="14.25" customHeight="1" x14ac:dyDescent="0.25">
      <c r="A2551" s="21">
        <v>17031</v>
      </c>
      <c r="B2551" s="21"/>
      <c r="C2551">
        <v>22.5</v>
      </c>
      <c r="D2551">
        <v>6</v>
      </c>
      <c r="J2551" s="1">
        <v>1365</v>
      </c>
    </row>
    <row r="2552" spans="1:10" ht="14.25" customHeight="1" x14ac:dyDescent="0.25">
      <c r="A2552" s="21">
        <v>17031</v>
      </c>
      <c r="B2552" s="21"/>
      <c r="C2552">
        <v>231.7</v>
      </c>
      <c r="D2552">
        <v>5.4</v>
      </c>
      <c r="E2552">
        <v>830</v>
      </c>
      <c r="F2552">
        <v>448</v>
      </c>
      <c r="G2552">
        <v>32</v>
      </c>
      <c r="H2552">
        <v>448</v>
      </c>
      <c r="I2552">
        <v>1.57</v>
      </c>
      <c r="J2552" s="1">
        <v>15967</v>
      </c>
    </row>
    <row r="2553" spans="1:10" ht="14.25" customHeight="1" x14ac:dyDescent="0.25">
      <c r="A2553" s="21">
        <v>17031</v>
      </c>
      <c r="B2553" s="21"/>
      <c r="C2553">
        <v>109.6</v>
      </c>
      <c r="D2553">
        <v>4.5999999999999996</v>
      </c>
      <c r="E2553">
        <v>140</v>
      </c>
      <c r="F2553">
        <v>221</v>
      </c>
      <c r="G2553">
        <v>20</v>
      </c>
      <c r="H2553">
        <v>221</v>
      </c>
      <c r="I2553">
        <v>1.39</v>
      </c>
      <c r="J2553" s="1">
        <v>8787</v>
      </c>
    </row>
    <row r="2554" spans="1:10" ht="14.25" customHeight="1" x14ac:dyDescent="0.25">
      <c r="A2554" s="21">
        <v>17031</v>
      </c>
      <c r="B2554" s="21"/>
      <c r="C2554">
        <v>272.10000000000002</v>
      </c>
      <c r="D2554">
        <v>5.3</v>
      </c>
      <c r="E2554" s="1">
        <v>1001</v>
      </c>
      <c r="F2554">
        <v>434</v>
      </c>
      <c r="G2554">
        <v>42</v>
      </c>
      <c r="H2554">
        <v>434</v>
      </c>
      <c r="I2554">
        <v>1.93</v>
      </c>
      <c r="J2554" s="1">
        <v>19417</v>
      </c>
    </row>
    <row r="2555" spans="1:10" ht="14.25" customHeight="1" x14ac:dyDescent="0.25">
      <c r="A2555" s="21">
        <v>17031</v>
      </c>
      <c r="B2555" s="21"/>
      <c r="C2555">
        <v>35.700000000000003</v>
      </c>
      <c r="D2555">
        <v>4.8</v>
      </c>
      <c r="J2555" s="1">
        <v>2579</v>
      </c>
    </row>
    <row r="2556" spans="1:10" ht="14.25" customHeight="1" x14ac:dyDescent="0.25">
      <c r="A2556" s="21">
        <v>17031</v>
      </c>
      <c r="B2556" s="21"/>
      <c r="C2556">
        <v>111.4</v>
      </c>
      <c r="D2556">
        <v>4.3</v>
      </c>
      <c r="E2556">
        <v>359</v>
      </c>
      <c r="F2556">
        <v>203</v>
      </c>
      <c r="G2556">
        <v>14</v>
      </c>
      <c r="H2556">
        <v>203</v>
      </c>
      <c r="I2556">
        <v>1.48</v>
      </c>
      <c r="J2556" s="1">
        <v>10103</v>
      </c>
    </row>
    <row r="2557" spans="1:10" ht="14.25" customHeight="1" x14ac:dyDescent="0.25">
      <c r="A2557" s="21">
        <v>17031</v>
      </c>
      <c r="B2557" s="21"/>
      <c r="C2557">
        <v>116.9</v>
      </c>
      <c r="D2557">
        <v>4.3</v>
      </c>
      <c r="E2557">
        <v>481</v>
      </c>
      <c r="F2557">
        <v>216</v>
      </c>
      <c r="G2557">
        <v>18</v>
      </c>
      <c r="H2557">
        <v>216</v>
      </c>
      <c r="I2557">
        <v>1.63</v>
      </c>
      <c r="J2557" s="1">
        <v>10869</v>
      </c>
    </row>
    <row r="2558" spans="1:10" ht="14.25" customHeight="1" x14ac:dyDescent="0.25">
      <c r="A2558" s="21">
        <v>17031</v>
      </c>
      <c r="B2558" s="21"/>
      <c r="C2558">
        <v>61</v>
      </c>
      <c r="D2558">
        <v>4.9000000000000004</v>
      </c>
      <c r="E2558">
        <v>91</v>
      </c>
      <c r="F2558">
        <v>156</v>
      </c>
      <c r="G2558">
        <v>10</v>
      </c>
      <c r="H2558">
        <v>156</v>
      </c>
      <c r="I2558">
        <v>1.28</v>
      </c>
      <c r="J2558" s="1">
        <v>4526</v>
      </c>
    </row>
    <row r="2559" spans="1:10" ht="14.25" customHeight="1" x14ac:dyDescent="0.25">
      <c r="A2559" s="21">
        <v>17031</v>
      </c>
      <c r="B2559" s="21"/>
      <c r="C2559">
        <v>160.4</v>
      </c>
      <c r="D2559">
        <v>4.4000000000000004</v>
      </c>
      <c r="E2559">
        <v>327</v>
      </c>
      <c r="F2559">
        <v>227</v>
      </c>
      <c r="G2559">
        <v>41</v>
      </c>
      <c r="H2559">
        <v>227</v>
      </c>
      <c r="I2559">
        <v>1.84</v>
      </c>
      <c r="J2559" s="1">
        <v>12201</v>
      </c>
    </row>
    <row r="2560" spans="1:10" ht="14.25" customHeight="1" x14ac:dyDescent="0.25">
      <c r="A2560" s="21">
        <v>17031</v>
      </c>
      <c r="B2560" s="21"/>
      <c r="C2560">
        <v>61.6</v>
      </c>
      <c r="D2560">
        <v>4.0999999999999996</v>
      </c>
      <c r="E2560">
        <v>85</v>
      </c>
      <c r="F2560">
        <v>300</v>
      </c>
      <c r="G2560">
        <v>36</v>
      </c>
      <c r="H2560">
        <v>300</v>
      </c>
      <c r="I2560">
        <v>1.58</v>
      </c>
      <c r="J2560" s="1">
        <v>6419</v>
      </c>
    </row>
    <row r="2561" spans="1:10" ht="14.25" customHeight="1" x14ac:dyDescent="0.25">
      <c r="A2561" s="21">
        <v>17031</v>
      </c>
      <c r="B2561" s="21"/>
      <c r="C2561">
        <v>442.5</v>
      </c>
      <c r="D2561">
        <v>5.0999999999999996</v>
      </c>
      <c r="E2561" s="1">
        <v>1402</v>
      </c>
      <c r="F2561">
        <v>576</v>
      </c>
      <c r="H2561">
        <v>576</v>
      </c>
      <c r="I2561">
        <v>2.17</v>
      </c>
      <c r="J2561" s="1">
        <v>31941</v>
      </c>
    </row>
    <row r="2562" spans="1:10" ht="14.25" customHeight="1" x14ac:dyDescent="0.25">
      <c r="A2562" s="21">
        <v>17031</v>
      </c>
      <c r="B2562" s="21"/>
      <c r="C2562">
        <v>43.8</v>
      </c>
      <c r="D2562">
        <v>3.9</v>
      </c>
      <c r="E2562">
        <v>181</v>
      </c>
      <c r="F2562">
        <v>109</v>
      </c>
      <c r="G2562">
        <v>15</v>
      </c>
      <c r="H2562">
        <v>109</v>
      </c>
      <c r="I2562">
        <v>1.25</v>
      </c>
      <c r="J2562" s="1">
        <v>4813</v>
      </c>
    </row>
    <row r="2563" spans="1:10" ht="14.25" customHeight="1" x14ac:dyDescent="0.25">
      <c r="A2563" s="21">
        <v>17031</v>
      </c>
      <c r="B2563" s="21"/>
      <c r="C2563">
        <v>47.5</v>
      </c>
      <c r="D2563">
        <v>4.7</v>
      </c>
      <c r="E2563">
        <v>93</v>
      </c>
      <c r="F2563">
        <v>130</v>
      </c>
      <c r="G2563">
        <v>10</v>
      </c>
      <c r="H2563">
        <v>130</v>
      </c>
      <c r="I2563">
        <v>1.24</v>
      </c>
      <c r="J2563" s="1">
        <v>4435</v>
      </c>
    </row>
    <row r="2564" spans="1:10" ht="14.25" customHeight="1" x14ac:dyDescent="0.25">
      <c r="A2564" s="21">
        <v>17031</v>
      </c>
      <c r="B2564" s="21"/>
      <c r="C2564">
        <v>124.2</v>
      </c>
      <c r="D2564">
        <v>4.4000000000000004</v>
      </c>
      <c r="E2564">
        <v>354</v>
      </c>
      <c r="F2564">
        <v>236</v>
      </c>
      <c r="G2564">
        <v>17</v>
      </c>
      <c r="H2564">
        <v>236</v>
      </c>
      <c r="I2564">
        <v>1.72</v>
      </c>
      <c r="J2564" s="1">
        <v>10851</v>
      </c>
    </row>
    <row r="2565" spans="1:10" ht="14.25" customHeight="1" x14ac:dyDescent="0.25">
      <c r="A2565" s="21">
        <v>17031</v>
      </c>
      <c r="B2565" s="21"/>
      <c r="C2565">
        <v>59.5</v>
      </c>
      <c r="D2565">
        <v>4.5</v>
      </c>
      <c r="E2565">
        <v>123</v>
      </c>
      <c r="F2565">
        <v>125</v>
      </c>
      <c r="G2565">
        <v>16</v>
      </c>
      <c r="H2565">
        <v>125</v>
      </c>
      <c r="I2565">
        <v>1.6</v>
      </c>
      <c r="J2565" s="1">
        <v>4843</v>
      </c>
    </row>
    <row r="2566" spans="1:10" ht="14.25" customHeight="1" x14ac:dyDescent="0.25">
      <c r="A2566" s="21">
        <v>17031</v>
      </c>
      <c r="B2566" s="21"/>
      <c r="C2566">
        <v>441.8</v>
      </c>
      <c r="D2566">
        <v>4.4000000000000004</v>
      </c>
      <c r="E2566" s="1">
        <v>2159</v>
      </c>
      <c r="F2566">
        <v>697</v>
      </c>
      <c r="G2566">
        <v>71</v>
      </c>
      <c r="H2566">
        <v>354</v>
      </c>
      <c r="I2566">
        <v>1.67</v>
      </c>
      <c r="J2566" s="1">
        <v>39091</v>
      </c>
    </row>
    <row r="2567" spans="1:10" ht="14.25" customHeight="1" x14ac:dyDescent="0.25">
      <c r="A2567" s="21">
        <v>17031</v>
      </c>
      <c r="B2567" s="21"/>
      <c r="C2567">
        <v>77.5</v>
      </c>
      <c r="D2567">
        <v>4.0999999999999996</v>
      </c>
      <c r="E2567">
        <v>240</v>
      </c>
      <c r="F2567">
        <v>201</v>
      </c>
      <c r="G2567">
        <v>24</v>
      </c>
      <c r="H2567">
        <v>201</v>
      </c>
      <c r="I2567">
        <v>1.71</v>
      </c>
      <c r="J2567" s="1">
        <v>7277</v>
      </c>
    </row>
    <row r="2568" spans="1:10" ht="14.25" customHeight="1" x14ac:dyDescent="0.25">
      <c r="A2568" s="21">
        <v>17031</v>
      </c>
      <c r="B2568" s="21"/>
      <c r="C2568">
        <v>67.099999999999994</v>
      </c>
      <c r="D2568">
        <v>4.2</v>
      </c>
      <c r="E2568">
        <v>247</v>
      </c>
      <c r="F2568">
        <v>135</v>
      </c>
      <c r="G2568">
        <v>21</v>
      </c>
      <c r="H2568">
        <v>135</v>
      </c>
      <c r="I2568">
        <v>1.7</v>
      </c>
      <c r="J2568" s="1">
        <v>6752</v>
      </c>
    </row>
    <row r="2569" spans="1:10" ht="14.25" customHeight="1" x14ac:dyDescent="0.25">
      <c r="A2569" s="21">
        <v>17031</v>
      </c>
      <c r="B2569" s="21"/>
      <c r="E2569">
        <v>5</v>
      </c>
      <c r="H2569">
        <v>156</v>
      </c>
    </row>
    <row r="2570" spans="1:10" ht="14.25" customHeight="1" x14ac:dyDescent="0.25">
      <c r="A2570" s="21">
        <v>17031</v>
      </c>
      <c r="B2570" s="21"/>
      <c r="C2570">
        <v>123.1</v>
      </c>
      <c r="D2570">
        <v>4.0999999999999996</v>
      </c>
      <c r="E2570">
        <v>392</v>
      </c>
      <c r="F2570">
        <v>256</v>
      </c>
      <c r="H2570">
        <v>256</v>
      </c>
      <c r="I2570">
        <v>1.58</v>
      </c>
      <c r="J2570" s="1">
        <v>11656</v>
      </c>
    </row>
    <row r="2571" spans="1:10" ht="14.25" customHeight="1" x14ac:dyDescent="0.25">
      <c r="A2571" s="21">
        <v>17031</v>
      </c>
      <c r="B2571" s="21"/>
      <c r="C2571">
        <v>223.4</v>
      </c>
      <c r="D2571">
        <v>4.5999999999999996</v>
      </c>
      <c r="E2571">
        <v>365</v>
      </c>
      <c r="F2571">
        <v>377</v>
      </c>
      <c r="G2571">
        <v>24</v>
      </c>
      <c r="H2571">
        <v>377</v>
      </c>
      <c r="I2571">
        <v>1.64</v>
      </c>
      <c r="J2571" s="1">
        <v>18017</v>
      </c>
    </row>
    <row r="2572" spans="1:10" ht="14.25" customHeight="1" x14ac:dyDescent="0.25">
      <c r="A2572" s="21">
        <v>17031</v>
      </c>
      <c r="B2572" s="21"/>
      <c r="C2572">
        <v>40.299999999999997</v>
      </c>
      <c r="D2572">
        <v>3.5</v>
      </c>
      <c r="E2572">
        <v>180</v>
      </c>
      <c r="F2572">
        <v>165</v>
      </c>
      <c r="G2572">
        <v>14</v>
      </c>
      <c r="H2572">
        <v>165</v>
      </c>
      <c r="I2572">
        <v>1.52</v>
      </c>
      <c r="J2572" s="1">
        <v>4192</v>
      </c>
    </row>
    <row r="2573" spans="1:10" ht="14.25" customHeight="1" x14ac:dyDescent="0.25">
      <c r="A2573" s="21">
        <v>17031</v>
      </c>
      <c r="B2573" s="21"/>
      <c r="C2573">
        <v>87.1</v>
      </c>
      <c r="D2573">
        <v>4.3</v>
      </c>
      <c r="E2573">
        <v>200</v>
      </c>
      <c r="F2573">
        <v>159</v>
      </c>
      <c r="G2573">
        <v>27</v>
      </c>
      <c r="H2573">
        <v>159</v>
      </c>
      <c r="I2573">
        <v>1.55</v>
      </c>
      <c r="J2573" s="1">
        <v>7405</v>
      </c>
    </row>
    <row r="2574" spans="1:10" ht="14.25" customHeight="1" x14ac:dyDescent="0.25">
      <c r="A2574" s="21">
        <v>17031</v>
      </c>
      <c r="B2574" s="21"/>
      <c r="C2574">
        <v>81.2</v>
      </c>
      <c r="D2574">
        <v>3.8</v>
      </c>
      <c r="E2574">
        <v>195</v>
      </c>
      <c r="F2574">
        <v>181</v>
      </c>
      <c r="G2574">
        <v>16</v>
      </c>
      <c r="H2574">
        <v>181</v>
      </c>
      <c r="I2574">
        <v>1.7</v>
      </c>
      <c r="J2574" s="1">
        <v>8040</v>
      </c>
    </row>
    <row r="2575" spans="1:10" ht="14.25" customHeight="1" x14ac:dyDescent="0.25">
      <c r="A2575" s="21">
        <v>17031</v>
      </c>
      <c r="B2575" s="21"/>
      <c r="C2575">
        <v>63.4</v>
      </c>
      <c r="D2575">
        <v>5</v>
      </c>
      <c r="E2575">
        <v>160</v>
      </c>
      <c r="F2575">
        <v>119</v>
      </c>
      <c r="G2575">
        <v>16</v>
      </c>
      <c r="H2575">
        <v>119</v>
      </c>
      <c r="I2575">
        <v>1.67</v>
      </c>
      <c r="J2575" s="1">
        <v>4662</v>
      </c>
    </row>
    <row r="2576" spans="1:10" ht="14.25" customHeight="1" x14ac:dyDescent="0.25">
      <c r="A2576" s="21">
        <v>17031</v>
      </c>
      <c r="B2576" s="21"/>
      <c r="C2576">
        <v>49.6</v>
      </c>
      <c r="D2576">
        <v>4.5999999999999996</v>
      </c>
      <c r="E2576">
        <v>54</v>
      </c>
      <c r="F2576">
        <v>122</v>
      </c>
      <c r="G2576">
        <v>12</v>
      </c>
      <c r="H2576">
        <v>122</v>
      </c>
      <c r="I2576">
        <v>1.3</v>
      </c>
      <c r="J2576" s="1">
        <v>3954</v>
      </c>
    </row>
    <row r="2577" spans="1:10" ht="14.25" customHeight="1" x14ac:dyDescent="0.25">
      <c r="A2577" s="21">
        <v>17031</v>
      </c>
      <c r="B2577" s="21"/>
      <c r="C2577">
        <v>28.5</v>
      </c>
      <c r="D2577">
        <v>4.9000000000000004</v>
      </c>
      <c r="E2577">
        <v>41</v>
      </c>
      <c r="F2577">
        <v>134</v>
      </c>
      <c r="G2577">
        <v>10</v>
      </c>
      <c r="H2577">
        <v>134</v>
      </c>
      <c r="I2577">
        <v>1.27</v>
      </c>
      <c r="J2577" s="1">
        <v>2226</v>
      </c>
    </row>
    <row r="2578" spans="1:10" ht="14.25" customHeight="1" x14ac:dyDescent="0.25">
      <c r="A2578" s="21">
        <v>17031</v>
      </c>
      <c r="B2578" s="21"/>
      <c r="C2578">
        <v>576.9</v>
      </c>
      <c r="D2578">
        <v>6.5</v>
      </c>
      <c r="E2578" s="1">
        <v>1368</v>
      </c>
      <c r="F2578">
        <v>682</v>
      </c>
      <c r="G2578">
        <v>79</v>
      </c>
      <c r="H2578">
        <v>682</v>
      </c>
      <c r="I2578">
        <v>2.34</v>
      </c>
      <c r="J2578" s="1">
        <v>33060</v>
      </c>
    </row>
    <row r="2579" spans="1:10" ht="14.25" customHeight="1" x14ac:dyDescent="0.25">
      <c r="A2579" s="21">
        <v>17031</v>
      </c>
      <c r="B2579" s="21"/>
      <c r="C2579">
        <v>25.1</v>
      </c>
      <c r="D2579">
        <v>3.5</v>
      </c>
      <c r="J2579" s="1">
        <v>3007</v>
      </c>
    </row>
    <row r="2580" spans="1:10" ht="14.25" customHeight="1" x14ac:dyDescent="0.25">
      <c r="A2580" s="21">
        <v>17031</v>
      </c>
      <c r="B2580" s="21"/>
    </row>
    <row r="2581" spans="1:10" ht="14.25" customHeight="1" x14ac:dyDescent="0.25">
      <c r="A2581" s="21">
        <v>17031</v>
      </c>
      <c r="B2581" s="21"/>
      <c r="C2581">
        <v>10.5</v>
      </c>
      <c r="D2581">
        <v>3.1</v>
      </c>
      <c r="J2581" s="1">
        <v>1257</v>
      </c>
    </row>
    <row r="2582" spans="1:10" ht="14.25" customHeight="1" x14ac:dyDescent="0.25">
      <c r="A2582" s="21">
        <v>17031</v>
      </c>
      <c r="B2582" s="21"/>
      <c r="C2582">
        <v>53.8</v>
      </c>
      <c r="D2582">
        <v>4.7</v>
      </c>
      <c r="J2582" s="1">
        <v>4331</v>
      </c>
    </row>
    <row r="2583" spans="1:10" ht="14.25" customHeight="1" x14ac:dyDescent="0.25">
      <c r="A2583" s="21">
        <v>17031</v>
      </c>
      <c r="B2583" s="21"/>
    </row>
    <row r="2584" spans="1:10" ht="14.25" customHeight="1" x14ac:dyDescent="0.25">
      <c r="A2584" s="21">
        <v>17031</v>
      </c>
      <c r="B2584" s="21"/>
      <c r="H2584">
        <v>173</v>
      </c>
    </row>
    <row r="2585" spans="1:10" ht="14.25" customHeight="1" x14ac:dyDescent="0.25">
      <c r="A2585" s="21">
        <v>17031</v>
      </c>
      <c r="B2585" s="21"/>
      <c r="H2585">
        <v>256</v>
      </c>
    </row>
    <row r="2586" spans="1:10" ht="14.25" customHeight="1" x14ac:dyDescent="0.25">
      <c r="A2586" s="21">
        <v>17031</v>
      </c>
      <c r="B2586" s="21"/>
      <c r="H2586">
        <v>436</v>
      </c>
    </row>
    <row r="2587" spans="1:10" ht="14.25" customHeight="1" x14ac:dyDescent="0.25">
      <c r="A2587" s="21">
        <v>17031</v>
      </c>
      <c r="B2587" s="21"/>
    </row>
    <row r="2588" spans="1:10" ht="14.25" customHeight="1" x14ac:dyDescent="0.25">
      <c r="A2588" s="21">
        <v>17037</v>
      </c>
      <c r="B2588" s="21"/>
      <c r="C2588">
        <v>54.3</v>
      </c>
      <c r="D2588">
        <v>4.0999999999999996</v>
      </c>
      <c r="E2588">
        <v>172</v>
      </c>
      <c r="F2588">
        <v>98</v>
      </c>
      <c r="G2588">
        <v>12</v>
      </c>
      <c r="H2588">
        <v>98</v>
      </c>
      <c r="I2588">
        <v>1.63</v>
      </c>
      <c r="J2588" s="1">
        <v>5192</v>
      </c>
    </row>
    <row r="2589" spans="1:10" ht="14.25" customHeight="1" x14ac:dyDescent="0.25">
      <c r="A2589" s="21">
        <v>17043</v>
      </c>
      <c r="B2589" s="21"/>
      <c r="C2589">
        <v>186.1</v>
      </c>
      <c r="D2589">
        <v>4.3</v>
      </c>
      <c r="E2589">
        <v>415</v>
      </c>
      <c r="F2589">
        <v>243</v>
      </c>
      <c r="G2589">
        <v>55</v>
      </c>
      <c r="H2589">
        <v>243</v>
      </c>
      <c r="I2589">
        <v>1.85</v>
      </c>
      <c r="J2589" s="1">
        <v>16279</v>
      </c>
    </row>
    <row r="2590" spans="1:10" ht="14.25" customHeight="1" x14ac:dyDescent="0.25">
      <c r="A2590" s="21">
        <v>17043</v>
      </c>
      <c r="B2590" s="21"/>
      <c r="C2590">
        <v>62.7</v>
      </c>
      <c r="D2590">
        <v>4.5</v>
      </c>
      <c r="E2590">
        <v>50</v>
      </c>
      <c r="F2590">
        <v>122</v>
      </c>
      <c r="G2590">
        <v>10</v>
      </c>
      <c r="H2590">
        <v>122</v>
      </c>
      <c r="I2590">
        <v>1.4</v>
      </c>
      <c r="J2590" s="1">
        <v>5196</v>
      </c>
    </row>
    <row r="2591" spans="1:10" ht="14.25" customHeight="1" x14ac:dyDescent="0.25">
      <c r="A2591" s="21">
        <v>17043</v>
      </c>
      <c r="B2591" s="21"/>
      <c r="C2591">
        <v>218.2</v>
      </c>
      <c r="D2591">
        <v>4.0999999999999996</v>
      </c>
      <c r="E2591" s="1">
        <v>1515</v>
      </c>
      <c r="F2591">
        <v>347</v>
      </c>
      <c r="G2591">
        <v>36</v>
      </c>
      <c r="H2591">
        <v>347</v>
      </c>
      <c r="I2591">
        <v>1.9</v>
      </c>
      <c r="J2591" s="1">
        <v>20944</v>
      </c>
    </row>
    <row r="2592" spans="1:10" ht="14.25" customHeight="1" x14ac:dyDescent="0.25">
      <c r="A2592" s="21">
        <v>17043</v>
      </c>
      <c r="B2592" s="21"/>
      <c r="C2592">
        <v>241.3</v>
      </c>
      <c r="D2592">
        <v>4.3</v>
      </c>
      <c r="E2592" s="1">
        <v>1182</v>
      </c>
      <c r="F2592">
        <v>298</v>
      </c>
      <c r="G2592">
        <v>25</v>
      </c>
      <c r="H2592">
        <v>298</v>
      </c>
      <c r="I2592">
        <v>1.97</v>
      </c>
      <c r="J2592" s="1">
        <v>22048</v>
      </c>
    </row>
    <row r="2593" spans="1:10" ht="14.25" customHeight="1" x14ac:dyDescent="0.25">
      <c r="A2593" s="21">
        <v>17043</v>
      </c>
      <c r="B2593" s="21"/>
      <c r="C2593">
        <v>174.7</v>
      </c>
      <c r="D2593">
        <v>4</v>
      </c>
      <c r="E2593">
        <v>572</v>
      </c>
      <c r="F2593">
        <v>282</v>
      </c>
      <c r="G2593">
        <v>35</v>
      </c>
      <c r="H2593">
        <v>259</v>
      </c>
      <c r="I2593">
        <v>1.82</v>
      </c>
      <c r="J2593" s="1">
        <v>17404</v>
      </c>
    </row>
    <row r="2594" spans="1:10" ht="14.25" customHeight="1" x14ac:dyDescent="0.25">
      <c r="A2594" s="21">
        <v>17043</v>
      </c>
      <c r="B2594" s="21"/>
      <c r="C2594">
        <v>126.2</v>
      </c>
      <c r="D2594">
        <v>4.7</v>
      </c>
      <c r="E2594">
        <v>387</v>
      </c>
      <c r="F2594">
        <v>244</v>
      </c>
      <c r="G2594">
        <v>58</v>
      </c>
      <c r="H2594">
        <v>244</v>
      </c>
      <c r="I2594">
        <v>1.76</v>
      </c>
      <c r="J2594" s="1">
        <v>10966</v>
      </c>
    </row>
    <row r="2595" spans="1:10" ht="14.25" customHeight="1" x14ac:dyDescent="0.25">
      <c r="A2595" s="21">
        <v>17043</v>
      </c>
      <c r="B2595" s="21"/>
      <c r="C2595">
        <v>97.8</v>
      </c>
      <c r="D2595">
        <v>3.9</v>
      </c>
      <c r="E2595">
        <v>366</v>
      </c>
      <c r="F2595">
        <v>192</v>
      </c>
      <c r="G2595">
        <v>22</v>
      </c>
      <c r="H2595">
        <v>192</v>
      </c>
      <c r="I2595">
        <v>1.66</v>
      </c>
      <c r="J2595" s="1">
        <v>11118</v>
      </c>
    </row>
    <row r="2596" spans="1:10" ht="14.25" customHeight="1" x14ac:dyDescent="0.25">
      <c r="A2596" s="21">
        <v>17049</v>
      </c>
      <c r="B2596" s="21"/>
      <c r="C2596">
        <v>38.200000000000003</v>
      </c>
      <c r="D2596">
        <v>3.4</v>
      </c>
      <c r="E2596">
        <v>169</v>
      </c>
      <c r="F2596">
        <v>133</v>
      </c>
      <c r="G2596">
        <v>10</v>
      </c>
      <c r="H2596">
        <v>133</v>
      </c>
      <c r="I2596">
        <v>1.47</v>
      </c>
      <c r="J2596" s="1">
        <v>4592</v>
      </c>
    </row>
    <row r="2597" spans="1:10" ht="14.25" customHeight="1" x14ac:dyDescent="0.25">
      <c r="A2597" s="21">
        <v>17057</v>
      </c>
      <c r="B2597" s="21"/>
      <c r="C2597">
        <v>19.3</v>
      </c>
      <c r="D2597">
        <v>3.6</v>
      </c>
      <c r="E2597">
        <v>61</v>
      </c>
      <c r="F2597">
        <v>43</v>
      </c>
      <c r="G2597">
        <v>5</v>
      </c>
      <c r="H2597">
        <v>43</v>
      </c>
      <c r="I2597">
        <v>1.32</v>
      </c>
      <c r="J2597" s="1">
        <v>2069</v>
      </c>
    </row>
    <row r="2598" spans="1:10" ht="14.25" customHeight="1" x14ac:dyDescent="0.25">
      <c r="A2598" s="21">
        <v>17063</v>
      </c>
      <c r="B2598" s="21"/>
      <c r="C2598">
        <v>37.6</v>
      </c>
      <c r="D2598">
        <v>3.3</v>
      </c>
      <c r="E2598">
        <v>181</v>
      </c>
      <c r="F2598">
        <v>89</v>
      </c>
      <c r="G2598">
        <v>8</v>
      </c>
      <c r="H2598">
        <v>89</v>
      </c>
      <c r="I2598">
        <v>1.54</v>
      </c>
      <c r="J2598" s="1">
        <v>4547</v>
      </c>
    </row>
    <row r="2599" spans="1:10" ht="14.25" customHeight="1" x14ac:dyDescent="0.25">
      <c r="A2599" s="21">
        <v>17075</v>
      </c>
      <c r="B2599" s="21"/>
      <c r="C2599">
        <v>2.8</v>
      </c>
      <c r="D2599">
        <v>2.5</v>
      </c>
      <c r="E2599">
        <v>27</v>
      </c>
      <c r="F2599">
        <v>25</v>
      </c>
      <c r="H2599">
        <v>25</v>
      </c>
      <c r="I2599">
        <v>1.47</v>
      </c>
      <c r="J2599">
        <v>402</v>
      </c>
    </row>
    <row r="2600" spans="1:10" ht="14.25" customHeight="1" x14ac:dyDescent="0.25">
      <c r="A2600" s="21">
        <v>17077</v>
      </c>
      <c r="B2600" s="21"/>
      <c r="C2600">
        <v>96.8</v>
      </c>
      <c r="D2600">
        <v>3.6</v>
      </c>
      <c r="E2600">
        <v>272</v>
      </c>
      <c r="F2600">
        <v>167</v>
      </c>
      <c r="G2600">
        <v>21</v>
      </c>
      <c r="H2600">
        <v>154</v>
      </c>
      <c r="I2600">
        <v>1.91</v>
      </c>
      <c r="J2600" s="1">
        <v>10482</v>
      </c>
    </row>
    <row r="2601" spans="1:10" ht="14.25" customHeight="1" x14ac:dyDescent="0.25">
      <c r="A2601" s="21">
        <v>17081</v>
      </c>
      <c r="B2601" s="21"/>
      <c r="C2601">
        <v>9.1999999999999993</v>
      </c>
      <c r="D2601">
        <v>3</v>
      </c>
      <c r="E2601">
        <v>41</v>
      </c>
      <c r="F2601">
        <v>47</v>
      </c>
      <c r="G2601">
        <v>7</v>
      </c>
      <c r="H2601">
        <v>47</v>
      </c>
      <c r="I2601">
        <v>1.54</v>
      </c>
      <c r="J2601" s="1">
        <v>1115</v>
      </c>
    </row>
    <row r="2602" spans="1:10" ht="14.25" customHeight="1" x14ac:dyDescent="0.25">
      <c r="A2602" s="21">
        <v>17081</v>
      </c>
      <c r="B2602" s="21"/>
      <c r="C2602">
        <v>72.2</v>
      </c>
      <c r="D2602">
        <v>2.4</v>
      </c>
      <c r="E2602">
        <v>180</v>
      </c>
      <c r="F2602">
        <v>124</v>
      </c>
      <c r="G2602">
        <v>15</v>
      </c>
      <c r="H2602">
        <v>124</v>
      </c>
      <c r="I2602">
        <v>1.63</v>
      </c>
      <c r="J2602" s="1">
        <v>11782</v>
      </c>
    </row>
    <row r="2603" spans="1:10" ht="14.25" customHeight="1" x14ac:dyDescent="0.25">
      <c r="A2603" s="21">
        <v>17083</v>
      </c>
      <c r="B2603" s="21"/>
      <c r="C2603">
        <v>7</v>
      </c>
      <c r="D2603">
        <v>3.5</v>
      </c>
      <c r="E2603">
        <v>64</v>
      </c>
      <c r="F2603">
        <v>46</v>
      </c>
      <c r="G2603">
        <v>4</v>
      </c>
      <c r="H2603">
        <v>46</v>
      </c>
      <c r="I2603">
        <v>1.0900000000000001</v>
      </c>
      <c r="J2603">
        <v>729</v>
      </c>
    </row>
    <row r="2604" spans="1:10" ht="14.25" customHeight="1" x14ac:dyDescent="0.25">
      <c r="A2604" s="21">
        <v>17089</v>
      </c>
      <c r="B2604" s="21"/>
      <c r="C2604">
        <v>68.3</v>
      </c>
      <c r="D2604">
        <v>4.2</v>
      </c>
      <c r="E2604">
        <v>183</v>
      </c>
      <c r="F2604">
        <v>188</v>
      </c>
      <c r="G2604">
        <v>16</v>
      </c>
      <c r="H2604">
        <v>188</v>
      </c>
      <c r="I2604">
        <v>1.7</v>
      </c>
      <c r="J2604" s="1">
        <v>5994</v>
      </c>
    </row>
    <row r="2605" spans="1:10" ht="14.25" customHeight="1" x14ac:dyDescent="0.25">
      <c r="A2605" s="21">
        <v>17089</v>
      </c>
      <c r="B2605" s="21"/>
      <c r="C2605">
        <v>79.599999999999994</v>
      </c>
      <c r="D2605">
        <v>4</v>
      </c>
      <c r="E2605">
        <v>294</v>
      </c>
      <c r="F2605">
        <v>144</v>
      </c>
      <c r="G2605">
        <v>20</v>
      </c>
      <c r="H2605">
        <v>144</v>
      </c>
      <c r="I2605">
        <v>1.59</v>
      </c>
      <c r="J2605" s="1">
        <v>8388</v>
      </c>
    </row>
    <row r="2606" spans="1:10" ht="14.25" customHeight="1" x14ac:dyDescent="0.25">
      <c r="A2606" s="21">
        <v>17089</v>
      </c>
      <c r="B2606" s="21"/>
      <c r="C2606">
        <v>70.3</v>
      </c>
      <c r="D2606">
        <v>4.5</v>
      </c>
      <c r="E2606">
        <v>111</v>
      </c>
      <c r="F2606">
        <v>144</v>
      </c>
      <c r="G2606">
        <v>15</v>
      </c>
      <c r="H2606">
        <v>144</v>
      </c>
      <c r="I2606">
        <v>1.63</v>
      </c>
      <c r="J2606" s="1">
        <v>5648</v>
      </c>
    </row>
    <row r="2607" spans="1:10" ht="14.25" customHeight="1" x14ac:dyDescent="0.25">
      <c r="A2607" s="21">
        <v>17089</v>
      </c>
      <c r="B2607" s="21"/>
      <c r="C2607">
        <v>147.6</v>
      </c>
      <c r="D2607">
        <v>3.6</v>
      </c>
      <c r="E2607">
        <v>467</v>
      </c>
      <c r="F2607">
        <v>255</v>
      </c>
      <c r="G2607">
        <v>30</v>
      </c>
      <c r="H2607">
        <v>255</v>
      </c>
      <c r="I2607">
        <v>1.67</v>
      </c>
      <c r="J2607" s="1">
        <v>16813</v>
      </c>
    </row>
    <row r="2608" spans="1:10" ht="14.25" customHeight="1" x14ac:dyDescent="0.25">
      <c r="A2608" s="21">
        <v>17091</v>
      </c>
      <c r="B2608" s="21"/>
      <c r="C2608">
        <v>55.7</v>
      </c>
      <c r="D2608">
        <v>3.8</v>
      </c>
      <c r="E2608">
        <v>109</v>
      </c>
      <c r="F2608">
        <v>169</v>
      </c>
      <c r="G2608">
        <v>16</v>
      </c>
      <c r="H2608">
        <v>169</v>
      </c>
      <c r="I2608">
        <v>1.59</v>
      </c>
      <c r="J2608" s="1">
        <v>5534</v>
      </c>
    </row>
    <row r="2609" spans="1:10" ht="14.25" customHeight="1" x14ac:dyDescent="0.25">
      <c r="A2609" s="21">
        <v>17091</v>
      </c>
      <c r="B2609" s="21"/>
      <c r="C2609">
        <v>138.1</v>
      </c>
      <c r="D2609">
        <v>4.8</v>
      </c>
      <c r="E2609">
        <v>332</v>
      </c>
      <c r="F2609">
        <v>291</v>
      </c>
      <c r="G2609">
        <v>18</v>
      </c>
      <c r="H2609">
        <v>291</v>
      </c>
      <c r="I2609">
        <v>1.66</v>
      </c>
      <c r="J2609" s="1">
        <v>11035</v>
      </c>
    </row>
    <row r="2610" spans="1:10" ht="14.25" customHeight="1" x14ac:dyDescent="0.25">
      <c r="A2610" s="21">
        <v>17095</v>
      </c>
      <c r="B2610" s="21"/>
      <c r="C2610">
        <v>16.3</v>
      </c>
      <c r="D2610">
        <v>3.8</v>
      </c>
      <c r="E2610">
        <v>55</v>
      </c>
      <c r="F2610">
        <v>96</v>
      </c>
      <c r="G2610">
        <v>12</v>
      </c>
      <c r="H2610">
        <v>96</v>
      </c>
      <c r="I2610">
        <v>1.33</v>
      </c>
      <c r="J2610" s="1">
        <v>1754</v>
      </c>
    </row>
    <row r="2611" spans="1:10" ht="14.25" customHeight="1" x14ac:dyDescent="0.25">
      <c r="A2611" s="21">
        <v>17095</v>
      </c>
      <c r="B2611" s="21"/>
      <c r="C2611">
        <v>37</v>
      </c>
      <c r="D2611">
        <v>4</v>
      </c>
      <c r="E2611">
        <v>123</v>
      </c>
      <c r="F2611">
        <v>81</v>
      </c>
      <c r="G2611">
        <v>6</v>
      </c>
      <c r="H2611">
        <v>81</v>
      </c>
      <c r="I2611">
        <v>1.36</v>
      </c>
      <c r="J2611" s="1">
        <v>3561</v>
      </c>
    </row>
    <row r="2612" spans="1:10" ht="14.25" customHeight="1" x14ac:dyDescent="0.25">
      <c r="A2612" s="21">
        <v>17097</v>
      </c>
      <c r="B2612" s="21"/>
      <c r="C2612">
        <v>105.8</v>
      </c>
      <c r="D2612">
        <v>4.2</v>
      </c>
      <c r="E2612">
        <v>191</v>
      </c>
      <c r="F2612">
        <v>190</v>
      </c>
      <c r="G2612">
        <v>23</v>
      </c>
      <c r="H2612">
        <v>190</v>
      </c>
      <c r="I2612">
        <v>1.6</v>
      </c>
      <c r="J2612" s="1">
        <v>9998</v>
      </c>
    </row>
    <row r="2613" spans="1:10" ht="14.25" customHeight="1" x14ac:dyDescent="0.25">
      <c r="A2613" s="21">
        <v>17097</v>
      </c>
      <c r="B2613" s="21"/>
      <c r="C2613">
        <v>22.2</v>
      </c>
      <c r="D2613">
        <v>5.8</v>
      </c>
      <c r="E2613">
        <v>88</v>
      </c>
      <c r="F2613">
        <v>73</v>
      </c>
      <c r="G2613">
        <v>24</v>
      </c>
      <c r="H2613">
        <v>73</v>
      </c>
      <c r="I2613">
        <v>1.86</v>
      </c>
      <c r="J2613" s="1">
        <v>1395</v>
      </c>
    </row>
    <row r="2614" spans="1:10" ht="14.25" customHeight="1" x14ac:dyDescent="0.25">
      <c r="A2614" s="21">
        <v>17097</v>
      </c>
      <c r="B2614" s="21"/>
      <c r="C2614">
        <v>185.1</v>
      </c>
      <c r="D2614">
        <v>4.4000000000000004</v>
      </c>
      <c r="E2614">
        <v>435</v>
      </c>
      <c r="F2614">
        <v>273</v>
      </c>
      <c r="G2614">
        <v>17</v>
      </c>
      <c r="H2614">
        <v>273</v>
      </c>
      <c r="I2614">
        <v>1.68</v>
      </c>
      <c r="J2614" s="1">
        <v>15638</v>
      </c>
    </row>
    <row r="2615" spans="1:10" ht="14.25" customHeight="1" x14ac:dyDescent="0.25">
      <c r="A2615" s="21">
        <v>17097</v>
      </c>
      <c r="B2615" s="21"/>
      <c r="C2615">
        <v>79.8</v>
      </c>
      <c r="D2615">
        <v>3.5</v>
      </c>
      <c r="E2615">
        <v>429</v>
      </c>
      <c r="F2615">
        <v>114</v>
      </c>
      <c r="G2615">
        <v>12</v>
      </c>
      <c r="H2615">
        <v>114</v>
      </c>
      <c r="I2615">
        <v>1.6</v>
      </c>
      <c r="J2615" s="1">
        <v>9589</v>
      </c>
    </row>
    <row r="2616" spans="1:10" ht="14.25" customHeight="1" x14ac:dyDescent="0.25">
      <c r="A2616" s="21">
        <v>17097</v>
      </c>
      <c r="B2616" s="21"/>
      <c r="C2616">
        <v>103.6</v>
      </c>
      <c r="D2616">
        <v>4.0999999999999996</v>
      </c>
      <c r="E2616">
        <v>339</v>
      </c>
      <c r="F2616">
        <v>176</v>
      </c>
      <c r="G2616">
        <v>32</v>
      </c>
      <c r="H2616">
        <v>176</v>
      </c>
      <c r="I2616">
        <v>1.87</v>
      </c>
      <c r="J2616" s="1">
        <v>9712</v>
      </c>
    </row>
    <row r="2617" spans="1:10" ht="14.25" customHeight="1" x14ac:dyDescent="0.25">
      <c r="A2617" s="21">
        <v>17097</v>
      </c>
      <c r="B2617" s="21"/>
      <c r="E2617">
        <v>62</v>
      </c>
      <c r="H2617">
        <v>149</v>
      </c>
    </row>
    <row r="2618" spans="1:10" ht="14.25" customHeight="1" x14ac:dyDescent="0.25">
      <c r="A2618" s="21">
        <v>17099</v>
      </c>
      <c r="B2618" s="21"/>
      <c r="C2618">
        <v>18.600000000000001</v>
      </c>
      <c r="D2618">
        <v>3.1</v>
      </c>
      <c r="E2618">
        <v>82</v>
      </c>
      <c r="F2618">
        <v>49</v>
      </c>
      <c r="G2618">
        <v>4</v>
      </c>
      <c r="H2618">
        <v>49</v>
      </c>
      <c r="I2618">
        <v>1.38</v>
      </c>
      <c r="J2618" s="1">
        <v>2166</v>
      </c>
    </row>
    <row r="2619" spans="1:10" ht="14.25" customHeight="1" x14ac:dyDescent="0.25">
      <c r="A2619" s="21">
        <v>17099</v>
      </c>
      <c r="B2619" s="21"/>
      <c r="C2619">
        <v>30.4</v>
      </c>
      <c r="D2619">
        <v>3.5</v>
      </c>
      <c r="E2619">
        <v>147</v>
      </c>
      <c r="F2619">
        <v>90</v>
      </c>
      <c r="G2619">
        <v>5</v>
      </c>
      <c r="H2619">
        <v>90</v>
      </c>
      <c r="I2619">
        <v>1.27</v>
      </c>
      <c r="J2619" s="1">
        <v>3475</v>
      </c>
    </row>
    <row r="2620" spans="1:10" ht="14.25" customHeight="1" x14ac:dyDescent="0.25">
      <c r="A2620" s="21">
        <v>17099</v>
      </c>
      <c r="B2620" s="21"/>
      <c r="C2620">
        <v>8.6999999999999993</v>
      </c>
      <c r="D2620">
        <v>4</v>
      </c>
      <c r="J2620">
        <v>787</v>
      </c>
    </row>
    <row r="2621" spans="1:10" ht="14.25" customHeight="1" x14ac:dyDescent="0.25">
      <c r="A2621" s="21">
        <v>17103</v>
      </c>
      <c r="B2621" s="21"/>
      <c r="C2621">
        <v>21.5</v>
      </c>
      <c r="D2621">
        <v>3.3</v>
      </c>
      <c r="E2621">
        <v>135</v>
      </c>
      <c r="F2621">
        <v>66</v>
      </c>
      <c r="G2621">
        <v>6</v>
      </c>
      <c r="H2621">
        <v>66</v>
      </c>
      <c r="I2621">
        <v>1.37</v>
      </c>
      <c r="J2621" s="1">
        <v>2556</v>
      </c>
    </row>
    <row r="2622" spans="1:10" ht="14.25" customHeight="1" x14ac:dyDescent="0.25">
      <c r="A2622" s="21">
        <v>17105</v>
      </c>
      <c r="B2622" s="21"/>
      <c r="C2622">
        <v>16.399999999999999</v>
      </c>
      <c r="D2622">
        <v>3.6</v>
      </c>
      <c r="E2622">
        <v>83</v>
      </c>
      <c r="F2622">
        <v>42</v>
      </c>
      <c r="G2622">
        <v>5</v>
      </c>
      <c r="H2622">
        <v>42</v>
      </c>
      <c r="I2622">
        <v>1.38</v>
      </c>
      <c r="J2622" s="1">
        <v>1780</v>
      </c>
    </row>
    <row r="2623" spans="1:10" ht="14.25" customHeight="1" x14ac:dyDescent="0.25">
      <c r="A2623" s="21">
        <v>17109</v>
      </c>
      <c r="B2623" s="21"/>
      <c r="C2623">
        <v>14</v>
      </c>
      <c r="D2623">
        <v>4.3</v>
      </c>
      <c r="E2623">
        <v>89</v>
      </c>
      <c r="F2623">
        <v>45</v>
      </c>
      <c r="G2623">
        <v>7</v>
      </c>
      <c r="H2623">
        <v>45</v>
      </c>
      <c r="I2623">
        <v>1.24</v>
      </c>
      <c r="J2623" s="1">
        <v>1313</v>
      </c>
    </row>
    <row r="2624" spans="1:10" ht="14.25" customHeight="1" x14ac:dyDescent="0.25">
      <c r="A2624" s="21">
        <v>17111</v>
      </c>
      <c r="B2624" s="21"/>
      <c r="C2624">
        <v>198.9</v>
      </c>
      <c r="D2624">
        <v>4.3</v>
      </c>
      <c r="E2624">
        <v>452</v>
      </c>
      <c r="F2624">
        <v>296</v>
      </c>
      <c r="G2624">
        <v>30</v>
      </c>
      <c r="H2624">
        <v>296</v>
      </c>
      <c r="I2624">
        <v>1.62</v>
      </c>
      <c r="J2624" s="1">
        <v>17794</v>
      </c>
    </row>
    <row r="2625" spans="1:10" ht="14.25" customHeight="1" x14ac:dyDescent="0.25">
      <c r="A2625" s="21">
        <v>17111</v>
      </c>
      <c r="B2625" s="21"/>
      <c r="E2625">
        <v>2</v>
      </c>
      <c r="I2625">
        <v>1.1499999999999999</v>
      </c>
    </row>
    <row r="2626" spans="1:10" ht="14.25" customHeight="1" x14ac:dyDescent="0.25">
      <c r="A2626" s="21">
        <v>17111</v>
      </c>
      <c r="B2626" s="21"/>
      <c r="H2626">
        <v>128</v>
      </c>
    </row>
    <row r="2627" spans="1:10" ht="14.25" customHeight="1" x14ac:dyDescent="0.25">
      <c r="A2627" s="21">
        <v>17111</v>
      </c>
      <c r="B2627" s="21"/>
    </row>
    <row r="2628" spans="1:10" ht="14.25" customHeight="1" x14ac:dyDescent="0.25">
      <c r="A2628" s="21">
        <v>17111</v>
      </c>
      <c r="B2628" s="21"/>
    </row>
    <row r="2629" spans="1:10" ht="14.25" customHeight="1" x14ac:dyDescent="0.25">
      <c r="A2629" s="21">
        <v>17113</v>
      </c>
      <c r="B2629" s="21"/>
      <c r="C2629">
        <v>77.3</v>
      </c>
      <c r="D2629">
        <v>4.2</v>
      </c>
      <c r="E2629">
        <v>292</v>
      </c>
      <c r="F2629">
        <v>137</v>
      </c>
      <c r="H2629">
        <v>137</v>
      </c>
      <c r="I2629">
        <v>1.57</v>
      </c>
      <c r="J2629" s="1">
        <v>7154</v>
      </c>
    </row>
    <row r="2630" spans="1:10" ht="14.25" customHeight="1" x14ac:dyDescent="0.25">
      <c r="A2630" s="21">
        <v>17113</v>
      </c>
      <c r="B2630" s="21"/>
      <c r="C2630">
        <v>77.099999999999994</v>
      </c>
      <c r="D2630">
        <v>3.9</v>
      </c>
      <c r="E2630">
        <v>237</v>
      </c>
      <c r="F2630">
        <v>206</v>
      </c>
      <c r="G2630">
        <v>30</v>
      </c>
      <c r="H2630">
        <v>206</v>
      </c>
      <c r="I2630">
        <v>1.69</v>
      </c>
      <c r="J2630" s="1">
        <v>8164</v>
      </c>
    </row>
    <row r="2631" spans="1:10" ht="14.25" customHeight="1" x14ac:dyDescent="0.25">
      <c r="A2631" s="21">
        <v>17115</v>
      </c>
      <c r="B2631" s="21"/>
      <c r="C2631">
        <v>97.9</v>
      </c>
      <c r="D2631">
        <v>4.4000000000000004</v>
      </c>
      <c r="E2631">
        <v>326</v>
      </c>
      <c r="F2631">
        <v>202</v>
      </c>
      <c r="G2631">
        <v>22</v>
      </c>
      <c r="H2631">
        <v>202</v>
      </c>
      <c r="I2631">
        <v>1.67</v>
      </c>
      <c r="J2631" s="1">
        <v>8493</v>
      </c>
    </row>
    <row r="2632" spans="1:10" ht="14.25" customHeight="1" x14ac:dyDescent="0.25">
      <c r="A2632" s="21">
        <v>17115</v>
      </c>
      <c r="B2632" s="21"/>
      <c r="C2632">
        <v>60.7</v>
      </c>
      <c r="D2632">
        <v>4.2</v>
      </c>
      <c r="E2632">
        <v>177</v>
      </c>
      <c r="F2632">
        <v>131</v>
      </c>
      <c r="G2632">
        <v>13</v>
      </c>
      <c r="H2632">
        <v>244</v>
      </c>
      <c r="I2632">
        <v>1.53</v>
      </c>
      <c r="J2632" s="1">
        <v>5585</v>
      </c>
    </row>
    <row r="2633" spans="1:10" ht="14.25" customHeight="1" x14ac:dyDescent="0.25">
      <c r="A2633" s="21">
        <v>17119</v>
      </c>
      <c r="B2633" s="21"/>
      <c r="C2633">
        <v>66.099999999999994</v>
      </c>
      <c r="D2633">
        <v>3.9</v>
      </c>
      <c r="E2633">
        <v>226</v>
      </c>
      <c r="F2633">
        <v>130</v>
      </c>
      <c r="G2633">
        <v>24</v>
      </c>
      <c r="H2633">
        <v>130</v>
      </c>
      <c r="I2633">
        <v>1.4</v>
      </c>
      <c r="J2633" s="1">
        <v>6932</v>
      </c>
    </row>
    <row r="2634" spans="1:10" ht="14.25" customHeight="1" x14ac:dyDescent="0.25">
      <c r="A2634" s="21">
        <v>17119</v>
      </c>
      <c r="B2634" s="21"/>
      <c r="C2634">
        <v>78.5</v>
      </c>
      <c r="D2634">
        <v>4.5999999999999996</v>
      </c>
      <c r="E2634">
        <v>125</v>
      </c>
      <c r="F2634">
        <v>288</v>
      </c>
      <c r="G2634">
        <v>12</v>
      </c>
      <c r="H2634">
        <v>288</v>
      </c>
      <c r="I2634">
        <v>1.29</v>
      </c>
      <c r="J2634" s="1">
        <v>6417</v>
      </c>
    </row>
    <row r="2635" spans="1:10" ht="14.25" customHeight="1" x14ac:dyDescent="0.25">
      <c r="A2635" s="21">
        <v>17119</v>
      </c>
      <c r="B2635" s="21"/>
      <c r="C2635">
        <v>25.6</v>
      </c>
      <c r="D2635">
        <v>3.8</v>
      </c>
      <c r="E2635">
        <v>107</v>
      </c>
      <c r="F2635">
        <v>49</v>
      </c>
      <c r="G2635">
        <v>11</v>
      </c>
      <c r="H2635">
        <v>49</v>
      </c>
      <c r="I2635">
        <v>1.64</v>
      </c>
      <c r="J2635" s="1">
        <v>2435</v>
      </c>
    </row>
    <row r="2636" spans="1:10" ht="14.25" customHeight="1" x14ac:dyDescent="0.25">
      <c r="A2636" s="21">
        <v>17119</v>
      </c>
      <c r="B2636" s="21"/>
      <c r="C2636">
        <v>66</v>
      </c>
      <c r="D2636">
        <v>3.3</v>
      </c>
      <c r="E2636">
        <v>129</v>
      </c>
      <c r="F2636">
        <v>132</v>
      </c>
      <c r="G2636">
        <v>12</v>
      </c>
      <c r="H2636">
        <v>132</v>
      </c>
      <c r="I2636">
        <v>1.45</v>
      </c>
      <c r="J2636" s="1">
        <v>7386</v>
      </c>
    </row>
    <row r="2637" spans="1:10" ht="14.25" customHeight="1" x14ac:dyDescent="0.25">
      <c r="A2637" s="21">
        <v>17119</v>
      </c>
      <c r="B2637" s="21"/>
    </row>
    <row r="2638" spans="1:10" ht="14.25" customHeight="1" x14ac:dyDescent="0.25">
      <c r="A2638" s="21">
        <v>17121</v>
      </c>
      <c r="B2638" s="21"/>
      <c r="C2638">
        <v>37.700000000000003</v>
      </c>
      <c r="D2638">
        <v>3.2</v>
      </c>
      <c r="E2638">
        <v>103</v>
      </c>
      <c r="F2638">
        <v>82</v>
      </c>
      <c r="G2638">
        <v>9</v>
      </c>
      <c r="H2638">
        <v>82</v>
      </c>
      <c r="I2638">
        <v>1.3</v>
      </c>
      <c r="J2638" s="1">
        <v>4423</v>
      </c>
    </row>
    <row r="2639" spans="1:10" ht="14.25" customHeight="1" x14ac:dyDescent="0.25">
      <c r="A2639" s="21">
        <v>17137</v>
      </c>
      <c r="B2639" s="21"/>
      <c r="C2639">
        <v>24.1</v>
      </c>
      <c r="D2639">
        <v>3.4</v>
      </c>
      <c r="E2639">
        <v>117</v>
      </c>
      <c r="F2639">
        <v>102</v>
      </c>
      <c r="G2639">
        <v>9</v>
      </c>
      <c r="H2639">
        <v>102</v>
      </c>
      <c r="I2639">
        <v>1.38</v>
      </c>
      <c r="J2639" s="1">
        <v>2782</v>
      </c>
    </row>
    <row r="2640" spans="1:10" ht="14.25" customHeight="1" x14ac:dyDescent="0.25">
      <c r="A2640" s="21">
        <v>17143</v>
      </c>
      <c r="B2640" s="21"/>
      <c r="C2640">
        <v>126.8</v>
      </c>
      <c r="D2640">
        <v>4</v>
      </c>
      <c r="E2640">
        <v>654</v>
      </c>
      <c r="F2640">
        <v>198</v>
      </c>
      <c r="G2640">
        <v>12</v>
      </c>
      <c r="H2640">
        <v>198</v>
      </c>
      <c r="I2640">
        <v>1.78</v>
      </c>
      <c r="J2640" s="1">
        <v>12396</v>
      </c>
    </row>
    <row r="2641" spans="1:10" ht="14.25" customHeight="1" x14ac:dyDescent="0.25">
      <c r="A2641" s="21">
        <v>17143</v>
      </c>
      <c r="B2641" s="21"/>
      <c r="C2641">
        <v>484.1</v>
      </c>
      <c r="D2641">
        <v>5.5</v>
      </c>
      <c r="E2641" s="1">
        <v>1138</v>
      </c>
      <c r="F2641">
        <v>629</v>
      </c>
      <c r="G2641">
        <v>67</v>
      </c>
      <c r="H2641">
        <v>629</v>
      </c>
      <c r="I2641">
        <v>1.94</v>
      </c>
      <c r="J2641" s="1">
        <v>32739</v>
      </c>
    </row>
    <row r="2642" spans="1:10" ht="14.25" customHeight="1" x14ac:dyDescent="0.25">
      <c r="A2642" s="21">
        <v>17143</v>
      </c>
      <c r="B2642" s="21"/>
      <c r="C2642">
        <v>37.6</v>
      </c>
      <c r="D2642">
        <v>4</v>
      </c>
      <c r="E2642">
        <v>87</v>
      </c>
      <c r="F2642">
        <v>109</v>
      </c>
      <c r="G2642">
        <v>16</v>
      </c>
      <c r="H2642">
        <v>109</v>
      </c>
      <c r="I2642">
        <v>1.49</v>
      </c>
      <c r="J2642" s="1">
        <v>3467</v>
      </c>
    </row>
    <row r="2643" spans="1:10" ht="14.25" customHeight="1" x14ac:dyDescent="0.25">
      <c r="A2643" s="21">
        <v>17157</v>
      </c>
      <c r="B2643" s="21"/>
      <c r="H2643">
        <v>96</v>
      </c>
    </row>
    <row r="2644" spans="1:10" ht="14.25" customHeight="1" x14ac:dyDescent="0.25">
      <c r="A2644" s="21">
        <v>17159</v>
      </c>
      <c r="B2644" s="21"/>
      <c r="C2644">
        <v>12.6</v>
      </c>
      <c r="D2644">
        <v>5.2</v>
      </c>
      <c r="E2644">
        <v>60</v>
      </c>
      <c r="F2644">
        <v>47</v>
      </c>
      <c r="G2644">
        <v>8</v>
      </c>
      <c r="H2644">
        <v>47</v>
      </c>
      <c r="I2644">
        <v>1.28</v>
      </c>
      <c r="J2644">
        <v>958</v>
      </c>
    </row>
    <row r="2645" spans="1:10" ht="14.25" customHeight="1" x14ac:dyDescent="0.25">
      <c r="A2645" s="21">
        <v>17161</v>
      </c>
      <c r="B2645" s="21"/>
      <c r="C2645">
        <v>25.4</v>
      </c>
      <c r="D2645">
        <v>3</v>
      </c>
      <c r="E2645">
        <v>183</v>
      </c>
      <c r="F2645">
        <v>145</v>
      </c>
      <c r="G2645">
        <v>7</v>
      </c>
      <c r="H2645">
        <v>145</v>
      </c>
      <c r="I2645">
        <v>1.49</v>
      </c>
      <c r="J2645" s="1">
        <v>3316</v>
      </c>
    </row>
    <row r="2646" spans="1:10" ht="14.25" customHeight="1" x14ac:dyDescent="0.25">
      <c r="A2646" s="21">
        <v>17161</v>
      </c>
      <c r="B2646" s="21"/>
      <c r="C2646">
        <v>135.6</v>
      </c>
      <c r="D2646">
        <v>4.0999999999999996</v>
      </c>
      <c r="E2646">
        <v>365</v>
      </c>
      <c r="F2646">
        <v>297</v>
      </c>
      <c r="G2646">
        <v>20</v>
      </c>
      <c r="H2646">
        <v>297</v>
      </c>
      <c r="I2646">
        <v>1.75</v>
      </c>
      <c r="J2646" s="1">
        <v>12672</v>
      </c>
    </row>
    <row r="2647" spans="1:10" ht="14.25" customHeight="1" x14ac:dyDescent="0.25">
      <c r="A2647" s="21">
        <v>17161</v>
      </c>
      <c r="B2647" s="21"/>
      <c r="H2647">
        <v>38</v>
      </c>
    </row>
    <row r="2648" spans="1:10" ht="14.25" customHeight="1" x14ac:dyDescent="0.25">
      <c r="A2648" s="21">
        <v>17163</v>
      </c>
      <c r="B2648" s="21"/>
      <c r="C2648">
        <v>134.4</v>
      </c>
      <c r="D2648">
        <v>4.3</v>
      </c>
      <c r="E2648">
        <v>338</v>
      </c>
      <c r="F2648">
        <v>212</v>
      </c>
      <c r="G2648">
        <v>20</v>
      </c>
      <c r="H2648">
        <v>212</v>
      </c>
      <c r="I2648">
        <v>1.68</v>
      </c>
      <c r="J2648" s="1">
        <v>11788</v>
      </c>
    </row>
    <row r="2649" spans="1:10" ht="14.25" customHeight="1" x14ac:dyDescent="0.25">
      <c r="A2649" s="21">
        <v>17163</v>
      </c>
      <c r="B2649" s="21"/>
      <c r="C2649">
        <v>96.1</v>
      </c>
      <c r="D2649">
        <v>3.7</v>
      </c>
      <c r="E2649">
        <v>289</v>
      </c>
      <c r="F2649">
        <v>128</v>
      </c>
      <c r="G2649">
        <v>16</v>
      </c>
      <c r="H2649">
        <v>128</v>
      </c>
      <c r="I2649">
        <v>1.8</v>
      </c>
      <c r="J2649" s="1">
        <v>9930</v>
      </c>
    </row>
    <row r="2650" spans="1:10" ht="14.25" customHeight="1" x14ac:dyDescent="0.25">
      <c r="A2650" s="21">
        <v>17163</v>
      </c>
      <c r="B2650" s="21"/>
      <c r="C2650">
        <v>26.9</v>
      </c>
      <c r="D2650">
        <v>3.9</v>
      </c>
      <c r="E2650">
        <v>60</v>
      </c>
      <c r="F2650">
        <v>122</v>
      </c>
      <c r="H2650">
        <v>122</v>
      </c>
      <c r="I2650">
        <v>1.08</v>
      </c>
      <c r="J2650" s="1">
        <v>2533</v>
      </c>
    </row>
    <row r="2651" spans="1:10" ht="14.25" customHeight="1" x14ac:dyDescent="0.25">
      <c r="A2651" s="21">
        <v>17163</v>
      </c>
      <c r="B2651" s="21"/>
      <c r="C2651">
        <v>14.4</v>
      </c>
      <c r="D2651">
        <v>4.8</v>
      </c>
      <c r="J2651" s="1">
        <v>1096</v>
      </c>
    </row>
    <row r="2652" spans="1:10" ht="14.25" customHeight="1" x14ac:dyDescent="0.25">
      <c r="A2652" s="21">
        <v>17163</v>
      </c>
      <c r="B2652" s="21"/>
      <c r="C2652">
        <v>40.700000000000003</v>
      </c>
      <c r="D2652">
        <v>3.3</v>
      </c>
      <c r="E2652">
        <v>89</v>
      </c>
      <c r="F2652">
        <v>94</v>
      </c>
      <c r="G2652">
        <v>6</v>
      </c>
      <c r="H2652">
        <v>94</v>
      </c>
      <c r="I2652">
        <v>1.41</v>
      </c>
      <c r="J2652" s="1">
        <v>5410</v>
      </c>
    </row>
    <row r="2653" spans="1:10" ht="14.25" customHeight="1" x14ac:dyDescent="0.25">
      <c r="A2653" s="21">
        <v>17165</v>
      </c>
      <c r="B2653" s="21"/>
      <c r="C2653">
        <v>13.2</v>
      </c>
      <c r="D2653">
        <v>3.1</v>
      </c>
      <c r="E2653">
        <v>66</v>
      </c>
      <c r="F2653">
        <v>40</v>
      </c>
      <c r="H2653">
        <v>40</v>
      </c>
      <c r="I2653">
        <v>1.18</v>
      </c>
      <c r="J2653" s="1">
        <v>1547</v>
      </c>
    </row>
    <row r="2654" spans="1:10" ht="14.25" customHeight="1" x14ac:dyDescent="0.25">
      <c r="A2654" s="21">
        <v>17167</v>
      </c>
      <c r="B2654" s="21"/>
      <c r="C2654">
        <v>263.5</v>
      </c>
      <c r="D2654">
        <v>5.4</v>
      </c>
      <c r="E2654">
        <v>507</v>
      </c>
      <c r="F2654">
        <v>369</v>
      </c>
      <c r="G2654">
        <v>45</v>
      </c>
      <c r="H2654">
        <v>369</v>
      </c>
      <c r="I2654">
        <v>2.1</v>
      </c>
      <c r="J2654" s="1">
        <v>18322</v>
      </c>
    </row>
    <row r="2655" spans="1:10" ht="14.25" customHeight="1" x14ac:dyDescent="0.25">
      <c r="A2655" s="21">
        <v>17167</v>
      </c>
      <c r="B2655" s="21"/>
      <c r="C2655">
        <v>284.5</v>
      </c>
      <c r="D2655">
        <v>4.9000000000000004</v>
      </c>
      <c r="E2655">
        <v>963</v>
      </c>
      <c r="F2655">
        <v>390</v>
      </c>
      <c r="G2655">
        <v>38</v>
      </c>
      <c r="H2655">
        <v>390</v>
      </c>
      <c r="I2655">
        <v>1.78</v>
      </c>
      <c r="J2655" s="1">
        <v>21681</v>
      </c>
    </row>
    <row r="2656" spans="1:10" ht="14.25" customHeight="1" x14ac:dyDescent="0.25">
      <c r="A2656" s="21">
        <v>17173</v>
      </c>
      <c r="B2656" s="21"/>
      <c r="C2656">
        <v>3.8</v>
      </c>
      <c r="D2656">
        <v>3.7</v>
      </c>
      <c r="E2656">
        <v>32</v>
      </c>
      <c r="F2656">
        <v>30</v>
      </c>
      <c r="H2656">
        <v>30</v>
      </c>
      <c r="I2656">
        <v>1.1200000000000001</v>
      </c>
      <c r="J2656">
        <v>371</v>
      </c>
    </row>
    <row r="2657" spans="1:10" ht="14.25" customHeight="1" x14ac:dyDescent="0.25">
      <c r="A2657" s="21">
        <v>17177</v>
      </c>
      <c r="B2657" s="21"/>
      <c r="C2657">
        <v>37.4</v>
      </c>
      <c r="D2657">
        <v>3.7</v>
      </c>
      <c r="E2657">
        <v>153</v>
      </c>
      <c r="F2657">
        <v>100</v>
      </c>
      <c r="G2657">
        <v>8</v>
      </c>
      <c r="H2657">
        <v>100</v>
      </c>
      <c r="I2657">
        <v>1.39</v>
      </c>
      <c r="J2657" s="1">
        <v>3830</v>
      </c>
    </row>
    <row r="2658" spans="1:10" ht="14.25" customHeight="1" x14ac:dyDescent="0.25">
      <c r="A2658" s="21">
        <v>17179</v>
      </c>
      <c r="B2658" s="21"/>
      <c r="C2658">
        <v>22.8</v>
      </c>
      <c r="D2658">
        <v>3.1</v>
      </c>
      <c r="E2658">
        <v>364</v>
      </c>
      <c r="F2658">
        <v>107</v>
      </c>
      <c r="G2658">
        <v>8</v>
      </c>
      <c r="H2658">
        <v>107</v>
      </c>
      <c r="I2658">
        <v>1.52</v>
      </c>
      <c r="J2658" s="1">
        <v>2825</v>
      </c>
    </row>
    <row r="2659" spans="1:10" ht="14.25" customHeight="1" x14ac:dyDescent="0.25">
      <c r="A2659" s="21">
        <v>17183</v>
      </c>
      <c r="B2659" s="21"/>
      <c r="C2659">
        <v>45.1</v>
      </c>
      <c r="D2659">
        <v>3.1</v>
      </c>
      <c r="E2659">
        <v>106</v>
      </c>
      <c r="F2659">
        <v>174</v>
      </c>
      <c r="G2659">
        <v>14</v>
      </c>
      <c r="H2659">
        <v>174</v>
      </c>
      <c r="I2659">
        <v>1.19</v>
      </c>
      <c r="J2659" s="1">
        <v>5572</v>
      </c>
    </row>
    <row r="2660" spans="1:10" ht="14.25" customHeight="1" x14ac:dyDescent="0.25">
      <c r="A2660" s="21">
        <v>17195</v>
      </c>
      <c r="B2660" s="21"/>
      <c r="C2660">
        <v>35.4</v>
      </c>
      <c r="D2660">
        <v>3.5</v>
      </c>
      <c r="E2660">
        <v>174</v>
      </c>
      <c r="F2660">
        <v>96</v>
      </c>
      <c r="G2660">
        <v>9</v>
      </c>
      <c r="H2660">
        <v>96</v>
      </c>
      <c r="I2660">
        <v>1.5</v>
      </c>
      <c r="J2660" s="1">
        <v>3944</v>
      </c>
    </row>
    <row r="2661" spans="1:10" ht="14.25" customHeight="1" x14ac:dyDescent="0.25">
      <c r="A2661" s="21">
        <v>17197</v>
      </c>
      <c r="B2661" s="21"/>
      <c r="C2661">
        <v>172.7</v>
      </c>
      <c r="D2661">
        <v>4</v>
      </c>
      <c r="E2661">
        <v>366</v>
      </c>
      <c r="F2661">
        <v>383</v>
      </c>
      <c r="G2661">
        <v>33</v>
      </c>
      <c r="H2661">
        <v>383</v>
      </c>
      <c r="I2661">
        <v>1.63</v>
      </c>
      <c r="J2661" s="1">
        <v>18048</v>
      </c>
    </row>
    <row r="2662" spans="1:10" ht="14.25" customHeight="1" x14ac:dyDescent="0.25">
      <c r="A2662" s="21">
        <v>17197</v>
      </c>
      <c r="B2662" s="21"/>
      <c r="C2662">
        <v>52.8</v>
      </c>
      <c r="D2662">
        <v>3.8</v>
      </c>
      <c r="E2662">
        <v>118</v>
      </c>
      <c r="F2662">
        <v>110</v>
      </c>
      <c r="G2662">
        <v>12</v>
      </c>
      <c r="H2662">
        <v>110</v>
      </c>
      <c r="I2662">
        <v>1.41</v>
      </c>
      <c r="J2662" s="1">
        <v>5794</v>
      </c>
    </row>
    <row r="2663" spans="1:10" ht="14.25" customHeight="1" x14ac:dyDescent="0.25">
      <c r="A2663" s="21">
        <v>17197</v>
      </c>
      <c r="B2663" s="21"/>
      <c r="C2663">
        <v>183.7</v>
      </c>
      <c r="D2663">
        <v>3.8</v>
      </c>
      <c r="E2663">
        <v>386</v>
      </c>
      <c r="F2663">
        <v>259</v>
      </c>
      <c r="G2663">
        <v>30</v>
      </c>
      <c r="H2663">
        <v>259</v>
      </c>
      <c r="I2663">
        <v>1.5</v>
      </c>
      <c r="J2663" s="1">
        <v>19341</v>
      </c>
    </row>
    <row r="2664" spans="1:10" ht="14.25" customHeight="1" x14ac:dyDescent="0.25">
      <c r="A2664" s="21">
        <v>17199</v>
      </c>
      <c r="B2664" s="21"/>
      <c r="C2664">
        <v>26.9</v>
      </c>
      <c r="D2664">
        <v>2.9</v>
      </c>
      <c r="E2664">
        <v>85</v>
      </c>
      <c r="F2664">
        <v>94</v>
      </c>
      <c r="G2664">
        <v>18</v>
      </c>
      <c r="H2664">
        <v>94</v>
      </c>
      <c r="I2664">
        <v>1.78</v>
      </c>
      <c r="J2664" s="1">
        <v>3820</v>
      </c>
    </row>
    <row r="2665" spans="1:10" ht="14.25" customHeight="1" x14ac:dyDescent="0.25">
      <c r="A2665" s="21">
        <v>17199</v>
      </c>
      <c r="B2665" s="21"/>
      <c r="C2665">
        <v>58.6</v>
      </c>
      <c r="D2665">
        <v>3.5</v>
      </c>
      <c r="E2665">
        <v>212</v>
      </c>
      <c r="F2665">
        <v>85</v>
      </c>
      <c r="G2665">
        <v>8</v>
      </c>
      <c r="H2665">
        <v>85</v>
      </c>
      <c r="I2665">
        <v>1.45</v>
      </c>
      <c r="J2665" s="1">
        <v>6147</v>
      </c>
    </row>
    <row r="2666" spans="1:10" ht="14.25" customHeight="1" x14ac:dyDescent="0.25">
      <c r="A2666" s="21">
        <v>17201</v>
      </c>
      <c r="B2666" s="21"/>
      <c r="C2666">
        <v>170.9</v>
      </c>
      <c r="D2666">
        <v>5.4</v>
      </c>
      <c r="E2666">
        <v>425</v>
      </c>
      <c r="F2666">
        <v>278</v>
      </c>
      <c r="G2666">
        <v>22</v>
      </c>
      <c r="H2666">
        <v>278</v>
      </c>
      <c r="I2666">
        <v>1.62</v>
      </c>
      <c r="J2666" s="1">
        <v>12629</v>
      </c>
    </row>
    <row r="2667" spans="1:10" ht="14.25" customHeight="1" x14ac:dyDescent="0.25">
      <c r="A2667" s="21">
        <v>17201</v>
      </c>
      <c r="B2667" s="21"/>
      <c r="C2667">
        <v>136.9</v>
      </c>
      <c r="D2667">
        <v>4.7</v>
      </c>
      <c r="E2667">
        <v>376</v>
      </c>
      <c r="F2667">
        <v>241</v>
      </c>
      <c r="G2667">
        <v>38</v>
      </c>
      <c r="H2667">
        <v>241</v>
      </c>
      <c r="I2667">
        <v>1.77</v>
      </c>
      <c r="J2667" s="1">
        <v>10791</v>
      </c>
    </row>
    <row r="2668" spans="1:10" ht="14.25" customHeight="1" x14ac:dyDescent="0.25">
      <c r="A2668" s="21">
        <v>17201</v>
      </c>
      <c r="B2668" s="21"/>
      <c r="C2668">
        <v>136.9</v>
      </c>
      <c r="D2668">
        <v>4</v>
      </c>
      <c r="E2668">
        <v>430</v>
      </c>
      <c r="F2668">
        <v>293</v>
      </c>
      <c r="G2668">
        <v>30</v>
      </c>
      <c r="H2668">
        <v>293</v>
      </c>
      <c r="I2668">
        <v>1.62</v>
      </c>
      <c r="J2668" s="1">
        <v>13441</v>
      </c>
    </row>
    <row r="2669" spans="1:10" ht="14.25" customHeight="1" x14ac:dyDescent="0.25">
      <c r="A2669" s="21">
        <v>17201</v>
      </c>
      <c r="B2669" s="21"/>
      <c r="H2669">
        <v>52</v>
      </c>
    </row>
    <row r="2670" spans="1:10" ht="14.25" customHeight="1" x14ac:dyDescent="0.25">
      <c r="A2670" s="21">
        <v>18003</v>
      </c>
      <c r="B2670" s="21"/>
      <c r="C2670">
        <v>44.6</v>
      </c>
      <c r="D2670">
        <v>4.5</v>
      </c>
      <c r="E2670">
        <v>81</v>
      </c>
      <c r="F2670">
        <v>131</v>
      </c>
      <c r="G2670">
        <v>10</v>
      </c>
      <c r="H2670">
        <v>131</v>
      </c>
      <c r="I2670">
        <v>1.56</v>
      </c>
      <c r="J2670" s="1">
        <v>4488</v>
      </c>
    </row>
    <row r="2671" spans="1:10" ht="14.25" customHeight="1" x14ac:dyDescent="0.25">
      <c r="A2671" s="21">
        <v>18003</v>
      </c>
      <c r="B2671" s="21"/>
      <c r="C2671">
        <v>14.8</v>
      </c>
      <c r="D2671">
        <v>1.8</v>
      </c>
      <c r="E2671">
        <v>66</v>
      </c>
      <c r="F2671">
        <v>37</v>
      </c>
      <c r="H2671">
        <v>37</v>
      </c>
      <c r="I2671">
        <v>2.57</v>
      </c>
      <c r="J2671" s="1">
        <v>2962</v>
      </c>
    </row>
    <row r="2672" spans="1:10" ht="14.25" customHeight="1" x14ac:dyDescent="0.25">
      <c r="A2672" s="21">
        <v>18003</v>
      </c>
      <c r="B2672" s="21"/>
      <c r="C2672">
        <v>14.9</v>
      </c>
      <c r="D2672">
        <v>2.2999999999999998</v>
      </c>
      <c r="E2672">
        <v>55</v>
      </c>
      <c r="F2672">
        <v>39</v>
      </c>
      <c r="H2672">
        <v>39</v>
      </c>
      <c r="I2672">
        <v>2.52</v>
      </c>
      <c r="J2672" s="1">
        <v>2392</v>
      </c>
    </row>
    <row r="2673" spans="1:10" ht="14.25" customHeight="1" x14ac:dyDescent="0.25">
      <c r="A2673" s="21">
        <v>18003</v>
      </c>
      <c r="B2673" s="21"/>
      <c r="C2673">
        <v>267.89999999999998</v>
      </c>
      <c r="D2673">
        <v>4.8</v>
      </c>
      <c r="E2673">
        <v>427</v>
      </c>
      <c r="F2673">
        <v>396</v>
      </c>
      <c r="H2673">
        <v>396</v>
      </c>
      <c r="I2673">
        <v>2.08</v>
      </c>
      <c r="J2673" s="1">
        <v>21010</v>
      </c>
    </row>
    <row r="2674" spans="1:10" ht="14.25" customHeight="1" x14ac:dyDescent="0.25">
      <c r="A2674" s="21">
        <v>18003</v>
      </c>
      <c r="B2674" s="21"/>
      <c r="C2674">
        <v>416.5</v>
      </c>
      <c r="D2674">
        <v>4.7</v>
      </c>
      <c r="E2674" s="1">
        <v>1019</v>
      </c>
      <c r="F2674">
        <v>566</v>
      </c>
      <c r="G2674">
        <v>124</v>
      </c>
      <c r="H2674">
        <v>542</v>
      </c>
      <c r="I2674">
        <v>1.68</v>
      </c>
      <c r="J2674" s="1">
        <v>33427</v>
      </c>
    </row>
    <row r="2675" spans="1:10" ht="14.25" customHeight="1" x14ac:dyDescent="0.25">
      <c r="A2675" s="21">
        <v>18003</v>
      </c>
      <c r="B2675" s="21"/>
      <c r="C2675">
        <v>38.4</v>
      </c>
      <c r="D2675">
        <v>4.3</v>
      </c>
      <c r="E2675">
        <v>75</v>
      </c>
      <c r="F2675">
        <v>88</v>
      </c>
      <c r="H2675">
        <v>88</v>
      </c>
      <c r="I2675">
        <v>1.52</v>
      </c>
      <c r="J2675" s="1">
        <v>3901</v>
      </c>
    </row>
    <row r="2676" spans="1:10" ht="14.25" customHeight="1" x14ac:dyDescent="0.25">
      <c r="A2676" s="21">
        <v>18003</v>
      </c>
      <c r="B2676" s="21"/>
      <c r="H2676">
        <v>73</v>
      </c>
    </row>
    <row r="2677" spans="1:10" ht="14.25" customHeight="1" x14ac:dyDescent="0.25">
      <c r="A2677" s="21">
        <v>18003</v>
      </c>
      <c r="B2677" s="21"/>
      <c r="E2677">
        <v>4</v>
      </c>
      <c r="H2677">
        <v>150</v>
      </c>
    </row>
    <row r="2678" spans="1:10" ht="14.25" customHeight="1" x14ac:dyDescent="0.25">
      <c r="A2678" s="21">
        <v>18005</v>
      </c>
      <c r="B2678" s="21"/>
      <c r="C2678">
        <v>83.4</v>
      </c>
      <c r="D2678">
        <v>3.7</v>
      </c>
      <c r="E2678">
        <v>311</v>
      </c>
      <c r="F2678">
        <v>211</v>
      </c>
      <c r="G2678">
        <v>17</v>
      </c>
      <c r="H2678">
        <v>225</v>
      </c>
      <c r="I2678">
        <v>1.56</v>
      </c>
      <c r="J2678" s="1">
        <v>9158</v>
      </c>
    </row>
    <row r="2679" spans="1:10" ht="14.25" customHeight="1" x14ac:dyDescent="0.25">
      <c r="A2679" s="21">
        <v>18011</v>
      </c>
      <c r="B2679" s="21"/>
      <c r="C2679">
        <v>19.8</v>
      </c>
      <c r="D2679">
        <v>3.6</v>
      </c>
      <c r="E2679">
        <v>181</v>
      </c>
      <c r="F2679">
        <v>68</v>
      </c>
      <c r="G2679">
        <v>8</v>
      </c>
      <c r="H2679">
        <v>68</v>
      </c>
      <c r="I2679">
        <v>1.35</v>
      </c>
      <c r="J2679" s="1">
        <v>2316</v>
      </c>
    </row>
    <row r="2680" spans="1:10" ht="14.25" customHeight="1" x14ac:dyDescent="0.25">
      <c r="A2680" s="21">
        <v>18017</v>
      </c>
      <c r="B2680" s="21"/>
      <c r="C2680">
        <v>12.5</v>
      </c>
      <c r="D2680">
        <v>3.2</v>
      </c>
      <c r="E2680">
        <v>88</v>
      </c>
      <c r="F2680">
        <v>44</v>
      </c>
      <c r="G2680">
        <v>5</v>
      </c>
      <c r="H2680">
        <v>44</v>
      </c>
      <c r="I2680">
        <v>1.24</v>
      </c>
      <c r="J2680" s="1">
        <v>1659</v>
      </c>
    </row>
    <row r="2681" spans="1:10" ht="14.25" customHeight="1" x14ac:dyDescent="0.25">
      <c r="A2681" s="21">
        <v>18019</v>
      </c>
      <c r="B2681" s="21"/>
      <c r="C2681">
        <v>2.9</v>
      </c>
      <c r="D2681">
        <v>3.2</v>
      </c>
      <c r="J2681">
        <v>332</v>
      </c>
    </row>
    <row r="2682" spans="1:10" ht="14.25" customHeight="1" x14ac:dyDescent="0.25">
      <c r="A2682" s="21">
        <v>18019</v>
      </c>
      <c r="B2682" s="21"/>
      <c r="C2682">
        <v>13.5</v>
      </c>
      <c r="D2682">
        <v>5.7</v>
      </c>
      <c r="I2682">
        <v>2.33</v>
      </c>
      <c r="J2682">
        <v>861</v>
      </c>
    </row>
    <row r="2683" spans="1:10" ht="14.25" customHeight="1" x14ac:dyDescent="0.25">
      <c r="A2683" s="21">
        <v>18019</v>
      </c>
      <c r="B2683" s="21"/>
      <c r="C2683">
        <v>94.8</v>
      </c>
      <c r="D2683">
        <v>3.3</v>
      </c>
      <c r="E2683">
        <v>196</v>
      </c>
      <c r="F2683">
        <v>153</v>
      </c>
      <c r="G2683">
        <v>22</v>
      </c>
      <c r="H2683">
        <v>153</v>
      </c>
      <c r="I2683">
        <v>1.56</v>
      </c>
      <c r="J2683" s="1">
        <v>11158</v>
      </c>
    </row>
    <row r="2684" spans="1:10" ht="14.25" customHeight="1" x14ac:dyDescent="0.25">
      <c r="A2684" s="21">
        <v>18019</v>
      </c>
      <c r="B2684" s="21"/>
    </row>
    <row r="2685" spans="1:10" ht="14.25" customHeight="1" x14ac:dyDescent="0.25">
      <c r="A2685" s="21">
        <v>18027</v>
      </c>
      <c r="B2685" s="21"/>
      <c r="C2685">
        <v>11.4</v>
      </c>
      <c r="D2685">
        <v>3.4</v>
      </c>
      <c r="E2685">
        <v>64</v>
      </c>
      <c r="F2685">
        <v>42</v>
      </c>
      <c r="G2685">
        <v>5</v>
      </c>
      <c r="H2685">
        <v>42</v>
      </c>
      <c r="I2685">
        <v>1.21</v>
      </c>
      <c r="J2685" s="1">
        <v>1455</v>
      </c>
    </row>
    <row r="2686" spans="1:10" ht="14.25" customHeight="1" x14ac:dyDescent="0.25">
      <c r="A2686" s="21">
        <v>18029</v>
      </c>
      <c r="B2686" s="21"/>
      <c r="C2686">
        <v>29.1</v>
      </c>
      <c r="D2686">
        <v>3.7</v>
      </c>
      <c r="E2686">
        <v>128</v>
      </c>
      <c r="F2686">
        <v>86</v>
      </c>
      <c r="G2686">
        <v>8</v>
      </c>
      <c r="H2686">
        <v>86</v>
      </c>
      <c r="I2686">
        <v>1.5</v>
      </c>
      <c r="J2686" s="1">
        <v>3089</v>
      </c>
    </row>
    <row r="2687" spans="1:10" ht="14.25" customHeight="1" x14ac:dyDescent="0.25">
      <c r="A2687" s="21">
        <v>18033</v>
      </c>
      <c r="B2687" s="21"/>
      <c r="C2687">
        <v>11.9</v>
      </c>
      <c r="D2687">
        <v>3</v>
      </c>
      <c r="E2687">
        <v>124</v>
      </c>
      <c r="F2687">
        <v>37</v>
      </c>
      <c r="G2687">
        <v>8</v>
      </c>
      <c r="H2687">
        <v>37</v>
      </c>
      <c r="I2687">
        <v>1.17</v>
      </c>
      <c r="J2687" s="1">
        <v>1672</v>
      </c>
    </row>
    <row r="2688" spans="1:10" ht="14.25" customHeight="1" x14ac:dyDescent="0.25">
      <c r="A2688" s="21">
        <v>18035</v>
      </c>
      <c r="B2688" s="21"/>
      <c r="C2688">
        <v>217.6</v>
      </c>
      <c r="D2688">
        <v>4.9000000000000004</v>
      </c>
      <c r="E2688">
        <v>387</v>
      </c>
      <c r="F2688">
        <v>320</v>
      </c>
      <c r="G2688">
        <v>36</v>
      </c>
      <c r="H2688">
        <v>320</v>
      </c>
      <c r="I2688">
        <v>1.67</v>
      </c>
      <c r="J2688" s="1">
        <v>16806</v>
      </c>
    </row>
    <row r="2689" spans="1:10" ht="14.25" customHeight="1" x14ac:dyDescent="0.25">
      <c r="A2689" s="21">
        <v>18037</v>
      </c>
      <c r="B2689" s="21"/>
      <c r="C2689">
        <v>36.5</v>
      </c>
      <c r="D2689">
        <v>4.0999999999999996</v>
      </c>
      <c r="E2689">
        <v>233</v>
      </c>
      <c r="F2689">
        <v>111</v>
      </c>
      <c r="G2689">
        <v>26</v>
      </c>
      <c r="H2689">
        <v>111</v>
      </c>
      <c r="I2689">
        <v>1.61</v>
      </c>
      <c r="J2689" s="1">
        <v>3643</v>
      </c>
    </row>
    <row r="2690" spans="1:10" ht="14.25" customHeight="1" x14ac:dyDescent="0.25">
      <c r="A2690" s="21">
        <v>18039</v>
      </c>
      <c r="B2690" s="21"/>
      <c r="C2690">
        <v>105.1</v>
      </c>
      <c r="D2690">
        <v>4.0999999999999996</v>
      </c>
      <c r="E2690">
        <v>236</v>
      </c>
      <c r="F2690">
        <v>200</v>
      </c>
      <c r="G2690">
        <v>23</v>
      </c>
      <c r="H2690">
        <v>200</v>
      </c>
      <c r="I2690">
        <v>1.81</v>
      </c>
      <c r="J2690" s="1">
        <v>9920</v>
      </c>
    </row>
    <row r="2691" spans="1:10" ht="14.25" customHeight="1" x14ac:dyDescent="0.25">
      <c r="A2691" s="21">
        <v>18039</v>
      </c>
      <c r="B2691" s="21"/>
      <c r="C2691">
        <v>58.5</v>
      </c>
      <c r="D2691">
        <v>3.4</v>
      </c>
      <c r="E2691">
        <v>265</v>
      </c>
      <c r="F2691">
        <v>122</v>
      </c>
      <c r="G2691">
        <v>12</v>
      </c>
      <c r="H2691">
        <v>122</v>
      </c>
      <c r="I2691">
        <v>1.76</v>
      </c>
      <c r="J2691" s="1">
        <v>6972</v>
      </c>
    </row>
    <row r="2692" spans="1:10" ht="14.25" customHeight="1" x14ac:dyDescent="0.25">
      <c r="A2692" s="21">
        <v>18041</v>
      </c>
      <c r="B2692" s="21"/>
      <c r="C2692">
        <v>8.8000000000000007</v>
      </c>
      <c r="D2692">
        <v>3.5</v>
      </c>
      <c r="I2692">
        <v>1.1299999999999999</v>
      </c>
      <c r="J2692" s="1">
        <v>1007</v>
      </c>
    </row>
    <row r="2693" spans="1:10" ht="14.25" customHeight="1" x14ac:dyDescent="0.25">
      <c r="A2693" s="21">
        <v>18043</v>
      </c>
      <c r="B2693" s="21"/>
      <c r="C2693">
        <v>136.69999999999999</v>
      </c>
      <c r="D2693">
        <v>3.8</v>
      </c>
      <c r="E2693">
        <v>445</v>
      </c>
      <c r="F2693">
        <v>225</v>
      </c>
      <c r="G2693">
        <v>16</v>
      </c>
      <c r="H2693">
        <v>225</v>
      </c>
      <c r="I2693">
        <v>1.9</v>
      </c>
      <c r="J2693" s="1">
        <v>13965</v>
      </c>
    </row>
    <row r="2694" spans="1:10" ht="14.25" customHeight="1" x14ac:dyDescent="0.25">
      <c r="A2694" s="21">
        <v>18043</v>
      </c>
      <c r="B2694" s="21"/>
      <c r="C2694">
        <v>3.4</v>
      </c>
      <c r="D2694">
        <v>2.7</v>
      </c>
      <c r="E2694">
        <v>46</v>
      </c>
      <c r="F2694">
        <v>10</v>
      </c>
      <c r="H2694">
        <v>10</v>
      </c>
      <c r="I2694">
        <v>2.13</v>
      </c>
      <c r="J2694">
        <v>473</v>
      </c>
    </row>
    <row r="2695" spans="1:10" ht="14.25" customHeight="1" x14ac:dyDescent="0.25">
      <c r="A2695" s="21">
        <v>18053</v>
      </c>
      <c r="B2695" s="21"/>
      <c r="C2695">
        <v>47.3</v>
      </c>
      <c r="D2695">
        <v>4</v>
      </c>
      <c r="E2695">
        <v>173</v>
      </c>
      <c r="F2695">
        <v>106</v>
      </c>
      <c r="G2695">
        <v>19</v>
      </c>
      <c r="H2695">
        <v>106</v>
      </c>
      <c r="I2695">
        <v>1.33</v>
      </c>
      <c r="J2695" s="1">
        <v>4850</v>
      </c>
    </row>
    <row r="2696" spans="1:10" ht="14.25" customHeight="1" x14ac:dyDescent="0.25">
      <c r="A2696" s="21">
        <v>18057</v>
      </c>
      <c r="B2696" s="21"/>
      <c r="C2696">
        <v>78.099999999999994</v>
      </c>
      <c r="D2696">
        <v>3.4</v>
      </c>
      <c r="E2696">
        <v>286</v>
      </c>
      <c r="F2696">
        <v>149</v>
      </c>
      <c r="H2696">
        <v>149</v>
      </c>
      <c r="I2696">
        <v>1.75</v>
      </c>
      <c r="J2696" s="1">
        <v>9647</v>
      </c>
    </row>
    <row r="2697" spans="1:10" ht="14.25" customHeight="1" x14ac:dyDescent="0.25">
      <c r="A2697" s="21">
        <v>18057</v>
      </c>
      <c r="B2697" s="21"/>
      <c r="C2697">
        <v>54.3</v>
      </c>
      <c r="D2697">
        <v>4.5</v>
      </c>
      <c r="E2697">
        <v>60</v>
      </c>
      <c r="F2697">
        <v>107</v>
      </c>
      <c r="H2697">
        <v>107</v>
      </c>
      <c r="I2697">
        <v>3.2</v>
      </c>
      <c r="J2697" s="1">
        <v>4400</v>
      </c>
    </row>
    <row r="2698" spans="1:10" ht="14.25" customHeight="1" x14ac:dyDescent="0.25">
      <c r="A2698" s="21">
        <v>18057</v>
      </c>
      <c r="B2698" s="21"/>
      <c r="C2698">
        <v>44.2</v>
      </c>
      <c r="D2698">
        <v>2.9</v>
      </c>
      <c r="E2698">
        <v>147</v>
      </c>
      <c r="F2698">
        <v>153</v>
      </c>
      <c r="G2698">
        <v>10</v>
      </c>
      <c r="H2698">
        <v>153</v>
      </c>
      <c r="I2698">
        <v>1.93</v>
      </c>
      <c r="J2698" s="1">
        <v>6722</v>
      </c>
    </row>
    <row r="2699" spans="1:10" ht="14.25" customHeight="1" x14ac:dyDescent="0.25">
      <c r="A2699" s="21">
        <v>18057</v>
      </c>
      <c r="B2699" s="21"/>
      <c r="C2699">
        <v>45.7</v>
      </c>
      <c r="D2699">
        <v>4</v>
      </c>
      <c r="E2699">
        <v>240</v>
      </c>
      <c r="F2699">
        <v>109</v>
      </c>
      <c r="G2699">
        <v>15</v>
      </c>
      <c r="H2699">
        <v>109</v>
      </c>
      <c r="I2699">
        <v>1.51</v>
      </c>
      <c r="J2699" s="1">
        <v>4084</v>
      </c>
    </row>
    <row r="2700" spans="1:10" ht="14.25" customHeight="1" x14ac:dyDescent="0.25">
      <c r="A2700" s="21">
        <v>18057</v>
      </c>
      <c r="B2700" s="21"/>
      <c r="H2700">
        <v>44</v>
      </c>
    </row>
    <row r="2701" spans="1:10" ht="14.25" customHeight="1" x14ac:dyDescent="0.25">
      <c r="A2701" s="21">
        <v>18057</v>
      </c>
      <c r="B2701" s="21"/>
      <c r="C2701">
        <v>6.2</v>
      </c>
      <c r="D2701">
        <v>2.8</v>
      </c>
      <c r="E2701">
        <v>58</v>
      </c>
      <c r="F2701">
        <v>46</v>
      </c>
      <c r="H2701">
        <v>46</v>
      </c>
      <c r="I2701">
        <v>1.47</v>
      </c>
      <c r="J2701" s="1">
        <v>1204</v>
      </c>
    </row>
    <row r="2702" spans="1:10" ht="14.25" customHeight="1" x14ac:dyDescent="0.25">
      <c r="A2702" s="21">
        <v>18057</v>
      </c>
      <c r="B2702" s="21"/>
      <c r="C2702">
        <v>1.2</v>
      </c>
      <c r="D2702">
        <v>1.6</v>
      </c>
      <c r="E2702">
        <v>1</v>
      </c>
      <c r="F2702">
        <v>6</v>
      </c>
      <c r="H2702">
        <v>6</v>
      </c>
      <c r="I2702">
        <v>2.4700000000000002</v>
      </c>
      <c r="J2702">
        <v>269</v>
      </c>
    </row>
    <row r="2703" spans="1:10" ht="14.25" customHeight="1" x14ac:dyDescent="0.25">
      <c r="A2703" s="21">
        <v>18057</v>
      </c>
      <c r="B2703" s="21"/>
      <c r="E2703">
        <v>1</v>
      </c>
      <c r="H2703">
        <v>20</v>
      </c>
    </row>
    <row r="2704" spans="1:10" ht="14.25" customHeight="1" x14ac:dyDescent="0.25">
      <c r="A2704" s="21">
        <v>18057</v>
      </c>
      <c r="B2704" s="21"/>
      <c r="H2704">
        <v>20</v>
      </c>
    </row>
    <row r="2705" spans="1:10" ht="14.25" customHeight="1" x14ac:dyDescent="0.25">
      <c r="A2705" s="21">
        <v>18059</v>
      </c>
      <c r="B2705" s="21"/>
      <c r="C2705">
        <v>22.5</v>
      </c>
      <c r="D2705">
        <v>3.4</v>
      </c>
      <c r="E2705">
        <v>206</v>
      </c>
      <c r="F2705">
        <v>61</v>
      </c>
      <c r="G2705">
        <v>24</v>
      </c>
      <c r="H2705">
        <v>61</v>
      </c>
      <c r="I2705">
        <v>1.4</v>
      </c>
      <c r="J2705" s="1">
        <v>2388</v>
      </c>
    </row>
    <row r="2706" spans="1:10" ht="14.25" customHeight="1" x14ac:dyDescent="0.25">
      <c r="A2706" s="21">
        <v>18059</v>
      </c>
      <c r="B2706" s="21"/>
      <c r="H2706">
        <v>12</v>
      </c>
    </row>
    <row r="2707" spans="1:10" ht="14.25" customHeight="1" x14ac:dyDescent="0.25">
      <c r="A2707" s="21">
        <v>18063</v>
      </c>
      <c r="B2707" s="21"/>
      <c r="C2707">
        <v>81</v>
      </c>
      <c r="D2707">
        <v>4</v>
      </c>
      <c r="E2707">
        <v>239</v>
      </c>
      <c r="F2707">
        <v>127</v>
      </c>
      <c r="G2707">
        <v>16</v>
      </c>
      <c r="H2707">
        <v>127</v>
      </c>
      <c r="I2707">
        <v>1.52</v>
      </c>
      <c r="J2707" s="1">
        <v>7879</v>
      </c>
    </row>
    <row r="2708" spans="1:10" ht="14.25" customHeight="1" x14ac:dyDescent="0.25">
      <c r="A2708" s="21">
        <v>18063</v>
      </c>
      <c r="B2708" s="21"/>
      <c r="C2708">
        <v>51.7</v>
      </c>
      <c r="D2708">
        <v>3.8</v>
      </c>
      <c r="E2708">
        <v>352</v>
      </c>
      <c r="F2708">
        <v>133</v>
      </c>
      <c r="G2708">
        <v>12</v>
      </c>
      <c r="H2708">
        <v>133</v>
      </c>
      <c r="I2708">
        <v>1.61</v>
      </c>
      <c r="J2708" s="1">
        <v>5679</v>
      </c>
    </row>
    <row r="2709" spans="1:10" ht="14.25" customHeight="1" x14ac:dyDescent="0.25">
      <c r="A2709" s="21">
        <v>18063</v>
      </c>
      <c r="B2709" s="21"/>
      <c r="C2709">
        <v>0.6</v>
      </c>
      <c r="D2709">
        <v>1.8</v>
      </c>
      <c r="I2709">
        <v>1.03</v>
      </c>
      <c r="J2709">
        <v>249</v>
      </c>
    </row>
    <row r="2710" spans="1:10" ht="14.25" customHeight="1" x14ac:dyDescent="0.25">
      <c r="A2710" s="21">
        <v>18063</v>
      </c>
      <c r="B2710" s="21"/>
      <c r="H2710">
        <v>6</v>
      </c>
    </row>
    <row r="2711" spans="1:10" ht="14.25" customHeight="1" x14ac:dyDescent="0.25">
      <c r="A2711" s="21">
        <v>18065</v>
      </c>
      <c r="B2711" s="21"/>
      <c r="C2711">
        <v>21.8</v>
      </c>
      <c r="D2711">
        <v>3.7</v>
      </c>
      <c r="E2711">
        <v>103</v>
      </c>
      <c r="F2711">
        <v>48</v>
      </c>
      <c r="G2711">
        <v>10</v>
      </c>
      <c r="H2711">
        <v>48</v>
      </c>
      <c r="I2711">
        <v>1.46</v>
      </c>
      <c r="J2711" s="1">
        <v>2386</v>
      </c>
    </row>
    <row r="2712" spans="1:10" ht="14.25" customHeight="1" x14ac:dyDescent="0.25">
      <c r="A2712" s="21">
        <v>18067</v>
      </c>
      <c r="B2712" s="21"/>
      <c r="C2712">
        <v>43</v>
      </c>
      <c r="D2712">
        <v>3.9</v>
      </c>
      <c r="E2712">
        <v>161</v>
      </c>
      <c r="F2712">
        <v>111</v>
      </c>
      <c r="G2712">
        <v>13</v>
      </c>
      <c r="H2712">
        <v>111</v>
      </c>
      <c r="I2712">
        <v>1.58</v>
      </c>
      <c r="J2712" s="1">
        <v>4522</v>
      </c>
    </row>
    <row r="2713" spans="1:10" ht="14.25" customHeight="1" x14ac:dyDescent="0.25">
      <c r="A2713" s="21">
        <v>18067</v>
      </c>
      <c r="B2713" s="21"/>
      <c r="C2713">
        <v>44.9</v>
      </c>
      <c r="D2713">
        <v>3.8</v>
      </c>
      <c r="E2713">
        <v>143</v>
      </c>
      <c r="F2713">
        <v>109</v>
      </c>
      <c r="G2713">
        <v>8</v>
      </c>
      <c r="H2713">
        <v>109</v>
      </c>
      <c r="I2713">
        <v>1.56</v>
      </c>
      <c r="J2713" s="1">
        <v>4529</v>
      </c>
    </row>
    <row r="2714" spans="1:10" ht="14.25" customHeight="1" x14ac:dyDescent="0.25">
      <c r="A2714" s="21">
        <v>18069</v>
      </c>
      <c r="B2714" s="21"/>
      <c r="C2714">
        <v>11.9</v>
      </c>
      <c r="D2714">
        <v>2.7</v>
      </c>
      <c r="E2714">
        <v>67</v>
      </c>
      <c r="F2714">
        <v>36</v>
      </c>
      <c r="H2714">
        <v>36</v>
      </c>
      <c r="I2714">
        <v>1.19</v>
      </c>
      <c r="J2714" s="1">
        <v>1853</v>
      </c>
    </row>
    <row r="2715" spans="1:10" ht="14.25" customHeight="1" x14ac:dyDescent="0.25">
      <c r="A2715" s="21">
        <v>18071</v>
      </c>
      <c r="B2715" s="21"/>
      <c r="C2715">
        <v>23.9</v>
      </c>
      <c r="D2715">
        <v>3.9</v>
      </c>
      <c r="E2715">
        <v>158</v>
      </c>
      <c r="F2715">
        <v>91</v>
      </c>
      <c r="G2715">
        <v>7</v>
      </c>
      <c r="H2715">
        <v>91</v>
      </c>
      <c r="I2715">
        <v>1.61</v>
      </c>
      <c r="J2715" s="1">
        <v>2607</v>
      </c>
    </row>
    <row r="2716" spans="1:10" ht="14.25" customHeight="1" x14ac:dyDescent="0.25">
      <c r="A2716" s="21">
        <v>18077</v>
      </c>
      <c r="B2716" s="21"/>
      <c r="C2716">
        <v>29.8</v>
      </c>
      <c r="D2716">
        <v>3.9</v>
      </c>
      <c r="E2716">
        <v>103</v>
      </c>
      <c r="F2716">
        <v>88</v>
      </c>
      <c r="G2716">
        <v>6</v>
      </c>
      <c r="H2716">
        <v>88</v>
      </c>
      <c r="I2716">
        <v>1.36</v>
      </c>
      <c r="J2716" s="1">
        <v>3085</v>
      </c>
    </row>
    <row r="2717" spans="1:10" ht="14.25" customHeight="1" x14ac:dyDescent="0.25">
      <c r="A2717" s="21">
        <v>18081</v>
      </c>
      <c r="B2717" s="21"/>
      <c r="C2717">
        <v>16.3</v>
      </c>
      <c r="D2717">
        <v>3.5</v>
      </c>
      <c r="E2717">
        <v>128</v>
      </c>
      <c r="F2717">
        <v>83</v>
      </c>
      <c r="G2717">
        <v>6</v>
      </c>
      <c r="H2717">
        <v>83</v>
      </c>
      <c r="I2717">
        <v>1.44</v>
      </c>
      <c r="J2717" s="1">
        <v>1917</v>
      </c>
    </row>
    <row r="2718" spans="1:10" ht="14.25" customHeight="1" x14ac:dyDescent="0.25">
      <c r="A2718" s="21">
        <v>18083</v>
      </c>
      <c r="B2718" s="21"/>
      <c r="C2718">
        <v>55.2</v>
      </c>
      <c r="D2718">
        <v>3.9</v>
      </c>
      <c r="E2718">
        <v>249</v>
      </c>
      <c r="F2718">
        <v>99</v>
      </c>
      <c r="G2718">
        <v>30</v>
      </c>
      <c r="H2718">
        <v>99</v>
      </c>
      <c r="I2718">
        <v>1.45</v>
      </c>
      <c r="J2718" s="1">
        <v>5385</v>
      </c>
    </row>
    <row r="2719" spans="1:10" ht="14.25" customHeight="1" x14ac:dyDescent="0.25">
      <c r="A2719" s="21">
        <v>18085</v>
      </c>
      <c r="B2719" s="21"/>
      <c r="C2719">
        <v>22.9</v>
      </c>
      <c r="D2719">
        <v>3.4</v>
      </c>
      <c r="E2719">
        <v>100</v>
      </c>
      <c r="F2719">
        <v>72</v>
      </c>
      <c r="G2719">
        <v>14</v>
      </c>
      <c r="H2719">
        <v>72</v>
      </c>
      <c r="I2719">
        <v>1.35</v>
      </c>
      <c r="J2719" s="1">
        <v>2759</v>
      </c>
    </row>
    <row r="2720" spans="1:10" ht="14.25" customHeight="1" x14ac:dyDescent="0.25">
      <c r="A2720" s="21">
        <v>18089</v>
      </c>
      <c r="B2720" s="21"/>
      <c r="C2720">
        <v>0.5</v>
      </c>
      <c r="D2720">
        <v>2.1</v>
      </c>
      <c r="J2720">
        <v>86</v>
      </c>
    </row>
    <row r="2721" spans="1:10" ht="14.25" customHeight="1" x14ac:dyDescent="0.25">
      <c r="A2721" s="21">
        <v>18089</v>
      </c>
      <c r="B2721" s="21"/>
      <c r="C2721">
        <v>31.4</v>
      </c>
      <c r="D2721">
        <v>4.4000000000000004</v>
      </c>
      <c r="E2721">
        <v>171</v>
      </c>
      <c r="F2721">
        <v>63</v>
      </c>
      <c r="G2721">
        <v>9</v>
      </c>
      <c r="H2721">
        <v>63</v>
      </c>
      <c r="I2721">
        <v>1.66</v>
      </c>
      <c r="J2721" s="1">
        <v>2616</v>
      </c>
    </row>
    <row r="2722" spans="1:10" ht="14.25" customHeight="1" x14ac:dyDescent="0.25">
      <c r="A2722" s="21">
        <v>18089</v>
      </c>
      <c r="B2722" s="21"/>
      <c r="C2722">
        <v>9.1</v>
      </c>
      <c r="D2722">
        <v>3.6</v>
      </c>
      <c r="E2722">
        <v>55</v>
      </c>
      <c r="F2722">
        <v>18</v>
      </c>
      <c r="G2722">
        <v>2</v>
      </c>
      <c r="H2722">
        <v>18</v>
      </c>
      <c r="I2722">
        <v>2.4300000000000002</v>
      </c>
      <c r="J2722">
        <v>922</v>
      </c>
    </row>
    <row r="2723" spans="1:10" ht="14.25" customHeight="1" x14ac:dyDescent="0.25">
      <c r="A2723" s="21">
        <v>18089</v>
      </c>
      <c r="B2723" s="21"/>
      <c r="C2723">
        <v>248.3</v>
      </c>
      <c r="D2723">
        <v>5.2</v>
      </c>
      <c r="E2723">
        <v>522</v>
      </c>
      <c r="F2723">
        <v>410</v>
      </c>
      <c r="G2723">
        <v>39</v>
      </c>
      <c r="H2723">
        <v>410</v>
      </c>
      <c r="I2723">
        <v>1.64</v>
      </c>
      <c r="J2723" s="1">
        <v>17965</v>
      </c>
    </row>
    <row r="2724" spans="1:10" ht="14.25" customHeight="1" x14ac:dyDescent="0.25">
      <c r="A2724" s="21">
        <v>18089</v>
      </c>
      <c r="B2724" s="21"/>
      <c r="C2724">
        <v>82.3</v>
      </c>
      <c r="D2724">
        <v>4.0999999999999996</v>
      </c>
      <c r="E2724">
        <v>230</v>
      </c>
      <c r="F2724">
        <v>214</v>
      </c>
      <c r="G2724">
        <v>22</v>
      </c>
      <c r="H2724">
        <v>214</v>
      </c>
      <c r="I2724">
        <v>1.59</v>
      </c>
      <c r="J2724" s="1">
        <v>7958</v>
      </c>
    </row>
    <row r="2725" spans="1:10" ht="14.25" customHeight="1" x14ac:dyDescent="0.25">
      <c r="A2725" s="21">
        <v>18089</v>
      </c>
      <c r="B2725" s="21"/>
      <c r="C2725">
        <v>49.7</v>
      </c>
      <c r="D2725">
        <v>4.8</v>
      </c>
      <c r="E2725">
        <v>133</v>
      </c>
      <c r="F2725">
        <v>110</v>
      </c>
      <c r="G2725">
        <v>14</v>
      </c>
      <c r="H2725">
        <v>110</v>
      </c>
      <c r="I2725">
        <v>1.67</v>
      </c>
      <c r="J2725" s="1">
        <v>4008</v>
      </c>
    </row>
    <row r="2726" spans="1:10" ht="14.25" customHeight="1" x14ac:dyDescent="0.25">
      <c r="A2726" s="21">
        <v>18089</v>
      </c>
      <c r="B2726" s="21"/>
      <c r="C2726">
        <v>59.4</v>
      </c>
      <c r="D2726">
        <v>5.4</v>
      </c>
      <c r="E2726">
        <v>85</v>
      </c>
      <c r="F2726">
        <v>180</v>
      </c>
      <c r="G2726">
        <v>20</v>
      </c>
      <c r="H2726">
        <v>180</v>
      </c>
      <c r="I2726">
        <v>1.65</v>
      </c>
      <c r="J2726" s="1">
        <v>4170</v>
      </c>
    </row>
    <row r="2727" spans="1:10" ht="14.25" customHeight="1" x14ac:dyDescent="0.25">
      <c r="A2727" s="21">
        <v>18089</v>
      </c>
      <c r="B2727" s="21"/>
      <c r="C2727">
        <v>126.3</v>
      </c>
      <c r="D2727">
        <v>4.9000000000000004</v>
      </c>
      <c r="E2727">
        <v>278</v>
      </c>
      <c r="F2727">
        <v>180</v>
      </c>
      <c r="G2727">
        <v>20</v>
      </c>
      <c r="H2727">
        <v>180</v>
      </c>
      <c r="I2727">
        <v>1.62</v>
      </c>
      <c r="J2727" s="1">
        <v>9787</v>
      </c>
    </row>
    <row r="2728" spans="1:10" ht="14.25" customHeight="1" x14ac:dyDescent="0.25">
      <c r="A2728" s="21">
        <v>18089</v>
      </c>
      <c r="B2728" s="21"/>
      <c r="C2728">
        <v>224.5</v>
      </c>
      <c r="D2728">
        <v>6.1</v>
      </c>
      <c r="E2728">
        <v>320</v>
      </c>
      <c r="F2728">
        <v>456</v>
      </c>
      <c r="G2728">
        <v>39</v>
      </c>
      <c r="H2728">
        <v>154</v>
      </c>
      <c r="I2728">
        <v>1.47</v>
      </c>
      <c r="J2728" s="1">
        <v>13960</v>
      </c>
    </row>
    <row r="2729" spans="1:10" ht="14.25" customHeight="1" x14ac:dyDescent="0.25">
      <c r="A2729" s="21">
        <v>18089</v>
      </c>
      <c r="B2729" s="21"/>
      <c r="C2729">
        <v>78.599999999999994</v>
      </c>
      <c r="D2729">
        <v>4.8</v>
      </c>
      <c r="E2729">
        <v>106</v>
      </c>
      <c r="F2729">
        <v>165</v>
      </c>
      <c r="G2729">
        <v>16</v>
      </c>
      <c r="H2729">
        <v>165</v>
      </c>
      <c r="I2729">
        <v>1.53</v>
      </c>
      <c r="J2729" s="1">
        <v>6183</v>
      </c>
    </row>
    <row r="2730" spans="1:10" ht="14.25" customHeight="1" x14ac:dyDescent="0.25">
      <c r="A2730" s="21">
        <v>18089</v>
      </c>
      <c r="B2730" s="21"/>
    </row>
    <row r="2731" spans="1:10" ht="14.25" customHeight="1" x14ac:dyDescent="0.25">
      <c r="A2731" s="21">
        <v>18089</v>
      </c>
      <c r="B2731" s="21"/>
      <c r="E2731">
        <v>1</v>
      </c>
      <c r="H2731">
        <v>300</v>
      </c>
    </row>
    <row r="2732" spans="1:10" ht="14.25" customHeight="1" x14ac:dyDescent="0.25">
      <c r="A2732" s="21">
        <v>18091</v>
      </c>
      <c r="B2732" s="21"/>
      <c r="C2732">
        <v>44.1</v>
      </c>
      <c r="D2732">
        <v>3.9</v>
      </c>
      <c r="E2732">
        <v>137</v>
      </c>
      <c r="F2732">
        <v>129</v>
      </c>
      <c r="G2732">
        <v>20</v>
      </c>
      <c r="H2732">
        <v>129</v>
      </c>
      <c r="I2732">
        <v>1.59</v>
      </c>
      <c r="J2732" s="1">
        <v>4517</v>
      </c>
    </row>
    <row r="2733" spans="1:10" ht="14.25" customHeight="1" x14ac:dyDescent="0.25">
      <c r="A2733" s="21">
        <v>18091</v>
      </c>
      <c r="B2733" s="21"/>
      <c r="C2733">
        <v>55.2</v>
      </c>
      <c r="D2733">
        <v>3.8</v>
      </c>
      <c r="E2733">
        <v>195</v>
      </c>
      <c r="F2733">
        <v>149</v>
      </c>
      <c r="G2733">
        <v>14</v>
      </c>
      <c r="H2733">
        <v>149</v>
      </c>
      <c r="I2733">
        <v>1.56</v>
      </c>
      <c r="J2733" s="1">
        <v>5506</v>
      </c>
    </row>
    <row r="2734" spans="1:10" ht="14.25" customHeight="1" x14ac:dyDescent="0.25">
      <c r="A2734" s="21">
        <v>18091</v>
      </c>
      <c r="B2734" s="21"/>
    </row>
    <row r="2735" spans="1:10" ht="14.25" customHeight="1" x14ac:dyDescent="0.25">
      <c r="A2735" s="21">
        <v>18095</v>
      </c>
      <c r="B2735" s="21"/>
      <c r="C2735">
        <v>67.099999999999994</v>
      </c>
      <c r="D2735">
        <v>5</v>
      </c>
      <c r="E2735">
        <v>191</v>
      </c>
      <c r="F2735">
        <v>144</v>
      </c>
      <c r="G2735">
        <v>21</v>
      </c>
      <c r="H2735">
        <v>144</v>
      </c>
      <c r="I2735">
        <v>1.57</v>
      </c>
      <c r="J2735" s="1">
        <v>5100</v>
      </c>
    </row>
    <row r="2736" spans="1:10" ht="14.25" customHeight="1" x14ac:dyDescent="0.25">
      <c r="A2736" s="21">
        <v>18095</v>
      </c>
      <c r="B2736" s="21"/>
      <c r="C2736">
        <v>68.7</v>
      </c>
      <c r="D2736">
        <v>3.6</v>
      </c>
      <c r="E2736">
        <v>200</v>
      </c>
      <c r="F2736">
        <v>134</v>
      </c>
      <c r="G2736">
        <v>17</v>
      </c>
      <c r="H2736">
        <v>134</v>
      </c>
      <c r="I2736">
        <v>1.59</v>
      </c>
      <c r="J2736" s="1">
        <v>7653</v>
      </c>
    </row>
    <row r="2737" spans="1:10" ht="14.25" customHeight="1" x14ac:dyDescent="0.25">
      <c r="A2737" s="21">
        <v>18097</v>
      </c>
      <c r="B2737" s="21"/>
      <c r="C2737">
        <v>206.6</v>
      </c>
      <c r="D2737">
        <v>4.8</v>
      </c>
      <c r="E2737">
        <v>506</v>
      </c>
      <c r="F2737">
        <v>280</v>
      </c>
      <c r="G2737">
        <v>24</v>
      </c>
      <c r="H2737">
        <v>280</v>
      </c>
      <c r="I2737">
        <v>1.67</v>
      </c>
      <c r="J2737" s="1">
        <v>17414</v>
      </c>
    </row>
    <row r="2738" spans="1:10" ht="14.25" customHeight="1" x14ac:dyDescent="0.25">
      <c r="A2738" s="21">
        <v>18097</v>
      </c>
      <c r="B2738" s="21"/>
      <c r="C2738">
        <v>100.8</v>
      </c>
      <c r="D2738">
        <v>4</v>
      </c>
      <c r="E2738">
        <v>213</v>
      </c>
      <c r="F2738">
        <v>169</v>
      </c>
      <c r="G2738">
        <v>12</v>
      </c>
      <c r="H2738">
        <v>169</v>
      </c>
      <c r="I2738">
        <v>1.59</v>
      </c>
      <c r="J2738" s="1">
        <v>9954</v>
      </c>
    </row>
    <row r="2739" spans="1:10" ht="14.25" customHeight="1" x14ac:dyDescent="0.25">
      <c r="A2739" s="21">
        <v>18097</v>
      </c>
      <c r="B2739" s="21"/>
      <c r="C2739">
        <v>5.7</v>
      </c>
      <c r="D2739">
        <v>3.5</v>
      </c>
      <c r="J2739">
        <v>601</v>
      </c>
    </row>
    <row r="2740" spans="1:10" ht="14.25" customHeight="1" x14ac:dyDescent="0.25">
      <c r="A2740" s="21">
        <v>18097</v>
      </c>
      <c r="B2740" s="21"/>
      <c r="C2740">
        <v>13.9</v>
      </c>
      <c r="D2740">
        <v>1.6</v>
      </c>
      <c r="E2740">
        <v>158</v>
      </c>
      <c r="F2740">
        <v>38</v>
      </c>
      <c r="H2740">
        <v>38</v>
      </c>
      <c r="I2740">
        <v>2.48</v>
      </c>
      <c r="J2740" s="1">
        <v>3145</v>
      </c>
    </row>
    <row r="2741" spans="1:10" ht="14.25" customHeight="1" x14ac:dyDescent="0.25">
      <c r="A2741" s="21">
        <v>18097</v>
      </c>
      <c r="B2741" s="21"/>
      <c r="H2741">
        <v>56</v>
      </c>
    </row>
    <row r="2742" spans="1:10" ht="14.25" customHeight="1" x14ac:dyDescent="0.25">
      <c r="A2742" s="21">
        <v>18097</v>
      </c>
      <c r="B2742" s="21"/>
      <c r="C2742">
        <v>263.60000000000002</v>
      </c>
      <c r="D2742">
        <v>5.2</v>
      </c>
      <c r="E2742">
        <v>707</v>
      </c>
      <c r="F2742">
        <v>441</v>
      </c>
      <c r="G2742">
        <v>60</v>
      </c>
      <c r="H2742">
        <v>441</v>
      </c>
      <c r="I2742">
        <v>1.91</v>
      </c>
      <c r="J2742" s="1">
        <v>19234</v>
      </c>
    </row>
    <row r="2743" spans="1:10" ht="14.25" customHeight="1" x14ac:dyDescent="0.25">
      <c r="A2743" s="21">
        <v>18097</v>
      </c>
      <c r="B2743" s="21"/>
      <c r="C2743">
        <v>485.5</v>
      </c>
      <c r="D2743">
        <v>5.8</v>
      </c>
      <c r="E2743">
        <v>963</v>
      </c>
      <c r="F2743">
        <v>768</v>
      </c>
      <c r="G2743">
        <v>56</v>
      </c>
      <c r="H2743">
        <v>376</v>
      </c>
      <c r="I2743">
        <v>2.11</v>
      </c>
      <c r="J2743" s="1">
        <v>30994</v>
      </c>
    </row>
    <row r="2744" spans="1:10" ht="14.25" customHeight="1" x14ac:dyDescent="0.25">
      <c r="A2744" s="21">
        <v>18097</v>
      </c>
      <c r="B2744" s="21"/>
      <c r="C2744">
        <v>210.2</v>
      </c>
      <c r="D2744">
        <v>4.4000000000000004</v>
      </c>
      <c r="E2744">
        <v>438</v>
      </c>
      <c r="F2744">
        <v>305</v>
      </c>
      <c r="G2744">
        <v>28</v>
      </c>
      <c r="H2744">
        <v>305</v>
      </c>
      <c r="I2744">
        <v>1.87</v>
      </c>
      <c r="J2744" s="1">
        <v>17767</v>
      </c>
    </row>
    <row r="2745" spans="1:10" ht="14.25" customHeight="1" x14ac:dyDescent="0.25">
      <c r="A2745" s="21">
        <v>18097</v>
      </c>
      <c r="B2745" s="21"/>
      <c r="C2745">
        <v>109.2</v>
      </c>
      <c r="D2745">
        <v>4.5</v>
      </c>
      <c r="J2745" s="1">
        <v>8813</v>
      </c>
    </row>
    <row r="2746" spans="1:10" ht="14.25" customHeight="1" x14ac:dyDescent="0.25">
      <c r="A2746" s="21">
        <v>18097</v>
      </c>
      <c r="B2746" s="21"/>
      <c r="C2746">
        <v>201</v>
      </c>
      <c r="D2746">
        <v>4.3</v>
      </c>
      <c r="E2746">
        <v>597</v>
      </c>
      <c r="F2746">
        <v>316</v>
      </c>
      <c r="G2746">
        <v>72</v>
      </c>
      <c r="H2746">
        <v>316</v>
      </c>
      <c r="I2746">
        <v>1.8</v>
      </c>
      <c r="J2746" s="1">
        <v>18038</v>
      </c>
    </row>
    <row r="2747" spans="1:10" ht="14.25" customHeight="1" x14ac:dyDescent="0.25">
      <c r="A2747" s="21">
        <v>18097</v>
      </c>
      <c r="B2747" s="21"/>
      <c r="C2747">
        <v>869.8</v>
      </c>
      <c r="D2747">
        <v>6.4</v>
      </c>
      <c r="E2747" s="1">
        <v>1983</v>
      </c>
      <c r="F2747" s="1">
        <v>1226</v>
      </c>
      <c r="G2747">
        <v>66</v>
      </c>
      <c r="H2747" s="1">
        <v>1226</v>
      </c>
      <c r="I2747">
        <v>2.2200000000000002</v>
      </c>
      <c r="J2747" s="1">
        <v>50673</v>
      </c>
    </row>
    <row r="2748" spans="1:10" ht="14.25" customHeight="1" x14ac:dyDescent="0.25">
      <c r="A2748" s="21">
        <v>18097</v>
      </c>
      <c r="B2748" s="21"/>
      <c r="C2748">
        <v>42.5</v>
      </c>
      <c r="D2748">
        <v>5.4</v>
      </c>
      <c r="E2748">
        <v>10</v>
      </c>
      <c r="F2748">
        <v>86</v>
      </c>
      <c r="H2748">
        <v>86</v>
      </c>
      <c r="I2748">
        <v>0.78</v>
      </c>
      <c r="J2748" s="1">
        <v>2877</v>
      </c>
    </row>
    <row r="2749" spans="1:10" ht="14.25" customHeight="1" x14ac:dyDescent="0.25">
      <c r="A2749" s="21">
        <v>18097</v>
      </c>
      <c r="B2749" s="21"/>
    </row>
    <row r="2750" spans="1:10" ht="14.25" customHeight="1" x14ac:dyDescent="0.25">
      <c r="A2750" s="21">
        <v>18097</v>
      </c>
      <c r="B2750" s="21"/>
      <c r="H2750">
        <v>149</v>
      </c>
    </row>
    <row r="2751" spans="1:10" ht="14.25" customHeight="1" x14ac:dyDescent="0.25">
      <c r="A2751" s="21">
        <v>18097</v>
      </c>
      <c r="B2751" s="21"/>
      <c r="H2751">
        <v>159</v>
      </c>
    </row>
    <row r="2752" spans="1:10" ht="14.25" customHeight="1" x14ac:dyDescent="0.25">
      <c r="A2752" s="21">
        <v>18099</v>
      </c>
      <c r="B2752" s="21"/>
      <c r="C2752">
        <v>15.2</v>
      </c>
      <c r="D2752">
        <v>3</v>
      </c>
      <c r="E2752">
        <v>115</v>
      </c>
      <c r="F2752">
        <v>45</v>
      </c>
      <c r="G2752">
        <v>7</v>
      </c>
      <c r="H2752">
        <v>45</v>
      </c>
      <c r="I2752">
        <v>1.37</v>
      </c>
      <c r="J2752" s="1">
        <v>2005</v>
      </c>
    </row>
    <row r="2753" spans="1:10" ht="14.25" customHeight="1" x14ac:dyDescent="0.25">
      <c r="A2753" s="21">
        <v>18099</v>
      </c>
      <c r="B2753" s="21"/>
      <c r="C2753">
        <v>8.3000000000000007</v>
      </c>
      <c r="D2753">
        <v>4.0999999999999996</v>
      </c>
      <c r="J2753">
        <v>741</v>
      </c>
    </row>
    <row r="2754" spans="1:10" ht="14.25" customHeight="1" x14ac:dyDescent="0.25">
      <c r="A2754" s="21">
        <v>18105</v>
      </c>
      <c r="B2754" s="21"/>
      <c r="C2754">
        <v>11.6</v>
      </c>
      <c r="D2754">
        <v>3.7</v>
      </c>
      <c r="E2754">
        <v>49</v>
      </c>
      <c r="F2754">
        <v>32</v>
      </c>
      <c r="G2754">
        <v>8</v>
      </c>
      <c r="H2754">
        <v>32</v>
      </c>
      <c r="I2754">
        <v>1.78</v>
      </c>
      <c r="J2754" s="1">
        <v>1148</v>
      </c>
    </row>
    <row r="2755" spans="1:10" ht="14.25" customHeight="1" x14ac:dyDescent="0.25">
      <c r="A2755" s="21">
        <v>18105</v>
      </c>
      <c r="B2755" s="21"/>
      <c r="C2755">
        <v>151</v>
      </c>
      <c r="D2755">
        <v>4.0999999999999996</v>
      </c>
      <c r="E2755">
        <v>438</v>
      </c>
      <c r="F2755">
        <v>254</v>
      </c>
      <c r="G2755">
        <v>16</v>
      </c>
      <c r="H2755">
        <v>254</v>
      </c>
      <c r="I2755">
        <v>1.73</v>
      </c>
      <c r="J2755" s="1">
        <v>14198</v>
      </c>
    </row>
    <row r="2756" spans="1:10" ht="14.25" customHeight="1" x14ac:dyDescent="0.25">
      <c r="A2756" s="21">
        <v>18107</v>
      </c>
      <c r="B2756" s="21"/>
      <c r="C2756">
        <v>8.3000000000000007</v>
      </c>
      <c r="D2756">
        <v>3.5</v>
      </c>
      <c r="E2756">
        <v>60</v>
      </c>
      <c r="F2756">
        <v>29</v>
      </c>
      <c r="G2756">
        <v>5</v>
      </c>
      <c r="H2756">
        <v>29</v>
      </c>
      <c r="I2756">
        <v>1.3</v>
      </c>
      <c r="J2756">
        <v>856</v>
      </c>
    </row>
    <row r="2757" spans="1:10" ht="14.25" customHeight="1" x14ac:dyDescent="0.25">
      <c r="A2757" s="21">
        <v>18109</v>
      </c>
      <c r="B2757" s="21"/>
      <c r="E2757">
        <v>4</v>
      </c>
      <c r="H2757">
        <v>116</v>
      </c>
    </row>
    <row r="2758" spans="1:10" ht="14.25" customHeight="1" x14ac:dyDescent="0.25">
      <c r="A2758" s="21">
        <v>18109</v>
      </c>
      <c r="B2758" s="21"/>
      <c r="C2758">
        <v>18.899999999999999</v>
      </c>
      <c r="D2758">
        <v>2.8</v>
      </c>
      <c r="E2758">
        <v>80</v>
      </c>
      <c r="F2758">
        <v>83</v>
      </c>
      <c r="H2758">
        <v>83</v>
      </c>
      <c r="I2758">
        <v>1.85</v>
      </c>
      <c r="J2758" s="1">
        <v>2753</v>
      </c>
    </row>
    <row r="2759" spans="1:10" ht="14.25" customHeight="1" x14ac:dyDescent="0.25">
      <c r="A2759" s="21">
        <v>18113</v>
      </c>
      <c r="B2759" s="21"/>
      <c r="C2759">
        <v>12.9</v>
      </c>
      <c r="D2759">
        <v>2.7</v>
      </c>
      <c r="E2759">
        <v>54</v>
      </c>
      <c r="F2759">
        <v>31</v>
      </c>
      <c r="H2759">
        <v>31</v>
      </c>
      <c r="I2759">
        <v>1.19</v>
      </c>
      <c r="J2759" s="1">
        <v>1865</v>
      </c>
    </row>
    <row r="2760" spans="1:10" ht="14.25" customHeight="1" x14ac:dyDescent="0.25">
      <c r="A2760" s="21">
        <v>18127</v>
      </c>
      <c r="B2760" s="21"/>
      <c r="C2760">
        <v>148.4</v>
      </c>
      <c r="D2760">
        <v>5</v>
      </c>
      <c r="E2760">
        <v>294</v>
      </c>
      <c r="F2760">
        <v>238</v>
      </c>
      <c r="G2760">
        <v>32</v>
      </c>
      <c r="H2760">
        <v>276</v>
      </c>
      <c r="I2760">
        <v>1.77</v>
      </c>
      <c r="J2760" s="1">
        <v>11351</v>
      </c>
    </row>
    <row r="2761" spans="1:10" ht="14.25" customHeight="1" x14ac:dyDescent="0.25">
      <c r="A2761" s="21">
        <v>18127</v>
      </c>
      <c r="B2761" s="21"/>
      <c r="H2761">
        <v>25</v>
      </c>
    </row>
    <row r="2762" spans="1:10" ht="14.25" customHeight="1" x14ac:dyDescent="0.25">
      <c r="A2762" s="21">
        <v>18141</v>
      </c>
      <c r="B2762" s="21"/>
      <c r="C2762">
        <v>3.3</v>
      </c>
      <c r="D2762">
        <v>2.5</v>
      </c>
      <c r="E2762">
        <v>19</v>
      </c>
      <c r="F2762">
        <v>29</v>
      </c>
      <c r="H2762">
        <v>29</v>
      </c>
      <c r="I2762">
        <v>3.11</v>
      </c>
      <c r="J2762">
        <v>480</v>
      </c>
    </row>
    <row r="2763" spans="1:10" ht="14.25" customHeight="1" x14ac:dyDescent="0.25">
      <c r="A2763" s="21">
        <v>18141</v>
      </c>
      <c r="B2763" s="21"/>
      <c r="C2763">
        <v>173</v>
      </c>
      <c r="D2763">
        <v>4.7</v>
      </c>
      <c r="E2763">
        <v>410</v>
      </c>
      <c r="F2763">
        <v>253</v>
      </c>
      <c r="G2763">
        <v>28</v>
      </c>
      <c r="H2763">
        <v>253</v>
      </c>
      <c r="I2763">
        <v>1.8</v>
      </c>
      <c r="J2763" s="1">
        <v>14751</v>
      </c>
    </row>
    <row r="2764" spans="1:10" ht="14.25" customHeight="1" x14ac:dyDescent="0.25">
      <c r="A2764" s="21">
        <v>18141</v>
      </c>
      <c r="B2764" s="21"/>
      <c r="C2764">
        <v>250.7</v>
      </c>
      <c r="D2764">
        <v>5.2</v>
      </c>
      <c r="E2764">
        <v>452</v>
      </c>
      <c r="F2764">
        <v>391</v>
      </c>
      <c r="G2764">
        <v>46</v>
      </c>
      <c r="H2764">
        <v>525</v>
      </c>
      <c r="I2764">
        <v>1.81</v>
      </c>
      <c r="J2764" s="1">
        <v>18456</v>
      </c>
    </row>
    <row r="2765" spans="1:10" ht="14.25" customHeight="1" x14ac:dyDescent="0.25">
      <c r="A2765" s="21">
        <v>18141</v>
      </c>
      <c r="B2765" s="21"/>
      <c r="H2765">
        <v>88</v>
      </c>
    </row>
    <row r="2766" spans="1:10" ht="14.25" customHeight="1" x14ac:dyDescent="0.25">
      <c r="A2766" s="21">
        <v>18141</v>
      </c>
      <c r="B2766" s="21"/>
    </row>
    <row r="2767" spans="1:10" ht="14.25" customHeight="1" x14ac:dyDescent="0.25">
      <c r="A2767" s="21">
        <v>18141</v>
      </c>
      <c r="B2767" s="21"/>
    </row>
    <row r="2768" spans="1:10" ht="14.25" customHeight="1" x14ac:dyDescent="0.25">
      <c r="A2768" s="21">
        <v>18145</v>
      </c>
      <c r="B2768" s="21"/>
      <c r="C2768">
        <v>27.2</v>
      </c>
      <c r="D2768">
        <v>3.6</v>
      </c>
      <c r="E2768">
        <v>144</v>
      </c>
      <c r="F2768">
        <v>46</v>
      </c>
      <c r="G2768">
        <v>6</v>
      </c>
      <c r="H2768">
        <v>46</v>
      </c>
      <c r="I2768">
        <v>1.33</v>
      </c>
      <c r="J2768" s="1">
        <v>2749</v>
      </c>
    </row>
    <row r="2769" spans="1:10" ht="14.25" customHeight="1" x14ac:dyDescent="0.25">
      <c r="A2769" s="21">
        <v>18149</v>
      </c>
      <c r="B2769" s="21"/>
      <c r="C2769">
        <v>3.4</v>
      </c>
      <c r="D2769">
        <v>2.5</v>
      </c>
      <c r="E2769">
        <v>25</v>
      </c>
      <c r="F2769">
        <v>15</v>
      </c>
      <c r="G2769">
        <v>1</v>
      </c>
      <c r="H2769">
        <v>15</v>
      </c>
      <c r="I2769">
        <v>1.0900000000000001</v>
      </c>
      <c r="J2769">
        <v>486</v>
      </c>
    </row>
    <row r="2770" spans="1:10" ht="14.25" customHeight="1" x14ac:dyDescent="0.25">
      <c r="A2770" s="21">
        <v>18157</v>
      </c>
      <c r="B2770" s="21"/>
      <c r="C2770">
        <v>115.3</v>
      </c>
      <c r="D2770">
        <v>3.9</v>
      </c>
      <c r="E2770">
        <v>376</v>
      </c>
      <c r="F2770">
        <v>185</v>
      </c>
      <c r="G2770">
        <v>14</v>
      </c>
      <c r="H2770">
        <v>185</v>
      </c>
      <c r="I2770">
        <v>1.63</v>
      </c>
      <c r="J2770" s="1">
        <v>11473</v>
      </c>
    </row>
    <row r="2771" spans="1:10" ht="14.25" customHeight="1" x14ac:dyDescent="0.25">
      <c r="A2771" s="21">
        <v>18157</v>
      </c>
      <c r="B2771" s="21"/>
      <c r="C2771">
        <v>113</v>
      </c>
      <c r="D2771">
        <v>4.5</v>
      </c>
      <c r="E2771">
        <v>268</v>
      </c>
      <c r="F2771">
        <v>188</v>
      </c>
      <c r="G2771">
        <v>16</v>
      </c>
      <c r="H2771">
        <v>188</v>
      </c>
      <c r="I2771">
        <v>1.96</v>
      </c>
      <c r="J2771" s="1">
        <v>10089</v>
      </c>
    </row>
    <row r="2772" spans="1:10" ht="14.25" customHeight="1" x14ac:dyDescent="0.25">
      <c r="A2772" s="21">
        <v>18157</v>
      </c>
      <c r="B2772" s="21"/>
      <c r="E2772">
        <v>1</v>
      </c>
      <c r="H2772">
        <v>99</v>
      </c>
    </row>
    <row r="2773" spans="1:10" ht="14.25" customHeight="1" x14ac:dyDescent="0.25">
      <c r="A2773" s="21">
        <v>18163</v>
      </c>
      <c r="B2773" s="21"/>
      <c r="C2773">
        <v>151.19999999999999</v>
      </c>
      <c r="D2773">
        <v>3.8</v>
      </c>
      <c r="E2773">
        <v>458</v>
      </c>
      <c r="F2773">
        <v>400</v>
      </c>
      <c r="G2773">
        <v>60</v>
      </c>
      <c r="H2773">
        <v>400</v>
      </c>
      <c r="I2773">
        <v>1.81</v>
      </c>
      <c r="J2773" s="1">
        <v>14970</v>
      </c>
    </row>
    <row r="2774" spans="1:10" ht="14.25" customHeight="1" x14ac:dyDescent="0.25">
      <c r="A2774" s="21">
        <v>18163</v>
      </c>
      <c r="B2774" s="21"/>
      <c r="C2774">
        <v>388.3</v>
      </c>
      <c r="D2774">
        <v>4.5</v>
      </c>
      <c r="E2774">
        <v>800</v>
      </c>
      <c r="F2774">
        <v>539</v>
      </c>
      <c r="G2774">
        <v>67</v>
      </c>
      <c r="H2774">
        <v>365</v>
      </c>
      <c r="I2774">
        <v>1.67</v>
      </c>
      <c r="J2774" s="1">
        <v>32144</v>
      </c>
    </row>
    <row r="2775" spans="1:10" ht="14.25" customHeight="1" x14ac:dyDescent="0.25">
      <c r="A2775" s="21">
        <v>18163</v>
      </c>
      <c r="B2775" s="21"/>
      <c r="E2775">
        <v>9</v>
      </c>
      <c r="H2775">
        <v>60</v>
      </c>
    </row>
    <row r="2776" spans="1:10" ht="14.25" customHeight="1" x14ac:dyDescent="0.25">
      <c r="A2776" s="21">
        <v>18167</v>
      </c>
      <c r="B2776" s="21"/>
      <c r="C2776">
        <v>53.1</v>
      </c>
      <c r="D2776">
        <v>4</v>
      </c>
      <c r="E2776">
        <v>100</v>
      </c>
      <c r="F2776">
        <v>164</v>
      </c>
      <c r="G2776">
        <v>18</v>
      </c>
      <c r="H2776">
        <v>164</v>
      </c>
      <c r="I2776">
        <v>1.62</v>
      </c>
      <c r="J2776" s="1">
        <v>5026</v>
      </c>
    </row>
    <row r="2777" spans="1:10" ht="14.25" customHeight="1" x14ac:dyDescent="0.25">
      <c r="A2777" s="21">
        <v>18167</v>
      </c>
      <c r="B2777" s="21"/>
      <c r="C2777">
        <v>146.80000000000001</v>
      </c>
      <c r="D2777">
        <v>3.8</v>
      </c>
      <c r="E2777">
        <v>339</v>
      </c>
      <c r="F2777">
        <v>233</v>
      </c>
      <c r="G2777">
        <v>36</v>
      </c>
      <c r="H2777">
        <v>233</v>
      </c>
      <c r="I2777">
        <v>1.7</v>
      </c>
      <c r="J2777" s="1">
        <v>14958</v>
      </c>
    </row>
    <row r="2778" spans="1:10" ht="14.25" customHeight="1" x14ac:dyDescent="0.25">
      <c r="A2778" s="21">
        <v>18173</v>
      </c>
      <c r="B2778" s="21"/>
      <c r="C2778">
        <v>16.5</v>
      </c>
      <c r="D2778">
        <v>4</v>
      </c>
      <c r="E2778">
        <v>1</v>
      </c>
      <c r="F2778">
        <v>24</v>
      </c>
      <c r="H2778">
        <v>24</v>
      </c>
      <c r="I2778">
        <v>3.05</v>
      </c>
      <c r="J2778" s="1">
        <v>1516</v>
      </c>
    </row>
    <row r="2779" spans="1:10" ht="14.25" customHeight="1" x14ac:dyDescent="0.25">
      <c r="A2779" s="21">
        <v>18173</v>
      </c>
      <c r="B2779" s="21"/>
      <c r="C2779">
        <v>44.8</v>
      </c>
      <c r="D2779">
        <v>6.1</v>
      </c>
      <c r="E2779">
        <v>68</v>
      </c>
      <c r="F2779">
        <v>74</v>
      </c>
      <c r="G2779">
        <v>24</v>
      </c>
      <c r="H2779">
        <v>74</v>
      </c>
      <c r="I2779">
        <v>1.43</v>
      </c>
      <c r="J2779" s="1">
        <v>3648</v>
      </c>
    </row>
    <row r="2780" spans="1:10" ht="14.25" customHeight="1" x14ac:dyDescent="0.25">
      <c r="A2780" s="21">
        <v>18173</v>
      </c>
      <c r="B2780" s="21"/>
      <c r="H2780">
        <v>116</v>
      </c>
    </row>
    <row r="2781" spans="1:10" ht="14.25" customHeight="1" x14ac:dyDescent="0.25">
      <c r="A2781" s="21">
        <v>18173</v>
      </c>
      <c r="B2781" s="21"/>
    </row>
    <row r="2782" spans="1:10" ht="14.25" customHeight="1" x14ac:dyDescent="0.25">
      <c r="A2782" s="21">
        <v>18173</v>
      </c>
      <c r="B2782" s="21"/>
      <c r="H2782">
        <v>64</v>
      </c>
    </row>
    <row r="2783" spans="1:10" ht="14.25" customHeight="1" x14ac:dyDescent="0.25">
      <c r="A2783" s="21">
        <v>18177</v>
      </c>
      <c r="B2783" s="21"/>
      <c r="C2783">
        <v>102.8</v>
      </c>
      <c r="D2783">
        <v>3.8</v>
      </c>
      <c r="E2783">
        <v>418</v>
      </c>
      <c r="F2783">
        <v>163</v>
      </c>
      <c r="G2783">
        <v>30</v>
      </c>
      <c r="H2783">
        <v>163</v>
      </c>
      <c r="I2783">
        <v>1.69</v>
      </c>
      <c r="J2783" s="1">
        <v>10402</v>
      </c>
    </row>
    <row r="2784" spans="1:10" ht="14.25" customHeight="1" x14ac:dyDescent="0.25">
      <c r="A2784" s="21">
        <v>18179</v>
      </c>
      <c r="B2784" s="21"/>
      <c r="C2784">
        <v>9.6999999999999993</v>
      </c>
      <c r="D2784">
        <v>3.2</v>
      </c>
      <c r="E2784">
        <v>46</v>
      </c>
      <c r="F2784">
        <v>55</v>
      </c>
      <c r="G2784">
        <v>7</v>
      </c>
      <c r="H2784">
        <v>55</v>
      </c>
      <c r="I2784">
        <v>1.19</v>
      </c>
      <c r="J2784" s="1">
        <v>1215</v>
      </c>
    </row>
    <row r="2785" spans="1:10" ht="14.25" customHeight="1" x14ac:dyDescent="0.25">
      <c r="A2785" s="21">
        <v>18183</v>
      </c>
      <c r="B2785" s="21"/>
      <c r="C2785">
        <v>11.8</v>
      </c>
      <c r="D2785">
        <v>2.7</v>
      </c>
      <c r="E2785">
        <v>65</v>
      </c>
      <c r="F2785">
        <v>30</v>
      </c>
      <c r="H2785">
        <v>30</v>
      </c>
      <c r="I2785">
        <v>1.07</v>
      </c>
      <c r="J2785" s="1">
        <v>1880</v>
      </c>
    </row>
    <row r="2786" spans="1:10" ht="14.25" customHeight="1" x14ac:dyDescent="0.25">
      <c r="A2786" s="21">
        <v>19013</v>
      </c>
      <c r="B2786" s="21"/>
      <c r="C2786">
        <v>85.4</v>
      </c>
      <c r="D2786">
        <v>3.6</v>
      </c>
      <c r="E2786">
        <v>359</v>
      </c>
      <c r="F2786">
        <v>187</v>
      </c>
      <c r="G2786">
        <v>12</v>
      </c>
      <c r="H2786">
        <v>187</v>
      </c>
      <c r="I2786">
        <v>1.73</v>
      </c>
      <c r="J2786" s="1">
        <v>9149</v>
      </c>
    </row>
    <row r="2787" spans="1:10" ht="14.25" customHeight="1" x14ac:dyDescent="0.25">
      <c r="A2787" s="21">
        <v>19013</v>
      </c>
      <c r="B2787" s="21"/>
      <c r="C2787">
        <v>6.5</v>
      </c>
      <c r="D2787">
        <v>3.4</v>
      </c>
      <c r="E2787">
        <v>30</v>
      </c>
      <c r="F2787">
        <v>35</v>
      </c>
      <c r="G2787">
        <v>5</v>
      </c>
      <c r="H2787">
        <v>35</v>
      </c>
      <c r="I2787">
        <v>1.5</v>
      </c>
      <c r="J2787">
        <v>708</v>
      </c>
    </row>
    <row r="2788" spans="1:10" ht="14.25" customHeight="1" x14ac:dyDescent="0.25">
      <c r="A2788" s="21">
        <v>19013</v>
      </c>
      <c r="B2788" s="21"/>
      <c r="C2788">
        <v>60</v>
      </c>
      <c r="D2788">
        <v>4.9000000000000004</v>
      </c>
      <c r="E2788">
        <v>275</v>
      </c>
      <c r="F2788">
        <v>162</v>
      </c>
      <c r="G2788">
        <v>12</v>
      </c>
      <c r="H2788">
        <v>162</v>
      </c>
      <c r="I2788">
        <v>1.53</v>
      </c>
      <c r="J2788" s="1">
        <v>5136</v>
      </c>
    </row>
    <row r="2789" spans="1:10" ht="14.25" customHeight="1" x14ac:dyDescent="0.25">
      <c r="A2789" s="21">
        <v>19027</v>
      </c>
      <c r="B2789" s="21"/>
      <c r="C2789">
        <v>18.399999999999999</v>
      </c>
      <c r="D2789">
        <v>4.9000000000000004</v>
      </c>
      <c r="E2789">
        <v>74</v>
      </c>
      <c r="F2789">
        <v>49</v>
      </c>
      <c r="G2789">
        <v>6</v>
      </c>
      <c r="H2789">
        <v>49</v>
      </c>
      <c r="I2789">
        <v>1.25</v>
      </c>
      <c r="J2789" s="1">
        <v>1513</v>
      </c>
    </row>
    <row r="2790" spans="1:10" ht="14.25" customHeight="1" x14ac:dyDescent="0.25">
      <c r="A2790" s="21">
        <v>19033</v>
      </c>
      <c r="B2790" s="21"/>
      <c r="C2790">
        <v>115</v>
      </c>
      <c r="D2790">
        <v>4</v>
      </c>
      <c r="E2790">
        <v>363</v>
      </c>
      <c r="F2790">
        <v>205</v>
      </c>
      <c r="G2790">
        <v>18</v>
      </c>
      <c r="H2790">
        <v>205</v>
      </c>
      <c r="I2790">
        <v>1.88</v>
      </c>
      <c r="J2790" s="1">
        <v>10900</v>
      </c>
    </row>
    <row r="2791" spans="1:10" ht="14.25" customHeight="1" x14ac:dyDescent="0.25">
      <c r="A2791" s="21">
        <v>19041</v>
      </c>
      <c r="B2791" s="21"/>
      <c r="C2791">
        <v>17.7</v>
      </c>
      <c r="D2791">
        <v>3.8</v>
      </c>
      <c r="E2791">
        <v>91</v>
      </c>
      <c r="F2791">
        <v>49</v>
      </c>
      <c r="H2791">
        <v>49</v>
      </c>
      <c r="I2791">
        <v>1.55</v>
      </c>
      <c r="J2791" s="1">
        <v>1851</v>
      </c>
    </row>
    <row r="2792" spans="1:10" ht="14.25" customHeight="1" x14ac:dyDescent="0.25">
      <c r="A2792" s="21">
        <v>19045</v>
      </c>
      <c r="B2792" s="21"/>
      <c r="C2792">
        <v>25.5</v>
      </c>
      <c r="D2792">
        <v>2.8</v>
      </c>
      <c r="E2792">
        <v>120</v>
      </c>
      <c r="F2792">
        <v>107</v>
      </c>
      <c r="G2792">
        <v>10</v>
      </c>
      <c r="H2792">
        <v>107</v>
      </c>
      <c r="I2792">
        <v>1.48</v>
      </c>
      <c r="J2792" s="1">
        <v>3515</v>
      </c>
    </row>
    <row r="2793" spans="1:10" ht="14.25" customHeight="1" x14ac:dyDescent="0.25">
      <c r="A2793" s="21">
        <v>19057</v>
      </c>
      <c r="B2793" s="21"/>
      <c r="C2793">
        <v>62.8</v>
      </c>
      <c r="D2793">
        <v>3.1</v>
      </c>
      <c r="E2793">
        <v>212</v>
      </c>
      <c r="F2793">
        <v>136</v>
      </c>
      <c r="G2793">
        <v>12</v>
      </c>
      <c r="H2793">
        <v>136</v>
      </c>
      <c r="I2793">
        <v>1.6</v>
      </c>
      <c r="J2793" s="1">
        <v>7914</v>
      </c>
    </row>
    <row r="2794" spans="1:10" ht="14.25" customHeight="1" x14ac:dyDescent="0.25">
      <c r="A2794" s="21">
        <v>19059</v>
      </c>
      <c r="B2794" s="21"/>
      <c r="C2794">
        <v>8</v>
      </c>
      <c r="D2794">
        <v>3.4</v>
      </c>
      <c r="E2794">
        <v>40</v>
      </c>
      <c r="F2794">
        <v>44</v>
      </c>
      <c r="H2794">
        <v>44</v>
      </c>
      <c r="I2794">
        <v>1.4</v>
      </c>
      <c r="J2794">
        <v>988</v>
      </c>
    </row>
    <row r="2795" spans="1:10" ht="14.25" customHeight="1" x14ac:dyDescent="0.25">
      <c r="A2795" s="21">
        <v>19061</v>
      </c>
      <c r="B2795" s="21"/>
      <c r="C2795">
        <v>39.299999999999997</v>
      </c>
      <c r="D2795">
        <v>3.9</v>
      </c>
      <c r="E2795">
        <v>172</v>
      </c>
      <c r="F2795">
        <v>87</v>
      </c>
      <c r="G2795">
        <v>10</v>
      </c>
      <c r="H2795">
        <v>87</v>
      </c>
      <c r="I2795">
        <v>1.5</v>
      </c>
      <c r="J2795" s="1">
        <v>4141</v>
      </c>
    </row>
    <row r="2796" spans="1:10" ht="14.25" customHeight="1" x14ac:dyDescent="0.25">
      <c r="A2796" s="21">
        <v>19061</v>
      </c>
      <c r="B2796" s="21"/>
      <c r="C2796">
        <v>81.3</v>
      </c>
      <c r="D2796">
        <v>4.0999999999999996</v>
      </c>
      <c r="E2796">
        <v>194</v>
      </c>
      <c r="F2796">
        <v>150</v>
      </c>
      <c r="G2796">
        <v>8</v>
      </c>
      <c r="H2796">
        <v>150</v>
      </c>
      <c r="I2796">
        <v>1.61</v>
      </c>
      <c r="J2796" s="1">
        <v>7765</v>
      </c>
    </row>
    <row r="2797" spans="1:10" ht="14.25" customHeight="1" x14ac:dyDescent="0.25">
      <c r="A2797" s="21">
        <v>19097</v>
      </c>
      <c r="B2797" s="21"/>
    </row>
    <row r="2798" spans="1:10" ht="14.25" customHeight="1" x14ac:dyDescent="0.25">
      <c r="A2798" s="21">
        <v>19099</v>
      </c>
      <c r="B2798" s="21"/>
      <c r="C2798">
        <v>7.9</v>
      </c>
      <c r="D2798">
        <v>4.8</v>
      </c>
      <c r="E2798">
        <v>63</v>
      </c>
      <c r="F2798">
        <v>48</v>
      </c>
      <c r="H2798">
        <v>48</v>
      </c>
      <c r="I2798">
        <v>1.22</v>
      </c>
      <c r="J2798">
        <v>676</v>
      </c>
    </row>
    <row r="2799" spans="1:10" ht="14.25" customHeight="1" x14ac:dyDescent="0.25">
      <c r="A2799" s="21">
        <v>19103</v>
      </c>
      <c r="B2799" s="21"/>
      <c r="C2799">
        <v>539.9</v>
      </c>
      <c r="D2799">
        <v>6.6</v>
      </c>
      <c r="E2799" s="1">
        <v>1846</v>
      </c>
      <c r="F2799">
        <v>716</v>
      </c>
      <c r="H2799">
        <v>716</v>
      </c>
      <c r="I2799">
        <v>2.25</v>
      </c>
      <c r="J2799" s="1">
        <v>32758</v>
      </c>
    </row>
    <row r="2800" spans="1:10" ht="14.25" customHeight="1" x14ac:dyDescent="0.25">
      <c r="A2800" s="21">
        <v>19103</v>
      </c>
      <c r="B2800" s="21"/>
      <c r="C2800">
        <v>60.7</v>
      </c>
      <c r="D2800">
        <v>3.5</v>
      </c>
      <c r="E2800">
        <v>254</v>
      </c>
      <c r="F2800">
        <v>218</v>
      </c>
      <c r="G2800">
        <v>18</v>
      </c>
      <c r="H2800">
        <v>218</v>
      </c>
      <c r="I2800">
        <v>1.73</v>
      </c>
      <c r="J2800" s="1">
        <v>7143</v>
      </c>
    </row>
    <row r="2801" spans="1:10" ht="14.25" customHeight="1" x14ac:dyDescent="0.25">
      <c r="A2801" s="21">
        <v>19103</v>
      </c>
      <c r="B2801" s="21"/>
      <c r="E2801">
        <v>1</v>
      </c>
      <c r="H2801">
        <v>28</v>
      </c>
    </row>
    <row r="2802" spans="1:10" ht="14.25" customHeight="1" x14ac:dyDescent="0.25">
      <c r="A2802" s="21">
        <v>19111</v>
      </c>
      <c r="B2802" s="21"/>
      <c r="C2802">
        <v>7</v>
      </c>
      <c r="D2802">
        <v>3.4</v>
      </c>
      <c r="E2802">
        <v>68</v>
      </c>
      <c r="F2802">
        <v>50</v>
      </c>
      <c r="G2802">
        <v>3</v>
      </c>
      <c r="H2802">
        <v>50</v>
      </c>
      <c r="I2802">
        <v>1.48</v>
      </c>
      <c r="J2802">
        <v>963</v>
      </c>
    </row>
    <row r="2803" spans="1:10" ht="14.25" customHeight="1" x14ac:dyDescent="0.25">
      <c r="A2803" s="21">
        <v>19111</v>
      </c>
      <c r="B2803" s="21"/>
      <c r="C2803">
        <v>4.4000000000000004</v>
      </c>
      <c r="D2803">
        <v>3</v>
      </c>
      <c r="E2803">
        <v>53</v>
      </c>
      <c r="F2803">
        <v>49</v>
      </c>
      <c r="H2803">
        <v>49</v>
      </c>
      <c r="I2803">
        <v>1.04</v>
      </c>
      <c r="J2803">
        <v>538</v>
      </c>
    </row>
    <row r="2804" spans="1:10" ht="14.25" customHeight="1" x14ac:dyDescent="0.25">
      <c r="A2804" s="21">
        <v>19113</v>
      </c>
      <c r="B2804" s="21"/>
      <c r="C2804">
        <v>170.9</v>
      </c>
      <c r="D2804">
        <v>4.5999999999999996</v>
      </c>
      <c r="E2804">
        <v>475</v>
      </c>
      <c r="F2804">
        <v>301</v>
      </c>
      <c r="G2804">
        <v>16</v>
      </c>
      <c r="H2804">
        <v>301</v>
      </c>
      <c r="I2804">
        <v>1.77</v>
      </c>
      <c r="J2804" s="1">
        <v>14615</v>
      </c>
    </row>
    <row r="2805" spans="1:10" ht="14.25" customHeight="1" x14ac:dyDescent="0.25">
      <c r="A2805" s="21">
        <v>19113</v>
      </c>
      <c r="B2805" s="21"/>
      <c r="C2805">
        <v>86.7</v>
      </c>
      <c r="D2805">
        <v>3.8</v>
      </c>
      <c r="E2805">
        <v>425</v>
      </c>
      <c r="F2805">
        <v>194</v>
      </c>
      <c r="G2805">
        <v>20</v>
      </c>
      <c r="H2805">
        <v>194</v>
      </c>
      <c r="I2805">
        <v>1.6</v>
      </c>
      <c r="J2805" s="1">
        <v>8825</v>
      </c>
    </row>
    <row r="2806" spans="1:10" ht="14.25" customHeight="1" x14ac:dyDescent="0.25">
      <c r="A2806" s="21">
        <v>19113</v>
      </c>
      <c r="B2806" s="21"/>
      <c r="C2806">
        <v>10.9</v>
      </c>
      <c r="D2806">
        <v>28.2</v>
      </c>
      <c r="J2806">
        <v>141</v>
      </c>
    </row>
    <row r="2807" spans="1:10" ht="14.25" customHeight="1" x14ac:dyDescent="0.25">
      <c r="A2807" s="21">
        <v>19127</v>
      </c>
      <c r="B2807" s="21"/>
      <c r="C2807">
        <v>12.5</v>
      </c>
      <c r="D2807">
        <v>3.6</v>
      </c>
      <c r="E2807">
        <v>110</v>
      </c>
      <c r="F2807">
        <v>41</v>
      </c>
      <c r="H2807">
        <v>41</v>
      </c>
      <c r="I2807">
        <v>1.51</v>
      </c>
      <c r="J2807" s="1">
        <v>1702</v>
      </c>
    </row>
    <row r="2808" spans="1:10" ht="14.25" customHeight="1" x14ac:dyDescent="0.25">
      <c r="A2808" s="21">
        <v>19139</v>
      </c>
      <c r="B2808" s="21"/>
      <c r="C2808">
        <v>10</v>
      </c>
      <c r="D2808">
        <v>3.1</v>
      </c>
      <c r="E2808">
        <v>75</v>
      </c>
      <c r="F2808">
        <v>45</v>
      </c>
      <c r="G2808">
        <v>5</v>
      </c>
      <c r="H2808">
        <v>45</v>
      </c>
      <c r="I2808">
        <v>1.28</v>
      </c>
      <c r="J2808" s="1">
        <v>1360</v>
      </c>
    </row>
    <row r="2809" spans="1:10" ht="14.25" customHeight="1" x14ac:dyDescent="0.25">
      <c r="A2809" s="21">
        <v>19153</v>
      </c>
      <c r="B2809" s="21"/>
      <c r="C2809">
        <v>103</v>
      </c>
      <c r="D2809">
        <v>4.8</v>
      </c>
      <c r="E2809">
        <v>123</v>
      </c>
      <c r="F2809">
        <v>161</v>
      </c>
      <c r="G2809">
        <v>10</v>
      </c>
      <c r="H2809">
        <v>161</v>
      </c>
      <c r="I2809">
        <v>1.47</v>
      </c>
      <c r="J2809" s="1">
        <v>8059</v>
      </c>
    </row>
    <row r="2810" spans="1:10" ht="14.25" customHeight="1" x14ac:dyDescent="0.25">
      <c r="A2810" s="21">
        <v>19153</v>
      </c>
      <c r="B2810" s="21"/>
      <c r="C2810">
        <v>63.3</v>
      </c>
      <c r="D2810">
        <v>7.2</v>
      </c>
      <c r="E2810">
        <v>234</v>
      </c>
      <c r="F2810">
        <v>117</v>
      </c>
      <c r="G2810">
        <v>6</v>
      </c>
      <c r="H2810">
        <v>117</v>
      </c>
      <c r="I2810">
        <v>1.35</v>
      </c>
      <c r="J2810" s="1">
        <v>3223</v>
      </c>
    </row>
    <row r="2811" spans="1:10" ht="14.25" customHeight="1" x14ac:dyDescent="0.25">
      <c r="A2811" s="21">
        <v>19153</v>
      </c>
      <c r="B2811" s="21"/>
      <c r="C2811">
        <v>341</v>
      </c>
      <c r="D2811">
        <v>4.3</v>
      </c>
      <c r="E2811">
        <v>836</v>
      </c>
      <c r="F2811">
        <v>455</v>
      </c>
      <c r="G2811">
        <v>36</v>
      </c>
      <c r="H2811">
        <v>455</v>
      </c>
      <c r="I2811">
        <v>1.87</v>
      </c>
      <c r="J2811" s="1">
        <v>31356</v>
      </c>
    </row>
    <row r="2812" spans="1:10" ht="14.25" customHeight="1" x14ac:dyDescent="0.25">
      <c r="A2812" s="21">
        <v>19153</v>
      </c>
      <c r="B2812" s="21"/>
      <c r="C2812">
        <v>404.7</v>
      </c>
      <c r="D2812">
        <v>4.7</v>
      </c>
      <c r="E2812" s="1">
        <v>1048</v>
      </c>
      <c r="F2812">
        <v>565</v>
      </c>
      <c r="G2812">
        <v>32</v>
      </c>
      <c r="H2812">
        <v>656</v>
      </c>
      <c r="I2812">
        <v>2.06</v>
      </c>
      <c r="J2812" s="1">
        <v>32467</v>
      </c>
    </row>
    <row r="2813" spans="1:10" ht="14.25" customHeight="1" x14ac:dyDescent="0.25">
      <c r="A2813" s="21">
        <v>19153</v>
      </c>
      <c r="B2813" s="21"/>
      <c r="E2813">
        <v>5</v>
      </c>
      <c r="H2813">
        <v>146</v>
      </c>
    </row>
    <row r="2814" spans="1:10" ht="14.25" customHeight="1" x14ac:dyDescent="0.25">
      <c r="A2814" s="21">
        <v>19153</v>
      </c>
      <c r="B2814" s="21"/>
      <c r="H2814">
        <v>95</v>
      </c>
    </row>
    <row r="2815" spans="1:10" ht="14.25" customHeight="1" x14ac:dyDescent="0.25">
      <c r="A2815" s="21">
        <v>19155</v>
      </c>
      <c r="B2815" s="21"/>
      <c r="C2815">
        <v>58.5</v>
      </c>
      <c r="D2815">
        <v>3.6</v>
      </c>
      <c r="E2815">
        <v>147</v>
      </c>
      <c r="F2815">
        <v>110</v>
      </c>
      <c r="G2815">
        <v>13</v>
      </c>
      <c r="H2815">
        <v>110</v>
      </c>
      <c r="I2815">
        <v>1.49</v>
      </c>
      <c r="J2815" s="1">
        <v>6318</v>
      </c>
    </row>
    <row r="2816" spans="1:10" ht="14.25" customHeight="1" x14ac:dyDescent="0.25">
      <c r="A2816" s="21">
        <v>19155</v>
      </c>
      <c r="B2816" s="21"/>
      <c r="C2816">
        <v>59.2</v>
      </c>
      <c r="D2816">
        <v>3.7</v>
      </c>
      <c r="E2816">
        <v>89</v>
      </c>
      <c r="F2816">
        <v>145</v>
      </c>
      <c r="G2816">
        <v>16</v>
      </c>
      <c r="H2816">
        <v>145</v>
      </c>
      <c r="I2816">
        <v>1.53</v>
      </c>
      <c r="J2816" s="1">
        <v>6014</v>
      </c>
    </row>
    <row r="2817" spans="1:10" ht="14.25" customHeight="1" x14ac:dyDescent="0.25">
      <c r="A2817" s="21">
        <v>19157</v>
      </c>
      <c r="B2817" s="21"/>
      <c r="C2817">
        <v>11.5</v>
      </c>
      <c r="D2817">
        <v>4.0999999999999996</v>
      </c>
      <c r="E2817">
        <v>61</v>
      </c>
      <c r="F2817">
        <v>49</v>
      </c>
      <c r="G2817">
        <v>5</v>
      </c>
      <c r="H2817">
        <v>49</v>
      </c>
      <c r="I2817">
        <v>1.3</v>
      </c>
      <c r="J2817" s="1">
        <v>1108</v>
      </c>
    </row>
    <row r="2818" spans="1:10" ht="14.25" customHeight="1" x14ac:dyDescent="0.25">
      <c r="A2818" s="21">
        <v>19163</v>
      </c>
      <c r="B2818" s="21"/>
      <c r="C2818">
        <v>156.6</v>
      </c>
      <c r="D2818">
        <v>3.9</v>
      </c>
      <c r="E2818">
        <v>415</v>
      </c>
      <c r="F2818">
        <v>295</v>
      </c>
      <c r="G2818">
        <v>29</v>
      </c>
      <c r="H2818">
        <v>295</v>
      </c>
      <c r="I2818">
        <v>1.77</v>
      </c>
      <c r="J2818" s="1">
        <v>15494</v>
      </c>
    </row>
    <row r="2819" spans="1:10" ht="14.25" customHeight="1" x14ac:dyDescent="0.25">
      <c r="A2819" s="21">
        <v>19163</v>
      </c>
      <c r="B2819" s="21"/>
      <c r="C2819">
        <v>35.299999999999997</v>
      </c>
      <c r="D2819">
        <v>3.1</v>
      </c>
      <c r="E2819">
        <v>111</v>
      </c>
      <c r="F2819">
        <v>87</v>
      </c>
      <c r="G2819">
        <v>10</v>
      </c>
      <c r="H2819">
        <v>87</v>
      </c>
      <c r="I2819">
        <v>1.84</v>
      </c>
      <c r="J2819" s="1">
        <v>4659</v>
      </c>
    </row>
    <row r="2820" spans="1:10" ht="14.25" customHeight="1" x14ac:dyDescent="0.25">
      <c r="A2820" s="21">
        <v>19163</v>
      </c>
      <c r="B2820" s="21"/>
      <c r="H2820">
        <v>64</v>
      </c>
    </row>
    <row r="2821" spans="1:10" ht="14.25" customHeight="1" x14ac:dyDescent="0.25">
      <c r="A2821" s="21">
        <v>19169</v>
      </c>
      <c r="B2821" s="21"/>
      <c r="C2821">
        <v>78</v>
      </c>
      <c r="D2821">
        <v>3.8</v>
      </c>
      <c r="E2821">
        <v>238</v>
      </c>
      <c r="F2821">
        <v>158</v>
      </c>
      <c r="G2821">
        <v>14</v>
      </c>
      <c r="H2821">
        <v>158</v>
      </c>
      <c r="I2821">
        <v>1.49</v>
      </c>
      <c r="J2821" s="1">
        <v>8130</v>
      </c>
    </row>
    <row r="2822" spans="1:10" ht="14.25" customHeight="1" x14ac:dyDescent="0.25">
      <c r="A2822" s="21">
        <v>19179</v>
      </c>
      <c r="B2822" s="21"/>
      <c r="C2822">
        <v>19.5</v>
      </c>
      <c r="D2822">
        <v>3.7</v>
      </c>
      <c r="E2822">
        <v>102</v>
      </c>
      <c r="F2822">
        <v>88</v>
      </c>
      <c r="G2822">
        <v>11</v>
      </c>
      <c r="H2822">
        <v>88</v>
      </c>
      <c r="I2822">
        <v>1.53</v>
      </c>
      <c r="J2822" s="1">
        <v>2219</v>
      </c>
    </row>
    <row r="2823" spans="1:10" ht="14.25" customHeight="1" x14ac:dyDescent="0.25">
      <c r="A2823" s="21">
        <v>19187</v>
      </c>
      <c r="B2823" s="21"/>
      <c r="C2823">
        <v>31.2</v>
      </c>
      <c r="D2823">
        <v>3.8</v>
      </c>
      <c r="E2823">
        <v>143</v>
      </c>
      <c r="F2823">
        <v>46</v>
      </c>
      <c r="G2823">
        <v>8</v>
      </c>
      <c r="H2823">
        <v>46</v>
      </c>
      <c r="I2823">
        <v>1.56</v>
      </c>
      <c r="J2823" s="1">
        <v>3300</v>
      </c>
    </row>
    <row r="2824" spans="1:10" ht="14.25" customHeight="1" x14ac:dyDescent="0.25">
      <c r="A2824" s="21">
        <v>19193</v>
      </c>
      <c r="B2824" s="21"/>
      <c r="C2824">
        <v>113.2</v>
      </c>
      <c r="D2824">
        <v>5.0999999999999996</v>
      </c>
      <c r="E2824">
        <v>152</v>
      </c>
      <c r="F2824">
        <v>157</v>
      </c>
      <c r="G2824">
        <v>19</v>
      </c>
      <c r="H2824">
        <v>157</v>
      </c>
      <c r="I2824">
        <v>1.72</v>
      </c>
      <c r="J2824" s="1">
        <v>8191</v>
      </c>
    </row>
    <row r="2825" spans="1:10" ht="14.25" customHeight="1" x14ac:dyDescent="0.25">
      <c r="A2825" s="21">
        <v>19193</v>
      </c>
      <c r="B2825" s="21"/>
      <c r="C2825">
        <v>92.2</v>
      </c>
      <c r="D2825">
        <v>4.2</v>
      </c>
      <c r="E2825">
        <v>309</v>
      </c>
      <c r="F2825">
        <v>159</v>
      </c>
      <c r="G2825">
        <v>15</v>
      </c>
      <c r="H2825">
        <v>159</v>
      </c>
      <c r="I2825">
        <v>1.64</v>
      </c>
      <c r="J2825" s="1">
        <v>8845</v>
      </c>
    </row>
    <row r="2826" spans="1:10" ht="14.25" customHeight="1" x14ac:dyDescent="0.25">
      <c r="A2826" s="21">
        <v>20009</v>
      </c>
      <c r="B2826" s="21"/>
      <c r="C2826">
        <v>11.3</v>
      </c>
      <c r="D2826">
        <v>4</v>
      </c>
      <c r="E2826">
        <v>74</v>
      </c>
      <c r="F2826">
        <v>33</v>
      </c>
      <c r="G2826">
        <v>4</v>
      </c>
      <c r="H2826">
        <v>33</v>
      </c>
      <c r="I2826">
        <v>1.58</v>
      </c>
      <c r="J2826" s="1">
        <v>1302</v>
      </c>
    </row>
    <row r="2827" spans="1:10" ht="14.25" customHeight="1" x14ac:dyDescent="0.25">
      <c r="A2827" s="21">
        <v>20009</v>
      </c>
      <c r="B2827" s="21"/>
      <c r="C2827">
        <v>8.1999999999999993</v>
      </c>
      <c r="D2827">
        <v>3.7</v>
      </c>
      <c r="J2827">
        <v>947</v>
      </c>
    </row>
    <row r="2828" spans="1:10" ht="14.25" customHeight="1" x14ac:dyDescent="0.25">
      <c r="A2828" s="21">
        <v>20011</v>
      </c>
      <c r="B2828" s="21"/>
      <c r="C2828">
        <v>4.5</v>
      </c>
      <c r="D2828">
        <v>3.2</v>
      </c>
      <c r="I2828">
        <v>1.29</v>
      </c>
      <c r="J2828">
        <v>610</v>
      </c>
    </row>
    <row r="2829" spans="1:10" ht="14.25" customHeight="1" x14ac:dyDescent="0.25">
      <c r="A2829" s="21">
        <v>20015</v>
      </c>
      <c r="B2829" s="21"/>
      <c r="C2829">
        <v>26.7</v>
      </c>
      <c r="D2829">
        <v>4</v>
      </c>
      <c r="E2829">
        <v>91</v>
      </c>
      <c r="F2829">
        <v>55</v>
      </c>
      <c r="G2829">
        <v>10</v>
      </c>
      <c r="H2829">
        <v>55</v>
      </c>
      <c r="I2829">
        <v>2.17</v>
      </c>
      <c r="J2829" s="1">
        <v>2475</v>
      </c>
    </row>
    <row r="2830" spans="1:10" ht="14.25" customHeight="1" x14ac:dyDescent="0.25">
      <c r="A2830" s="21">
        <v>20015</v>
      </c>
      <c r="B2830" s="21"/>
      <c r="C2830">
        <v>17.5</v>
      </c>
      <c r="D2830">
        <v>4.7</v>
      </c>
      <c r="E2830">
        <v>75</v>
      </c>
      <c r="F2830">
        <v>53</v>
      </c>
      <c r="G2830">
        <v>6</v>
      </c>
      <c r="H2830">
        <v>53</v>
      </c>
      <c r="I2830">
        <v>1.32</v>
      </c>
      <c r="J2830" s="1">
        <v>1466</v>
      </c>
    </row>
    <row r="2831" spans="1:10" ht="14.25" customHeight="1" x14ac:dyDescent="0.25">
      <c r="A2831" s="21">
        <v>20021</v>
      </c>
      <c r="B2831" s="21"/>
      <c r="C2831">
        <v>8.6999999999999993</v>
      </c>
      <c r="D2831">
        <v>2.2999999999999998</v>
      </c>
      <c r="E2831">
        <v>31</v>
      </c>
      <c r="F2831">
        <v>36</v>
      </c>
      <c r="H2831">
        <v>36</v>
      </c>
      <c r="I2831">
        <v>2.93</v>
      </c>
      <c r="J2831" s="1">
        <v>1403</v>
      </c>
    </row>
    <row r="2832" spans="1:10" ht="14.25" customHeight="1" x14ac:dyDescent="0.25">
      <c r="A2832" s="21">
        <v>20035</v>
      </c>
      <c r="B2832" s="21"/>
      <c r="C2832">
        <v>6.8</v>
      </c>
      <c r="D2832">
        <v>2.4</v>
      </c>
      <c r="E2832">
        <v>36</v>
      </c>
      <c r="F2832">
        <v>32</v>
      </c>
      <c r="G2832">
        <v>2</v>
      </c>
      <c r="H2832">
        <v>32</v>
      </c>
      <c r="I2832">
        <v>1.17</v>
      </c>
      <c r="J2832" s="1">
        <v>1089</v>
      </c>
    </row>
    <row r="2833" spans="1:10" ht="14.25" customHeight="1" x14ac:dyDescent="0.25">
      <c r="A2833" s="21">
        <v>20037</v>
      </c>
      <c r="B2833" s="21"/>
      <c r="C2833">
        <v>24.7</v>
      </c>
      <c r="D2833">
        <v>3.2</v>
      </c>
      <c r="E2833">
        <v>110</v>
      </c>
      <c r="F2833">
        <v>66</v>
      </c>
      <c r="G2833">
        <v>12</v>
      </c>
      <c r="H2833">
        <v>66</v>
      </c>
      <c r="I2833">
        <v>1.51</v>
      </c>
      <c r="J2833" s="1">
        <v>3215</v>
      </c>
    </row>
    <row r="2834" spans="1:10" ht="14.25" customHeight="1" x14ac:dyDescent="0.25">
      <c r="A2834" s="21">
        <v>20045</v>
      </c>
      <c r="B2834" s="21"/>
      <c r="C2834">
        <v>50.3</v>
      </c>
      <c r="D2834">
        <v>3.2</v>
      </c>
      <c r="E2834">
        <v>337</v>
      </c>
      <c r="F2834">
        <v>110</v>
      </c>
      <c r="G2834">
        <v>10</v>
      </c>
      <c r="H2834">
        <v>110</v>
      </c>
      <c r="I2834">
        <v>1.53</v>
      </c>
      <c r="J2834" s="1">
        <v>6431</v>
      </c>
    </row>
    <row r="2835" spans="1:10" ht="14.25" customHeight="1" x14ac:dyDescent="0.25">
      <c r="A2835" s="21">
        <v>20051</v>
      </c>
      <c r="B2835" s="21"/>
      <c r="C2835">
        <v>55.2</v>
      </c>
      <c r="D2835">
        <v>4.4000000000000004</v>
      </c>
      <c r="E2835">
        <v>144</v>
      </c>
      <c r="F2835">
        <v>149</v>
      </c>
      <c r="G2835">
        <v>34</v>
      </c>
      <c r="H2835">
        <v>149</v>
      </c>
      <c r="I2835">
        <v>1.78</v>
      </c>
      <c r="J2835" s="1">
        <v>4929</v>
      </c>
    </row>
    <row r="2836" spans="1:10" ht="14.25" customHeight="1" x14ac:dyDescent="0.25">
      <c r="A2836" s="21">
        <v>20055</v>
      </c>
      <c r="B2836" s="21"/>
      <c r="C2836">
        <v>37.200000000000003</v>
      </c>
      <c r="D2836">
        <v>3.9</v>
      </c>
      <c r="E2836">
        <v>118</v>
      </c>
      <c r="F2836">
        <v>90</v>
      </c>
      <c r="G2836">
        <v>8</v>
      </c>
      <c r="H2836">
        <v>90</v>
      </c>
      <c r="I2836">
        <v>1.42</v>
      </c>
      <c r="J2836" s="1">
        <v>3702</v>
      </c>
    </row>
    <row r="2837" spans="1:10" ht="14.25" customHeight="1" x14ac:dyDescent="0.25">
      <c r="A2837" s="21">
        <v>20057</v>
      </c>
      <c r="B2837" s="21"/>
      <c r="C2837">
        <v>11.3</v>
      </c>
      <c r="D2837">
        <v>2.9</v>
      </c>
      <c r="E2837">
        <v>65</v>
      </c>
      <c r="F2837">
        <v>60</v>
      </c>
      <c r="G2837">
        <v>10</v>
      </c>
      <c r="H2837">
        <v>60</v>
      </c>
      <c r="I2837">
        <v>1.47</v>
      </c>
      <c r="J2837" s="1">
        <v>1738</v>
      </c>
    </row>
    <row r="2838" spans="1:10" ht="14.25" customHeight="1" x14ac:dyDescent="0.25">
      <c r="A2838" s="21">
        <v>20059</v>
      </c>
      <c r="B2838" s="21"/>
      <c r="C2838">
        <v>9.1999999999999993</v>
      </c>
      <c r="D2838">
        <v>2.9</v>
      </c>
      <c r="E2838">
        <v>73</v>
      </c>
      <c r="F2838">
        <v>47</v>
      </c>
      <c r="G2838">
        <v>5</v>
      </c>
      <c r="H2838">
        <v>44</v>
      </c>
      <c r="I2838">
        <v>1.44</v>
      </c>
      <c r="J2838" s="1">
        <v>1257</v>
      </c>
    </row>
    <row r="2839" spans="1:10" ht="14.25" customHeight="1" x14ac:dyDescent="0.25">
      <c r="A2839" s="21">
        <v>20061</v>
      </c>
      <c r="B2839" s="21"/>
      <c r="C2839">
        <v>7.9</v>
      </c>
      <c r="D2839">
        <v>3.4</v>
      </c>
      <c r="E2839">
        <v>58</v>
      </c>
      <c r="F2839">
        <v>49</v>
      </c>
      <c r="G2839">
        <v>6</v>
      </c>
      <c r="H2839">
        <v>49</v>
      </c>
      <c r="I2839">
        <v>1.24</v>
      </c>
      <c r="J2839">
        <v>979</v>
      </c>
    </row>
    <row r="2840" spans="1:10" ht="14.25" customHeight="1" x14ac:dyDescent="0.25">
      <c r="A2840" s="21">
        <v>20067</v>
      </c>
      <c r="B2840" s="21"/>
      <c r="C2840">
        <v>6.3</v>
      </c>
      <c r="D2840">
        <v>8.4</v>
      </c>
      <c r="E2840">
        <v>10</v>
      </c>
      <c r="F2840">
        <v>26</v>
      </c>
      <c r="H2840">
        <v>26</v>
      </c>
      <c r="I2840">
        <v>1.02</v>
      </c>
      <c r="J2840">
        <v>278</v>
      </c>
    </row>
    <row r="2841" spans="1:10" ht="14.25" customHeight="1" x14ac:dyDescent="0.25">
      <c r="A2841" s="21">
        <v>20079</v>
      </c>
      <c r="B2841" s="21"/>
      <c r="C2841">
        <v>24.7</v>
      </c>
      <c r="D2841">
        <v>4.0999999999999996</v>
      </c>
      <c r="E2841">
        <v>138</v>
      </c>
      <c r="F2841">
        <v>74</v>
      </c>
      <c r="G2841">
        <v>6</v>
      </c>
      <c r="H2841">
        <v>74</v>
      </c>
      <c r="I2841">
        <v>1.49</v>
      </c>
      <c r="J2841" s="1">
        <v>2446</v>
      </c>
    </row>
    <row r="2842" spans="1:10" ht="14.25" customHeight="1" x14ac:dyDescent="0.25">
      <c r="A2842" s="21">
        <v>20091</v>
      </c>
      <c r="B2842" s="21"/>
      <c r="C2842">
        <v>1.3</v>
      </c>
      <c r="D2842">
        <v>2.7</v>
      </c>
      <c r="E2842">
        <v>16</v>
      </c>
      <c r="F2842">
        <v>9</v>
      </c>
      <c r="H2842">
        <v>9</v>
      </c>
      <c r="I2842">
        <v>3.89</v>
      </c>
      <c r="J2842">
        <v>180</v>
      </c>
    </row>
    <row r="2843" spans="1:10" ht="14.25" customHeight="1" x14ac:dyDescent="0.25">
      <c r="A2843" s="21">
        <v>20091</v>
      </c>
      <c r="B2843" s="21"/>
      <c r="F2843">
        <v>1</v>
      </c>
      <c r="H2843">
        <v>1</v>
      </c>
    </row>
    <row r="2844" spans="1:10" ht="14.25" customHeight="1" x14ac:dyDescent="0.25">
      <c r="A2844" s="21">
        <v>20091</v>
      </c>
      <c r="B2844" s="21"/>
      <c r="C2844">
        <v>5</v>
      </c>
      <c r="D2844">
        <v>1.9</v>
      </c>
      <c r="E2844">
        <v>61</v>
      </c>
      <c r="F2844">
        <v>12</v>
      </c>
      <c r="H2844">
        <v>12</v>
      </c>
      <c r="I2844">
        <v>2.17</v>
      </c>
      <c r="J2844">
        <v>944</v>
      </c>
    </row>
    <row r="2845" spans="1:10" ht="14.25" customHeight="1" x14ac:dyDescent="0.25">
      <c r="A2845" s="21">
        <v>20091</v>
      </c>
      <c r="B2845" s="21"/>
      <c r="C2845">
        <v>155.80000000000001</v>
      </c>
      <c r="D2845">
        <v>5</v>
      </c>
      <c r="E2845">
        <v>366</v>
      </c>
      <c r="F2845">
        <v>270</v>
      </c>
      <c r="G2845">
        <v>25</v>
      </c>
      <c r="H2845">
        <v>270</v>
      </c>
      <c r="I2845">
        <v>1.64</v>
      </c>
      <c r="J2845" s="1">
        <v>12115</v>
      </c>
    </row>
    <row r="2846" spans="1:10" ht="14.25" customHeight="1" x14ac:dyDescent="0.25">
      <c r="A2846" s="21">
        <v>20091</v>
      </c>
      <c r="B2846" s="21"/>
      <c r="C2846">
        <v>94</v>
      </c>
      <c r="D2846">
        <v>4.0999999999999996</v>
      </c>
      <c r="E2846">
        <v>259</v>
      </c>
      <c r="F2846">
        <v>153</v>
      </c>
      <c r="G2846">
        <v>16</v>
      </c>
      <c r="H2846">
        <v>153</v>
      </c>
      <c r="I2846">
        <v>1.83</v>
      </c>
      <c r="J2846" s="1">
        <v>8593</v>
      </c>
    </row>
    <row r="2847" spans="1:10" ht="14.25" customHeight="1" x14ac:dyDescent="0.25">
      <c r="A2847" s="21">
        <v>20091</v>
      </c>
      <c r="B2847" s="21"/>
      <c r="C2847">
        <v>48.1</v>
      </c>
      <c r="D2847">
        <v>3.5</v>
      </c>
      <c r="E2847">
        <v>185</v>
      </c>
      <c r="F2847">
        <v>83</v>
      </c>
      <c r="G2847">
        <v>8</v>
      </c>
      <c r="H2847">
        <v>83</v>
      </c>
      <c r="I2847">
        <v>1.46</v>
      </c>
      <c r="J2847" s="1">
        <v>5499</v>
      </c>
    </row>
    <row r="2848" spans="1:10" ht="14.25" customHeight="1" x14ac:dyDescent="0.25">
      <c r="A2848" s="21">
        <v>20091</v>
      </c>
      <c r="B2848" s="21"/>
      <c r="C2848">
        <v>208.7</v>
      </c>
      <c r="D2848">
        <v>4.5</v>
      </c>
      <c r="E2848">
        <v>557</v>
      </c>
      <c r="F2848">
        <v>323</v>
      </c>
      <c r="G2848">
        <v>28</v>
      </c>
      <c r="H2848">
        <v>323</v>
      </c>
      <c r="I2848">
        <v>1.67</v>
      </c>
      <c r="J2848" s="1">
        <v>19408</v>
      </c>
    </row>
    <row r="2849" spans="1:10" ht="14.25" customHeight="1" x14ac:dyDescent="0.25">
      <c r="A2849" s="21">
        <v>20091</v>
      </c>
      <c r="B2849" s="21"/>
      <c r="C2849">
        <v>102.8</v>
      </c>
      <c r="D2849">
        <v>3.8</v>
      </c>
      <c r="E2849">
        <v>314</v>
      </c>
      <c r="F2849">
        <v>254</v>
      </c>
      <c r="G2849">
        <v>20</v>
      </c>
      <c r="H2849">
        <v>254</v>
      </c>
      <c r="I2849">
        <v>1.76</v>
      </c>
      <c r="J2849" s="1">
        <v>10441</v>
      </c>
    </row>
    <row r="2850" spans="1:10" ht="14.25" customHeight="1" x14ac:dyDescent="0.25">
      <c r="A2850" s="21">
        <v>20091</v>
      </c>
      <c r="B2850" s="21"/>
      <c r="C2850">
        <v>0.4</v>
      </c>
      <c r="D2850">
        <v>3.4</v>
      </c>
      <c r="E2850">
        <v>10</v>
      </c>
      <c r="F2850">
        <v>9</v>
      </c>
      <c r="H2850">
        <v>9</v>
      </c>
      <c r="I2850">
        <v>1.58</v>
      </c>
      <c r="J2850">
        <v>43</v>
      </c>
    </row>
    <row r="2851" spans="1:10" ht="14.25" customHeight="1" x14ac:dyDescent="0.25">
      <c r="A2851" s="21">
        <v>20091</v>
      </c>
      <c r="B2851" s="21"/>
      <c r="C2851">
        <v>1.4</v>
      </c>
      <c r="D2851">
        <v>0.3</v>
      </c>
      <c r="E2851">
        <v>22</v>
      </c>
      <c r="F2851">
        <v>4</v>
      </c>
      <c r="H2851">
        <v>4</v>
      </c>
      <c r="I2851">
        <v>1.9</v>
      </c>
      <c r="J2851" s="1">
        <v>1580</v>
      </c>
    </row>
    <row r="2852" spans="1:10" ht="14.25" customHeight="1" x14ac:dyDescent="0.25">
      <c r="A2852" s="21">
        <v>20091</v>
      </c>
      <c r="B2852" s="21"/>
      <c r="E2852">
        <v>1</v>
      </c>
      <c r="H2852">
        <v>8</v>
      </c>
    </row>
    <row r="2853" spans="1:10" ht="14.25" customHeight="1" x14ac:dyDescent="0.25">
      <c r="A2853" s="21">
        <v>20091</v>
      </c>
      <c r="B2853" s="21"/>
    </row>
    <row r="2854" spans="1:10" ht="14.25" customHeight="1" x14ac:dyDescent="0.25">
      <c r="A2854" s="21">
        <v>20091</v>
      </c>
      <c r="B2854" s="21"/>
    </row>
    <row r="2855" spans="1:10" ht="14.25" customHeight="1" x14ac:dyDescent="0.25">
      <c r="A2855" s="21">
        <v>20091</v>
      </c>
      <c r="B2855" s="21"/>
      <c r="H2855">
        <v>8</v>
      </c>
    </row>
    <row r="2856" spans="1:10" ht="14.25" customHeight="1" x14ac:dyDescent="0.25">
      <c r="A2856" s="21">
        <v>20091</v>
      </c>
      <c r="B2856" s="21"/>
    </row>
    <row r="2857" spans="1:10" ht="14.25" customHeight="1" x14ac:dyDescent="0.25">
      <c r="A2857" s="21">
        <v>20091</v>
      </c>
      <c r="B2857" s="21"/>
    </row>
    <row r="2858" spans="1:10" ht="14.25" customHeight="1" x14ac:dyDescent="0.25">
      <c r="A2858" s="21">
        <v>20099</v>
      </c>
      <c r="B2858" s="21"/>
      <c r="C2858">
        <v>14.7</v>
      </c>
      <c r="D2858">
        <v>3</v>
      </c>
      <c r="E2858">
        <v>99</v>
      </c>
      <c r="F2858">
        <v>46</v>
      </c>
      <c r="G2858">
        <v>5</v>
      </c>
      <c r="H2858">
        <v>46</v>
      </c>
      <c r="I2858">
        <v>1.72</v>
      </c>
      <c r="J2858" s="1">
        <v>1954</v>
      </c>
    </row>
    <row r="2859" spans="1:10" ht="14.25" customHeight="1" x14ac:dyDescent="0.25">
      <c r="A2859" s="21">
        <v>20103</v>
      </c>
      <c r="B2859" s="21"/>
      <c r="C2859">
        <v>12.3</v>
      </c>
      <c r="D2859">
        <v>3.2</v>
      </c>
      <c r="E2859">
        <v>29</v>
      </c>
      <c r="F2859">
        <v>22</v>
      </c>
      <c r="G2859">
        <v>6</v>
      </c>
      <c r="H2859">
        <v>22</v>
      </c>
      <c r="I2859">
        <v>1.24</v>
      </c>
      <c r="J2859" s="1">
        <v>1416</v>
      </c>
    </row>
    <row r="2860" spans="1:10" ht="14.25" customHeight="1" x14ac:dyDescent="0.25">
      <c r="A2860" s="21">
        <v>20103</v>
      </c>
      <c r="B2860" s="21"/>
      <c r="C2860">
        <v>6.9</v>
      </c>
      <c r="D2860">
        <v>3.2</v>
      </c>
      <c r="E2860">
        <v>31</v>
      </c>
      <c r="F2860">
        <v>24</v>
      </c>
      <c r="G2860">
        <v>4</v>
      </c>
      <c r="H2860">
        <v>24</v>
      </c>
      <c r="I2860">
        <v>1.33</v>
      </c>
      <c r="J2860">
        <v>879</v>
      </c>
    </row>
    <row r="2861" spans="1:10" ht="14.25" customHeight="1" x14ac:dyDescent="0.25">
      <c r="A2861" s="21">
        <v>20113</v>
      </c>
      <c r="B2861" s="21"/>
      <c r="C2861">
        <v>7.3</v>
      </c>
      <c r="D2861">
        <v>3.8</v>
      </c>
      <c r="E2861">
        <v>51</v>
      </c>
      <c r="F2861">
        <v>37</v>
      </c>
      <c r="G2861">
        <v>7</v>
      </c>
      <c r="H2861">
        <v>37</v>
      </c>
      <c r="I2861">
        <v>1.3</v>
      </c>
      <c r="J2861">
        <v>749</v>
      </c>
    </row>
    <row r="2862" spans="1:10" ht="14.25" customHeight="1" x14ac:dyDescent="0.25">
      <c r="A2862" s="21">
        <v>20113</v>
      </c>
      <c r="B2862" s="21"/>
      <c r="C2862">
        <v>4</v>
      </c>
      <c r="D2862">
        <v>6.1</v>
      </c>
      <c r="E2862">
        <v>7</v>
      </c>
      <c r="F2862">
        <v>21</v>
      </c>
      <c r="H2862">
        <v>21</v>
      </c>
      <c r="I2862">
        <v>0.94</v>
      </c>
      <c r="J2862">
        <v>238</v>
      </c>
    </row>
    <row r="2863" spans="1:10" ht="14.25" customHeight="1" x14ac:dyDescent="0.25">
      <c r="A2863" s="21">
        <v>20121</v>
      </c>
      <c r="B2863" s="21"/>
      <c r="C2863">
        <v>2.7</v>
      </c>
      <c r="D2863">
        <v>2</v>
      </c>
      <c r="E2863">
        <v>57</v>
      </c>
      <c r="F2863">
        <v>18</v>
      </c>
      <c r="H2863">
        <v>18</v>
      </c>
      <c r="I2863">
        <v>1.17</v>
      </c>
      <c r="J2863">
        <v>485</v>
      </c>
    </row>
    <row r="2864" spans="1:10" ht="14.25" customHeight="1" x14ac:dyDescent="0.25">
      <c r="A2864" s="21">
        <v>20125</v>
      </c>
      <c r="B2864" s="21"/>
      <c r="C2864">
        <v>7.9</v>
      </c>
      <c r="D2864">
        <v>4</v>
      </c>
      <c r="J2864">
        <v>772</v>
      </c>
    </row>
    <row r="2865" spans="1:10" ht="14.25" customHeight="1" x14ac:dyDescent="0.25">
      <c r="A2865" s="21">
        <v>20125</v>
      </c>
      <c r="B2865" s="21"/>
      <c r="C2865">
        <v>10.7</v>
      </c>
      <c r="D2865">
        <v>3</v>
      </c>
      <c r="E2865">
        <v>57</v>
      </c>
      <c r="F2865">
        <v>47</v>
      </c>
      <c r="G2865">
        <v>7</v>
      </c>
      <c r="H2865">
        <v>47</v>
      </c>
      <c r="I2865">
        <v>1.34</v>
      </c>
      <c r="J2865" s="1">
        <v>1446</v>
      </c>
    </row>
    <row r="2866" spans="1:10" ht="14.25" customHeight="1" x14ac:dyDescent="0.25">
      <c r="A2866" s="21">
        <v>20129</v>
      </c>
      <c r="B2866" s="21"/>
      <c r="C2866">
        <v>2.2999999999999998</v>
      </c>
      <c r="D2866">
        <v>4.9000000000000004</v>
      </c>
      <c r="E2866">
        <v>7</v>
      </c>
      <c r="F2866">
        <v>26</v>
      </c>
      <c r="H2866">
        <v>26</v>
      </c>
      <c r="I2866">
        <v>1.01</v>
      </c>
      <c r="J2866">
        <v>169</v>
      </c>
    </row>
    <row r="2867" spans="1:10" ht="14.25" customHeight="1" x14ac:dyDescent="0.25">
      <c r="A2867" s="21">
        <v>20141</v>
      </c>
      <c r="B2867" s="21"/>
    </row>
    <row r="2868" spans="1:10" ht="14.25" customHeight="1" x14ac:dyDescent="0.25">
      <c r="A2868" s="21">
        <v>20151</v>
      </c>
      <c r="B2868" s="21"/>
      <c r="C2868">
        <v>10.7</v>
      </c>
      <c r="D2868">
        <v>3.1</v>
      </c>
      <c r="E2868">
        <v>48</v>
      </c>
      <c r="F2868">
        <v>35</v>
      </c>
      <c r="G2868">
        <v>6</v>
      </c>
      <c r="H2868">
        <v>35</v>
      </c>
      <c r="I2868">
        <v>1.71</v>
      </c>
      <c r="J2868" s="1">
        <v>1357</v>
      </c>
    </row>
    <row r="2869" spans="1:10" ht="14.25" customHeight="1" x14ac:dyDescent="0.25">
      <c r="A2869" s="21">
        <v>20155</v>
      </c>
      <c r="B2869" s="21"/>
      <c r="C2869">
        <v>42.5</v>
      </c>
      <c r="D2869">
        <v>3.5</v>
      </c>
      <c r="E2869">
        <v>141</v>
      </c>
      <c r="F2869">
        <v>127</v>
      </c>
      <c r="G2869">
        <v>18</v>
      </c>
      <c r="H2869">
        <v>127</v>
      </c>
      <c r="I2869">
        <v>1.63</v>
      </c>
      <c r="J2869" s="1">
        <v>4754</v>
      </c>
    </row>
    <row r="2870" spans="1:10" ht="14.25" customHeight="1" x14ac:dyDescent="0.25">
      <c r="A2870" s="21">
        <v>20155</v>
      </c>
      <c r="B2870" s="21"/>
      <c r="C2870">
        <v>1.3</v>
      </c>
      <c r="D2870">
        <v>1.7</v>
      </c>
      <c r="E2870">
        <v>17</v>
      </c>
      <c r="F2870">
        <v>10</v>
      </c>
      <c r="H2870">
        <v>10</v>
      </c>
      <c r="I2870">
        <v>2.09</v>
      </c>
      <c r="J2870">
        <v>275</v>
      </c>
    </row>
    <row r="2871" spans="1:10" ht="14.25" customHeight="1" x14ac:dyDescent="0.25">
      <c r="A2871" s="21">
        <v>20161</v>
      </c>
      <c r="B2871" s="21"/>
      <c r="C2871">
        <v>3.4</v>
      </c>
      <c r="D2871">
        <v>1.6</v>
      </c>
      <c r="E2871">
        <v>35</v>
      </c>
      <c r="F2871">
        <v>13</v>
      </c>
      <c r="H2871">
        <v>13</v>
      </c>
      <c r="I2871">
        <v>2.0699999999999998</v>
      </c>
      <c r="J2871">
        <v>761</v>
      </c>
    </row>
    <row r="2872" spans="1:10" ht="14.25" customHeight="1" x14ac:dyDescent="0.25">
      <c r="A2872" s="21">
        <v>20161</v>
      </c>
      <c r="B2872" s="21"/>
      <c r="C2872">
        <v>33.1</v>
      </c>
      <c r="D2872">
        <v>3.9</v>
      </c>
      <c r="E2872">
        <v>149</v>
      </c>
      <c r="F2872">
        <v>86</v>
      </c>
      <c r="G2872">
        <v>8</v>
      </c>
      <c r="H2872">
        <v>86</v>
      </c>
      <c r="I2872">
        <v>1.61</v>
      </c>
      <c r="J2872" s="1">
        <v>3697</v>
      </c>
    </row>
    <row r="2873" spans="1:10" ht="14.25" customHeight="1" x14ac:dyDescent="0.25">
      <c r="A2873" s="21">
        <v>20169</v>
      </c>
      <c r="B2873" s="21"/>
      <c r="C2873">
        <v>5.6</v>
      </c>
      <c r="D2873">
        <v>2.2999999999999998</v>
      </c>
      <c r="E2873">
        <v>20</v>
      </c>
      <c r="F2873">
        <v>16</v>
      </c>
      <c r="H2873">
        <v>16</v>
      </c>
      <c r="I2873">
        <v>2.1</v>
      </c>
      <c r="J2873">
        <v>868</v>
      </c>
    </row>
    <row r="2874" spans="1:10" ht="14.25" customHeight="1" x14ac:dyDescent="0.25">
      <c r="A2874" s="21">
        <v>20169</v>
      </c>
      <c r="B2874" s="21"/>
      <c r="C2874">
        <v>97.2</v>
      </c>
      <c r="D2874">
        <v>4.2</v>
      </c>
      <c r="E2874">
        <v>219</v>
      </c>
      <c r="F2874">
        <v>177</v>
      </c>
      <c r="G2874">
        <v>18</v>
      </c>
      <c r="H2874">
        <v>177</v>
      </c>
      <c r="I2874">
        <v>1.75</v>
      </c>
      <c r="J2874" s="1">
        <v>8544</v>
      </c>
    </row>
    <row r="2875" spans="1:10" ht="14.25" customHeight="1" x14ac:dyDescent="0.25">
      <c r="A2875" s="21">
        <v>20173</v>
      </c>
      <c r="B2875" s="21"/>
      <c r="C2875">
        <v>409.1</v>
      </c>
      <c r="D2875">
        <v>5.3</v>
      </c>
      <c r="E2875">
        <v>592</v>
      </c>
      <c r="F2875">
        <v>625</v>
      </c>
      <c r="G2875">
        <v>65</v>
      </c>
      <c r="H2875">
        <v>625</v>
      </c>
      <c r="I2875">
        <v>1.92</v>
      </c>
      <c r="J2875" s="1">
        <v>29101</v>
      </c>
    </row>
    <row r="2876" spans="1:10" ht="14.25" customHeight="1" x14ac:dyDescent="0.25">
      <c r="A2876" s="21">
        <v>20173</v>
      </c>
      <c r="B2876" s="21"/>
      <c r="C2876">
        <v>379.1</v>
      </c>
      <c r="D2876">
        <v>4.9000000000000004</v>
      </c>
      <c r="E2876">
        <v>697</v>
      </c>
      <c r="F2876">
        <v>593</v>
      </c>
      <c r="G2876">
        <v>93</v>
      </c>
      <c r="H2876">
        <v>593</v>
      </c>
      <c r="I2876">
        <v>2</v>
      </c>
      <c r="J2876" s="1">
        <v>29403</v>
      </c>
    </row>
    <row r="2877" spans="1:10" ht="14.25" customHeight="1" x14ac:dyDescent="0.25">
      <c r="A2877" s="21">
        <v>20173</v>
      </c>
      <c r="B2877" s="21"/>
      <c r="C2877">
        <v>42.3</v>
      </c>
      <c r="D2877">
        <v>5.3</v>
      </c>
      <c r="E2877">
        <v>11</v>
      </c>
      <c r="H2877">
        <v>82</v>
      </c>
      <c r="J2877" s="1">
        <v>2890</v>
      </c>
    </row>
    <row r="2878" spans="1:10" ht="14.25" customHeight="1" x14ac:dyDescent="0.25">
      <c r="A2878" s="21">
        <v>20173</v>
      </c>
      <c r="B2878" s="21"/>
      <c r="C2878">
        <v>13.2</v>
      </c>
      <c r="D2878">
        <v>2.2000000000000002</v>
      </c>
      <c r="E2878">
        <v>48</v>
      </c>
      <c r="F2878">
        <v>36</v>
      </c>
      <c r="H2878">
        <v>36</v>
      </c>
      <c r="I2878">
        <v>2.92</v>
      </c>
      <c r="J2878" s="1">
        <v>2194</v>
      </c>
    </row>
    <row r="2879" spans="1:10" ht="14.25" customHeight="1" x14ac:dyDescent="0.25">
      <c r="A2879" s="21">
        <v>20173</v>
      </c>
      <c r="B2879" s="21"/>
      <c r="C2879">
        <v>20.100000000000001</v>
      </c>
      <c r="D2879">
        <v>4.2</v>
      </c>
      <c r="E2879">
        <v>22</v>
      </c>
      <c r="F2879">
        <v>46</v>
      </c>
      <c r="H2879">
        <v>46</v>
      </c>
      <c r="I2879">
        <v>2.46</v>
      </c>
      <c r="J2879" s="1">
        <v>1752</v>
      </c>
    </row>
    <row r="2880" spans="1:10" ht="14.25" customHeight="1" x14ac:dyDescent="0.25">
      <c r="A2880" s="21">
        <v>20173</v>
      </c>
      <c r="B2880" s="21"/>
      <c r="C2880">
        <v>11.6</v>
      </c>
      <c r="D2880">
        <v>2.2000000000000002</v>
      </c>
      <c r="E2880">
        <v>72</v>
      </c>
      <c r="F2880">
        <v>32</v>
      </c>
      <c r="H2880">
        <v>32</v>
      </c>
      <c r="I2880">
        <v>2.17</v>
      </c>
      <c r="J2880" s="1">
        <v>1909</v>
      </c>
    </row>
    <row r="2881" spans="1:10" ht="14.25" customHeight="1" x14ac:dyDescent="0.25">
      <c r="A2881" s="21">
        <v>20173</v>
      </c>
      <c r="B2881" s="21"/>
      <c r="E2881">
        <v>3</v>
      </c>
      <c r="H2881">
        <v>266</v>
      </c>
    </row>
    <row r="2882" spans="1:10" ht="14.25" customHeight="1" x14ac:dyDescent="0.25">
      <c r="A2882" s="21">
        <v>20173</v>
      </c>
      <c r="B2882" s="21"/>
      <c r="C2882">
        <v>12.2</v>
      </c>
      <c r="D2882">
        <v>3.5</v>
      </c>
      <c r="E2882">
        <v>57</v>
      </c>
      <c r="F2882">
        <v>39</v>
      </c>
      <c r="G2882">
        <v>6</v>
      </c>
      <c r="H2882">
        <v>39</v>
      </c>
      <c r="I2882">
        <v>1.49</v>
      </c>
      <c r="J2882" s="1">
        <v>1288</v>
      </c>
    </row>
    <row r="2883" spans="1:10" ht="14.25" customHeight="1" x14ac:dyDescent="0.25">
      <c r="A2883" s="21">
        <v>20173</v>
      </c>
      <c r="B2883" s="21"/>
      <c r="E2883">
        <v>17</v>
      </c>
      <c r="H2883">
        <v>31</v>
      </c>
    </row>
    <row r="2884" spans="1:10" ht="14.25" customHeight="1" x14ac:dyDescent="0.25">
      <c r="A2884" s="21">
        <v>20175</v>
      </c>
      <c r="B2884" s="21"/>
      <c r="C2884">
        <v>20.100000000000001</v>
      </c>
      <c r="D2884">
        <v>3.7</v>
      </c>
      <c r="E2884">
        <v>60</v>
      </c>
      <c r="F2884">
        <v>71</v>
      </c>
      <c r="G2884">
        <v>8</v>
      </c>
      <c r="H2884">
        <v>71</v>
      </c>
      <c r="I2884">
        <v>1.6</v>
      </c>
      <c r="J2884" s="1">
        <v>2361</v>
      </c>
    </row>
    <row r="2885" spans="1:10" ht="14.25" customHeight="1" x14ac:dyDescent="0.25">
      <c r="A2885" s="21">
        <v>20177</v>
      </c>
      <c r="B2885" s="21"/>
      <c r="C2885">
        <v>71</v>
      </c>
      <c r="D2885">
        <v>3.9</v>
      </c>
      <c r="E2885">
        <v>231</v>
      </c>
      <c r="F2885">
        <v>228</v>
      </c>
      <c r="G2885">
        <v>16</v>
      </c>
      <c r="H2885">
        <v>228</v>
      </c>
      <c r="I2885">
        <v>1.67</v>
      </c>
      <c r="J2885" s="1">
        <v>7106</v>
      </c>
    </row>
    <row r="2886" spans="1:10" ht="14.25" customHeight="1" x14ac:dyDescent="0.25">
      <c r="A2886" s="21">
        <v>20177</v>
      </c>
      <c r="B2886" s="21"/>
      <c r="C2886">
        <v>265.89999999999998</v>
      </c>
      <c r="D2886">
        <v>3.9</v>
      </c>
      <c r="E2886">
        <v>556</v>
      </c>
      <c r="F2886">
        <v>426</v>
      </c>
      <c r="G2886">
        <v>36</v>
      </c>
      <c r="H2886">
        <v>426</v>
      </c>
      <c r="I2886">
        <v>1.78</v>
      </c>
      <c r="J2886" s="1">
        <v>25553</v>
      </c>
    </row>
    <row r="2887" spans="1:10" ht="14.25" customHeight="1" x14ac:dyDescent="0.25">
      <c r="A2887" s="21">
        <v>20191</v>
      </c>
      <c r="B2887" s="21"/>
      <c r="C2887">
        <v>1</v>
      </c>
      <c r="D2887">
        <v>1.8</v>
      </c>
      <c r="I2887">
        <v>1.07</v>
      </c>
      <c r="J2887">
        <v>211</v>
      </c>
    </row>
    <row r="2888" spans="1:10" ht="14.25" customHeight="1" x14ac:dyDescent="0.25">
      <c r="A2888" s="21">
        <v>20209</v>
      </c>
      <c r="B2888" s="21"/>
      <c r="C2888">
        <v>89.4</v>
      </c>
      <c r="D2888">
        <v>3.9</v>
      </c>
      <c r="E2888">
        <v>153</v>
      </c>
      <c r="F2888">
        <v>171</v>
      </c>
      <c r="G2888">
        <v>23</v>
      </c>
      <c r="H2888">
        <v>171</v>
      </c>
      <c r="I2888">
        <v>1.85</v>
      </c>
      <c r="J2888" s="1">
        <v>8700</v>
      </c>
    </row>
    <row r="2889" spans="1:10" ht="14.25" customHeight="1" x14ac:dyDescent="0.25">
      <c r="A2889" s="21">
        <v>20209</v>
      </c>
      <c r="B2889" s="21"/>
      <c r="C2889">
        <v>618.20000000000005</v>
      </c>
      <c r="D2889">
        <v>5.5</v>
      </c>
      <c r="E2889" s="1">
        <v>1529</v>
      </c>
      <c r="F2889">
        <v>848</v>
      </c>
      <c r="G2889">
        <v>106</v>
      </c>
      <c r="H2889">
        <v>848</v>
      </c>
      <c r="I2889">
        <v>2.16</v>
      </c>
      <c r="J2889" s="1">
        <v>41549</v>
      </c>
    </row>
    <row r="2890" spans="1:10" ht="14.25" customHeight="1" x14ac:dyDescent="0.25">
      <c r="A2890" s="21">
        <v>20209</v>
      </c>
      <c r="B2890" s="21"/>
    </row>
    <row r="2891" spans="1:10" ht="14.25" customHeight="1" x14ac:dyDescent="0.25">
      <c r="A2891" s="21">
        <v>21001</v>
      </c>
      <c r="B2891" s="21"/>
      <c r="C2891">
        <v>1.3</v>
      </c>
      <c r="D2891">
        <v>2.6</v>
      </c>
      <c r="I2891">
        <v>1.06</v>
      </c>
      <c r="J2891">
        <v>187</v>
      </c>
    </row>
    <row r="2892" spans="1:10" ht="14.25" customHeight="1" x14ac:dyDescent="0.25">
      <c r="A2892" s="21">
        <v>21009</v>
      </c>
      <c r="B2892" s="21"/>
      <c r="C2892">
        <v>49.3</v>
      </c>
      <c r="D2892">
        <v>3.6</v>
      </c>
      <c r="E2892">
        <v>172</v>
      </c>
      <c r="F2892">
        <v>108</v>
      </c>
      <c r="G2892">
        <v>10</v>
      </c>
      <c r="H2892">
        <v>108</v>
      </c>
      <c r="I2892">
        <v>1.57</v>
      </c>
      <c r="J2892" s="1">
        <v>5535</v>
      </c>
    </row>
    <row r="2893" spans="1:10" ht="14.25" customHeight="1" x14ac:dyDescent="0.25">
      <c r="A2893" s="21">
        <v>21013</v>
      </c>
      <c r="B2893" s="21"/>
      <c r="C2893">
        <v>20.5</v>
      </c>
      <c r="D2893">
        <v>7.6</v>
      </c>
      <c r="E2893">
        <v>101</v>
      </c>
      <c r="F2893">
        <v>46</v>
      </c>
      <c r="G2893">
        <v>7</v>
      </c>
      <c r="H2893">
        <v>46</v>
      </c>
      <c r="I2893">
        <v>1.48</v>
      </c>
      <c r="J2893" s="1">
        <v>1064</v>
      </c>
    </row>
    <row r="2894" spans="1:10" ht="14.25" customHeight="1" x14ac:dyDescent="0.25">
      <c r="A2894" s="21">
        <v>21013</v>
      </c>
      <c r="B2894" s="21"/>
      <c r="C2894">
        <v>8.9</v>
      </c>
      <c r="D2894">
        <v>4.5999999999999996</v>
      </c>
      <c r="E2894">
        <v>20</v>
      </c>
      <c r="F2894">
        <v>41</v>
      </c>
      <c r="H2894">
        <v>41</v>
      </c>
      <c r="I2894">
        <v>1.0900000000000001</v>
      </c>
      <c r="J2894">
        <v>708</v>
      </c>
    </row>
    <row r="2895" spans="1:10" ht="14.25" customHeight="1" x14ac:dyDescent="0.25">
      <c r="A2895" s="21">
        <v>21015</v>
      </c>
      <c r="B2895" s="21"/>
      <c r="C2895">
        <v>91.4</v>
      </c>
      <c r="D2895">
        <v>3.7</v>
      </c>
      <c r="E2895">
        <v>132</v>
      </c>
      <c r="F2895">
        <v>126</v>
      </c>
      <c r="G2895">
        <v>18</v>
      </c>
      <c r="H2895">
        <v>126</v>
      </c>
      <c r="I2895">
        <v>1.44</v>
      </c>
      <c r="J2895" s="1">
        <v>9672</v>
      </c>
    </row>
    <row r="2896" spans="1:10" ht="14.25" customHeight="1" x14ac:dyDescent="0.25">
      <c r="A2896" s="21">
        <v>21017</v>
      </c>
      <c r="B2896" s="21"/>
      <c r="C2896">
        <v>10.199999999999999</v>
      </c>
      <c r="D2896">
        <v>4</v>
      </c>
      <c r="E2896">
        <v>38</v>
      </c>
      <c r="F2896">
        <v>34</v>
      </c>
      <c r="G2896">
        <v>4</v>
      </c>
      <c r="H2896">
        <v>34</v>
      </c>
      <c r="I2896">
        <v>1.21</v>
      </c>
      <c r="J2896">
        <v>931</v>
      </c>
    </row>
    <row r="2897" spans="1:10" ht="14.25" customHeight="1" x14ac:dyDescent="0.25">
      <c r="A2897" s="21">
        <v>21019</v>
      </c>
      <c r="B2897" s="21"/>
      <c r="C2897">
        <v>162.6</v>
      </c>
      <c r="D2897">
        <v>4.3</v>
      </c>
      <c r="E2897">
        <v>478</v>
      </c>
      <c r="F2897">
        <v>438</v>
      </c>
      <c r="G2897">
        <v>36</v>
      </c>
      <c r="H2897">
        <v>438</v>
      </c>
      <c r="I2897">
        <v>1.71</v>
      </c>
      <c r="J2897" s="1">
        <v>14255</v>
      </c>
    </row>
    <row r="2898" spans="1:10" ht="14.25" customHeight="1" x14ac:dyDescent="0.25">
      <c r="A2898" s="21">
        <v>21019</v>
      </c>
      <c r="B2898" s="21"/>
      <c r="C2898">
        <v>75.599999999999994</v>
      </c>
      <c r="D2898">
        <v>4.8</v>
      </c>
      <c r="F2898">
        <v>135</v>
      </c>
      <c r="G2898">
        <v>12</v>
      </c>
      <c r="I2898">
        <v>1.44</v>
      </c>
      <c r="J2898" s="1">
        <v>5738</v>
      </c>
    </row>
    <row r="2899" spans="1:10" ht="14.25" customHeight="1" x14ac:dyDescent="0.25">
      <c r="A2899" s="21">
        <v>21021</v>
      </c>
      <c r="B2899" s="21"/>
      <c r="C2899">
        <v>73.5</v>
      </c>
      <c r="D2899">
        <v>4.5</v>
      </c>
      <c r="E2899">
        <v>186</v>
      </c>
      <c r="F2899">
        <v>170</v>
      </c>
      <c r="G2899">
        <v>22</v>
      </c>
      <c r="H2899">
        <v>170</v>
      </c>
      <c r="I2899">
        <v>1.62</v>
      </c>
      <c r="J2899" s="1">
        <v>6197</v>
      </c>
    </row>
    <row r="2900" spans="1:10" ht="14.25" customHeight="1" x14ac:dyDescent="0.25">
      <c r="A2900" s="21">
        <v>21025</v>
      </c>
      <c r="B2900" s="21"/>
      <c r="C2900">
        <v>12.5</v>
      </c>
      <c r="D2900">
        <v>2.7</v>
      </c>
      <c r="E2900">
        <v>43</v>
      </c>
      <c r="F2900">
        <v>49</v>
      </c>
      <c r="G2900">
        <v>4</v>
      </c>
      <c r="H2900">
        <v>49</v>
      </c>
      <c r="I2900">
        <v>1.1499999999999999</v>
      </c>
      <c r="J2900" s="1">
        <v>1712</v>
      </c>
    </row>
    <row r="2901" spans="1:10" ht="14.25" customHeight="1" x14ac:dyDescent="0.25">
      <c r="A2901" s="21">
        <v>21035</v>
      </c>
      <c r="B2901" s="21"/>
      <c r="C2901">
        <v>35.200000000000003</v>
      </c>
      <c r="D2901">
        <v>4.5</v>
      </c>
      <c r="E2901">
        <v>117</v>
      </c>
      <c r="F2901">
        <v>99</v>
      </c>
      <c r="G2901">
        <v>10</v>
      </c>
      <c r="H2901">
        <v>99</v>
      </c>
      <c r="I2901">
        <v>1.38</v>
      </c>
      <c r="J2901" s="1">
        <v>3046</v>
      </c>
    </row>
    <row r="2902" spans="1:10" ht="14.25" customHeight="1" x14ac:dyDescent="0.25">
      <c r="A2902" s="21">
        <v>21037</v>
      </c>
      <c r="B2902" s="21"/>
      <c r="C2902">
        <v>82.2</v>
      </c>
      <c r="D2902">
        <v>4.4000000000000004</v>
      </c>
      <c r="E2902">
        <v>60</v>
      </c>
      <c r="F2902">
        <v>123</v>
      </c>
      <c r="G2902">
        <v>21</v>
      </c>
      <c r="H2902">
        <v>123</v>
      </c>
      <c r="I2902">
        <v>1.35</v>
      </c>
      <c r="J2902" s="1">
        <v>6935</v>
      </c>
    </row>
    <row r="2903" spans="1:10" ht="14.25" customHeight="1" x14ac:dyDescent="0.25">
      <c r="A2903" s="21">
        <v>21047</v>
      </c>
      <c r="B2903" s="21"/>
      <c r="C2903">
        <v>47.2</v>
      </c>
      <c r="D2903">
        <v>4</v>
      </c>
      <c r="E2903">
        <v>150</v>
      </c>
      <c r="F2903">
        <v>133</v>
      </c>
      <c r="G2903">
        <v>18</v>
      </c>
      <c r="H2903">
        <v>133</v>
      </c>
      <c r="I2903">
        <v>1.41</v>
      </c>
      <c r="J2903" s="1">
        <v>4175</v>
      </c>
    </row>
    <row r="2904" spans="1:10" ht="14.25" customHeight="1" x14ac:dyDescent="0.25">
      <c r="A2904" s="21">
        <v>21049</v>
      </c>
      <c r="B2904" s="21"/>
      <c r="C2904">
        <v>24.3</v>
      </c>
      <c r="D2904">
        <v>3</v>
      </c>
      <c r="E2904">
        <v>122</v>
      </c>
      <c r="F2904">
        <v>54</v>
      </c>
      <c r="G2904">
        <v>8</v>
      </c>
      <c r="H2904">
        <v>54</v>
      </c>
      <c r="I2904">
        <v>1.32</v>
      </c>
      <c r="J2904" s="1">
        <v>3452</v>
      </c>
    </row>
    <row r="2905" spans="1:10" ht="14.25" customHeight="1" x14ac:dyDescent="0.25">
      <c r="A2905" s="21">
        <v>21051</v>
      </c>
      <c r="B2905" s="21"/>
      <c r="C2905">
        <v>14.5</v>
      </c>
      <c r="D2905">
        <v>3.4</v>
      </c>
      <c r="E2905">
        <v>71</v>
      </c>
      <c r="F2905">
        <v>49</v>
      </c>
      <c r="G2905">
        <v>6</v>
      </c>
      <c r="H2905">
        <v>49</v>
      </c>
      <c r="I2905">
        <v>1.35</v>
      </c>
      <c r="J2905" s="1">
        <v>1642</v>
      </c>
    </row>
    <row r="2906" spans="1:10" ht="14.25" customHeight="1" x14ac:dyDescent="0.25">
      <c r="A2906" s="21">
        <v>21053</v>
      </c>
      <c r="B2906" s="21"/>
      <c r="C2906">
        <v>8</v>
      </c>
      <c r="D2906">
        <v>5.3</v>
      </c>
      <c r="E2906">
        <v>23</v>
      </c>
      <c r="F2906">
        <v>38</v>
      </c>
      <c r="H2906">
        <v>38</v>
      </c>
      <c r="I2906">
        <v>1.01</v>
      </c>
      <c r="J2906">
        <v>553</v>
      </c>
    </row>
    <row r="2907" spans="1:10" ht="14.25" customHeight="1" x14ac:dyDescent="0.25">
      <c r="A2907" s="21">
        <v>21055</v>
      </c>
      <c r="B2907" s="21"/>
      <c r="C2907">
        <v>8.1999999999999993</v>
      </c>
      <c r="D2907">
        <v>4.4000000000000004</v>
      </c>
      <c r="E2907">
        <v>20</v>
      </c>
      <c r="F2907">
        <v>48</v>
      </c>
      <c r="H2907">
        <v>48</v>
      </c>
      <c r="I2907">
        <v>1.07</v>
      </c>
      <c r="J2907">
        <v>676</v>
      </c>
    </row>
    <row r="2908" spans="1:10" ht="14.25" customHeight="1" x14ac:dyDescent="0.25">
      <c r="A2908" s="21">
        <v>21059</v>
      </c>
      <c r="B2908" s="21"/>
      <c r="C2908">
        <v>167.7</v>
      </c>
      <c r="D2908">
        <v>4.5</v>
      </c>
      <c r="E2908">
        <v>450</v>
      </c>
      <c r="F2908">
        <v>427</v>
      </c>
      <c r="G2908">
        <v>32</v>
      </c>
      <c r="H2908">
        <v>427</v>
      </c>
      <c r="I2908">
        <v>1.78</v>
      </c>
      <c r="J2908" s="1">
        <v>14646</v>
      </c>
    </row>
    <row r="2909" spans="1:10" ht="14.25" customHeight="1" x14ac:dyDescent="0.25">
      <c r="A2909" s="21">
        <v>21067</v>
      </c>
      <c r="B2909" s="21"/>
      <c r="C2909">
        <v>66.3</v>
      </c>
      <c r="D2909">
        <v>4.5</v>
      </c>
      <c r="E2909">
        <v>173</v>
      </c>
      <c r="F2909">
        <v>160</v>
      </c>
      <c r="G2909">
        <v>12</v>
      </c>
      <c r="H2909">
        <v>160</v>
      </c>
      <c r="I2909">
        <v>1.92</v>
      </c>
      <c r="J2909" s="1">
        <v>7098</v>
      </c>
    </row>
    <row r="2910" spans="1:10" ht="14.25" customHeight="1" x14ac:dyDescent="0.25">
      <c r="A2910" s="21">
        <v>21067</v>
      </c>
      <c r="B2910" s="21"/>
      <c r="C2910">
        <v>240.6</v>
      </c>
      <c r="D2910">
        <v>4.5</v>
      </c>
      <c r="E2910">
        <v>859</v>
      </c>
      <c r="F2910">
        <v>391</v>
      </c>
      <c r="G2910">
        <v>52</v>
      </c>
      <c r="H2910">
        <v>391</v>
      </c>
      <c r="I2910">
        <v>1.94</v>
      </c>
      <c r="J2910" s="1">
        <v>23020</v>
      </c>
    </row>
    <row r="2911" spans="1:10" ht="14.25" customHeight="1" x14ac:dyDescent="0.25">
      <c r="A2911" s="21">
        <v>21067</v>
      </c>
      <c r="B2911" s="21"/>
      <c r="C2911">
        <v>175</v>
      </c>
      <c r="D2911">
        <v>5.3</v>
      </c>
      <c r="E2911">
        <v>309</v>
      </c>
      <c r="F2911">
        <v>255</v>
      </c>
      <c r="G2911">
        <v>38</v>
      </c>
      <c r="H2911">
        <v>255</v>
      </c>
      <c r="I2911">
        <v>2.25</v>
      </c>
      <c r="J2911" s="1">
        <v>12096</v>
      </c>
    </row>
    <row r="2912" spans="1:10" ht="14.25" customHeight="1" x14ac:dyDescent="0.25">
      <c r="A2912" s="21">
        <v>21067</v>
      </c>
      <c r="B2912" s="21"/>
      <c r="C2912">
        <v>748.4</v>
      </c>
      <c r="D2912">
        <v>6.1</v>
      </c>
      <c r="E2912" s="1">
        <v>1287</v>
      </c>
      <c r="F2912">
        <v>901</v>
      </c>
      <c r="G2912">
        <v>146</v>
      </c>
      <c r="H2912">
        <v>524</v>
      </c>
      <c r="I2912">
        <v>2.15</v>
      </c>
      <c r="J2912" s="1">
        <v>45156</v>
      </c>
    </row>
    <row r="2913" spans="1:10" ht="14.25" customHeight="1" x14ac:dyDescent="0.25">
      <c r="A2913" s="21">
        <v>21067</v>
      </c>
      <c r="B2913" s="21"/>
      <c r="E2913">
        <v>15</v>
      </c>
      <c r="H2913">
        <v>158</v>
      </c>
    </row>
    <row r="2914" spans="1:10" ht="14.25" customHeight="1" x14ac:dyDescent="0.25">
      <c r="A2914" s="21">
        <v>21067</v>
      </c>
      <c r="B2914" s="21"/>
      <c r="H2914">
        <v>217</v>
      </c>
    </row>
    <row r="2915" spans="1:10" ht="14.25" customHeight="1" x14ac:dyDescent="0.25">
      <c r="A2915" s="21">
        <v>21067</v>
      </c>
      <c r="B2915" s="21"/>
    </row>
    <row r="2916" spans="1:10" ht="14.25" customHeight="1" x14ac:dyDescent="0.25">
      <c r="A2916" s="21">
        <v>21071</v>
      </c>
      <c r="B2916" s="21"/>
      <c r="C2916">
        <v>47.7</v>
      </c>
      <c r="D2916">
        <v>4.9000000000000004</v>
      </c>
      <c r="E2916">
        <v>97</v>
      </c>
      <c r="F2916">
        <v>127</v>
      </c>
      <c r="G2916">
        <v>12</v>
      </c>
      <c r="H2916">
        <v>127</v>
      </c>
      <c r="I2916">
        <v>1.33</v>
      </c>
      <c r="J2916" s="1">
        <v>3734</v>
      </c>
    </row>
    <row r="2917" spans="1:10" ht="14.25" customHeight="1" x14ac:dyDescent="0.25">
      <c r="A2917" s="21">
        <v>21073</v>
      </c>
      <c r="B2917" s="21"/>
      <c r="C2917">
        <v>68.3</v>
      </c>
      <c r="D2917">
        <v>4.5999999999999996</v>
      </c>
      <c r="E2917">
        <v>132</v>
      </c>
      <c r="F2917">
        <v>115</v>
      </c>
      <c r="G2917">
        <v>10</v>
      </c>
      <c r="H2917">
        <v>115</v>
      </c>
      <c r="I2917">
        <v>1.52</v>
      </c>
      <c r="J2917" s="1">
        <v>5739</v>
      </c>
    </row>
    <row r="2918" spans="1:10" ht="14.25" customHeight="1" x14ac:dyDescent="0.25">
      <c r="A2918" s="21">
        <v>21075</v>
      </c>
      <c r="B2918" s="21"/>
      <c r="C2918">
        <v>5.6</v>
      </c>
      <c r="D2918">
        <v>3.9</v>
      </c>
      <c r="J2918">
        <v>527</v>
      </c>
    </row>
    <row r="2919" spans="1:10" ht="14.25" customHeight="1" x14ac:dyDescent="0.25">
      <c r="A2919" s="21">
        <v>21083</v>
      </c>
      <c r="B2919" s="21"/>
      <c r="C2919">
        <v>42.8</v>
      </c>
      <c r="D2919">
        <v>4.9000000000000004</v>
      </c>
      <c r="E2919">
        <v>83</v>
      </c>
      <c r="F2919">
        <v>95</v>
      </c>
      <c r="G2919">
        <v>8</v>
      </c>
      <c r="H2919">
        <v>95</v>
      </c>
      <c r="I2919">
        <v>1.37</v>
      </c>
      <c r="J2919" s="1">
        <v>3341</v>
      </c>
    </row>
    <row r="2920" spans="1:10" ht="14.25" customHeight="1" x14ac:dyDescent="0.25">
      <c r="A2920" s="21">
        <v>21085</v>
      </c>
      <c r="B2920" s="21"/>
      <c r="C2920">
        <v>23.9</v>
      </c>
      <c r="D2920">
        <v>4.4000000000000004</v>
      </c>
      <c r="E2920">
        <v>91</v>
      </c>
      <c r="F2920">
        <v>75</v>
      </c>
      <c r="G2920">
        <v>6</v>
      </c>
      <c r="H2920">
        <v>75</v>
      </c>
      <c r="I2920">
        <v>1.29</v>
      </c>
      <c r="J2920" s="1">
        <v>2180</v>
      </c>
    </row>
    <row r="2921" spans="1:10" ht="14.25" customHeight="1" x14ac:dyDescent="0.25">
      <c r="A2921" s="21">
        <v>21093</v>
      </c>
      <c r="B2921" s="21"/>
      <c r="C2921">
        <v>135.5</v>
      </c>
      <c r="D2921">
        <v>3.9</v>
      </c>
      <c r="E2921">
        <v>449</v>
      </c>
      <c r="F2921">
        <v>270</v>
      </c>
      <c r="G2921">
        <v>10</v>
      </c>
      <c r="H2921">
        <v>270</v>
      </c>
      <c r="I2921">
        <v>1.63</v>
      </c>
      <c r="J2921" s="1">
        <v>13809</v>
      </c>
    </row>
    <row r="2922" spans="1:10" ht="14.25" customHeight="1" x14ac:dyDescent="0.25">
      <c r="A2922" s="21">
        <v>21095</v>
      </c>
      <c r="B2922" s="21"/>
      <c r="C2922">
        <v>34.6</v>
      </c>
      <c r="D2922">
        <v>3.7</v>
      </c>
      <c r="E2922">
        <v>114</v>
      </c>
      <c r="F2922">
        <v>81</v>
      </c>
      <c r="G2922">
        <v>7</v>
      </c>
      <c r="H2922">
        <v>81</v>
      </c>
      <c r="I2922">
        <v>1.1499999999999999</v>
      </c>
      <c r="J2922" s="1">
        <v>3567</v>
      </c>
    </row>
    <row r="2923" spans="1:10" ht="14.25" customHeight="1" x14ac:dyDescent="0.25">
      <c r="A2923" s="21">
        <v>21097</v>
      </c>
      <c r="B2923" s="21"/>
      <c r="C2923">
        <v>10.3</v>
      </c>
      <c r="D2923">
        <v>3.5</v>
      </c>
      <c r="E2923">
        <v>75</v>
      </c>
      <c r="F2923">
        <v>61</v>
      </c>
      <c r="G2923">
        <v>6</v>
      </c>
      <c r="H2923">
        <v>61</v>
      </c>
      <c r="I2923">
        <v>1.28</v>
      </c>
      <c r="J2923" s="1">
        <v>1185</v>
      </c>
    </row>
    <row r="2924" spans="1:10" ht="14.25" customHeight="1" x14ac:dyDescent="0.25">
      <c r="A2924" s="21">
        <v>21101</v>
      </c>
      <c r="B2924" s="21"/>
      <c r="C2924">
        <v>38.1</v>
      </c>
      <c r="D2924">
        <v>3.8</v>
      </c>
      <c r="E2924">
        <v>126</v>
      </c>
      <c r="F2924">
        <v>118</v>
      </c>
      <c r="G2924">
        <v>12</v>
      </c>
      <c r="H2924">
        <v>118</v>
      </c>
      <c r="I2924">
        <v>1.43</v>
      </c>
      <c r="J2924" s="1">
        <v>3875</v>
      </c>
    </row>
    <row r="2925" spans="1:10" ht="14.25" customHeight="1" x14ac:dyDescent="0.25">
      <c r="A2925" s="21">
        <v>21107</v>
      </c>
      <c r="B2925" s="21"/>
      <c r="C2925">
        <v>68.599999999999994</v>
      </c>
      <c r="D2925">
        <v>4.4000000000000004</v>
      </c>
      <c r="E2925">
        <v>306</v>
      </c>
      <c r="F2925">
        <v>144</v>
      </c>
      <c r="G2925">
        <v>20</v>
      </c>
      <c r="H2925">
        <v>410</v>
      </c>
      <c r="I2925">
        <v>1.7</v>
      </c>
      <c r="J2925" s="1">
        <v>5925</v>
      </c>
    </row>
    <row r="2926" spans="1:10" ht="14.25" customHeight="1" x14ac:dyDescent="0.25">
      <c r="A2926" s="21">
        <v>21111</v>
      </c>
      <c r="B2926" s="21"/>
      <c r="C2926">
        <v>980.4</v>
      </c>
      <c r="D2926">
        <v>5.0999999999999996</v>
      </c>
      <c r="E2926" s="1">
        <v>1191</v>
      </c>
      <c r="F2926" s="1">
        <v>1430</v>
      </c>
      <c r="G2926">
        <v>175</v>
      </c>
      <c r="H2926">
        <v>340</v>
      </c>
      <c r="I2926">
        <v>1.89</v>
      </c>
      <c r="J2926" s="1">
        <v>73695</v>
      </c>
    </row>
    <row r="2927" spans="1:10" ht="14.25" customHeight="1" x14ac:dyDescent="0.25">
      <c r="A2927" s="21">
        <v>21111</v>
      </c>
      <c r="B2927" s="21"/>
      <c r="C2927">
        <v>295.8</v>
      </c>
      <c r="D2927">
        <v>4.2</v>
      </c>
      <c r="E2927">
        <v>884</v>
      </c>
      <c r="F2927">
        <v>454</v>
      </c>
      <c r="G2927">
        <v>20</v>
      </c>
      <c r="H2927">
        <v>454</v>
      </c>
      <c r="I2927">
        <v>1.9</v>
      </c>
      <c r="J2927" s="1">
        <v>27938</v>
      </c>
    </row>
    <row r="2928" spans="1:10" ht="14.25" customHeight="1" x14ac:dyDescent="0.25">
      <c r="A2928" s="21">
        <v>21111</v>
      </c>
      <c r="B2928" s="21"/>
      <c r="C2928">
        <v>266</v>
      </c>
      <c r="D2928">
        <v>6.1</v>
      </c>
      <c r="E2928">
        <v>675</v>
      </c>
      <c r="F2928">
        <v>348</v>
      </c>
      <c r="G2928">
        <v>56</v>
      </c>
      <c r="H2928">
        <v>348</v>
      </c>
      <c r="I2928">
        <v>2.08</v>
      </c>
      <c r="J2928" s="1">
        <v>16507</v>
      </c>
    </row>
    <row r="2929" spans="1:10" ht="14.25" customHeight="1" x14ac:dyDescent="0.25">
      <c r="A2929" s="21">
        <v>21111</v>
      </c>
      <c r="B2929" s="21"/>
      <c r="C2929">
        <v>466</v>
      </c>
      <c r="D2929">
        <v>5.8</v>
      </c>
      <c r="E2929">
        <v>532</v>
      </c>
      <c r="F2929">
        <v>731</v>
      </c>
      <c r="G2929">
        <v>88</v>
      </c>
      <c r="H2929">
        <v>442</v>
      </c>
      <c r="I2929">
        <v>1.98</v>
      </c>
      <c r="J2929" s="1">
        <v>29369</v>
      </c>
    </row>
    <row r="2930" spans="1:10" ht="14.25" customHeight="1" x14ac:dyDescent="0.25">
      <c r="A2930" s="21">
        <v>21111</v>
      </c>
      <c r="B2930" s="21"/>
      <c r="E2930">
        <v>1</v>
      </c>
      <c r="H2930">
        <v>254</v>
      </c>
    </row>
    <row r="2931" spans="1:10" ht="14.25" customHeight="1" x14ac:dyDescent="0.25">
      <c r="A2931" s="21">
        <v>21111</v>
      </c>
      <c r="B2931" s="21"/>
      <c r="E2931">
        <v>35</v>
      </c>
    </row>
    <row r="2932" spans="1:10" ht="14.25" customHeight="1" x14ac:dyDescent="0.25">
      <c r="A2932" s="21">
        <v>21111</v>
      </c>
      <c r="B2932" s="21"/>
      <c r="E2932">
        <v>196</v>
      </c>
      <c r="H2932">
        <v>262</v>
      </c>
    </row>
    <row r="2933" spans="1:10" ht="14.25" customHeight="1" x14ac:dyDescent="0.25">
      <c r="A2933" s="21">
        <v>21111</v>
      </c>
      <c r="B2933" s="21"/>
      <c r="E2933">
        <v>173</v>
      </c>
      <c r="H2933">
        <v>98</v>
      </c>
    </row>
    <row r="2934" spans="1:10" ht="14.25" customHeight="1" x14ac:dyDescent="0.25">
      <c r="A2934" s="21">
        <v>21111</v>
      </c>
      <c r="B2934" s="21"/>
    </row>
    <row r="2935" spans="1:10" ht="14.25" customHeight="1" x14ac:dyDescent="0.25">
      <c r="A2935" s="21">
        <v>21115</v>
      </c>
      <c r="B2935" s="21"/>
      <c r="C2935">
        <v>15.6</v>
      </c>
      <c r="D2935">
        <v>3.2</v>
      </c>
      <c r="E2935">
        <v>46</v>
      </c>
      <c r="F2935">
        <v>72</v>
      </c>
      <c r="G2935">
        <v>6</v>
      </c>
      <c r="H2935">
        <v>72</v>
      </c>
      <c r="I2935">
        <v>1.21</v>
      </c>
      <c r="J2935" s="1">
        <v>1776</v>
      </c>
    </row>
    <row r="2936" spans="1:10" ht="14.25" customHeight="1" x14ac:dyDescent="0.25">
      <c r="A2936" s="21">
        <v>21117</v>
      </c>
      <c r="B2936" s="21"/>
      <c r="C2936">
        <v>333.7</v>
      </c>
      <c r="D2936">
        <v>4</v>
      </c>
      <c r="E2936">
        <v>911</v>
      </c>
      <c r="F2936">
        <v>459</v>
      </c>
      <c r="G2936">
        <v>46</v>
      </c>
      <c r="H2936">
        <v>459</v>
      </c>
      <c r="I2936">
        <v>1.69</v>
      </c>
      <c r="J2936" s="1">
        <v>31447</v>
      </c>
    </row>
    <row r="2937" spans="1:10" ht="14.25" customHeight="1" x14ac:dyDescent="0.25">
      <c r="A2937" s="21">
        <v>21117</v>
      </c>
      <c r="B2937" s="21"/>
      <c r="H2937">
        <v>510</v>
      </c>
    </row>
    <row r="2938" spans="1:10" ht="14.25" customHeight="1" x14ac:dyDescent="0.25">
      <c r="A2938" s="21">
        <v>21125</v>
      </c>
      <c r="B2938" s="21"/>
      <c r="C2938">
        <v>67.3</v>
      </c>
      <c r="D2938">
        <v>4.5999999999999996</v>
      </c>
      <c r="E2938">
        <v>137</v>
      </c>
      <c r="F2938">
        <v>106</v>
      </c>
      <c r="G2938">
        <v>14</v>
      </c>
      <c r="H2938">
        <v>106</v>
      </c>
      <c r="I2938">
        <v>1.66</v>
      </c>
      <c r="J2938" s="1">
        <v>5872</v>
      </c>
    </row>
    <row r="2939" spans="1:10" ht="14.25" customHeight="1" x14ac:dyDescent="0.25">
      <c r="A2939" s="21">
        <v>21127</v>
      </c>
      <c r="B2939" s="21"/>
      <c r="C2939">
        <v>13.2</v>
      </c>
      <c r="D2939">
        <v>3</v>
      </c>
      <c r="E2939">
        <v>54</v>
      </c>
      <c r="F2939">
        <v>65</v>
      </c>
      <c r="G2939">
        <v>6</v>
      </c>
      <c r="H2939">
        <v>65</v>
      </c>
      <c r="I2939">
        <v>1.1599999999999999</v>
      </c>
      <c r="J2939" s="1">
        <v>1634</v>
      </c>
    </row>
    <row r="2940" spans="1:10" ht="14.25" customHeight="1" x14ac:dyDescent="0.25">
      <c r="A2940" s="21">
        <v>21133</v>
      </c>
      <c r="B2940" s="21"/>
      <c r="C2940">
        <v>38.700000000000003</v>
      </c>
      <c r="D2940">
        <v>4.5999999999999996</v>
      </c>
      <c r="E2940">
        <v>90</v>
      </c>
      <c r="F2940">
        <v>90</v>
      </c>
      <c r="G2940">
        <v>6</v>
      </c>
      <c r="H2940">
        <v>90</v>
      </c>
      <c r="I2940">
        <v>1.26</v>
      </c>
      <c r="J2940" s="1">
        <v>3349</v>
      </c>
    </row>
    <row r="2941" spans="1:10" ht="14.25" customHeight="1" x14ac:dyDescent="0.25">
      <c r="A2941" s="21">
        <v>21141</v>
      </c>
      <c r="B2941" s="21"/>
      <c r="C2941">
        <v>7.9</v>
      </c>
      <c r="D2941">
        <v>4.4000000000000004</v>
      </c>
      <c r="E2941">
        <v>56</v>
      </c>
      <c r="F2941">
        <v>75</v>
      </c>
      <c r="G2941">
        <v>6</v>
      </c>
      <c r="H2941">
        <v>75</v>
      </c>
      <c r="I2941">
        <v>1.27</v>
      </c>
      <c r="J2941">
        <v>651</v>
      </c>
    </row>
    <row r="2942" spans="1:10" ht="14.25" customHeight="1" x14ac:dyDescent="0.25">
      <c r="A2942" s="21">
        <v>21145</v>
      </c>
      <c r="B2942" s="21"/>
      <c r="C2942">
        <v>101.6</v>
      </c>
      <c r="D2942">
        <v>3.9</v>
      </c>
      <c r="E2942">
        <v>347</v>
      </c>
      <c r="F2942">
        <v>271</v>
      </c>
      <c r="G2942">
        <v>20</v>
      </c>
      <c r="H2942">
        <v>271</v>
      </c>
      <c r="I2942">
        <v>1.74</v>
      </c>
      <c r="J2942" s="1">
        <v>10829</v>
      </c>
    </row>
    <row r="2943" spans="1:10" ht="14.25" customHeight="1" x14ac:dyDescent="0.25">
      <c r="A2943" s="21">
        <v>21145</v>
      </c>
      <c r="B2943" s="21"/>
      <c r="C2943">
        <v>115.9</v>
      </c>
      <c r="D2943">
        <v>3.9</v>
      </c>
      <c r="E2943">
        <v>209</v>
      </c>
      <c r="F2943">
        <v>265</v>
      </c>
      <c r="G2943">
        <v>14</v>
      </c>
      <c r="H2943">
        <v>265</v>
      </c>
      <c r="I2943">
        <v>1.7</v>
      </c>
      <c r="J2943" s="1">
        <v>11044</v>
      </c>
    </row>
    <row r="2944" spans="1:10" ht="14.25" customHeight="1" x14ac:dyDescent="0.25">
      <c r="A2944" s="21">
        <v>21151</v>
      </c>
      <c r="B2944" s="21"/>
      <c r="C2944">
        <v>33.299999999999997</v>
      </c>
      <c r="D2944">
        <v>3.4</v>
      </c>
      <c r="E2944">
        <v>204</v>
      </c>
      <c r="F2944">
        <v>60</v>
      </c>
      <c r="G2944">
        <v>8</v>
      </c>
      <c r="H2944">
        <v>60</v>
      </c>
      <c r="I2944">
        <v>1.74</v>
      </c>
      <c r="J2944" s="1">
        <v>3887</v>
      </c>
    </row>
    <row r="2945" spans="1:10" ht="14.25" customHeight="1" x14ac:dyDescent="0.25">
      <c r="A2945" s="21">
        <v>21155</v>
      </c>
      <c r="B2945" s="21"/>
      <c r="C2945">
        <v>6.9</v>
      </c>
      <c r="D2945">
        <v>2.8</v>
      </c>
      <c r="E2945">
        <v>68</v>
      </c>
      <c r="F2945">
        <v>63</v>
      </c>
      <c r="G2945">
        <v>6</v>
      </c>
      <c r="H2945">
        <v>63</v>
      </c>
      <c r="I2945">
        <v>1.26</v>
      </c>
      <c r="J2945" s="1">
        <v>1107</v>
      </c>
    </row>
    <row r="2946" spans="1:10" ht="14.25" customHeight="1" x14ac:dyDescent="0.25">
      <c r="A2946" s="21">
        <v>21161</v>
      </c>
      <c r="B2946" s="21"/>
      <c r="C2946">
        <v>16.7</v>
      </c>
      <c r="D2946">
        <v>3</v>
      </c>
      <c r="E2946">
        <v>102</v>
      </c>
      <c r="F2946">
        <v>100</v>
      </c>
      <c r="G2946">
        <v>5</v>
      </c>
      <c r="H2946">
        <v>100</v>
      </c>
      <c r="I2946">
        <v>1.63</v>
      </c>
      <c r="J2946" s="1">
        <v>2348</v>
      </c>
    </row>
    <row r="2947" spans="1:10" ht="14.25" customHeight="1" x14ac:dyDescent="0.25">
      <c r="A2947" s="21">
        <v>21171</v>
      </c>
      <c r="B2947" s="21"/>
      <c r="C2947">
        <v>12.9</v>
      </c>
      <c r="D2947">
        <v>3.8</v>
      </c>
      <c r="E2947">
        <v>14</v>
      </c>
      <c r="F2947">
        <v>49</v>
      </c>
      <c r="H2947">
        <v>49</v>
      </c>
      <c r="I2947">
        <v>0.93</v>
      </c>
      <c r="J2947" s="1">
        <v>1228</v>
      </c>
    </row>
    <row r="2948" spans="1:10" ht="14.25" customHeight="1" x14ac:dyDescent="0.25">
      <c r="A2948" s="21">
        <v>21173</v>
      </c>
      <c r="B2948" s="21"/>
      <c r="C2948">
        <v>17.2</v>
      </c>
      <c r="D2948">
        <v>4</v>
      </c>
      <c r="E2948">
        <v>84</v>
      </c>
      <c r="F2948">
        <v>42</v>
      </c>
      <c r="G2948">
        <v>4</v>
      </c>
      <c r="H2948">
        <v>42</v>
      </c>
      <c r="I2948">
        <v>1.44</v>
      </c>
      <c r="J2948" s="1">
        <v>1685</v>
      </c>
    </row>
    <row r="2949" spans="1:10" ht="14.25" customHeight="1" x14ac:dyDescent="0.25">
      <c r="A2949" s="21">
        <v>21177</v>
      </c>
      <c r="B2949" s="21"/>
      <c r="C2949">
        <v>12.8</v>
      </c>
      <c r="D2949">
        <v>4.7</v>
      </c>
      <c r="E2949">
        <v>39</v>
      </c>
      <c r="F2949">
        <v>47</v>
      </c>
      <c r="G2949">
        <v>6</v>
      </c>
      <c r="H2949">
        <v>47</v>
      </c>
      <c r="I2949">
        <v>1.27</v>
      </c>
      <c r="J2949">
        <v>995</v>
      </c>
    </row>
    <row r="2950" spans="1:10" ht="14.25" customHeight="1" x14ac:dyDescent="0.25">
      <c r="A2950" s="21">
        <v>21179</v>
      </c>
      <c r="B2950" s="21"/>
      <c r="C2950">
        <v>17.899999999999999</v>
      </c>
      <c r="D2950">
        <v>3.4</v>
      </c>
      <c r="E2950">
        <v>82</v>
      </c>
      <c r="F2950">
        <v>40</v>
      </c>
      <c r="G2950">
        <v>4</v>
      </c>
      <c r="H2950">
        <v>40</v>
      </c>
      <c r="I2950">
        <v>1.63</v>
      </c>
      <c r="J2950" s="1">
        <v>2057</v>
      </c>
    </row>
    <row r="2951" spans="1:10" ht="14.25" customHeight="1" x14ac:dyDescent="0.25">
      <c r="A2951" s="21">
        <v>21185</v>
      </c>
      <c r="B2951" s="21"/>
      <c r="C2951">
        <v>17.399999999999999</v>
      </c>
      <c r="D2951">
        <v>3.4</v>
      </c>
      <c r="E2951">
        <v>186</v>
      </c>
      <c r="F2951">
        <v>90</v>
      </c>
      <c r="G2951">
        <v>8</v>
      </c>
      <c r="H2951">
        <v>90</v>
      </c>
      <c r="I2951">
        <v>1.64</v>
      </c>
      <c r="J2951" s="1">
        <v>2196</v>
      </c>
    </row>
    <row r="2952" spans="1:10" ht="14.25" customHeight="1" x14ac:dyDescent="0.25">
      <c r="A2952" s="21">
        <v>21191</v>
      </c>
      <c r="B2952" s="21"/>
    </row>
    <row r="2953" spans="1:10" ht="14.25" customHeight="1" x14ac:dyDescent="0.25">
      <c r="A2953" s="21">
        <v>21193</v>
      </c>
      <c r="B2953" s="21"/>
      <c r="C2953">
        <v>151.5</v>
      </c>
      <c r="D2953">
        <v>5.8</v>
      </c>
      <c r="E2953">
        <v>275</v>
      </c>
      <c r="F2953">
        <v>229</v>
      </c>
      <c r="G2953">
        <v>32</v>
      </c>
      <c r="H2953">
        <v>229</v>
      </c>
      <c r="I2953">
        <v>1.6</v>
      </c>
      <c r="J2953" s="1">
        <v>9699</v>
      </c>
    </row>
    <row r="2954" spans="1:10" ht="14.25" customHeight="1" x14ac:dyDescent="0.25">
      <c r="A2954" s="21">
        <v>21195</v>
      </c>
      <c r="B2954" s="21"/>
      <c r="C2954">
        <v>20.7</v>
      </c>
      <c r="D2954">
        <v>3.8</v>
      </c>
      <c r="E2954">
        <v>78</v>
      </c>
      <c r="F2954">
        <v>88</v>
      </c>
      <c r="G2954">
        <v>6</v>
      </c>
      <c r="H2954">
        <v>88</v>
      </c>
      <c r="I2954">
        <v>1.25</v>
      </c>
      <c r="J2954" s="1">
        <v>2085</v>
      </c>
    </row>
    <row r="2955" spans="1:10" ht="14.25" customHeight="1" x14ac:dyDescent="0.25">
      <c r="A2955" s="21">
        <v>21195</v>
      </c>
      <c r="B2955" s="21"/>
      <c r="C2955">
        <v>212</v>
      </c>
      <c r="D2955">
        <v>5.7</v>
      </c>
      <c r="E2955">
        <v>455</v>
      </c>
      <c r="F2955">
        <v>298</v>
      </c>
      <c r="G2955">
        <v>67</v>
      </c>
      <c r="H2955">
        <v>298</v>
      </c>
      <c r="I2955">
        <v>1.83</v>
      </c>
      <c r="J2955" s="1">
        <v>13901</v>
      </c>
    </row>
    <row r="2956" spans="1:10" ht="14.25" customHeight="1" x14ac:dyDescent="0.25">
      <c r="A2956" s="21">
        <v>21199</v>
      </c>
      <c r="B2956" s="21"/>
      <c r="C2956">
        <v>105.4</v>
      </c>
      <c r="D2956">
        <v>4.5999999999999996</v>
      </c>
      <c r="E2956">
        <v>264</v>
      </c>
      <c r="F2956">
        <v>230</v>
      </c>
      <c r="G2956">
        <v>38</v>
      </c>
      <c r="H2956">
        <v>230</v>
      </c>
      <c r="I2956">
        <v>1.65</v>
      </c>
      <c r="J2956" s="1">
        <v>8950</v>
      </c>
    </row>
    <row r="2957" spans="1:10" ht="14.25" customHeight="1" x14ac:dyDescent="0.25">
      <c r="A2957" s="21">
        <v>21203</v>
      </c>
      <c r="B2957" s="21"/>
      <c r="C2957">
        <v>10</v>
      </c>
      <c r="D2957">
        <v>4.4000000000000004</v>
      </c>
      <c r="E2957">
        <v>53</v>
      </c>
      <c r="F2957">
        <v>20</v>
      </c>
      <c r="H2957">
        <v>20</v>
      </c>
      <c r="I2957">
        <v>0.99</v>
      </c>
      <c r="J2957">
        <v>842</v>
      </c>
    </row>
    <row r="2958" spans="1:10" ht="14.25" customHeight="1" x14ac:dyDescent="0.25">
      <c r="A2958" s="21">
        <v>21205</v>
      </c>
      <c r="B2958" s="21"/>
      <c r="C2958">
        <v>40</v>
      </c>
      <c r="D2958">
        <v>3.5</v>
      </c>
      <c r="E2958">
        <v>231</v>
      </c>
      <c r="F2958">
        <v>90</v>
      </c>
      <c r="G2958">
        <v>14</v>
      </c>
      <c r="H2958">
        <v>90</v>
      </c>
      <c r="I2958">
        <v>1.45</v>
      </c>
      <c r="J2958" s="1">
        <v>4368</v>
      </c>
    </row>
    <row r="2959" spans="1:10" ht="14.25" customHeight="1" x14ac:dyDescent="0.25">
      <c r="A2959" s="21">
        <v>21209</v>
      </c>
      <c r="B2959" s="21"/>
      <c r="C2959">
        <v>15.3</v>
      </c>
      <c r="D2959">
        <v>3.3</v>
      </c>
      <c r="E2959">
        <v>95</v>
      </c>
      <c r="F2959">
        <v>75</v>
      </c>
      <c r="G2959">
        <v>6</v>
      </c>
      <c r="H2959">
        <v>75</v>
      </c>
      <c r="I2959">
        <v>1.41</v>
      </c>
      <c r="J2959" s="1">
        <v>1931</v>
      </c>
    </row>
    <row r="2960" spans="1:10" ht="14.25" customHeight="1" x14ac:dyDescent="0.25">
      <c r="A2960" s="21">
        <v>21211</v>
      </c>
      <c r="B2960" s="21"/>
      <c r="C2960">
        <v>2.9</v>
      </c>
      <c r="D2960">
        <v>2.8</v>
      </c>
      <c r="E2960">
        <v>48</v>
      </c>
      <c r="F2960">
        <v>30</v>
      </c>
      <c r="G2960">
        <v>4</v>
      </c>
      <c r="H2960">
        <v>30</v>
      </c>
      <c r="I2960">
        <v>1.33</v>
      </c>
      <c r="J2960">
        <v>382</v>
      </c>
    </row>
    <row r="2961" spans="1:10" ht="14.25" customHeight="1" x14ac:dyDescent="0.25">
      <c r="A2961" s="21">
        <v>21217</v>
      </c>
      <c r="B2961" s="21"/>
      <c r="C2961">
        <v>25.7</v>
      </c>
      <c r="D2961">
        <v>4.3</v>
      </c>
      <c r="E2961">
        <v>131</v>
      </c>
      <c r="F2961">
        <v>90</v>
      </c>
      <c r="G2961">
        <v>8</v>
      </c>
      <c r="H2961">
        <v>90</v>
      </c>
      <c r="I2961">
        <v>1.33</v>
      </c>
      <c r="J2961" s="1">
        <v>2346</v>
      </c>
    </row>
    <row r="2962" spans="1:10" ht="14.25" customHeight="1" x14ac:dyDescent="0.25">
      <c r="A2962" s="21">
        <v>21227</v>
      </c>
      <c r="B2962" s="21"/>
      <c r="C2962">
        <v>56.7</v>
      </c>
      <c r="D2962">
        <v>3.5</v>
      </c>
      <c r="E2962">
        <v>100</v>
      </c>
      <c r="F2962">
        <v>162</v>
      </c>
      <c r="G2962">
        <v>16</v>
      </c>
      <c r="H2962">
        <v>162</v>
      </c>
      <c r="I2962">
        <v>1.66</v>
      </c>
      <c r="J2962" s="1">
        <v>5957</v>
      </c>
    </row>
    <row r="2963" spans="1:10" ht="14.25" customHeight="1" x14ac:dyDescent="0.25">
      <c r="A2963" s="21">
        <v>21227</v>
      </c>
      <c r="B2963" s="21"/>
      <c r="C2963">
        <v>224</v>
      </c>
      <c r="D2963">
        <v>5.2</v>
      </c>
      <c r="E2963">
        <v>385</v>
      </c>
      <c r="F2963">
        <v>308</v>
      </c>
      <c r="G2963">
        <v>16</v>
      </c>
      <c r="H2963">
        <v>308</v>
      </c>
      <c r="I2963">
        <v>1.74</v>
      </c>
      <c r="J2963" s="1">
        <v>16591</v>
      </c>
    </row>
    <row r="2964" spans="1:10" ht="14.25" customHeight="1" x14ac:dyDescent="0.25">
      <c r="A2964" s="21">
        <v>21235</v>
      </c>
      <c r="B2964" s="21"/>
      <c r="C2964">
        <v>107.9</v>
      </c>
      <c r="D2964">
        <v>4.5</v>
      </c>
      <c r="E2964">
        <v>367</v>
      </c>
      <c r="F2964">
        <v>248</v>
      </c>
      <c r="H2964">
        <v>248</v>
      </c>
      <c r="I2964">
        <v>1.58</v>
      </c>
      <c r="J2964" s="1">
        <v>9602</v>
      </c>
    </row>
    <row r="2965" spans="1:10" ht="14.25" customHeight="1" x14ac:dyDescent="0.25">
      <c r="A2965" s="21">
        <v>22001</v>
      </c>
      <c r="B2965" s="21"/>
      <c r="C2965">
        <v>21.7</v>
      </c>
      <c r="D2965">
        <v>4.5999999999999996</v>
      </c>
      <c r="E2965">
        <v>75</v>
      </c>
      <c r="F2965">
        <v>129</v>
      </c>
      <c r="G2965">
        <v>4</v>
      </c>
      <c r="H2965">
        <v>129</v>
      </c>
      <c r="I2965">
        <v>1.5</v>
      </c>
      <c r="J2965" s="1">
        <v>1700</v>
      </c>
    </row>
    <row r="2966" spans="1:10" ht="14.25" customHeight="1" x14ac:dyDescent="0.25">
      <c r="A2966" s="21">
        <v>22003</v>
      </c>
      <c r="B2966" s="21"/>
      <c r="C2966">
        <v>7.9</v>
      </c>
      <c r="D2966">
        <v>5.0999999999999996</v>
      </c>
      <c r="E2966">
        <v>24</v>
      </c>
      <c r="F2966">
        <v>49</v>
      </c>
      <c r="G2966">
        <v>3</v>
      </c>
      <c r="H2966">
        <v>49</v>
      </c>
      <c r="I2966">
        <v>1.0900000000000001</v>
      </c>
      <c r="J2966">
        <v>563</v>
      </c>
    </row>
    <row r="2967" spans="1:10" ht="14.25" customHeight="1" x14ac:dyDescent="0.25">
      <c r="A2967" s="21">
        <v>22003</v>
      </c>
      <c r="B2967" s="21"/>
      <c r="C2967">
        <v>4.2</v>
      </c>
      <c r="D2967">
        <v>4.3</v>
      </c>
      <c r="E2967">
        <v>15</v>
      </c>
      <c r="F2967">
        <v>25</v>
      </c>
      <c r="H2967">
        <v>25</v>
      </c>
      <c r="I2967">
        <v>1.1000000000000001</v>
      </c>
      <c r="J2967">
        <v>361</v>
      </c>
    </row>
    <row r="2968" spans="1:10" ht="14.25" customHeight="1" x14ac:dyDescent="0.25">
      <c r="A2968" s="21">
        <v>22005</v>
      </c>
      <c r="B2968" s="21"/>
      <c r="C2968">
        <v>31</v>
      </c>
      <c r="D2968">
        <v>4.2</v>
      </c>
      <c r="E2968">
        <v>40</v>
      </c>
      <c r="F2968">
        <v>78</v>
      </c>
      <c r="G2968">
        <v>7</v>
      </c>
      <c r="H2968">
        <v>78</v>
      </c>
      <c r="I2968">
        <v>1.41</v>
      </c>
      <c r="J2968" s="1">
        <v>2716</v>
      </c>
    </row>
    <row r="2969" spans="1:10" ht="14.25" customHeight="1" x14ac:dyDescent="0.25">
      <c r="A2969" s="21">
        <v>22005</v>
      </c>
      <c r="B2969" s="21"/>
      <c r="E2969">
        <v>4</v>
      </c>
    </row>
    <row r="2970" spans="1:10" ht="14.25" customHeight="1" x14ac:dyDescent="0.25">
      <c r="A2970" s="21">
        <v>22009</v>
      </c>
      <c r="B2970" s="21"/>
      <c r="C2970">
        <v>8.4</v>
      </c>
      <c r="D2970">
        <v>3.8</v>
      </c>
      <c r="E2970">
        <v>49</v>
      </c>
      <c r="F2970">
        <v>49</v>
      </c>
      <c r="G2970">
        <v>2</v>
      </c>
      <c r="H2970">
        <v>49</v>
      </c>
      <c r="I2970">
        <v>1.1000000000000001</v>
      </c>
      <c r="J2970">
        <v>815</v>
      </c>
    </row>
    <row r="2971" spans="1:10" ht="14.25" customHeight="1" x14ac:dyDescent="0.25">
      <c r="A2971" s="21">
        <v>22011</v>
      </c>
      <c r="B2971" s="21"/>
      <c r="C2971">
        <v>21.1</v>
      </c>
      <c r="D2971">
        <v>4</v>
      </c>
      <c r="E2971">
        <v>62</v>
      </c>
      <c r="F2971">
        <v>49</v>
      </c>
      <c r="G2971">
        <v>6</v>
      </c>
      <c r="H2971">
        <v>60</v>
      </c>
      <c r="I2971">
        <v>1.1499999999999999</v>
      </c>
      <c r="J2971" s="1">
        <v>2069</v>
      </c>
    </row>
    <row r="2972" spans="1:10" ht="14.25" customHeight="1" x14ac:dyDescent="0.25">
      <c r="A2972" s="21">
        <v>22015</v>
      </c>
      <c r="B2972" s="21"/>
      <c r="C2972">
        <v>80.7</v>
      </c>
      <c r="D2972">
        <v>4.2</v>
      </c>
      <c r="E2972">
        <v>32</v>
      </c>
      <c r="F2972">
        <v>124</v>
      </c>
      <c r="G2972">
        <v>10</v>
      </c>
      <c r="H2972">
        <v>124</v>
      </c>
      <c r="I2972">
        <v>1.42</v>
      </c>
      <c r="J2972" s="1">
        <v>7341</v>
      </c>
    </row>
    <row r="2973" spans="1:10" ht="14.25" customHeight="1" x14ac:dyDescent="0.25">
      <c r="A2973" s="21">
        <v>22015</v>
      </c>
      <c r="B2973" s="21"/>
      <c r="C2973">
        <v>0.7</v>
      </c>
      <c r="D2973">
        <v>1.9</v>
      </c>
      <c r="J2973">
        <v>136</v>
      </c>
    </row>
    <row r="2974" spans="1:10" ht="14.25" customHeight="1" x14ac:dyDescent="0.25">
      <c r="A2974" s="21">
        <v>22015</v>
      </c>
      <c r="B2974" s="21"/>
      <c r="H2974">
        <v>6</v>
      </c>
    </row>
    <row r="2975" spans="1:10" ht="14.25" customHeight="1" x14ac:dyDescent="0.25">
      <c r="A2975" s="21">
        <v>22017</v>
      </c>
      <c r="B2975" s="21"/>
      <c r="C2975">
        <v>264.7</v>
      </c>
      <c r="D2975">
        <v>4.5</v>
      </c>
      <c r="E2975">
        <v>490</v>
      </c>
      <c r="F2975">
        <v>369</v>
      </c>
      <c r="H2975">
        <v>369</v>
      </c>
      <c r="I2975">
        <v>1.96</v>
      </c>
      <c r="J2975" s="1">
        <v>22013</v>
      </c>
    </row>
    <row r="2976" spans="1:10" ht="14.25" customHeight="1" x14ac:dyDescent="0.25">
      <c r="A2976" s="21">
        <v>22017</v>
      </c>
      <c r="B2976" s="21"/>
      <c r="C2976">
        <v>458.1</v>
      </c>
      <c r="D2976">
        <v>5.3</v>
      </c>
      <c r="E2976">
        <v>668</v>
      </c>
      <c r="F2976">
        <v>762</v>
      </c>
      <c r="G2976">
        <v>74</v>
      </c>
      <c r="H2976">
        <v>762</v>
      </c>
      <c r="I2976">
        <v>1.74</v>
      </c>
      <c r="J2976" s="1">
        <v>32649</v>
      </c>
    </row>
    <row r="2977" spans="1:10" ht="14.25" customHeight="1" x14ac:dyDescent="0.25">
      <c r="A2977" s="21">
        <v>22017</v>
      </c>
      <c r="B2977" s="21"/>
    </row>
    <row r="2978" spans="1:10" ht="14.25" customHeight="1" x14ac:dyDescent="0.25">
      <c r="A2978" s="21">
        <v>22017</v>
      </c>
      <c r="B2978" s="21"/>
      <c r="E2978">
        <v>40</v>
      </c>
    </row>
    <row r="2979" spans="1:10" ht="14.25" customHeight="1" x14ac:dyDescent="0.25">
      <c r="A2979" s="21">
        <v>22017</v>
      </c>
      <c r="B2979" s="21"/>
      <c r="E2979">
        <v>47</v>
      </c>
    </row>
    <row r="2980" spans="1:10" ht="14.25" customHeight="1" x14ac:dyDescent="0.25">
      <c r="A2980" s="21">
        <v>22017</v>
      </c>
      <c r="B2980" s="21"/>
      <c r="C2980">
        <v>97.8</v>
      </c>
      <c r="D2980">
        <v>4.0999999999999996</v>
      </c>
      <c r="E2980">
        <v>254</v>
      </c>
      <c r="F2980">
        <v>192</v>
      </c>
      <c r="G2980">
        <v>20</v>
      </c>
      <c r="H2980">
        <v>192</v>
      </c>
      <c r="I2980">
        <v>1.79</v>
      </c>
      <c r="J2980" s="1">
        <v>9097</v>
      </c>
    </row>
    <row r="2981" spans="1:10" ht="14.25" customHeight="1" x14ac:dyDescent="0.25">
      <c r="A2981" s="21">
        <v>22017</v>
      </c>
      <c r="B2981" s="21"/>
      <c r="C2981">
        <v>6.4</v>
      </c>
      <c r="D2981">
        <v>2</v>
      </c>
      <c r="E2981">
        <v>48</v>
      </c>
      <c r="F2981">
        <v>15</v>
      </c>
      <c r="H2981">
        <v>15</v>
      </c>
      <c r="I2981">
        <v>3.08</v>
      </c>
      <c r="J2981" s="1">
        <v>1164</v>
      </c>
    </row>
    <row r="2982" spans="1:10" ht="14.25" customHeight="1" x14ac:dyDescent="0.25">
      <c r="A2982" s="21">
        <v>22019</v>
      </c>
      <c r="B2982" s="21"/>
      <c r="C2982">
        <v>148.69999999999999</v>
      </c>
      <c r="D2982">
        <v>4.9000000000000004</v>
      </c>
      <c r="E2982">
        <v>292</v>
      </c>
      <c r="F2982">
        <v>300</v>
      </c>
      <c r="G2982">
        <v>38</v>
      </c>
      <c r="H2982">
        <v>300</v>
      </c>
      <c r="I2982">
        <v>1.81</v>
      </c>
      <c r="J2982" s="1">
        <v>11863</v>
      </c>
    </row>
    <row r="2983" spans="1:10" ht="14.25" customHeight="1" x14ac:dyDescent="0.25">
      <c r="A2983" s="21">
        <v>22019</v>
      </c>
      <c r="B2983" s="21"/>
      <c r="C2983">
        <v>75.900000000000006</v>
      </c>
      <c r="D2983">
        <v>4.2</v>
      </c>
      <c r="E2983">
        <v>680</v>
      </c>
      <c r="F2983">
        <v>100</v>
      </c>
      <c r="G2983">
        <v>17</v>
      </c>
      <c r="H2983">
        <v>100</v>
      </c>
      <c r="I2983">
        <v>1.85</v>
      </c>
      <c r="J2983" s="1">
        <v>6611</v>
      </c>
    </row>
    <row r="2984" spans="1:10" ht="14.25" customHeight="1" x14ac:dyDescent="0.25">
      <c r="A2984" s="21">
        <v>22019</v>
      </c>
      <c r="B2984" s="21"/>
      <c r="C2984">
        <v>24.4</v>
      </c>
      <c r="D2984">
        <v>4.0999999999999996</v>
      </c>
      <c r="E2984">
        <v>138</v>
      </c>
      <c r="F2984">
        <v>107</v>
      </c>
      <c r="G2984">
        <v>12</v>
      </c>
      <c r="H2984">
        <v>107</v>
      </c>
      <c r="I2984">
        <v>1.62</v>
      </c>
      <c r="J2984" s="1">
        <v>2300</v>
      </c>
    </row>
    <row r="2985" spans="1:10" ht="14.25" customHeight="1" x14ac:dyDescent="0.25">
      <c r="A2985" s="21">
        <v>22019</v>
      </c>
      <c r="B2985" s="21"/>
      <c r="C2985">
        <v>7.3</v>
      </c>
      <c r="D2985">
        <v>4.0999999999999996</v>
      </c>
      <c r="J2985">
        <v>643</v>
      </c>
    </row>
    <row r="2986" spans="1:10" ht="14.25" customHeight="1" x14ac:dyDescent="0.25">
      <c r="A2986" s="21">
        <v>22019</v>
      </c>
      <c r="B2986" s="21"/>
      <c r="C2986">
        <v>25.7</v>
      </c>
      <c r="D2986">
        <v>4.2</v>
      </c>
      <c r="E2986">
        <v>59</v>
      </c>
      <c r="F2986">
        <v>108</v>
      </c>
      <c r="G2986">
        <v>8</v>
      </c>
      <c r="H2986">
        <v>88</v>
      </c>
      <c r="I2986">
        <v>1.46</v>
      </c>
      <c r="J2986" s="1">
        <v>2743</v>
      </c>
    </row>
    <row r="2987" spans="1:10" ht="14.25" customHeight="1" x14ac:dyDescent="0.25">
      <c r="A2987" s="21">
        <v>22019</v>
      </c>
      <c r="B2987" s="21"/>
      <c r="E2987">
        <v>11</v>
      </c>
      <c r="H2987">
        <v>38</v>
      </c>
    </row>
    <row r="2988" spans="1:10" ht="14.25" customHeight="1" x14ac:dyDescent="0.25">
      <c r="A2988" s="21">
        <v>22019</v>
      </c>
      <c r="B2988" s="21"/>
      <c r="H2988">
        <v>42</v>
      </c>
    </row>
    <row r="2989" spans="1:10" ht="14.25" customHeight="1" x14ac:dyDescent="0.25">
      <c r="A2989" s="21">
        <v>22019</v>
      </c>
      <c r="B2989" s="21"/>
    </row>
    <row r="2990" spans="1:10" ht="14.25" customHeight="1" x14ac:dyDescent="0.25">
      <c r="A2990" s="21">
        <v>22021</v>
      </c>
      <c r="B2990" s="21"/>
      <c r="C2990">
        <v>5</v>
      </c>
      <c r="D2990">
        <v>4.3</v>
      </c>
      <c r="E2990">
        <v>13</v>
      </c>
      <c r="F2990">
        <v>40</v>
      </c>
      <c r="H2990">
        <v>40</v>
      </c>
      <c r="I2990">
        <v>1.04</v>
      </c>
      <c r="J2990">
        <v>426</v>
      </c>
    </row>
    <row r="2991" spans="1:10" ht="14.25" customHeight="1" x14ac:dyDescent="0.25">
      <c r="A2991" s="21">
        <v>22021</v>
      </c>
      <c r="B2991" s="21"/>
      <c r="C2991">
        <v>5.7</v>
      </c>
      <c r="D2991">
        <v>3.6</v>
      </c>
      <c r="E2991">
        <v>5</v>
      </c>
      <c r="F2991">
        <v>37</v>
      </c>
      <c r="H2991">
        <v>37</v>
      </c>
      <c r="I2991">
        <v>0.98</v>
      </c>
      <c r="J2991">
        <v>575</v>
      </c>
    </row>
    <row r="2992" spans="1:10" ht="14.25" customHeight="1" x14ac:dyDescent="0.25">
      <c r="A2992" s="21">
        <v>22023</v>
      </c>
      <c r="B2992" s="21"/>
      <c r="E2992">
        <v>8</v>
      </c>
      <c r="F2992">
        <v>25</v>
      </c>
      <c r="H2992">
        <v>49</v>
      </c>
      <c r="I2992">
        <v>1.1499999999999999</v>
      </c>
    </row>
    <row r="2993" spans="1:10" ht="14.25" customHeight="1" x14ac:dyDescent="0.25">
      <c r="A2993" s="21">
        <v>22027</v>
      </c>
      <c r="B2993" s="21"/>
      <c r="C2993">
        <v>13.6</v>
      </c>
      <c r="D2993">
        <v>5.3</v>
      </c>
      <c r="E2993">
        <v>19</v>
      </c>
      <c r="F2993">
        <v>37</v>
      </c>
      <c r="G2993">
        <v>4</v>
      </c>
      <c r="H2993">
        <v>37</v>
      </c>
      <c r="I2993">
        <v>1.1000000000000001</v>
      </c>
      <c r="J2993">
        <v>936</v>
      </c>
    </row>
    <row r="2994" spans="1:10" ht="14.25" customHeight="1" x14ac:dyDescent="0.25">
      <c r="A2994" s="21">
        <v>22031</v>
      </c>
      <c r="B2994" s="21"/>
      <c r="C2994">
        <v>3.8</v>
      </c>
      <c r="D2994">
        <v>3.4</v>
      </c>
      <c r="E2994">
        <v>26</v>
      </c>
      <c r="F2994">
        <v>34</v>
      </c>
      <c r="H2994">
        <v>34</v>
      </c>
      <c r="I2994">
        <v>0.91</v>
      </c>
      <c r="J2994">
        <v>411</v>
      </c>
    </row>
    <row r="2995" spans="1:10" ht="14.25" customHeight="1" x14ac:dyDescent="0.25">
      <c r="A2995" s="21">
        <v>22033</v>
      </c>
      <c r="B2995" s="21"/>
      <c r="C2995">
        <v>1.2</v>
      </c>
      <c r="D2995">
        <v>4.8</v>
      </c>
      <c r="J2995">
        <v>90</v>
      </c>
    </row>
    <row r="2996" spans="1:10" ht="14.25" customHeight="1" x14ac:dyDescent="0.25">
      <c r="A2996" s="21">
        <v>22033</v>
      </c>
      <c r="B2996" s="21"/>
      <c r="C2996">
        <v>34.200000000000003</v>
      </c>
      <c r="D2996">
        <v>3.4</v>
      </c>
      <c r="E2996">
        <v>120</v>
      </c>
      <c r="F2996">
        <v>113</v>
      </c>
      <c r="G2996">
        <v>8</v>
      </c>
      <c r="H2996">
        <v>113</v>
      </c>
      <c r="I2996">
        <v>1.46</v>
      </c>
      <c r="J2996" s="1">
        <v>3833</v>
      </c>
    </row>
    <row r="2997" spans="1:10" ht="14.25" customHeight="1" x14ac:dyDescent="0.25">
      <c r="A2997" s="21">
        <v>22033</v>
      </c>
      <c r="B2997" s="21"/>
      <c r="C2997">
        <v>458.2</v>
      </c>
      <c r="D2997">
        <v>4.7</v>
      </c>
      <c r="E2997" s="1">
        <v>1473</v>
      </c>
      <c r="F2997">
        <v>773</v>
      </c>
      <c r="G2997">
        <v>43</v>
      </c>
      <c r="H2997">
        <v>773</v>
      </c>
      <c r="I2997">
        <v>1.89</v>
      </c>
      <c r="J2997" s="1">
        <v>33271</v>
      </c>
    </row>
    <row r="2998" spans="1:10" ht="14.25" customHeight="1" x14ac:dyDescent="0.25">
      <c r="A2998" s="21">
        <v>22033</v>
      </c>
      <c r="B2998" s="21"/>
      <c r="C2998">
        <v>160.6</v>
      </c>
      <c r="D2998">
        <v>4.5</v>
      </c>
      <c r="E2998">
        <v>341</v>
      </c>
      <c r="F2998">
        <v>271</v>
      </c>
      <c r="G2998">
        <v>24</v>
      </c>
      <c r="H2998">
        <v>271</v>
      </c>
      <c r="I2998">
        <v>1.89</v>
      </c>
      <c r="J2998" s="1">
        <v>13248</v>
      </c>
    </row>
    <row r="2999" spans="1:10" ht="14.25" customHeight="1" x14ac:dyDescent="0.25">
      <c r="A2999" s="21">
        <v>22033</v>
      </c>
      <c r="B2999" s="21"/>
      <c r="C2999">
        <v>29.8</v>
      </c>
      <c r="D2999">
        <v>4.8</v>
      </c>
      <c r="J2999" s="1">
        <v>2286</v>
      </c>
    </row>
    <row r="3000" spans="1:10" ht="14.25" customHeight="1" x14ac:dyDescent="0.25">
      <c r="A3000" s="21">
        <v>22033</v>
      </c>
      <c r="B3000" s="21"/>
      <c r="C3000">
        <v>130</v>
      </c>
      <c r="D3000">
        <v>5.9</v>
      </c>
      <c r="E3000">
        <v>254</v>
      </c>
      <c r="F3000">
        <v>228</v>
      </c>
      <c r="G3000">
        <v>4</v>
      </c>
      <c r="H3000">
        <v>228</v>
      </c>
      <c r="I3000">
        <v>1.33</v>
      </c>
      <c r="J3000" s="1">
        <v>10814</v>
      </c>
    </row>
    <row r="3001" spans="1:10" ht="14.25" customHeight="1" x14ac:dyDescent="0.25">
      <c r="A3001" s="21">
        <v>22033</v>
      </c>
      <c r="B3001" s="21"/>
      <c r="C3001">
        <v>66.900000000000006</v>
      </c>
      <c r="D3001">
        <v>4.2</v>
      </c>
      <c r="E3001">
        <v>329</v>
      </c>
      <c r="F3001">
        <v>164</v>
      </c>
      <c r="G3001">
        <v>20</v>
      </c>
      <c r="H3001">
        <v>150</v>
      </c>
      <c r="I3001">
        <v>1.7</v>
      </c>
      <c r="J3001" s="1">
        <v>6589</v>
      </c>
    </row>
    <row r="3002" spans="1:10" ht="14.25" customHeight="1" x14ac:dyDescent="0.25">
      <c r="A3002" s="21">
        <v>22033</v>
      </c>
      <c r="B3002" s="21"/>
      <c r="C3002">
        <v>2.8</v>
      </c>
      <c r="D3002">
        <v>1.7</v>
      </c>
      <c r="E3002">
        <v>41</v>
      </c>
      <c r="F3002">
        <v>16</v>
      </c>
      <c r="H3002">
        <v>16</v>
      </c>
      <c r="I3002">
        <v>2.65</v>
      </c>
      <c r="J3002">
        <v>616</v>
      </c>
    </row>
    <row r="3003" spans="1:10" ht="14.25" customHeight="1" x14ac:dyDescent="0.25">
      <c r="A3003" s="21">
        <v>22033</v>
      </c>
      <c r="B3003" s="21"/>
      <c r="H3003">
        <v>335</v>
      </c>
    </row>
    <row r="3004" spans="1:10" ht="14.25" customHeight="1" x14ac:dyDescent="0.25">
      <c r="A3004" s="21">
        <v>22033</v>
      </c>
      <c r="B3004" s="21"/>
    </row>
    <row r="3005" spans="1:10" ht="14.25" customHeight="1" x14ac:dyDescent="0.25">
      <c r="A3005" s="21">
        <v>22033</v>
      </c>
      <c r="B3005" s="21"/>
    </row>
    <row r="3006" spans="1:10" ht="14.25" customHeight="1" x14ac:dyDescent="0.25">
      <c r="A3006" s="21">
        <v>22033</v>
      </c>
      <c r="B3006" s="21"/>
      <c r="C3006">
        <v>6.2</v>
      </c>
      <c r="D3006">
        <v>1.6</v>
      </c>
      <c r="E3006">
        <v>31</v>
      </c>
      <c r="F3006">
        <v>23</v>
      </c>
      <c r="H3006">
        <v>23</v>
      </c>
      <c r="I3006">
        <v>3.75</v>
      </c>
      <c r="J3006" s="1">
        <v>1409</v>
      </c>
    </row>
    <row r="3007" spans="1:10" ht="14.25" customHeight="1" x14ac:dyDescent="0.25">
      <c r="A3007" s="21">
        <v>22035</v>
      </c>
      <c r="B3007" s="21"/>
      <c r="C3007">
        <v>3.2</v>
      </c>
      <c r="D3007">
        <v>3.2</v>
      </c>
      <c r="E3007">
        <v>8</v>
      </c>
      <c r="F3007">
        <v>23</v>
      </c>
      <c r="H3007">
        <v>23</v>
      </c>
      <c r="I3007">
        <v>0.91</v>
      </c>
      <c r="J3007">
        <v>367</v>
      </c>
    </row>
    <row r="3008" spans="1:10" ht="14.25" customHeight="1" x14ac:dyDescent="0.25">
      <c r="A3008" s="21">
        <v>22037</v>
      </c>
      <c r="B3008" s="21"/>
      <c r="D3008">
        <v>2.7</v>
      </c>
      <c r="H3008">
        <v>299</v>
      </c>
      <c r="I3008">
        <v>1.1299999999999999</v>
      </c>
      <c r="J3008">
        <v>7</v>
      </c>
    </row>
    <row r="3009" spans="1:10" ht="14.25" customHeight="1" x14ac:dyDescent="0.25">
      <c r="A3009" s="21">
        <v>22039</v>
      </c>
      <c r="B3009" s="21"/>
      <c r="C3009">
        <v>32.700000000000003</v>
      </c>
      <c r="D3009">
        <v>4.9000000000000004</v>
      </c>
      <c r="E3009">
        <v>71</v>
      </c>
      <c r="F3009">
        <v>99</v>
      </c>
      <c r="G3009">
        <v>14</v>
      </c>
      <c r="H3009">
        <v>99</v>
      </c>
      <c r="I3009">
        <v>1.26</v>
      </c>
      <c r="J3009" s="1">
        <v>2752</v>
      </c>
    </row>
    <row r="3010" spans="1:10" ht="14.25" customHeight="1" x14ac:dyDescent="0.25">
      <c r="A3010" s="21">
        <v>22039</v>
      </c>
      <c r="B3010" s="21"/>
      <c r="C3010">
        <v>8</v>
      </c>
      <c r="D3010">
        <v>5.0999999999999996</v>
      </c>
      <c r="E3010">
        <v>31</v>
      </c>
      <c r="F3010">
        <v>128</v>
      </c>
      <c r="G3010">
        <v>10</v>
      </c>
      <c r="H3010">
        <v>128</v>
      </c>
      <c r="I3010">
        <v>1.1499999999999999</v>
      </c>
      <c r="J3010">
        <v>569</v>
      </c>
    </row>
    <row r="3011" spans="1:10" ht="14.25" customHeight="1" x14ac:dyDescent="0.25">
      <c r="A3011" s="21">
        <v>22041</v>
      </c>
      <c r="B3011" s="21"/>
      <c r="C3011">
        <v>6.8</v>
      </c>
      <c r="D3011">
        <v>4.2</v>
      </c>
      <c r="E3011">
        <v>56</v>
      </c>
      <c r="F3011">
        <v>29</v>
      </c>
      <c r="G3011">
        <v>6</v>
      </c>
      <c r="H3011">
        <v>29</v>
      </c>
      <c r="I3011">
        <v>1.08</v>
      </c>
      <c r="J3011">
        <v>589</v>
      </c>
    </row>
    <row r="3012" spans="1:10" ht="14.25" customHeight="1" x14ac:dyDescent="0.25">
      <c r="A3012" s="21">
        <v>22045</v>
      </c>
      <c r="B3012" s="21"/>
      <c r="C3012">
        <v>44.5</v>
      </c>
      <c r="D3012">
        <v>3.7</v>
      </c>
      <c r="E3012">
        <v>161</v>
      </c>
      <c r="F3012">
        <v>113</v>
      </c>
      <c r="G3012">
        <v>11</v>
      </c>
      <c r="H3012">
        <v>113</v>
      </c>
      <c r="I3012">
        <v>1.6</v>
      </c>
      <c r="J3012" s="1">
        <v>4564</v>
      </c>
    </row>
    <row r="3013" spans="1:10" ht="14.25" customHeight="1" x14ac:dyDescent="0.25">
      <c r="A3013" s="21">
        <v>22045</v>
      </c>
      <c r="B3013" s="21"/>
    </row>
    <row r="3014" spans="1:10" ht="14.25" customHeight="1" x14ac:dyDescent="0.25">
      <c r="A3014" s="21">
        <v>22045</v>
      </c>
      <c r="B3014" s="21"/>
      <c r="E3014">
        <v>7</v>
      </c>
      <c r="H3014">
        <v>18</v>
      </c>
    </row>
    <row r="3015" spans="1:10" ht="14.25" customHeight="1" x14ac:dyDescent="0.25">
      <c r="A3015" s="21">
        <v>22047</v>
      </c>
      <c r="B3015" s="21"/>
      <c r="C3015">
        <v>10.3</v>
      </c>
      <c r="D3015">
        <v>3</v>
      </c>
      <c r="J3015" s="1">
        <v>1237</v>
      </c>
    </row>
    <row r="3016" spans="1:10" ht="14.25" customHeight="1" x14ac:dyDescent="0.25">
      <c r="A3016" s="21">
        <v>22051</v>
      </c>
      <c r="B3016" s="21"/>
      <c r="C3016">
        <v>143.4</v>
      </c>
      <c r="D3016">
        <v>4.3</v>
      </c>
      <c r="E3016">
        <v>433</v>
      </c>
      <c r="F3016">
        <v>309</v>
      </c>
      <c r="G3016">
        <v>29</v>
      </c>
      <c r="H3016">
        <v>309</v>
      </c>
      <c r="I3016">
        <v>1.66</v>
      </c>
      <c r="J3016" s="1">
        <v>12456</v>
      </c>
    </row>
    <row r="3017" spans="1:10" ht="14.25" customHeight="1" x14ac:dyDescent="0.25">
      <c r="A3017" s="21">
        <v>22051</v>
      </c>
      <c r="B3017" s="21"/>
      <c r="C3017">
        <v>68.7</v>
      </c>
      <c r="D3017">
        <v>4.2</v>
      </c>
      <c r="E3017">
        <v>169</v>
      </c>
      <c r="F3017">
        <v>115</v>
      </c>
      <c r="G3017">
        <v>16</v>
      </c>
      <c r="H3017">
        <v>115</v>
      </c>
      <c r="I3017">
        <v>1.62</v>
      </c>
      <c r="J3017" s="1">
        <v>6507</v>
      </c>
    </row>
    <row r="3018" spans="1:10" ht="14.25" customHeight="1" x14ac:dyDescent="0.25">
      <c r="A3018" s="21">
        <v>22051</v>
      </c>
      <c r="B3018" s="21"/>
      <c r="C3018">
        <v>143.4</v>
      </c>
      <c r="D3018">
        <v>6</v>
      </c>
      <c r="E3018">
        <v>359</v>
      </c>
      <c r="F3018">
        <v>215</v>
      </c>
      <c r="G3018">
        <v>12</v>
      </c>
      <c r="H3018">
        <v>215</v>
      </c>
      <c r="I3018">
        <v>1.8</v>
      </c>
      <c r="J3018" s="1">
        <v>8066</v>
      </c>
    </row>
    <row r="3019" spans="1:10" ht="14.25" customHeight="1" x14ac:dyDescent="0.25">
      <c r="A3019" s="21">
        <v>22051</v>
      </c>
      <c r="B3019" s="21"/>
      <c r="C3019">
        <v>618.5</v>
      </c>
      <c r="D3019">
        <v>5.3</v>
      </c>
      <c r="E3019" s="1">
        <v>1916</v>
      </c>
      <c r="F3019">
        <v>963</v>
      </c>
      <c r="G3019">
        <v>100</v>
      </c>
      <c r="H3019">
        <v>963</v>
      </c>
      <c r="I3019">
        <v>2.08</v>
      </c>
      <c r="J3019" s="1">
        <v>44200</v>
      </c>
    </row>
    <row r="3020" spans="1:10" ht="14.25" customHeight="1" x14ac:dyDescent="0.25">
      <c r="A3020" s="21">
        <v>22051</v>
      </c>
      <c r="B3020" s="21"/>
      <c r="E3020">
        <v>15</v>
      </c>
      <c r="H3020">
        <v>180</v>
      </c>
    </row>
    <row r="3021" spans="1:10" ht="14.25" customHeight="1" x14ac:dyDescent="0.25">
      <c r="A3021" s="21">
        <v>22051</v>
      </c>
      <c r="B3021" s="21"/>
    </row>
    <row r="3022" spans="1:10" ht="14.25" customHeight="1" x14ac:dyDescent="0.25">
      <c r="A3022" s="21">
        <v>22051</v>
      </c>
      <c r="B3022" s="21"/>
      <c r="C3022">
        <v>0.4</v>
      </c>
      <c r="D3022">
        <v>1.8</v>
      </c>
      <c r="E3022">
        <v>21</v>
      </c>
      <c r="F3022">
        <v>16</v>
      </c>
      <c r="H3022">
        <v>16</v>
      </c>
      <c r="I3022">
        <v>2.44</v>
      </c>
      <c r="J3022">
        <v>71</v>
      </c>
    </row>
    <row r="3023" spans="1:10" ht="14.25" customHeight="1" x14ac:dyDescent="0.25">
      <c r="A3023" s="21">
        <v>22051</v>
      </c>
      <c r="B3023" s="21"/>
    </row>
    <row r="3024" spans="1:10" ht="14.25" customHeight="1" x14ac:dyDescent="0.25">
      <c r="A3024" s="21">
        <v>22053</v>
      </c>
      <c r="B3024" s="21"/>
      <c r="C3024">
        <v>24.6</v>
      </c>
      <c r="D3024">
        <v>4.2</v>
      </c>
      <c r="E3024">
        <v>55</v>
      </c>
      <c r="F3024">
        <v>49</v>
      </c>
      <c r="G3024">
        <v>5</v>
      </c>
      <c r="H3024">
        <v>49</v>
      </c>
      <c r="I3024">
        <v>1.23</v>
      </c>
      <c r="J3024" s="1">
        <v>2377</v>
      </c>
    </row>
    <row r="3025" spans="1:10" ht="14.25" customHeight="1" x14ac:dyDescent="0.25">
      <c r="A3025" s="21">
        <v>22055</v>
      </c>
      <c r="B3025" s="21"/>
      <c r="C3025">
        <v>252.5</v>
      </c>
      <c r="D3025">
        <v>5.3</v>
      </c>
      <c r="E3025">
        <v>455</v>
      </c>
      <c r="F3025">
        <v>331</v>
      </c>
      <c r="G3025">
        <v>24</v>
      </c>
      <c r="H3025">
        <v>331</v>
      </c>
      <c r="I3025">
        <v>1.8</v>
      </c>
      <c r="J3025" s="1">
        <v>11972</v>
      </c>
    </row>
    <row r="3026" spans="1:10" ht="14.25" customHeight="1" x14ac:dyDescent="0.25">
      <c r="A3026" s="21">
        <v>22055</v>
      </c>
      <c r="B3026" s="21"/>
      <c r="C3026">
        <v>0.7</v>
      </c>
      <c r="D3026">
        <v>1.8</v>
      </c>
      <c r="E3026">
        <v>16</v>
      </c>
      <c r="F3026">
        <v>10</v>
      </c>
      <c r="H3026">
        <v>10</v>
      </c>
      <c r="I3026">
        <v>1.89</v>
      </c>
      <c r="J3026">
        <v>143</v>
      </c>
    </row>
    <row r="3027" spans="1:10" ht="14.25" customHeight="1" x14ac:dyDescent="0.25">
      <c r="A3027" s="21">
        <v>22055</v>
      </c>
      <c r="B3027" s="21"/>
      <c r="C3027">
        <v>16.8</v>
      </c>
      <c r="D3027">
        <v>3.8</v>
      </c>
      <c r="E3027">
        <v>19</v>
      </c>
      <c r="F3027">
        <v>32</v>
      </c>
      <c r="H3027">
        <v>32</v>
      </c>
      <c r="I3027">
        <v>2.59</v>
      </c>
      <c r="J3027" s="1">
        <v>1621</v>
      </c>
    </row>
    <row r="3028" spans="1:10" ht="14.25" customHeight="1" x14ac:dyDescent="0.25">
      <c r="A3028" s="21">
        <v>22055</v>
      </c>
      <c r="B3028" s="21"/>
      <c r="E3028">
        <v>1</v>
      </c>
      <c r="H3028">
        <v>131</v>
      </c>
    </row>
    <row r="3029" spans="1:10" ht="14.25" customHeight="1" x14ac:dyDescent="0.25">
      <c r="A3029" s="21">
        <v>22055</v>
      </c>
      <c r="B3029" s="21"/>
      <c r="C3029">
        <v>2.7</v>
      </c>
      <c r="D3029">
        <v>2.1</v>
      </c>
      <c r="E3029">
        <v>42</v>
      </c>
      <c r="F3029">
        <v>10</v>
      </c>
      <c r="H3029">
        <v>10</v>
      </c>
      <c r="I3029">
        <v>2.1800000000000002</v>
      </c>
      <c r="J3029">
        <v>473</v>
      </c>
    </row>
    <row r="3030" spans="1:10" ht="14.25" customHeight="1" x14ac:dyDescent="0.25">
      <c r="A3030" s="21">
        <v>22055</v>
      </c>
      <c r="B3030" s="21"/>
      <c r="C3030">
        <v>4.8</v>
      </c>
      <c r="D3030">
        <v>2</v>
      </c>
      <c r="E3030">
        <v>74</v>
      </c>
      <c r="F3030">
        <v>20</v>
      </c>
      <c r="H3030">
        <v>20</v>
      </c>
      <c r="I3030">
        <v>2.69</v>
      </c>
      <c r="J3030">
        <v>872</v>
      </c>
    </row>
    <row r="3031" spans="1:10" ht="14.25" customHeight="1" x14ac:dyDescent="0.25">
      <c r="A3031" s="21">
        <v>22055</v>
      </c>
      <c r="B3031" s="21"/>
      <c r="C3031">
        <v>30</v>
      </c>
      <c r="D3031">
        <v>3.7</v>
      </c>
      <c r="E3031">
        <v>134</v>
      </c>
      <c r="F3031">
        <v>52</v>
      </c>
      <c r="G3031">
        <v>10</v>
      </c>
      <c r="H3031">
        <v>52</v>
      </c>
      <c r="I3031">
        <v>1.46</v>
      </c>
      <c r="J3031" s="1">
        <v>2990</v>
      </c>
    </row>
    <row r="3032" spans="1:10" ht="14.25" customHeight="1" x14ac:dyDescent="0.25">
      <c r="A3032" s="21">
        <v>22055</v>
      </c>
      <c r="B3032" s="21"/>
      <c r="C3032">
        <v>269.89999999999998</v>
      </c>
      <c r="D3032">
        <v>5.2</v>
      </c>
      <c r="E3032">
        <v>406</v>
      </c>
      <c r="F3032">
        <v>380</v>
      </c>
      <c r="G3032">
        <v>34</v>
      </c>
      <c r="H3032">
        <v>380</v>
      </c>
      <c r="I3032">
        <v>1.94</v>
      </c>
      <c r="J3032" s="1">
        <v>20048</v>
      </c>
    </row>
    <row r="3033" spans="1:10" ht="14.25" customHeight="1" x14ac:dyDescent="0.25">
      <c r="A3033" s="21">
        <v>22055</v>
      </c>
      <c r="B3033" s="21"/>
      <c r="C3033">
        <v>82.5</v>
      </c>
      <c r="D3033">
        <v>5.9</v>
      </c>
      <c r="E3033">
        <v>34</v>
      </c>
      <c r="F3033">
        <v>161</v>
      </c>
      <c r="H3033">
        <v>161</v>
      </c>
      <c r="I3033">
        <v>1.08</v>
      </c>
      <c r="J3033" s="1">
        <v>6154</v>
      </c>
    </row>
    <row r="3034" spans="1:10" ht="14.25" customHeight="1" x14ac:dyDescent="0.25">
      <c r="A3034" s="21">
        <v>22055</v>
      </c>
      <c r="B3034" s="21"/>
      <c r="C3034">
        <v>3.5</v>
      </c>
      <c r="D3034">
        <v>2.6</v>
      </c>
      <c r="J3034">
        <v>499</v>
      </c>
    </row>
    <row r="3035" spans="1:10" ht="14.25" customHeight="1" x14ac:dyDescent="0.25">
      <c r="A3035" s="21">
        <v>22057</v>
      </c>
      <c r="B3035" s="21"/>
      <c r="C3035">
        <v>52.9</v>
      </c>
      <c r="D3035">
        <v>3.5</v>
      </c>
      <c r="E3035">
        <v>180</v>
      </c>
      <c r="F3035">
        <v>130</v>
      </c>
      <c r="G3035">
        <v>16</v>
      </c>
      <c r="H3035">
        <v>130</v>
      </c>
      <c r="I3035">
        <v>1.64</v>
      </c>
      <c r="J3035" s="1">
        <v>6116</v>
      </c>
    </row>
    <row r="3036" spans="1:10" ht="14.25" customHeight="1" x14ac:dyDescent="0.25">
      <c r="A3036" s="21">
        <v>22059</v>
      </c>
      <c r="B3036" s="21"/>
      <c r="C3036">
        <v>7.8</v>
      </c>
      <c r="D3036">
        <v>4.3</v>
      </c>
      <c r="E3036">
        <v>22</v>
      </c>
      <c r="F3036">
        <v>30</v>
      </c>
      <c r="H3036">
        <v>30</v>
      </c>
      <c r="I3036">
        <v>1.03</v>
      </c>
      <c r="J3036">
        <v>660</v>
      </c>
    </row>
    <row r="3037" spans="1:10" ht="14.25" customHeight="1" x14ac:dyDescent="0.25">
      <c r="A3037" s="21">
        <v>22061</v>
      </c>
      <c r="B3037" s="21"/>
      <c r="C3037">
        <v>39.200000000000003</v>
      </c>
      <c r="D3037">
        <v>4.3</v>
      </c>
      <c r="E3037">
        <v>96</v>
      </c>
      <c r="F3037">
        <v>135</v>
      </c>
      <c r="G3037">
        <v>17</v>
      </c>
      <c r="H3037">
        <v>135</v>
      </c>
      <c r="I3037">
        <v>1.52</v>
      </c>
      <c r="J3037" s="1">
        <v>3948</v>
      </c>
    </row>
    <row r="3038" spans="1:10" ht="14.25" customHeight="1" x14ac:dyDescent="0.25">
      <c r="A3038" s="21">
        <v>22061</v>
      </c>
      <c r="B3038" s="21"/>
      <c r="C3038">
        <v>0.3</v>
      </c>
      <c r="D3038">
        <v>3.3</v>
      </c>
      <c r="J3038">
        <v>182</v>
      </c>
    </row>
    <row r="3039" spans="1:10" ht="14.25" customHeight="1" x14ac:dyDescent="0.25">
      <c r="A3039" s="21">
        <v>22063</v>
      </c>
      <c r="B3039" s="21"/>
    </row>
    <row r="3040" spans="1:10" ht="14.25" customHeight="1" x14ac:dyDescent="0.25">
      <c r="A3040" s="21">
        <v>22067</v>
      </c>
      <c r="B3040" s="21"/>
      <c r="C3040">
        <v>8.9</v>
      </c>
      <c r="D3040">
        <v>3.5</v>
      </c>
      <c r="E3040">
        <v>48</v>
      </c>
      <c r="F3040">
        <v>39</v>
      </c>
      <c r="G3040">
        <v>6</v>
      </c>
      <c r="H3040">
        <v>39</v>
      </c>
      <c r="I3040">
        <v>1.03</v>
      </c>
      <c r="J3040" s="1">
        <v>1087</v>
      </c>
    </row>
    <row r="3041" spans="1:10" ht="14.25" customHeight="1" x14ac:dyDescent="0.25">
      <c r="A3041" s="21">
        <v>22069</v>
      </c>
      <c r="B3041" s="21"/>
      <c r="C3041">
        <v>20.100000000000001</v>
      </c>
      <c r="D3041">
        <v>4.0999999999999996</v>
      </c>
      <c r="E3041">
        <v>74</v>
      </c>
      <c r="F3041">
        <v>81</v>
      </c>
      <c r="G3041">
        <v>8</v>
      </c>
      <c r="H3041">
        <v>81</v>
      </c>
      <c r="I3041">
        <v>1.32</v>
      </c>
      <c r="J3041" s="1">
        <v>2054</v>
      </c>
    </row>
    <row r="3042" spans="1:10" ht="14.25" customHeight="1" x14ac:dyDescent="0.25">
      <c r="A3042" s="21">
        <v>22071</v>
      </c>
      <c r="B3042" s="21"/>
      <c r="C3042">
        <v>206.4</v>
      </c>
      <c r="D3042">
        <v>6.3</v>
      </c>
      <c r="E3042">
        <v>533</v>
      </c>
      <c r="F3042">
        <v>264</v>
      </c>
      <c r="G3042">
        <v>40</v>
      </c>
      <c r="H3042">
        <v>264</v>
      </c>
      <c r="I3042">
        <v>1.94</v>
      </c>
      <c r="J3042" s="1">
        <v>11804</v>
      </c>
    </row>
    <row r="3043" spans="1:10" ht="14.25" customHeight="1" x14ac:dyDescent="0.25">
      <c r="A3043" s="21">
        <v>22071</v>
      </c>
      <c r="B3043" s="21"/>
      <c r="C3043">
        <v>153.6</v>
      </c>
      <c r="D3043">
        <v>5.7</v>
      </c>
      <c r="E3043">
        <v>368</v>
      </c>
      <c r="F3043">
        <v>260</v>
      </c>
      <c r="G3043">
        <v>22</v>
      </c>
      <c r="H3043">
        <v>260</v>
      </c>
      <c r="I3043">
        <v>1.82</v>
      </c>
      <c r="J3043" s="1">
        <v>9756</v>
      </c>
    </row>
    <row r="3044" spans="1:10" ht="14.25" customHeight="1" x14ac:dyDescent="0.25">
      <c r="A3044" s="21">
        <v>22071</v>
      </c>
      <c r="B3044" s="21"/>
      <c r="E3044">
        <v>5</v>
      </c>
      <c r="H3044">
        <v>127</v>
      </c>
    </row>
    <row r="3045" spans="1:10" ht="14.25" customHeight="1" x14ac:dyDescent="0.25">
      <c r="A3045" s="21">
        <v>22071</v>
      </c>
      <c r="B3045" s="21"/>
      <c r="C3045">
        <v>247</v>
      </c>
      <c r="D3045">
        <v>5</v>
      </c>
      <c r="E3045">
        <v>521</v>
      </c>
      <c r="F3045">
        <v>477</v>
      </c>
      <c r="H3045">
        <v>235</v>
      </c>
      <c r="I3045">
        <v>1.91</v>
      </c>
      <c r="J3045" s="1">
        <v>18764</v>
      </c>
    </row>
    <row r="3046" spans="1:10" ht="14.25" customHeight="1" x14ac:dyDescent="0.25">
      <c r="A3046" s="21">
        <v>22071</v>
      </c>
      <c r="B3046" s="21"/>
      <c r="C3046">
        <v>12.7</v>
      </c>
      <c r="D3046">
        <v>4</v>
      </c>
      <c r="E3046">
        <v>80</v>
      </c>
      <c r="F3046">
        <v>50</v>
      </c>
      <c r="H3046">
        <v>50</v>
      </c>
      <c r="I3046">
        <v>1.23</v>
      </c>
      <c r="J3046" s="1">
        <v>1156</v>
      </c>
    </row>
    <row r="3047" spans="1:10" ht="14.25" customHeight="1" x14ac:dyDescent="0.25">
      <c r="A3047" s="21">
        <v>22071</v>
      </c>
      <c r="B3047" s="21"/>
      <c r="C3047">
        <v>4</v>
      </c>
      <c r="D3047">
        <v>3.1</v>
      </c>
      <c r="E3047">
        <v>30</v>
      </c>
      <c r="F3047">
        <v>39</v>
      </c>
      <c r="H3047">
        <v>39</v>
      </c>
      <c r="I3047">
        <v>1.52</v>
      </c>
      <c r="J3047">
        <v>465</v>
      </c>
    </row>
    <row r="3048" spans="1:10" ht="14.25" customHeight="1" x14ac:dyDescent="0.25">
      <c r="A3048" s="21">
        <v>22071</v>
      </c>
      <c r="B3048" s="21"/>
    </row>
    <row r="3049" spans="1:10" ht="14.25" customHeight="1" x14ac:dyDescent="0.25">
      <c r="A3049" s="21">
        <v>22073</v>
      </c>
      <c r="B3049" s="21"/>
      <c r="C3049">
        <v>185</v>
      </c>
      <c r="D3049">
        <v>5.6</v>
      </c>
      <c r="E3049">
        <v>438</v>
      </c>
      <c r="F3049">
        <v>337</v>
      </c>
      <c r="G3049">
        <v>32</v>
      </c>
      <c r="H3049">
        <v>367</v>
      </c>
      <c r="I3049">
        <v>1.72</v>
      </c>
      <c r="J3049" s="1">
        <v>12690</v>
      </c>
    </row>
    <row r="3050" spans="1:10" ht="14.25" customHeight="1" x14ac:dyDescent="0.25">
      <c r="A3050" s="21">
        <v>22073</v>
      </c>
      <c r="B3050" s="21"/>
      <c r="C3050">
        <v>0.7</v>
      </c>
      <c r="D3050">
        <v>2.1</v>
      </c>
      <c r="J3050">
        <v>118</v>
      </c>
    </row>
    <row r="3051" spans="1:10" ht="14.25" customHeight="1" x14ac:dyDescent="0.25">
      <c r="A3051" s="21">
        <v>22073</v>
      </c>
      <c r="B3051" s="21"/>
      <c r="C3051">
        <v>1.2</v>
      </c>
      <c r="D3051">
        <v>2.2000000000000002</v>
      </c>
      <c r="E3051">
        <v>85</v>
      </c>
      <c r="F3051">
        <v>10</v>
      </c>
      <c r="H3051">
        <v>10</v>
      </c>
      <c r="I3051">
        <v>2.4</v>
      </c>
      <c r="J3051">
        <v>209</v>
      </c>
    </row>
    <row r="3052" spans="1:10" ht="14.25" customHeight="1" x14ac:dyDescent="0.25">
      <c r="A3052" s="21">
        <v>22073</v>
      </c>
      <c r="B3052" s="21"/>
      <c r="C3052">
        <v>2.5</v>
      </c>
      <c r="D3052">
        <v>2.2000000000000002</v>
      </c>
      <c r="E3052">
        <v>6</v>
      </c>
      <c r="F3052">
        <v>22</v>
      </c>
      <c r="H3052">
        <v>22</v>
      </c>
      <c r="I3052">
        <v>2.33</v>
      </c>
      <c r="J3052">
        <v>416</v>
      </c>
    </row>
    <row r="3053" spans="1:10" ht="14.25" customHeight="1" x14ac:dyDescent="0.25">
      <c r="A3053" s="21">
        <v>22073</v>
      </c>
      <c r="B3053" s="21"/>
      <c r="C3053">
        <v>131.4</v>
      </c>
      <c r="D3053">
        <v>4.8</v>
      </c>
      <c r="E3053">
        <v>144</v>
      </c>
      <c r="F3053">
        <v>214</v>
      </c>
      <c r="G3053">
        <v>44</v>
      </c>
      <c r="H3053">
        <v>214</v>
      </c>
      <c r="I3053">
        <v>1.67</v>
      </c>
      <c r="J3053" s="1">
        <v>10448</v>
      </c>
    </row>
    <row r="3054" spans="1:10" ht="14.25" customHeight="1" x14ac:dyDescent="0.25">
      <c r="A3054" s="21">
        <v>22073</v>
      </c>
      <c r="B3054" s="21"/>
      <c r="C3054">
        <v>42.5</v>
      </c>
      <c r="D3054">
        <v>4</v>
      </c>
      <c r="E3054">
        <v>90</v>
      </c>
      <c r="F3054">
        <v>93</v>
      </c>
      <c r="G3054">
        <v>12</v>
      </c>
      <c r="H3054">
        <v>93</v>
      </c>
      <c r="I3054">
        <v>1.38</v>
      </c>
      <c r="J3054" s="1">
        <v>4669</v>
      </c>
    </row>
    <row r="3055" spans="1:10" ht="14.25" customHeight="1" x14ac:dyDescent="0.25">
      <c r="A3055" s="21">
        <v>22073</v>
      </c>
      <c r="B3055" s="21"/>
    </row>
    <row r="3056" spans="1:10" ht="14.25" customHeight="1" x14ac:dyDescent="0.25">
      <c r="A3056" s="21">
        <v>22079</v>
      </c>
      <c r="B3056" s="21"/>
      <c r="C3056">
        <v>7.7</v>
      </c>
      <c r="D3056">
        <v>4.9000000000000004</v>
      </c>
      <c r="J3056">
        <v>568</v>
      </c>
    </row>
    <row r="3057" spans="1:10" ht="14.25" customHeight="1" x14ac:dyDescent="0.25">
      <c r="A3057" s="21">
        <v>22079</v>
      </c>
      <c r="B3057" s="21"/>
      <c r="C3057">
        <v>156.9</v>
      </c>
      <c r="D3057">
        <v>5.2</v>
      </c>
      <c r="E3057">
        <v>228</v>
      </c>
      <c r="F3057">
        <v>276</v>
      </c>
      <c r="G3057">
        <v>26</v>
      </c>
      <c r="H3057">
        <v>276</v>
      </c>
      <c r="I3057">
        <v>1.69</v>
      </c>
      <c r="J3057" s="1">
        <v>11634</v>
      </c>
    </row>
    <row r="3058" spans="1:10" ht="14.25" customHeight="1" x14ac:dyDescent="0.25">
      <c r="A3058" s="21">
        <v>22079</v>
      </c>
      <c r="B3058" s="21"/>
      <c r="C3058">
        <v>226.1</v>
      </c>
      <c r="D3058">
        <v>5.7</v>
      </c>
      <c r="E3058">
        <v>219</v>
      </c>
      <c r="F3058">
        <v>357</v>
      </c>
      <c r="H3058">
        <v>328</v>
      </c>
      <c r="I3058">
        <v>1.88</v>
      </c>
      <c r="J3058" s="1">
        <v>15176</v>
      </c>
    </row>
    <row r="3059" spans="1:10" ht="14.25" customHeight="1" x14ac:dyDescent="0.25">
      <c r="A3059" s="21">
        <v>22079</v>
      </c>
      <c r="B3059" s="21"/>
      <c r="C3059">
        <v>6.9</v>
      </c>
      <c r="D3059">
        <v>2.1</v>
      </c>
      <c r="E3059">
        <v>73</v>
      </c>
      <c r="F3059">
        <v>24</v>
      </c>
      <c r="H3059">
        <v>24</v>
      </c>
      <c r="I3059">
        <v>2.3199999999999998</v>
      </c>
      <c r="J3059" s="1">
        <v>1195</v>
      </c>
    </row>
    <row r="3060" spans="1:10" ht="14.25" customHeight="1" x14ac:dyDescent="0.25">
      <c r="A3060" s="21">
        <v>22083</v>
      </c>
      <c r="B3060" s="21"/>
      <c r="C3060">
        <v>7.9</v>
      </c>
      <c r="D3060">
        <v>4.7</v>
      </c>
      <c r="E3060">
        <v>37</v>
      </c>
      <c r="F3060">
        <v>38</v>
      </c>
      <c r="G3060">
        <v>2</v>
      </c>
      <c r="H3060">
        <v>38</v>
      </c>
      <c r="I3060">
        <v>1</v>
      </c>
      <c r="J3060">
        <v>623</v>
      </c>
    </row>
    <row r="3061" spans="1:10" ht="14.25" customHeight="1" x14ac:dyDescent="0.25">
      <c r="A3061" s="21">
        <v>22085</v>
      </c>
      <c r="B3061" s="21"/>
      <c r="C3061">
        <v>3.8</v>
      </c>
      <c r="D3061">
        <v>3.5</v>
      </c>
      <c r="E3061">
        <v>24</v>
      </c>
      <c r="F3061">
        <v>48</v>
      </c>
      <c r="H3061">
        <v>48</v>
      </c>
      <c r="I3061">
        <v>0.89</v>
      </c>
      <c r="J3061">
        <v>403</v>
      </c>
    </row>
    <row r="3062" spans="1:10" ht="14.25" customHeight="1" x14ac:dyDescent="0.25">
      <c r="A3062" s="21">
        <v>22087</v>
      </c>
      <c r="B3062" s="21"/>
      <c r="C3062">
        <v>15.4</v>
      </c>
      <c r="D3062">
        <v>4.4000000000000004</v>
      </c>
      <c r="E3062">
        <v>49</v>
      </c>
      <c r="F3062">
        <v>40</v>
      </c>
      <c r="G3062">
        <v>8</v>
      </c>
      <c r="H3062">
        <v>40</v>
      </c>
      <c r="I3062">
        <v>1.47</v>
      </c>
      <c r="J3062" s="1">
        <v>1285</v>
      </c>
    </row>
    <row r="3063" spans="1:10" ht="14.25" customHeight="1" x14ac:dyDescent="0.25">
      <c r="A3063" s="21">
        <v>22089</v>
      </c>
      <c r="B3063" s="21"/>
      <c r="C3063">
        <v>6.9</v>
      </c>
      <c r="D3063">
        <v>3.4</v>
      </c>
      <c r="E3063">
        <v>38</v>
      </c>
      <c r="F3063">
        <v>39</v>
      </c>
      <c r="G3063">
        <v>8</v>
      </c>
      <c r="H3063">
        <v>39</v>
      </c>
      <c r="I3063">
        <v>1.33</v>
      </c>
      <c r="J3063">
        <v>737</v>
      </c>
    </row>
    <row r="3064" spans="1:10" ht="14.25" customHeight="1" x14ac:dyDescent="0.25">
      <c r="A3064" s="21">
        <v>22089</v>
      </c>
      <c r="B3064" s="21"/>
    </row>
    <row r="3065" spans="1:10" ht="14.25" customHeight="1" x14ac:dyDescent="0.25">
      <c r="A3065" s="21">
        <v>22095</v>
      </c>
      <c r="B3065" s="21"/>
      <c r="C3065">
        <v>13.2</v>
      </c>
      <c r="D3065">
        <v>4</v>
      </c>
      <c r="J3065" s="1">
        <v>1191</v>
      </c>
    </row>
    <row r="3066" spans="1:10" ht="14.25" customHeight="1" x14ac:dyDescent="0.25">
      <c r="A3066" s="21">
        <v>22097</v>
      </c>
      <c r="B3066" s="21"/>
      <c r="E3066">
        <v>8</v>
      </c>
      <c r="H3066">
        <v>109</v>
      </c>
    </row>
    <row r="3067" spans="1:10" ht="14.25" customHeight="1" x14ac:dyDescent="0.25">
      <c r="A3067" s="21">
        <v>22097</v>
      </c>
      <c r="B3067" s="21"/>
      <c r="C3067">
        <v>53</v>
      </c>
      <c r="D3067">
        <v>3.9</v>
      </c>
      <c r="E3067">
        <v>176</v>
      </c>
      <c r="F3067">
        <v>151</v>
      </c>
      <c r="G3067">
        <v>22</v>
      </c>
      <c r="H3067">
        <v>151</v>
      </c>
      <c r="I3067">
        <v>1.63</v>
      </c>
      <c r="J3067" s="1">
        <v>5530</v>
      </c>
    </row>
    <row r="3068" spans="1:10" ht="14.25" customHeight="1" x14ac:dyDescent="0.25">
      <c r="A3068" s="21">
        <v>22097</v>
      </c>
      <c r="B3068" s="21"/>
      <c r="H3068">
        <v>197</v>
      </c>
    </row>
    <row r="3069" spans="1:10" ht="14.25" customHeight="1" x14ac:dyDescent="0.25">
      <c r="A3069" s="21">
        <v>22097</v>
      </c>
      <c r="B3069" s="21"/>
    </row>
    <row r="3070" spans="1:10" ht="14.25" customHeight="1" x14ac:dyDescent="0.25">
      <c r="A3070" s="21">
        <v>22101</v>
      </c>
      <c r="B3070" s="21"/>
      <c r="C3070">
        <v>15.8</v>
      </c>
      <c r="D3070">
        <v>4.0999999999999996</v>
      </c>
      <c r="E3070">
        <v>46</v>
      </c>
      <c r="F3070">
        <v>130</v>
      </c>
      <c r="G3070">
        <v>10</v>
      </c>
      <c r="H3070">
        <v>130</v>
      </c>
      <c r="I3070">
        <v>1.3</v>
      </c>
      <c r="J3070" s="1">
        <v>1489</v>
      </c>
    </row>
    <row r="3071" spans="1:10" ht="14.25" customHeight="1" x14ac:dyDescent="0.25">
      <c r="A3071" s="21">
        <v>22103</v>
      </c>
      <c r="B3071" s="21"/>
      <c r="C3071">
        <v>128.6</v>
      </c>
      <c r="D3071">
        <v>4.3</v>
      </c>
      <c r="E3071">
        <v>296</v>
      </c>
      <c r="F3071">
        <v>188</v>
      </c>
      <c r="G3071">
        <v>24</v>
      </c>
      <c r="H3071">
        <v>188</v>
      </c>
      <c r="I3071">
        <v>1.75</v>
      </c>
      <c r="J3071" s="1">
        <v>11864</v>
      </c>
    </row>
    <row r="3072" spans="1:10" ht="14.25" customHeight="1" x14ac:dyDescent="0.25">
      <c r="A3072" s="21">
        <v>22103</v>
      </c>
      <c r="B3072" s="21"/>
      <c r="C3072">
        <v>93.7</v>
      </c>
      <c r="D3072">
        <v>4.3</v>
      </c>
      <c r="E3072">
        <v>242</v>
      </c>
      <c r="F3072">
        <v>231</v>
      </c>
      <c r="G3072">
        <v>100</v>
      </c>
      <c r="H3072">
        <v>223</v>
      </c>
      <c r="I3072">
        <v>1.59</v>
      </c>
      <c r="J3072" s="1">
        <v>8555</v>
      </c>
    </row>
    <row r="3073" spans="1:10" ht="14.25" customHeight="1" x14ac:dyDescent="0.25">
      <c r="A3073" s="21">
        <v>22103</v>
      </c>
      <c r="B3073" s="21"/>
      <c r="E3073">
        <v>33</v>
      </c>
      <c r="H3073">
        <v>167</v>
      </c>
    </row>
    <row r="3074" spans="1:10" ht="14.25" customHeight="1" x14ac:dyDescent="0.25">
      <c r="A3074" s="21">
        <v>22103</v>
      </c>
      <c r="B3074" s="21"/>
      <c r="C3074">
        <v>3.7</v>
      </c>
      <c r="D3074">
        <v>1.8</v>
      </c>
      <c r="E3074">
        <v>56</v>
      </c>
      <c r="F3074">
        <v>21</v>
      </c>
      <c r="H3074">
        <v>21</v>
      </c>
      <c r="I3074">
        <v>3.02</v>
      </c>
      <c r="J3074">
        <v>758</v>
      </c>
    </row>
    <row r="3075" spans="1:10" ht="14.25" customHeight="1" x14ac:dyDescent="0.25">
      <c r="A3075" s="21">
        <v>22103</v>
      </c>
      <c r="B3075" s="21"/>
      <c r="C3075">
        <v>7.3</v>
      </c>
      <c r="D3075">
        <v>2.2000000000000002</v>
      </c>
      <c r="E3075">
        <v>34</v>
      </c>
      <c r="F3075">
        <v>37</v>
      </c>
      <c r="G3075">
        <v>5</v>
      </c>
      <c r="H3075">
        <v>37</v>
      </c>
      <c r="I3075">
        <v>2.0099999999999998</v>
      </c>
      <c r="J3075" s="1">
        <v>1210</v>
      </c>
    </row>
    <row r="3076" spans="1:10" ht="14.25" customHeight="1" x14ac:dyDescent="0.25">
      <c r="A3076" s="21">
        <v>22103</v>
      </c>
      <c r="B3076" s="21"/>
      <c r="C3076">
        <v>50.4</v>
      </c>
      <c r="D3076">
        <v>4.2</v>
      </c>
      <c r="E3076">
        <v>83</v>
      </c>
      <c r="F3076">
        <v>150</v>
      </c>
      <c r="G3076">
        <v>20</v>
      </c>
      <c r="H3076">
        <v>150</v>
      </c>
      <c r="I3076">
        <v>1.62</v>
      </c>
      <c r="J3076" s="1">
        <v>4429</v>
      </c>
    </row>
    <row r="3077" spans="1:10" ht="14.25" customHeight="1" x14ac:dyDescent="0.25">
      <c r="A3077" s="21">
        <v>22103</v>
      </c>
      <c r="B3077" s="21"/>
      <c r="C3077">
        <v>35.6</v>
      </c>
      <c r="D3077">
        <v>3.7</v>
      </c>
      <c r="E3077">
        <v>1</v>
      </c>
      <c r="F3077">
        <v>137</v>
      </c>
      <c r="G3077">
        <v>58</v>
      </c>
      <c r="H3077">
        <v>137</v>
      </c>
      <c r="J3077" s="1">
        <v>3514</v>
      </c>
    </row>
    <row r="3078" spans="1:10" ht="14.25" customHeight="1" x14ac:dyDescent="0.25">
      <c r="A3078" s="21">
        <v>22103</v>
      </c>
      <c r="B3078" s="21"/>
      <c r="C3078">
        <v>1.6</v>
      </c>
      <c r="D3078">
        <v>2.5</v>
      </c>
      <c r="E3078">
        <v>21</v>
      </c>
      <c r="F3078">
        <v>10</v>
      </c>
      <c r="H3078">
        <v>10</v>
      </c>
      <c r="I3078">
        <v>2.77</v>
      </c>
      <c r="J3078">
        <v>229</v>
      </c>
    </row>
    <row r="3079" spans="1:10" ht="14.25" customHeight="1" x14ac:dyDescent="0.25">
      <c r="A3079" s="21">
        <v>22103</v>
      </c>
      <c r="B3079" s="21"/>
    </row>
    <row r="3080" spans="1:10" ht="14.25" customHeight="1" x14ac:dyDescent="0.25">
      <c r="A3080" s="21">
        <v>22105</v>
      </c>
      <c r="B3080" s="21"/>
      <c r="C3080">
        <v>150.4</v>
      </c>
      <c r="D3080">
        <v>5.0999999999999996</v>
      </c>
      <c r="E3080">
        <v>284</v>
      </c>
      <c r="F3080">
        <v>344</v>
      </c>
      <c r="G3080">
        <v>60</v>
      </c>
      <c r="H3080">
        <v>330</v>
      </c>
      <c r="I3080">
        <v>1.58</v>
      </c>
      <c r="J3080" s="1">
        <v>11286</v>
      </c>
    </row>
    <row r="3081" spans="1:10" ht="14.25" customHeight="1" x14ac:dyDescent="0.25">
      <c r="A3081" s="21">
        <v>22105</v>
      </c>
      <c r="B3081" s="21"/>
      <c r="C3081">
        <v>2.6</v>
      </c>
      <c r="D3081">
        <v>1.9</v>
      </c>
      <c r="E3081">
        <v>51</v>
      </c>
      <c r="F3081">
        <v>30</v>
      </c>
      <c r="H3081">
        <v>30</v>
      </c>
      <c r="I3081">
        <v>3.19</v>
      </c>
      <c r="J3081">
        <v>516</v>
      </c>
    </row>
    <row r="3082" spans="1:10" ht="14.25" customHeight="1" x14ac:dyDescent="0.25">
      <c r="A3082" s="21">
        <v>22109</v>
      </c>
      <c r="B3082" s="21"/>
      <c r="C3082">
        <v>98.2</v>
      </c>
      <c r="D3082">
        <v>4.9000000000000004</v>
      </c>
      <c r="E3082">
        <v>195</v>
      </c>
      <c r="F3082">
        <v>188</v>
      </c>
      <c r="G3082">
        <v>18</v>
      </c>
      <c r="H3082">
        <v>188</v>
      </c>
      <c r="I3082">
        <v>1.79</v>
      </c>
      <c r="J3082" s="1">
        <v>7827</v>
      </c>
    </row>
    <row r="3083" spans="1:10" ht="14.25" customHeight="1" x14ac:dyDescent="0.25">
      <c r="A3083" s="21">
        <v>22109</v>
      </c>
      <c r="B3083" s="21"/>
      <c r="C3083">
        <v>1.7</v>
      </c>
      <c r="D3083">
        <v>1.9</v>
      </c>
      <c r="E3083">
        <v>44</v>
      </c>
      <c r="F3083">
        <v>30</v>
      </c>
      <c r="H3083">
        <v>30</v>
      </c>
      <c r="I3083">
        <v>2.08</v>
      </c>
      <c r="J3083">
        <v>321</v>
      </c>
    </row>
    <row r="3084" spans="1:10" ht="14.25" customHeight="1" x14ac:dyDescent="0.25">
      <c r="A3084" s="21">
        <v>22109</v>
      </c>
      <c r="B3084" s="21"/>
      <c r="C3084">
        <v>19.899999999999999</v>
      </c>
      <c r="D3084">
        <v>3.8</v>
      </c>
      <c r="E3084">
        <v>142</v>
      </c>
      <c r="F3084">
        <v>66</v>
      </c>
      <c r="G3084">
        <v>8</v>
      </c>
      <c r="H3084">
        <v>66</v>
      </c>
      <c r="I3084">
        <v>1.49</v>
      </c>
      <c r="J3084" s="1">
        <v>1921</v>
      </c>
    </row>
    <row r="3085" spans="1:10" ht="14.25" customHeight="1" x14ac:dyDescent="0.25">
      <c r="A3085" s="21">
        <v>22113</v>
      </c>
      <c r="B3085" s="21"/>
      <c r="C3085">
        <v>14.5</v>
      </c>
      <c r="D3085">
        <v>4.5999999999999996</v>
      </c>
      <c r="E3085">
        <v>76</v>
      </c>
      <c r="F3085">
        <v>44</v>
      </c>
      <c r="G3085">
        <v>6</v>
      </c>
      <c r="H3085">
        <v>44</v>
      </c>
      <c r="I3085">
        <v>1.4</v>
      </c>
      <c r="J3085" s="1">
        <v>1240</v>
      </c>
    </row>
    <row r="3086" spans="1:10" ht="14.25" customHeight="1" x14ac:dyDescent="0.25">
      <c r="A3086" s="21">
        <v>22115</v>
      </c>
      <c r="B3086" s="21"/>
      <c r="C3086">
        <v>19.600000000000001</v>
      </c>
      <c r="D3086">
        <v>3.8</v>
      </c>
      <c r="E3086">
        <v>43</v>
      </c>
      <c r="F3086">
        <v>49</v>
      </c>
      <c r="G3086">
        <v>7</v>
      </c>
      <c r="H3086">
        <v>49</v>
      </c>
      <c r="I3086">
        <v>1.29</v>
      </c>
      <c r="J3086" s="1">
        <v>2013</v>
      </c>
    </row>
    <row r="3087" spans="1:10" ht="14.25" customHeight="1" x14ac:dyDescent="0.25">
      <c r="A3087" s="21">
        <v>22115</v>
      </c>
      <c r="B3087" s="21"/>
      <c r="C3087">
        <v>4.9000000000000004</v>
      </c>
      <c r="D3087">
        <v>3.4</v>
      </c>
      <c r="I3087">
        <v>1.25</v>
      </c>
      <c r="J3087">
        <v>532</v>
      </c>
    </row>
    <row r="3088" spans="1:10" ht="14.25" customHeight="1" x14ac:dyDescent="0.25">
      <c r="A3088" s="21">
        <v>22117</v>
      </c>
      <c r="B3088" s="21"/>
      <c r="C3088">
        <v>13.4</v>
      </c>
      <c r="D3088">
        <v>3.6</v>
      </c>
      <c r="E3088">
        <v>99</v>
      </c>
      <c r="F3088">
        <v>36</v>
      </c>
      <c r="G3088">
        <v>8</v>
      </c>
      <c r="H3088">
        <v>36</v>
      </c>
      <c r="I3088">
        <v>1.29</v>
      </c>
      <c r="J3088" s="1">
        <v>1406</v>
      </c>
    </row>
    <row r="3089" spans="1:10" ht="14.25" customHeight="1" x14ac:dyDescent="0.25">
      <c r="A3089" s="21">
        <v>22119</v>
      </c>
      <c r="B3089" s="21"/>
      <c r="C3089">
        <v>25.1</v>
      </c>
      <c r="D3089">
        <v>3.6</v>
      </c>
      <c r="E3089">
        <v>78</v>
      </c>
      <c r="F3089">
        <v>125</v>
      </c>
      <c r="G3089">
        <v>10</v>
      </c>
      <c r="H3089">
        <v>125</v>
      </c>
      <c r="I3089">
        <v>1.45</v>
      </c>
      <c r="J3089" s="1">
        <v>2536</v>
      </c>
    </row>
    <row r="3090" spans="1:10" ht="14.25" customHeight="1" x14ac:dyDescent="0.25">
      <c r="A3090" s="21">
        <v>22119</v>
      </c>
      <c r="B3090" s="21"/>
      <c r="C3090">
        <v>6.9</v>
      </c>
      <c r="D3090">
        <v>3.6</v>
      </c>
      <c r="E3090">
        <v>33</v>
      </c>
      <c r="F3090">
        <v>46</v>
      </c>
      <c r="G3090">
        <v>6</v>
      </c>
      <c r="H3090">
        <v>46</v>
      </c>
      <c r="I3090">
        <v>1.07</v>
      </c>
      <c r="J3090">
        <v>697</v>
      </c>
    </row>
    <row r="3091" spans="1:10" ht="14.25" customHeight="1" x14ac:dyDescent="0.25">
      <c r="A3091" s="21">
        <v>22123</v>
      </c>
      <c r="B3091" s="21"/>
      <c r="C3091">
        <v>16.5</v>
      </c>
      <c r="D3091">
        <v>7.8</v>
      </c>
      <c r="E3091">
        <v>17</v>
      </c>
      <c r="F3091">
        <v>30</v>
      </c>
      <c r="H3091">
        <v>30</v>
      </c>
      <c r="I3091">
        <v>1.02</v>
      </c>
      <c r="J3091">
        <v>774</v>
      </c>
    </row>
    <row r="3092" spans="1:10" ht="14.25" customHeight="1" x14ac:dyDescent="0.25">
      <c r="A3092" s="21">
        <v>22127</v>
      </c>
      <c r="B3092" s="21"/>
      <c r="C3092">
        <v>6.6</v>
      </c>
      <c r="D3092">
        <v>3.6</v>
      </c>
      <c r="E3092">
        <v>26</v>
      </c>
      <c r="F3092">
        <v>46</v>
      </c>
      <c r="G3092">
        <v>5</v>
      </c>
      <c r="H3092">
        <v>46</v>
      </c>
      <c r="I3092">
        <v>0.96</v>
      </c>
      <c r="J3092">
        <v>679</v>
      </c>
    </row>
    <row r="3093" spans="1:10" ht="14.25" customHeight="1" x14ac:dyDescent="0.25">
      <c r="A3093" s="21">
        <v>23001</v>
      </c>
      <c r="B3093" s="21"/>
      <c r="C3093">
        <v>112.5</v>
      </c>
      <c r="D3093">
        <v>4.5999999999999996</v>
      </c>
      <c r="E3093">
        <v>420</v>
      </c>
      <c r="F3093">
        <v>221</v>
      </c>
      <c r="G3093">
        <v>20</v>
      </c>
      <c r="H3093">
        <v>221</v>
      </c>
      <c r="I3093">
        <v>1.93</v>
      </c>
      <c r="J3093" s="1">
        <v>9094</v>
      </c>
    </row>
    <row r="3094" spans="1:10" ht="14.25" customHeight="1" x14ac:dyDescent="0.25">
      <c r="A3094" s="21">
        <v>23001</v>
      </c>
      <c r="B3094" s="21"/>
      <c r="C3094">
        <v>56.6</v>
      </c>
      <c r="D3094">
        <v>4.0999999999999996</v>
      </c>
      <c r="E3094">
        <v>248</v>
      </c>
      <c r="F3094">
        <v>140</v>
      </c>
      <c r="G3094">
        <v>14</v>
      </c>
      <c r="H3094">
        <v>140</v>
      </c>
      <c r="I3094">
        <v>1.49</v>
      </c>
      <c r="J3094" s="1">
        <v>5315</v>
      </c>
    </row>
    <row r="3095" spans="1:10" ht="14.25" customHeight="1" x14ac:dyDescent="0.25">
      <c r="A3095" s="21">
        <v>23003</v>
      </c>
      <c r="B3095" s="21"/>
      <c r="C3095">
        <v>18.600000000000001</v>
      </c>
      <c r="D3095">
        <v>4.3</v>
      </c>
      <c r="E3095">
        <v>80</v>
      </c>
      <c r="F3095">
        <v>49</v>
      </c>
      <c r="G3095">
        <v>6</v>
      </c>
      <c r="H3095">
        <v>49</v>
      </c>
      <c r="I3095">
        <v>1.29</v>
      </c>
      <c r="J3095" s="1">
        <v>1700</v>
      </c>
    </row>
    <row r="3096" spans="1:10" ht="14.25" customHeight="1" x14ac:dyDescent="0.25">
      <c r="A3096" s="21">
        <v>23003</v>
      </c>
      <c r="B3096" s="21"/>
      <c r="C3096">
        <v>18.7</v>
      </c>
      <c r="D3096">
        <v>6.7</v>
      </c>
      <c r="E3096">
        <v>64</v>
      </c>
      <c r="F3096">
        <v>43</v>
      </c>
      <c r="H3096">
        <v>43</v>
      </c>
      <c r="I3096">
        <v>1.29</v>
      </c>
      <c r="J3096" s="1">
        <v>1027</v>
      </c>
    </row>
    <row r="3097" spans="1:10" ht="14.25" customHeight="1" x14ac:dyDescent="0.25">
      <c r="A3097" s="21">
        <v>23003</v>
      </c>
      <c r="B3097" s="21"/>
      <c r="C3097">
        <v>24.5</v>
      </c>
      <c r="D3097">
        <v>4.7</v>
      </c>
      <c r="E3097">
        <v>163</v>
      </c>
      <c r="F3097">
        <v>43</v>
      </c>
      <c r="G3097">
        <v>6</v>
      </c>
      <c r="H3097">
        <v>43</v>
      </c>
      <c r="I3097">
        <v>1.27</v>
      </c>
      <c r="J3097" s="1">
        <v>1974</v>
      </c>
    </row>
    <row r="3098" spans="1:10" ht="14.25" customHeight="1" x14ac:dyDescent="0.25">
      <c r="A3098" s="21">
        <v>23005</v>
      </c>
      <c r="B3098" s="21"/>
      <c r="C3098">
        <v>7.6</v>
      </c>
      <c r="D3098">
        <v>4.0999999999999996</v>
      </c>
      <c r="J3098">
        <v>684</v>
      </c>
    </row>
    <row r="3099" spans="1:10" ht="14.25" customHeight="1" x14ac:dyDescent="0.25">
      <c r="A3099" s="21">
        <v>23005</v>
      </c>
      <c r="B3099" s="21"/>
      <c r="C3099">
        <v>42.7</v>
      </c>
      <c r="D3099">
        <v>4.0999999999999996</v>
      </c>
      <c r="E3099">
        <v>381</v>
      </c>
      <c r="F3099">
        <v>103</v>
      </c>
      <c r="G3099">
        <v>7</v>
      </c>
      <c r="H3099">
        <v>103</v>
      </c>
      <c r="I3099">
        <v>1.82</v>
      </c>
      <c r="J3099" s="1">
        <v>4241</v>
      </c>
    </row>
    <row r="3100" spans="1:10" ht="14.25" customHeight="1" x14ac:dyDescent="0.25">
      <c r="A3100" s="21">
        <v>23005</v>
      </c>
      <c r="B3100" s="21"/>
      <c r="C3100">
        <v>430.1</v>
      </c>
      <c r="D3100">
        <v>5.5</v>
      </c>
      <c r="E3100" s="1">
        <v>1503</v>
      </c>
      <c r="F3100">
        <v>575</v>
      </c>
      <c r="G3100">
        <v>32</v>
      </c>
      <c r="H3100">
        <v>575</v>
      </c>
      <c r="I3100">
        <v>2.16</v>
      </c>
      <c r="J3100" s="1">
        <v>29336</v>
      </c>
    </row>
    <row r="3101" spans="1:10" ht="14.25" customHeight="1" x14ac:dyDescent="0.25">
      <c r="A3101" s="21">
        <v>23005</v>
      </c>
      <c r="B3101" s="21"/>
      <c r="C3101">
        <v>62.6</v>
      </c>
      <c r="D3101">
        <v>4.7</v>
      </c>
      <c r="E3101">
        <v>352</v>
      </c>
      <c r="F3101">
        <v>92</v>
      </c>
      <c r="G3101">
        <v>11</v>
      </c>
      <c r="H3101">
        <v>92</v>
      </c>
      <c r="I3101">
        <v>1.38</v>
      </c>
      <c r="J3101" s="1">
        <v>5116</v>
      </c>
    </row>
    <row r="3102" spans="1:10" ht="14.25" customHeight="1" x14ac:dyDescent="0.25">
      <c r="A3102" s="21">
        <v>23005</v>
      </c>
      <c r="B3102" s="21"/>
      <c r="H3102">
        <v>230</v>
      </c>
    </row>
    <row r="3103" spans="1:10" ht="14.25" customHeight="1" x14ac:dyDescent="0.25">
      <c r="A3103" s="21">
        <v>23007</v>
      </c>
      <c r="B3103" s="21"/>
      <c r="C3103">
        <v>17.3</v>
      </c>
      <c r="D3103">
        <v>2.7</v>
      </c>
      <c r="E3103">
        <v>116</v>
      </c>
      <c r="F3103">
        <v>48</v>
      </c>
      <c r="G3103">
        <v>5</v>
      </c>
      <c r="H3103">
        <v>48</v>
      </c>
      <c r="I3103">
        <v>1.39</v>
      </c>
      <c r="J3103" s="1">
        <v>2552</v>
      </c>
    </row>
    <row r="3104" spans="1:10" ht="14.25" customHeight="1" x14ac:dyDescent="0.25">
      <c r="A3104" s="21">
        <v>23009</v>
      </c>
      <c r="B3104" s="21"/>
      <c r="C3104">
        <v>26.2</v>
      </c>
      <c r="D3104">
        <v>6.1</v>
      </c>
      <c r="E3104">
        <v>133</v>
      </c>
      <c r="F3104">
        <v>48</v>
      </c>
      <c r="G3104">
        <v>6</v>
      </c>
      <c r="H3104">
        <v>48</v>
      </c>
      <c r="I3104">
        <v>1.38</v>
      </c>
      <c r="J3104" s="1">
        <v>1631</v>
      </c>
    </row>
    <row r="3105" spans="1:10" ht="14.25" customHeight="1" x14ac:dyDescent="0.25">
      <c r="A3105" s="21">
        <v>23011</v>
      </c>
      <c r="B3105" s="21"/>
      <c r="C3105">
        <v>139.69999999999999</v>
      </c>
      <c r="D3105">
        <v>4.9000000000000004</v>
      </c>
      <c r="E3105">
        <v>640</v>
      </c>
      <c r="F3105">
        <v>172</v>
      </c>
      <c r="G3105">
        <v>16</v>
      </c>
      <c r="H3105">
        <v>172</v>
      </c>
      <c r="I3105">
        <v>1.46</v>
      </c>
      <c r="J3105" s="1">
        <v>11033</v>
      </c>
    </row>
    <row r="3106" spans="1:10" ht="14.25" customHeight="1" x14ac:dyDescent="0.25">
      <c r="A3106" s="21">
        <v>23011</v>
      </c>
      <c r="B3106" s="21"/>
      <c r="C3106">
        <v>12.3</v>
      </c>
      <c r="D3106">
        <v>4</v>
      </c>
      <c r="E3106">
        <v>102</v>
      </c>
      <c r="F3106">
        <v>33</v>
      </c>
      <c r="H3106">
        <v>33</v>
      </c>
      <c r="I3106">
        <v>1.27</v>
      </c>
      <c r="J3106" s="1">
        <v>1261</v>
      </c>
    </row>
    <row r="3107" spans="1:10" ht="14.25" customHeight="1" x14ac:dyDescent="0.25">
      <c r="A3107" s="21">
        <v>23011</v>
      </c>
      <c r="B3107" s="21"/>
    </row>
    <row r="3108" spans="1:10" ht="14.25" customHeight="1" x14ac:dyDescent="0.25">
      <c r="A3108" s="21">
        <v>23011</v>
      </c>
      <c r="B3108" s="21"/>
    </row>
    <row r="3109" spans="1:10" ht="14.25" customHeight="1" x14ac:dyDescent="0.25">
      <c r="A3109" s="21">
        <v>23013</v>
      </c>
      <c r="B3109" s="21"/>
      <c r="C3109">
        <v>45</v>
      </c>
      <c r="D3109">
        <v>5.5</v>
      </c>
      <c r="E3109">
        <v>211</v>
      </c>
      <c r="F3109">
        <v>81</v>
      </c>
      <c r="G3109">
        <v>8</v>
      </c>
      <c r="H3109">
        <v>81</v>
      </c>
      <c r="I3109">
        <v>1.49</v>
      </c>
      <c r="J3109" s="1">
        <v>3083</v>
      </c>
    </row>
    <row r="3110" spans="1:10" ht="14.25" customHeight="1" x14ac:dyDescent="0.25">
      <c r="A3110" s="21">
        <v>23015</v>
      </c>
      <c r="B3110" s="21"/>
      <c r="C3110">
        <v>18.899999999999999</v>
      </c>
      <c r="D3110">
        <v>4.3</v>
      </c>
      <c r="E3110">
        <v>42</v>
      </c>
      <c r="F3110">
        <v>38</v>
      </c>
      <c r="G3110">
        <v>4</v>
      </c>
      <c r="H3110">
        <v>25</v>
      </c>
      <c r="J3110" s="1">
        <v>1674</v>
      </c>
    </row>
    <row r="3111" spans="1:10" ht="14.25" customHeight="1" x14ac:dyDescent="0.25">
      <c r="A3111" s="21">
        <v>23019</v>
      </c>
      <c r="B3111" s="21"/>
      <c r="C3111">
        <v>285.2</v>
      </c>
      <c r="D3111">
        <v>5.9</v>
      </c>
      <c r="E3111">
        <v>807</v>
      </c>
      <c r="F3111">
        <v>313</v>
      </c>
      <c r="G3111">
        <v>44</v>
      </c>
      <c r="H3111">
        <v>313</v>
      </c>
      <c r="I3111">
        <v>1.89</v>
      </c>
      <c r="J3111" s="1">
        <v>18113</v>
      </c>
    </row>
    <row r="3112" spans="1:10" ht="14.25" customHeight="1" x14ac:dyDescent="0.25">
      <c r="A3112" s="21">
        <v>23019</v>
      </c>
      <c r="B3112" s="21"/>
      <c r="C3112">
        <v>44.2</v>
      </c>
      <c r="D3112">
        <v>4.3</v>
      </c>
      <c r="E3112">
        <v>269</v>
      </c>
      <c r="F3112">
        <v>99</v>
      </c>
      <c r="G3112">
        <v>7</v>
      </c>
      <c r="H3112">
        <v>99</v>
      </c>
      <c r="I3112">
        <v>1.52</v>
      </c>
      <c r="J3112" s="1">
        <v>3781</v>
      </c>
    </row>
    <row r="3113" spans="1:10" ht="14.25" customHeight="1" x14ac:dyDescent="0.25">
      <c r="A3113" s="21">
        <v>23031</v>
      </c>
      <c r="B3113" s="21"/>
    </row>
    <row r="3114" spans="1:10" ht="14.25" customHeight="1" x14ac:dyDescent="0.25">
      <c r="A3114" s="21">
        <v>23031</v>
      </c>
      <c r="B3114" s="21"/>
      <c r="C3114">
        <v>68</v>
      </c>
      <c r="D3114">
        <v>2.8</v>
      </c>
      <c r="E3114">
        <v>413</v>
      </c>
      <c r="F3114">
        <v>140</v>
      </c>
      <c r="G3114">
        <v>9</v>
      </c>
      <c r="H3114">
        <v>140</v>
      </c>
      <c r="I3114">
        <v>1.4</v>
      </c>
      <c r="J3114" s="1">
        <v>9382</v>
      </c>
    </row>
    <row r="3115" spans="1:10" ht="14.25" customHeight="1" x14ac:dyDescent="0.25">
      <c r="A3115" s="21">
        <v>23031</v>
      </c>
      <c r="B3115" s="21"/>
      <c r="C3115">
        <v>35.4</v>
      </c>
      <c r="D3115">
        <v>4</v>
      </c>
      <c r="E3115">
        <v>277</v>
      </c>
      <c r="F3115">
        <v>66</v>
      </c>
      <c r="G3115">
        <v>5</v>
      </c>
      <c r="H3115">
        <v>66</v>
      </c>
      <c r="I3115">
        <v>1.38</v>
      </c>
      <c r="J3115" s="1">
        <v>3255</v>
      </c>
    </row>
    <row r="3116" spans="1:10" ht="14.25" customHeight="1" x14ac:dyDescent="0.25">
      <c r="A3116" s="21">
        <v>24001</v>
      </c>
      <c r="B3116" s="21"/>
      <c r="C3116">
        <v>136.1</v>
      </c>
      <c r="D3116">
        <v>4.4000000000000004</v>
      </c>
      <c r="E3116">
        <v>360</v>
      </c>
      <c r="F3116">
        <v>200</v>
      </c>
      <c r="G3116">
        <v>14</v>
      </c>
      <c r="H3116">
        <v>200</v>
      </c>
      <c r="I3116">
        <v>1.56</v>
      </c>
      <c r="J3116" s="1">
        <v>11933</v>
      </c>
    </row>
    <row r="3117" spans="1:10" ht="14.25" customHeight="1" x14ac:dyDescent="0.25">
      <c r="A3117" s="21">
        <v>24003</v>
      </c>
      <c r="B3117" s="21"/>
      <c r="C3117">
        <v>266.7</v>
      </c>
      <c r="D3117">
        <v>4.3</v>
      </c>
      <c r="E3117" s="1">
        <v>1065</v>
      </c>
      <c r="F3117">
        <v>379</v>
      </c>
      <c r="G3117">
        <v>20</v>
      </c>
      <c r="H3117">
        <v>325</v>
      </c>
      <c r="I3117">
        <v>1.6</v>
      </c>
      <c r="J3117" s="1">
        <v>25122</v>
      </c>
    </row>
    <row r="3118" spans="1:10" ht="14.25" customHeight="1" x14ac:dyDescent="0.25">
      <c r="A3118" s="21">
        <v>24003</v>
      </c>
      <c r="B3118" s="21"/>
      <c r="C3118">
        <v>208.8</v>
      </c>
      <c r="D3118">
        <v>2.9</v>
      </c>
      <c r="E3118">
        <v>612</v>
      </c>
      <c r="F3118">
        <v>272</v>
      </c>
      <c r="G3118">
        <v>30</v>
      </c>
      <c r="H3118">
        <v>158</v>
      </c>
      <c r="I3118">
        <v>1.62</v>
      </c>
      <c r="J3118" s="1">
        <v>27193</v>
      </c>
    </row>
    <row r="3119" spans="1:10" ht="14.25" customHeight="1" x14ac:dyDescent="0.25">
      <c r="A3119" s="21">
        <v>24005</v>
      </c>
      <c r="B3119" s="21"/>
      <c r="C3119">
        <v>208.5</v>
      </c>
      <c r="D3119">
        <v>3.8</v>
      </c>
      <c r="E3119">
        <v>926</v>
      </c>
      <c r="F3119">
        <v>269</v>
      </c>
      <c r="G3119">
        <v>24</v>
      </c>
      <c r="H3119">
        <v>82</v>
      </c>
      <c r="I3119">
        <v>1.48</v>
      </c>
      <c r="J3119" s="1">
        <v>21752</v>
      </c>
    </row>
    <row r="3120" spans="1:10" ht="14.25" customHeight="1" x14ac:dyDescent="0.25">
      <c r="A3120" s="21">
        <v>24005</v>
      </c>
      <c r="B3120" s="21"/>
      <c r="C3120">
        <v>131.9</v>
      </c>
      <c r="D3120">
        <v>4.7</v>
      </c>
      <c r="E3120">
        <v>304</v>
      </c>
      <c r="F3120">
        <v>189</v>
      </c>
      <c r="G3120">
        <v>16</v>
      </c>
      <c r="H3120">
        <v>189</v>
      </c>
      <c r="I3120">
        <v>1.43</v>
      </c>
      <c r="J3120" s="1">
        <v>10140</v>
      </c>
    </row>
    <row r="3121" spans="1:10" ht="14.25" customHeight="1" x14ac:dyDescent="0.25">
      <c r="A3121" s="21">
        <v>24005</v>
      </c>
      <c r="B3121" s="21"/>
      <c r="C3121">
        <v>164</v>
      </c>
      <c r="D3121">
        <v>4.3</v>
      </c>
      <c r="E3121">
        <v>464</v>
      </c>
      <c r="F3121">
        <v>238</v>
      </c>
      <c r="G3121">
        <v>28</v>
      </c>
      <c r="H3121">
        <v>188</v>
      </c>
      <c r="I3121">
        <v>1.87</v>
      </c>
      <c r="J3121" s="1">
        <v>14899</v>
      </c>
    </row>
    <row r="3122" spans="1:10" ht="14.25" customHeight="1" x14ac:dyDescent="0.25">
      <c r="A3122" s="21">
        <v>24005</v>
      </c>
      <c r="B3122" s="21"/>
      <c r="C3122">
        <v>236.3</v>
      </c>
      <c r="D3122">
        <v>4.8</v>
      </c>
      <c r="E3122">
        <v>559</v>
      </c>
      <c r="F3122">
        <v>347</v>
      </c>
      <c r="G3122">
        <v>26</v>
      </c>
      <c r="H3122">
        <v>162</v>
      </c>
      <c r="I3122">
        <v>1.41</v>
      </c>
      <c r="J3122" s="1">
        <v>20083</v>
      </c>
    </row>
    <row r="3123" spans="1:10" ht="14.25" customHeight="1" x14ac:dyDescent="0.25">
      <c r="A3123" s="21">
        <v>24005</v>
      </c>
      <c r="B3123" s="21"/>
      <c r="C3123">
        <v>89.1</v>
      </c>
      <c r="D3123">
        <v>13.9</v>
      </c>
      <c r="E3123">
        <v>79</v>
      </c>
      <c r="F3123">
        <v>137</v>
      </c>
      <c r="H3123">
        <v>137</v>
      </c>
      <c r="I3123">
        <v>1.36</v>
      </c>
      <c r="J3123" s="1">
        <v>2345</v>
      </c>
    </row>
    <row r="3124" spans="1:10" ht="14.25" customHeight="1" x14ac:dyDescent="0.25">
      <c r="A3124" s="21">
        <v>24005</v>
      </c>
      <c r="B3124" s="21"/>
      <c r="E3124">
        <v>4</v>
      </c>
      <c r="H3124">
        <v>218</v>
      </c>
    </row>
    <row r="3125" spans="1:10" ht="14.25" customHeight="1" x14ac:dyDescent="0.25">
      <c r="A3125" s="21">
        <v>24009</v>
      </c>
      <c r="B3125" s="21"/>
      <c r="C3125">
        <v>50.8</v>
      </c>
      <c r="D3125">
        <v>3.6</v>
      </c>
      <c r="E3125">
        <v>222</v>
      </c>
      <c r="F3125">
        <v>68</v>
      </c>
      <c r="G3125">
        <v>4</v>
      </c>
      <c r="H3125">
        <v>41</v>
      </c>
      <c r="I3125">
        <v>1.42</v>
      </c>
      <c r="J3125" s="1">
        <v>5452</v>
      </c>
    </row>
    <row r="3126" spans="1:10" ht="14.25" customHeight="1" x14ac:dyDescent="0.25">
      <c r="A3126" s="21">
        <v>24013</v>
      </c>
      <c r="B3126" s="21"/>
      <c r="C3126">
        <v>114.5</v>
      </c>
      <c r="D3126">
        <v>4.2</v>
      </c>
      <c r="E3126">
        <v>348</v>
      </c>
      <c r="F3126">
        <v>153</v>
      </c>
      <c r="G3126">
        <v>12</v>
      </c>
      <c r="H3126">
        <v>153</v>
      </c>
      <c r="I3126">
        <v>1.42</v>
      </c>
      <c r="J3126" s="1">
        <v>10591</v>
      </c>
    </row>
    <row r="3127" spans="1:10" ht="14.25" customHeight="1" x14ac:dyDescent="0.25">
      <c r="A3127" s="21">
        <v>24015</v>
      </c>
      <c r="B3127" s="21"/>
      <c r="C3127">
        <v>52.9</v>
      </c>
      <c r="D3127">
        <v>4.2</v>
      </c>
      <c r="E3127">
        <v>195</v>
      </c>
      <c r="F3127">
        <v>96</v>
      </c>
      <c r="G3127">
        <v>5</v>
      </c>
      <c r="H3127">
        <v>72</v>
      </c>
      <c r="I3127">
        <v>1.39</v>
      </c>
      <c r="J3127" s="1">
        <v>4923</v>
      </c>
    </row>
    <row r="3128" spans="1:10" ht="14.25" customHeight="1" x14ac:dyDescent="0.25">
      <c r="A3128" s="21">
        <v>24017</v>
      </c>
      <c r="B3128" s="21"/>
      <c r="C3128">
        <v>70.3</v>
      </c>
      <c r="D3128">
        <v>4.2</v>
      </c>
      <c r="E3128">
        <v>199</v>
      </c>
      <c r="F3128">
        <v>98</v>
      </c>
      <c r="G3128">
        <v>10</v>
      </c>
      <c r="H3128">
        <v>98</v>
      </c>
      <c r="I3128">
        <v>1.44</v>
      </c>
      <c r="J3128" s="1">
        <v>6424</v>
      </c>
    </row>
    <row r="3129" spans="1:10" ht="14.25" customHeight="1" x14ac:dyDescent="0.25">
      <c r="A3129" s="21">
        <v>24019</v>
      </c>
      <c r="B3129" s="21"/>
      <c r="E3129">
        <v>19</v>
      </c>
    </row>
    <row r="3130" spans="1:10" ht="14.25" customHeight="1" x14ac:dyDescent="0.25">
      <c r="A3130" s="21">
        <v>24021</v>
      </c>
      <c r="B3130" s="21"/>
      <c r="C3130">
        <v>201.9</v>
      </c>
      <c r="D3130">
        <v>5</v>
      </c>
      <c r="E3130">
        <v>710</v>
      </c>
      <c r="F3130">
        <v>281</v>
      </c>
      <c r="G3130">
        <v>18</v>
      </c>
      <c r="H3130">
        <v>281</v>
      </c>
      <c r="I3130">
        <v>1.53</v>
      </c>
      <c r="J3130" s="1">
        <v>15876</v>
      </c>
    </row>
    <row r="3131" spans="1:10" ht="14.25" customHeight="1" x14ac:dyDescent="0.25">
      <c r="A3131" s="21">
        <v>24023</v>
      </c>
      <c r="B3131" s="21"/>
      <c r="C3131">
        <v>16.2</v>
      </c>
      <c r="D3131">
        <v>5.2</v>
      </c>
      <c r="E3131">
        <v>95</v>
      </c>
      <c r="F3131">
        <v>27</v>
      </c>
      <c r="G3131">
        <v>2</v>
      </c>
      <c r="H3131">
        <v>27</v>
      </c>
      <c r="I3131">
        <v>1.44</v>
      </c>
      <c r="J3131" s="1">
        <v>1220</v>
      </c>
    </row>
    <row r="3132" spans="1:10" ht="14.25" customHeight="1" x14ac:dyDescent="0.25">
      <c r="A3132" s="21">
        <v>24025</v>
      </c>
      <c r="B3132" s="21"/>
      <c r="C3132">
        <v>55.5</v>
      </c>
      <c r="D3132">
        <v>4.5999999999999996</v>
      </c>
      <c r="E3132">
        <v>142</v>
      </c>
      <c r="F3132">
        <v>82</v>
      </c>
      <c r="G3132">
        <v>5</v>
      </c>
      <c r="H3132">
        <v>82</v>
      </c>
      <c r="I3132">
        <v>1.32</v>
      </c>
      <c r="J3132" s="1">
        <v>4433</v>
      </c>
    </row>
    <row r="3133" spans="1:10" ht="14.25" customHeight="1" x14ac:dyDescent="0.25">
      <c r="A3133" s="21">
        <v>24025</v>
      </c>
      <c r="B3133" s="21"/>
      <c r="C3133">
        <v>114.8</v>
      </c>
      <c r="D3133">
        <v>3.9</v>
      </c>
      <c r="E3133">
        <v>472</v>
      </c>
      <c r="F3133">
        <v>149</v>
      </c>
      <c r="G3133">
        <v>14</v>
      </c>
      <c r="H3133">
        <v>149</v>
      </c>
      <c r="I3133">
        <v>1.61</v>
      </c>
      <c r="J3133" s="1">
        <v>11536</v>
      </c>
    </row>
    <row r="3134" spans="1:10" ht="14.25" customHeight="1" x14ac:dyDescent="0.25">
      <c r="A3134" s="21">
        <v>24027</v>
      </c>
      <c r="B3134" s="21"/>
      <c r="C3134">
        <v>162</v>
      </c>
      <c r="D3134">
        <v>4.9000000000000004</v>
      </c>
      <c r="E3134">
        <v>588</v>
      </c>
      <c r="F3134">
        <v>245</v>
      </c>
      <c r="G3134">
        <v>16</v>
      </c>
      <c r="H3134">
        <v>245</v>
      </c>
      <c r="I3134">
        <v>1.44</v>
      </c>
      <c r="J3134" s="1">
        <v>14469</v>
      </c>
    </row>
    <row r="3135" spans="1:10" ht="14.25" customHeight="1" x14ac:dyDescent="0.25">
      <c r="A3135" s="21">
        <v>24027</v>
      </c>
      <c r="B3135" s="21"/>
      <c r="E3135">
        <v>1</v>
      </c>
    </row>
    <row r="3136" spans="1:10" ht="14.25" customHeight="1" x14ac:dyDescent="0.25">
      <c r="A3136" s="21">
        <v>24029</v>
      </c>
      <c r="B3136" s="21"/>
      <c r="C3136">
        <v>7.8</v>
      </c>
      <c r="D3136">
        <v>3.8</v>
      </c>
      <c r="E3136">
        <v>62</v>
      </c>
      <c r="F3136">
        <v>21</v>
      </c>
      <c r="G3136">
        <v>6</v>
      </c>
      <c r="H3136">
        <v>21</v>
      </c>
      <c r="I3136">
        <v>1.38</v>
      </c>
      <c r="J3136">
        <v>746</v>
      </c>
    </row>
    <row r="3137" spans="1:10" ht="14.25" customHeight="1" x14ac:dyDescent="0.25">
      <c r="A3137" s="21">
        <v>24031</v>
      </c>
      <c r="B3137" s="21"/>
      <c r="C3137">
        <v>155.6</v>
      </c>
      <c r="D3137">
        <v>4.0999999999999996</v>
      </c>
      <c r="E3137">
        <v>493</v>
      </c>
      <c r="F3137">
        <v>233</v>
      </c>
      <c r="G3137">
        <v>24</v>
      </c>
      <c r="H3137">
        <v>233</v>
      </c>
      <c r="I3137">
        <v>1.78</v>
      </c>
      <c r="J3137" s="1">
        <v>13781</v>
      </c>
    </row>
    <row r="3138" spans="1:10" ht="14.25" customHeight="1" x14ac:dyDescent="0.25">
      <c r="A3138" s="21">
        <v>24031</v>
      </c>
      <c r="B3138" s="21"/>
      <c r="C3138">
        <v>71.3</v>
      </c>
      <c r="D3138">
        <v>4.5</v>
      </c>
      <c r="E3138">
        <v>210</v>
      </c>
      <c r="F3138">
        <v>117</v>
      </c>
      <c r="G3138">
        <v>12</v>
      </c>
      <c r="H3138">
        <v>117</v>
      </c>
      <c r="I3138">
        <v>1.45</v>
      </c>
      <c r="J3138" s="1">
        <v>6147</v>
      </c>
    </row>
    <row r="3139" spans="1:10" ht="14.25" customHeight="1" x14ac:dyDescent="0.25">
      <c r="A3139" s="21">
        <v>24031</v>
      </c>
      <c r="B3139" s="21"/>
      <c r="I3139">
        <v>1.98</v>
      </c>
    </row>
    <row r="3140" spans="1:10" ht="14.25" customHeight="1" x14ac:dyDescent="0.25">
      <c r="A3140" s="21">
        <v>24031</v>
      </c>
      <c r="B3140" s="21"/>
      <c r="C3140">
        <v>310.3</v>
      </c>
      <c r="D3140">
        <v>5.3</v>
      </c>
      <c r="E3140">
        <v>867</v>
      </c>
      <c r="F3140">
        <v>441</v>
      </c>
      <c r="G3140">
        <v>46</v>
      </c>
      <c r="H3140">
        <v>209</v>
      </c>
      <c r="I3140">
        <v>1.72</v>
      </c>
      <c r="J3140" s="1">
        <v>25005</v>
      </c>
    </row>
    <row r="3141" spans="1:10" ht="14.25" customHeight="1" x14ac:dyDescent="0.25">
      <c r="A3141" s="21">
        <v>24031</v>
      </c>
      <c r="B3141" s="21"/>
      <c r="C3141">
        <v>91.6</v>
      </c>
      <c r="D3141">
        <v>8.8000000000000007</v>
      </c>
      <c r="E3141">
        <v>601</v>
      </c>
      <c r="F3141">
        <v>117</v>
      </c>
      <c r="H3141">
        <v>185</v>
      </c>
      <c r="I3141">
        <v>1.59</v>
      </c>
      <c r="J3141" s="1">
        <v>3814</v>
      </c>
    </row>
    <row r="3142" spans="1:10" ht="14.25" customHeight="1" x14ac:dyDescent="0.25">
      <c r="A3142" s="21">
        <v>24031</v>
      </c>
      <c r="B3142" s="21"/>
      <c r="H3142">
        <v>200</v>
      </c>
    </row>
    <row r="3143" spans="1:10" ht="14.25" customHeight="1" x14ac:dyDescent="0.25">
      <c r="A3143" s="21">
        <v>24031</v>
      </c>
      <c r="B3143" s="21"/>
      <c r="C3143">
        <v>54.9</v>
      </c>
      <c r="D3143">
        <v>4.2</v>
      </c>
      <c r="E3143">
        <v>98</v>
      </c>
      <c r="F3143">
        <v>73</v>
      </c>
      <c r="G3143">
        <v>8</v>
      </c>
      <c r="H3143">
        <v>58</v>
      </c>
      <c r="I3143">
        <v>1.54</v>
      </c>
      <c r="J3143" s="1">
        <v>5199</v>
      </c>
    </row>
    <row r="3144" spans="1:10" ht="14.25" customHeight="1" x14ac:dyDescent="0.25">
      <c r="A3144" s="21">
        <v>24031</v>
      </c>
      <c r="B3144" s="21"/>
      <c r="C3144">
        <v>126</v>
      </c>
      <c r="D3144">
        <v>4.2</v>
      </c>
      <c r="E3144">
        <v>74</v>
      </c>
      <c r="F3144">
        <v>198</v>
      </c>
      <c r="G3144">
        <v>26</v>
      </c>
      <c r="H3144">
        <v>198</v>
      </c>
      <c r="J3144" s="1">
        <v>12438</v>
      </c>
    </row>
    <row r="3145" spans="1:10" ht="14.25" customHeight="1" x14ac:dyDescent="0.25">
      <c r="A3145" s="21">
        <v>24031</v>
      </c>
      <c r="B3145" s="21"/>
      <c r="E3145">
        <v>74</v>
      </c>
    </row>
    <row r="3146" spans="1:10" ht="14.25" customHeight="1" x14ac:dyDescent="0.25">
      <c r="A3146" s="21">
        <v>24031</v>
      </c>
      <c r="B3146" s="21"/>
    </row>
    <row r="3147" spans="1:10" ht="14.25" customHeight="1" x14ac:dyDescent="0.25">
      <c r="A3147" s="21">
        <v>24033</v>
      </c>
      <c r="B3147" s="21"/>
      <c r="C3147">
        <v>150.6</v>
      </c>
      <c r="D3147">
        <v>5.3</v>
      </c>
      <c r="E3147">
        <v>421</v>
      </c>
      <c r="F3147">
        <v>190</v>
      </c>
      <c r="G3147">
        <v>22</v>
      </c>
      <c r="H3147">
        <v>190</v>
      </c>
      <c r="I3147">
        <v>1.52</v>
      </c>
      <c r="J3147" s="1">
        <v>10361</v>
      </c>
    </row>
    <row r="3148" spans="1:10" ht="14.25" customHeight="1" x14ac:dyDescent="0.25">
      <c r="A3148" s="21">
        <v>24033</v>
      </c>
      <c r="B3148" s="21"/>
      <c r="C3148">
        <v>128.4</v>
      </c>
      <c r="D3148">
        <v>5</v>
      </c>
      <c r="E3148">
        <v>258</v>
      </c>
      <c r="F3148">
        <v>176</v>
      </c>
      <c r="G3148">
        <v>18</v>
      </c>
      <c r="H3148">
        <v>153</v>
      </c>
      <c r="I3148">
        <v>1.59</v>
      </c>
      <c r="J3148" s="1">
        <v>10173</v>
      </c>
    </row>
    <row r="3149" spans="1:10" ht="14.25" customHeight="1" x14ac:dyDescent="0.25">
      <c r="A3149" s="21">
        <v>24033</v>
      </c>
      <c r="B3149" s="21"/>
      <c r="C3149">
        <v>50.7</v>
      </c>
      <c r="D3149">
        <v>5.2</v>
      </c>
      <c r="I3149">
        <v>1.47</v>
      </c>
      <c r="J3149" s="1">
        <v>3549</v>
      </c>
    </row>
    <row r="3150" spans="1:10" ht="14.25" customHeight="1" x14ac:dyDescent="0.25">
      <c r="A3150" s="21">
        <v>24033</v>
      </c>
      <c r="B3150" s="21"/>
      <c r="C3150">
        <v>22.5</v>
      </c>
      <c r="D3150">
        <v>4.8</v>
      </c>
      <c r="E3150">
        <v>96</v>
      </c>
      <c r="F3150">
        <v>29</v>
      </c>
      <c r="G3150">
        <v>4</v>
      </c>
      <c r="H3150">
        <v>29</v>
      </c>
      <c r="I3150">
        <v>1.19</v>
      </c>
      <c r="J3150" s="1">
        <v>1735</v>
      </c>
    </row>
    <row r="3151" spans="1:10" ht="14.25" customHeight="1" x14ac:dyDescent="0.25">
      <c r="A3151" s="21">
        <v>24033</v>
      </c>
      <c r="B3151" s="21"/>
      <c r="C3151">
        <v>223.3</v>
      </c>
      <c r="D3151">
        <v>4.8</v>
      </c>
      <c r="E3151">
        <v>320</v>
      </c>
      <c r="F3151">
        <v>382</v>
      </c>
      <c r="G3151">
        <v>34</v>
      </c>
      <c r="H3151">
        <v>118</v>
      </c>
      <c r="I3151">
        <v>1.66</v>
      </c>
      <c r="J3151" s="1">
        <v>14704</v>
      </c>
    </row>
    <row r="3152" spans="1:10" ht="14.25" customHeight="1" x14ac:dyDescent="0.25">
      <c r="A3152" s="21">
        <v>24033</v>
      </c>
      <c r="B3152" s="21"/>
    </row>
    <row r="3153" spans="1:10" ht="14.25" customHeight="1" x14ac:dyDescent="0.25">
      <c r="A3153" s="21">
        <v>24037</v>
      </c>
      <c r="B3153" s="21"/>
      <c r="C3153">
        <v>65</v>
      </c>
      <c r="D3153">
        <v>4.0999999999999996</v>
      </c>
      <c r="E3153">
        <v>340</v>
      </c>
      <c r="F3153">
        <v>96</v>
      </c>
      <c r="G3153">
        <v>12</v>
      </c>
      <c r="H3153">
        <v>96</v>
      </c>
      <c r="I3153">
        <v>1.38</v>
      </c>
      <c r="J3153" s="1">
        <v>6385</v>
      </c>
    </row>
    <row r="3154" spans="1:10" ht="14.25" customHeight="1" x14ac:dyDescent="0.25">
      <c r="A3154" s="21">
        <v>24039</v>
      </c>
      <c r="B3154" s="21"/>
      <c r="C3154">
        <v>1.6</v>
      </c>
      <c r="D3154">
        <v>3.3</v>
      </c>
      <c r="I3154">
        <v>0.94</v>
      </c>
      <c r="J3154">
        <v>172</v>
      </c>
    </row>
    <row r="3155" spans="1:10" ht="14.25" customHeight="1" x14ac:dyDescent="0.25">
      <c r="A3155" s="21">
        <v>24041</v>
      </c>
      <c r="B3155" s="21"/>
      <c r="C3155">
        <v>99.3</v>
      </c>
      <c r="D3155">
        <v>4.4000000000000004</v>
      </c>
      <c r="E3155">
        <v>399</v>
      </c>
      <c r="F3155">
        <v>162</v>
      </c>
      <c r="G3155">
        <v>16</v>
      </c>
      <c r="H3155">
        <v>48</v>
      </c>
      <c r="I3155">
        <v>1.44</v>
      </c>
      <c r="J3155" s="1">
        <v>8836</v>
      </c>
    </row>
    <row r="3156" spans="1:10" ht="14.25" customHeight="1" x14ac:dyDescent="0.25">
      <c r="A3156" s="21">
        <v>24043</v>
      </c>
      <c r="B3156" s="21"/>
      <c r="C3156">
        <v>182.9</v>
      </c>
      <c r="D3156">
        <v>4.7</v>
      </c>
      <c r="E3156">
        <v>475</v>
      </c>
      <c r="F3156">
        <v>254</v>
      </c>
      <c r="G3156">
        <v>17</v>
      </c>
      <c r="H3156">
        <v>215</v>
      </c>
      <c r="I3156">
        <v>1.56</v>
      </c>
      <c r="J3156" s="1">
        <v>15466</v>
      </c>
    </row>
    <row r="3157" spans="1:10" ht="14.25" customHeight="1" x14ac:dyDescent="0.25">
      <c r="A3157" s="21">
        <v>24045</v>
      </c>
      <c r="B3157" s="21"/>
      <c r="C3157">
        <v>174.1</v>
      </c>
      <c r="D3157">
        <v>5</v>
      </c>
      <c r="E3157">
        <v>606</v>
      </c>
      <c r="F3157">
        <v>288</v>
      </c>
      <c r="G3157">
        <v>24</v>
      </c>
      <c r="H3157">
        <v>288</v>
      </c>
      <c r="I3157">
        <v>1.79</v>
      </c>
      <c r="J3157" s="1">
        <v>13715</v>
      </c>
    </row>
    <row r="3158" spans="1:10" ht="14.25" customHeight="1" x14ac:dyDescent="0.25">
      <c r="A3158" s="21">
        <v>24045</v>
      </c>
      <c r="B3158" s="21"/>
    </row>
    <row r="3159" spans="1:10" ht="14.25" customHeight="1" x14ac:dyDescent="0.25">
      <c r="A3159" s="21">
        <v>24047</v>
      </c>
      <c r="B3159" s="21"/>
      <c r="C3159">
        <v>28.7</v>
      </c>
      <c r="D3159">
        <v>3.4</v>
      </c>
      <c r="E3159">
        <v>160</v>
      </c>
      <c r="F3159">
        <v>48</v>
      </c>
      <c r="G3159">
        <v>6</v>
      </c>
      <c r="H3159">
        <v>32</v>
      </c>
      <c r="I3159">
        <v>1.48</v>
      </c>
      <c r="J3159" s="1">
        <v>3112</v>
      </c>
    </row>
    <row r="3160" spans="1:10" ht="14.25" customHeight="1" x14ac:dyDescent="0.25">
      <c r="A3160" s="21">
        <v>24510</v>
      </c>
      <c r="B3160" s="21"/>
      <c r="C3160">
        <v>88.9</v>
      </c>
      <c r="D3160">
        <v>4.9000000000000004</v>
      </c>
      <c r="E3160">
        <v>183</v>
      </c>
      <c r="F3160">
        <v>129</v>
      </c>
      <c r="G3160">
        <v>12</v>
      </c>
      <c r="H3160">
        <v>129</v>
      </c>
      <c r="I3160">
        <v>1.41</v>
      </c>
      <c r="J3160" s="1">
        <v>7468</v>
      </c>
    </row>
    <row r="3161" spans="1:10" ht="14.25" customHeight="1" x14ac:dyDescent="0.25">
      <c r="A3161" s="21">
        <v>24510</v>
      </c>
      <c r="B3161" s="21"/>
      <c r="C3161">
        <v>94.6</v>
      </c>
      <c r="D3161">
        <v>7.5</v>
      </c>
      <c r="E3161">
        <v>214</v>
      </c>
      <c r="F3161">
        <v>177</v>
      </c>
      <c r="G3161">
        <v>12</v>
      </c>
      <c r="H3161">
        <v>81</v>
      </c>
      <c r="I3161">
        <v>1.64</v>
      </c>
      <c r="J3161" s="1">
        <v>4618</v>
      </c>
    </row>
    <row r="3162" spans="1:10" ht="14.25" customHeight="1" x14ac:dyDescent="0.25">
      <c r="A3162" s="21">
        <v>24510</v>
      </c>
      <c r="B3162" s="21"/>
      <c r="C3162">
        <v>102.5</v>
      </c>
      <c r="D3162">
        <v>4.4000000000000004</v>
      </c>
      <c r="E3162">
        <v>368</v>
      </c>
      <c r="F3162">
        <v>201</v>
      </c>
      <c r="G3162">
        <v>17</v>
      </c>
      <c r="H3162">
        <v>73</v>
      </c>
      <c r="I3162">
        <v>1.41</v>
      </c>
      <c r="J3162" s="1">
        <v>8471</v>
      </c>
    </row>
    <row r="3163" spans="1:10" ht="14.25" customHeight="1" x14ac:dyDescent="0.25">
      <c r="A3163" s="21">
        <v>24510</v>
      </c>
      <c r="B3163" s="21"/>
      <c r="C3163">
        <v>147.1</v>
      </c>
      <c r="D3163">
        <v>4.5</v>
      </c>
      <c r="E3163">
        <v>519</v>
      </c>
      <c r="F3163">
        <v>200</v>
      </c>
      <c r="G3163">
        <v>22</v>
      </c>
      <c r="H3163">
        <v>113</v>
      </c>
      <c r="I3163">
        <v>2.2000000000000002</v>
      </c>
      <c r="J3163" s="1">
        <v>13334</v>
      </c>
    </row>
    <row r="3164" spans="1:10" ht="14.25" customHeight="1" x14ac:dyDescent="0.25">
      <c r="A3164" s="21">
        <v>24510</v>
      </c>
      <c r="B3164" s="21"/>
      <c r="C3164">
        <v>838.2</v>
      </c>
      <c r="D3164">
        <v>7.3</v>
      </c>
      <c r="E3164" s="1">
        <v>2649</v>
      </c>
      <c r="F3164" s="1">
        <v>1003</v>
      </c>
      <c r="G3164">
        <v>66</v>
      </c>
      <c r="H3164" s="1">
        <v>1003</v>
      </c>
      <c r="I3164">
        <v>2.19</v>
      </c>
      <c r="J3164" s="1">
        <v>42755</v>
      </c>
    </row>
    <row r="3165" spans="1:10" ht="14.25" customHeight="1" x14ac:dyDescent="0.25">
      <c r="A3165" s="21">
        <v>24510</v>
      </c>
      <c r="B3165" s="21"/>
      <c r="C3165">
        <v>189.3</v>
      </c>
      <c r="D3165">
        <v>5.3</v>
      </c>
      <c r="E3165">
        <v>474</v>
      </c>
      <c r="F3165">
        <v>267</v>
      </c>
      <c r="G3165">
        <v>16</v>
      </c>
      <c r="H3165">
        <v>159</v>
      </c>
      <c r="I3165">
        <v>1.61</v>
      </c>
      <c r="J3165" s="1">
        <v>13949</v>
      </c>
    </row>
    <row r="3166" spans="1:10" ht="14.25" customHeight="1" x14ac:dyDescent="0.25">
      <c r="A3166" s="21">
        <v>24510</v>
      </c>
      <c r="B3166" s="21"/>
      <c r="C3166">
        <v>289.2</v>
      </c>
      <c r="D3166">
        <v>5.0999999999999996</v>
      </c>
      <c r="E3166">
        <v>677</v>
      </c>
      <c r="F3166">
        <v>418</v>
      </c>
      <c r="G3166">
        <v>35</v>
      </c>
      <c r="H3166">
        <v>196</v>
      </c>
      <c r="I3166">
        <v>1.87</v>
      </c>
      <c r="J3166" s="1">
        <v>21418</v>
      </c>
    </row>
    <row r="3167" spans="1:10" ht="14.25" customHeight="1" x14ac:dyDescent="0.25">
      <c r="A3167" s="21">
        <v>24510</v>
      </c>
      <c r="B3167" s="21"/>
      <c r="C3167">
        <v>52.5</v>
      </c>
      <c r="D3167">
        <v>6.4</v>
      </c>
      <c r="E3167">
        <v>144</v>
      </c>
      <c r="F3167">
        <v>69</v>
      </c>
      <c r="G3167">
        <v>8</v>
      </c>
      <c r="H3167">
        <v>50</v>
      </c>
      <c r="I3167">
        <v>1.37</v>
      </c>
      <c r="J3167" s="1">
        <v>2996</v>
      </c>
    </row>
    <row r="3168" spans="1:10" ht="14.25" customHeight="1" x14ac:dyDescent="0.25">
      <c r="A3168" s="21">
        <v>24510</v>
      </c>
      <c r="B3168" s="21"/>
      <c r="C3168">
        <v>314.2</v>
      </c>
      <c r="D3168">
        <v>6.1</v>
      </c>
      <c r="E3168">
        <v>806</v>
      </c>
      <c r="F3168">
        <v>411</v>
      </c>
      <c r="G3168">
        <v>22</v>
      </c>
      <c r="H3168">
        <v>342</v>
      </c>
      <c r="I3168">
        <v>1.56</v>
      </c>
      <c r="J3168" s="1">
        <v>19138</v>
      </c>
    </row>
    <row r="3169" spans="1:10" ht="14.25" customHeight="1" x14ac:dyDescent="0.25">
      <c r="A3169" s="21">
        <v>24510</v>
      </c>
      <c r="B3169" s="21"/>
      <c r="C3169">
        <v>132.4</v>
      </c>
      <c r="D3169">
        <v>4.5</v>
      </c>
      <c r="E3169">
        <v>360</v>
      </c>
      <c r="F3169">
        <v>185</v>
      </c>
      <c r="G3169">
        <v>52</v>
      </c>
      <c r="H3169">
        <v>185</v>
      </c>
      <c r="I3169">
        <v>2.17</v>
      </c>
      <c r="J3169" s="1">
        <v>10769</v>
      </c>
    </row>
    <row r="3170" spans="1:10" ht="14.25" customHeight="1" x14ac:dyDescent="0.25">
      <c r="A3170" s="21">
        <v>24510</v>
      </c>
      <c r="B3170" s="21"/>
      <c r="C3170">
        <v>616.70000000000005</v>
      </c>
      <c r="D3170">
        <v>8.8000000000000007</v>
      </c>
      <c r="E3170" s="1">
        <v>1208</v>
      </c>
      <c r="F3170">
        <v>829</v>
      </c>
      <c r="G3170">
        <v>115</v>
      </c>
      <c r="H3170">
        <v>767</v>
      </c>
      <c r="I3170">
        <v>2.75</v>
      </c>
      <c r="J3170" s="1">
        <v>26014</v>
      </c>
    </row>
    <row r="3171" spans="1:10" ht="14.25" customHeight="1" x14ac:dyDescent="0.25">
      <c r="A3171" s="21">
        <v>24510</v>
      </c>
      <c r="B3171" s="21"/>
      <c r="C3171">
        <v>97.8</v>
      </c>
      <c r="D3171">
        <v>27.4</v>
      </c>
      <c r="E3171">
        <v>35</v>
      </c>
      <c r="F3171">
        <v>120</v>
      </c>
      <c r="H3171">
        <v>120</v>
      </c>
      <c r="I3171">
        <v>1.23</v>
      </c>
      <c r="J3171" s="1">
        <v>1304</v>
      </c>
    </row>
    <row r="3172" spans="1:10" ht="14.25" customHeight="1" x14ac:dyDescent="0.25">
      <c r="A3172" s="21">
        <v>24510</v>
      </c>
      <c r="B3172" s="21"/>
    </row>
    <row r="3173" spans="1:10" ht="14.25" customHeight="1" x14ac:dyDescent="0.25">
      <c r="A3173" s="21">
        <v>24510</v>
      </c>
      <c r="B3173" s="21"/>
    </row>
    <row r="3174" spans="1:10" ht="14.25" customHeight="1" x14ac:dyDescent="0.25">
      <c r="A3174" s="21">
        <v>25001</v>
      </c>
      <c r="B3174" s="21"/>
      <c r="C3174">
        <v>176.6</v>
      </c>
      <c r="D3174">
        <v>4.0999999999999996</v>
      </c>
      <c r="E3174">
        <v>593</v>
      </c>
      <c r="F3174">
        <v>239</v>
      </c>
      <c r="G3174">
        <v>11</v>
      </c>
      <c r="H3174">
        <v>239</v>
      </c>
      <c r="I3174">
        <v>1.87</v>
      </c>
      <c r="J3174" s="1">
        <v>16308</v>
      </c>
    </row>
    <row r="3175" spans="1:10" ht="14.25" customHeight="1" x14ac:dyDescent="0.25">
      <c r="A3175" s="21">
        <v>25001</v>
      </c>
      <c r="B3175" s="21"/>
      <c r="C3175">
        <v>60.2</v>
      </c>
      <c r="D3175">
        <v>3.7</v>
      </c>
      <c r="E3175">
        <v>230</v>
      </c>
      <c r="F3175">
        <v>95</v>
      </c>
      <c r="G3175">
        <v>10</v>
      </c>
      <c r="H3175">
        <v>95</v>
      </c>
      <c r="I3175">
        <v>1.53</v>
      </c>
      <c r="J3175" s="1">
        <v>6270</v>
      </c>
    </row>
    <row r="3176" spans="1:10" ht="14.25" customHeight="1" x14ac:dyDescent="0.25">
      <c r="A3176" s="21">
        <v>25001</v>
      </c>
      <c r="B3176" s="21"/>
    </row>
    <row r="3177" spans="1:10" ht="14.25" customHeight="1" x14ac:dyDescent="0.25">
      <c r="A3177" s="21">
        <v>25003</v>
      </c>
      <c r="B3177" s="21"/>
      <c r="C3177">
        <v>160.30000000000001</v>
      </c>
      <c r="D3177">
        <v>4.5999999999999996</v>
      </c>
      <c r="E3177">
        <v>654</v>
      </c>
      <c r="F3177">
        <v>223</v>
      </c>
      <c r="G3177">
        <v>20</v>
      </c>
      <c r="H3177">
        <v>223</v>
      </c>
      <c r="I3177">
        <v>1.48</v>
      </c>
      <c r="J3177" s="1">
        <v>12760</v>
      </c>
    </row>
    <row r="3178" spans="1:10" ht="14.25" customHeight="1" x14ac:dyDescent="0.25">
      <c r="A3178" s="21">
        <v>25003</v>
      </c>
      <c r="B3178" s="21"/>
      <c r="C3178">
        <v>13.5</v>
      </c>
      <c r="D3178">
        <v>3.2</v>
      </c>
      <c r="J3178" s="1">
        <v>1707</v>
      </c>
    </row>
    <row r="3179" spans="1:10" ht="14.25" customHeight="1" x14ac:dyDescent="0.25">
      <c r="A3179" s="21">
        <v>25005</v>
      </c>
      <c r="B3179" s="21"/>
      <c r="C3179">
        <v>57.4</v>
      </c>
      <c r="D3179">
        <v>4</v>
      </c>
      <c r="E3179">
        <v>219</v>
      </c>
      <c r="F3179">
        <v>93</v>
      </c>
      <c r="G3179">
        <v>12</v>
      </c>
      <c r="H3179">
        <v>93</v>
      </c>
      <c r="I3179">
        <v>1.37</v>
      </c>
      <c r="J3179" s="1">
        <v>5246</v>
      </c>
    </row>
    <row r="3180" spans="1:10" ht="14.25" customHeight="1" x14ac:dyDescent="0.25">
      <c r="A3180" s="21">
        <v>25005</v>
      </c>
      <c r="B3180" s="21"/>
      <c r="C3180">
        <v>406.4</v>
      </c>
      <c r="D3180">
        <v>4.5999999999999996</v>
      </c>
      <c r="E3180" s="1">
        <v>1012</v>
      </c>
      <c r="F3180">
        <v>835</v>
      </c>
      <c r="G3180">
        <v>58</v>
      </c>
      <c r="H3180">
        <v>328</v>
      </c>
      <c r="I3180">
        <v>1.58</v>
      </c>
      <c r="J3180" s="1">
        <v>34283</v>
      </c>
    </row>
    <row r="3181" spans="1:10" ht="14.25" customHeight="1" x14ac:dyDescent="0.25">
      <c r="A3181" s="21">
        <v>25005</v>
      </c>
      <c r="B3181" s="21"/>
      <c r="C3181">
        <v>102.7</v>
      </c>
      <c r="D3181">
        <v>4.0999999999999996</v>
      </c>
      <c r="E3181">
        <v>340</v>
      </c>
      <c r="F3181">
        <v>175</v>
      </c>
      <c r="G3181">
        <v>12</v>
      </c>
      <c r="H3181">
        <v>175</v>
      </c>
      <c r="I3181">
        <v>1.42</v>
      </c>
      <c r="J3181" s="1">
        <v>9118</v>
      </c>
    </row>
    <row r="3182" spans="1:10" ht="14.25" customHeight="1" x14ac:dyDescent="0.25">
      <c r="A3182" s="21">
        <v>25005</v>
      </c>
      <c r="B3182" s="21"/>
      <c r="C3182">
        <v>73.5</v>
      </c>
      <c r="D3182">
        <v>4</v>
      </c>
      <c r="E3182">
        <v>281</v>
      </c>
      <c r="F3182">
        <v>131</v>
      </c>
      <c r="G3182">
        <v>14</v>
      </c>
      <c r="H3182">
        <v>131</v>
      </c>
      <c r="I3182">
        <v>1.3</v>
      </c>
      <c r="J3182" s="1">
        <v>7175</v>
      </c>
    </row>
    <row r="3183" spans="1:10" ht="14.25" customHeight="1" x14ac:dyDescent="0.25">
      <c r="A3183" s="21">
        <v>25005</v>
      </c>
      <c r="B3183" s="21"/>
      <c r="E3183">
        <v>18</v>
      </c>
      <c r="H3183">
        <v>391</v>
      </c>
    </row>
    <row r="3184" spans="1:10" ht="14.25" customHeight="1" x14ac:dyDescent="0.25">
      <c r="A3184" s="21">
        <v>25009</v>
      </c>
      <c r="B3184" s="21"/>
      <c r="E3184">
        <v>4</v>
      </c>
      <c r="H3184">
        <v>124</v>
      </c>
    </row>
    <row r="3185" spans="1:10" ht="14.25" customHeight="1" x14ac:dyDescent="0.25">
      <c r="A3185" s="21">
        <v>25009</v>
      </c>
      <c r="B3185" s="21"/>
      <c r="C3185">
        <v>113.8</v>
      </c>
      <c r="D3185">
        <v>3.9</v>
      </c>
      <c r="E3185">
        <v>471</v>
      </c>
      <c r="F3185">
        <v>186</v>
      </c>
      <c r="G3185">
        <v>19</v>
      </c>
      <c r="H3185">
        <v>186</v>
      </c>
      <c r="I3185">
        <v>1.46</v>
      </c>
      <c r="J3185" s="1">
        <v>11933</v>
      </c>
    </row>
    <row r="3186" spans="1:10" ht="14.25" customHeight="1" x14ac:dyDescent="0.25">
      <c r="A3186" s="21">
        <v>25009</v>
      </c>
      <c r="B3186" s="21"/>
      <c r="C3186">
        <v>67.7</v>
      </c>
      <c r="D3186">
        <v>4.4000000000000004</v>
      </c>
      <c r="E3186">
        <v>277</v>
      </c>
      <c r="F3186">
        <v>120</v>
      </c>
      <c r="G3186">
        <v>8</v>
      </c>
      <c r="H3186">
        <v>123</v>
      </c>
      <c r="I3186">
        <v>1.21</v>
      </c>
      <c r="J3186" s="1">
        <v>5580</v>
      </c>
    </row>
    <row r="3187" spans="1:10" ht="14.25" customHeight="1" x14ac:dyDescent="0.25">
      <c r="A3187" s="21">
        <v>25009</v>
      </c>
      <c r="B3187" s="21"/>
      <c r="C3187">
        <v>182.3</v>
      </c>
      <c r="D3187">
        <v>3.8</v>
      </c>
      <c r="E3187">
        <v>663</v>
      </c>
      <c r="F3187">
        <v>296</v>
      </c>
      <c r="G3187">
        <v>22</v>
      </c>
      <c r="H3187">
        <v>221</v>
      </c>
      <c r="I3187">
        <v>1.42</v>
      </c>
      <c r="J3187" s="1">
        <v>19620</v>
      </c>
    </row>
    <row r="3188" spans="1:10" ht="14.25" customHeight="1" x14ac:dyDescent="0.25">
      <c r="A3188" s="21">
        <v>25009</v>
      </c>
      <c r="B3188" s="21"/>
      <c r="C3188">
        <v>182.2</v>
      </c>
      <c r="D3188">
        <v>4.5999999999999996</v>
      </c>
      <c r="E3188">
        <v>887</v>
      </c>
      <c r="F3188">
        <v>304</v>
      </c>
      <c r="G3188">
        <v>32</v>
      </c>
      <c r="H3188">
        <v>304</v>
      </c>
      <c r="I3188">
        <v>1.42</v>
      </c>
      <c r="J3188" s="1">
        <v>15287</v>
      </c>
    </row>
    <row r="3189" spans="1:10" ht="14.25" customHeight="1" x14ac:dyDescent="0.25">
      <c r="A3189" s="21">
        <v>25009</v>
      </c>
      <c r="B3189" s="21"/>
      <c r="C3189">
        <v>151.1</v>
      </c>
      <c r="D3189">
        <v>5.0999999999999996</v>
      </c>
      <c r="E3189">
        <v>321</v>
      </c>
      <c r="F3189">
        <v>330</v>
      </c>
      <c r="G3189">
        <v>29</v>
      </c>
      <c r="H3189">
        <v>330</v>
      </c>
      <c r="I3189">
        <v>1.41</v>
      </c>
      <c r="J3189" s="1">
        <v>11538</v>
      </c>
    </row>
    <row r="3190" spans="1:10" ht="14.25" customHeight="1" x14ac:dyDescent="0.25">
      <c r="A3190" s="21">
        <v>25009</v>
      </c>
      <c r="B3190" s="21"/>
      <c r="E3190">
        <v>26</v>
      </c>
      <c r="H3190">
        <v>58</v>
      </c>
    </row>
    <row r="3191" spans="1:10" ht="14.25" customHeight="1" x14ac:dyDescent="0.25">
      <c r="A3191" s="21">
        <v>25009</v>
      </c>
      <c r="B3191" s="21"/>
      <c r="E3191">
        <v>4</v>
      </c>
      <c r="H3191">
        <v>62</v>
      </c>
    </row>
    <row r="3192" spans="1:10" ht="14.25" customHeight="1" x14ac:dyDescent="0.25">
      <c r="A3192" s="21">
        <v>25009</v>
      </c>
      <c r="B3192" s="21"/>
    </row>
    <row r="3193" spans="1:10" ht="14.25" customHeight="1" x14ac:dyDescent="0.25">
      <c r="A3193" s="21">
        <v>25009</v>
      </c>
      <c r="B3193" s="21"/>
      <c r="H3193">
        <v>10</v>
      </c>
    </row>
    <row r="3194" spans="1:10" ht="14.25" customHeight="1" x14ac:dyDescent="0.25">
      <c r="A3194" s="21">
        <v>25011</v>
      </c>
      <c r="B3194" s="21"/>
      <c r="C3194">
        <v>50.1</v>
      </c>
      <c r="D3194">
        <v>4.3</v>
      </c>
      <c r="E3194">
        <v>179</v>
      </c>
      <c r="F3194">
        <v>89</v>
      </c>
      <c r="G3194">
        <v>6</v>
      </c>
      <c r="H3194">
        <v>89</v>
      </c>
      <c r="I3194">
        <v>1.3</v>
      </c>
      <c r="J3194" s="1">
        <v>4504</v>
      </c>
    </row>
    <row r="3195" spans="1:10" ht="14.25" customHeight="1" x14ac:dyDescent="0.25">
      <c r="A3195" s="21">
        <v>25013</v>
      </c>
      <c r="B3195" s="21"/>
      <c r="C3195">
        <v>24.7</v>
      </c>
      <c r="D3195">
        <v>3.4</v>
      </c>
      <c r="E3195">
        <v>136</v>
      </c>
      <c r="F3195">
        <v>46</v>
      </c>
      <c r="G3195">
        <v>6</v>
      </c>
      <c r="H3195">
        <v>46</v>
      </c>
      <c r="I3195">
        <v>1.29</v>
      </c>
      <c r="J3195" s="1">
        <v>2654</v>
      </c>
    </row>
    <row r="3196" spans="1:10" ht="14.25" customHeight="1" x14ac:dyDescent="0.25">
      <c r="A3196" s="21">
        <v>25013</v>
      </c>
      <c r="B3196" s="21"/>
      <c r="C3196">
        <v>56.5</v>
      </c>
      <c r="D3196">
        <v>3.8</v>
      </c>
      <c r="E3196">
        <v>243</v>
      </c>
      <c r="F3196">
        <v>165</v>
      </c>
      <c r="G3196">
        <v>12</v>
      </c>
      <c r="H3196">
        <v>165</v>
      </c>
      <c r="I3196">
        <v>1.4</v>
      </c>
      <c r="J3196" s="1">
        <v>5655</v>
      </c>
    </row>
    <row r="3197" spans="1:10" ht="14.25" customHeight="1" x14ac:dyDescent="0.25">
      <c r="A3197" s="21">
        <v>25013</v>
      </c>
      <c r="B3197" s="21"/>
      <c r="C3197">
        <v>547.6</v>
      </c>
      <c r="D3197">
        <v>5.5</v>
      </c>
      <c r="E3197" s="1">
        <v>1720</v>
      </c>
      <c r="F3197">
        <v>705</v>
      </c>
      <c r="G3197">
        <v>32</v>
      </c>
      <c r="H3197">
        <v>705</v>
      </c>
      <c r="I3197">
        <v>1.79</v>
      </c>
      <c r="J3197" s="1">
        <v>38132</v>
      </c>
    </row>
    <row r="3198" spans="1:10" ht="14.25" customHeight="1" x14ac:dyDescent="0.25">
      <c r="A3198" s="21">
        <v>25013</v>
      </c>
      <c r="B3198" s="21"/>
      <c r="C3198">
        <v>33.5</v>
      </c>
      <c r="D3198">
        <v>5.2</v>
      </c>
      <c r="E3198">
        <v>75</v>
      </c>
      <c r="F3198">
        <v>82</v>
      </c>
      <c r="G3198">
        <v>6</v>
      </c>
      <c r="H3198">
        <v>82</v>
      </c>
      <c r="I3198">
        <v>1.3</v>
      </c>
      <c r="J3198" s="1">
        <v>2350</v>
      </c>
    </row>
    <row r="3199" spans="1:10" ht="14.25" customHeight="1" x14ac:dyDescent="0.25">
      <c r="A3199" s="21">
        <v>25013</v>
      </c>
      <c r="B3199" s="21"/>
      <c r="C3199">
        <v>145.4</v>
      </c>
      <c r="D3199">
        <v>4.0999999999999996</v>
      </c>
      <c r="E3199">
        <v>377</v>
      </c>
      <c r="F3199">
        <v>237</v>
      </c>
      <c r="G3199">
        <v>27</v>
      </c>
      <c r="H3199">
        <v>237</v>
      </c>
      <c r="I3199">
        <v>1.47</v>
      </c>
      <c r="J3199" s="1">
        <v>13412</v>
      </c>
    </row>
    <row r="3200" spans="1:10" ht="14.25" customHeight="1" x14ac:dyDescent="0.25">
      <c r="A3200" s="21">
        <v>25013</v>
      </c>
      <c r="B3200" s="21"/>
    </row>
    <row r="3201" spans="1:10" ht="14.25" customHeight="1" x14ac:dyDescent="0.25">
      <c r="A3201" s="21">
        <v>25015</v>
      </c>
      <c r="B3201" s="21"/>
      <c r="C3201">
        <v>5.5</v>
      </c>
      <c r="D3201">
        <v>2.6</v>
      </c>
      <c r="J3201">
        <v>783</v>
      </c>
    </row>
    <row r="3202" spans="1:10" ht="14.25" customHeight="1" x14ac:dyDescent="0.25">
      <c r="A3202" s="21">
        <v>25015</v>
      </c>
      <c r="B3202" s="21"/>
      <c r="C3202">
        <v>63.8</v>
      </c>
      <c r="D3202">
        <v>4.2</v>
      </c>
      <c r="E3202">
        <v>350</v>
      </c>
      <c r="F3202">
        <v>118</v>
      </c>
      <c r="G3202">
        <v>11</v>
      </c>
      <c r="H3202">
        <v>118</v>
      </c>
      <c r="I3202">
        <v>1.39</v>
      </c>
      <c r="J3202" s="1">
        <v>5931</v>
      </c>
    </row>
    <row r="3203" spans="1:10" ht="14.25" customHeight="1" x14ac:dyDescent="0.25">
      <c r="A3203" s="21">
        <v>25015</v>
      </c>
      <c r="B3203" s="21"/>
    </row>
    <row r="3204" spans="1:10" ht="14.25" customHeight="1" x14ac:dyDescent="0.25">
      <c r="A3204" s="21">
        <v>25017</v>
      </c>
      <c r="B3204" s="21"/>
      <c r="C3204">
        <v>96.2</v>
      </c>
      <c r="D3204">
        <v>5.0999999999999996</v>
      </c>
      <c r="E3204">
        <v>743</v>
      </c>
      <c r="F3204">
        <v>200</v>
      </c>
      <c r="G3204">
        <v>18</v>
      </c>
      <c r="H3204">
        <v>200</v>
      </c>
      <c r="I3204">
        <v>1.34</v>
      </c>
      <c r="J3204" s="1">
        <v>7372</v>
      </c>
    </row>
    <row r="3205" spans="1:10" ht="14.25" customHeight="1" x14ac:dyDescent="0.25">
      <c r="A3205" s="21">
        <v>25017</v>
      </c>
      <c r="B3205" s="21"/>
      <c r="C3205">
        <v>129.5</v>
      </c>
      <c r="D3205">
        <v>4.0999999999999996</v>
      </c>
      <c r="E3205">
        <v>635</v>
      </c>
      <c r="F3205">
        <v>193</v>
      </c>
      <c r="G3205">
        <v>20</v>
      </c>
      <c r="H3205">
        <v>193</v>
      </c>
      <c r="I3205">
        <v>1.48</v>
      </c>
      <c r="J3205" s="1">
        <v>13247</v>
      </c>
    </row>
    <row r="3206" spans="1:10" ht="14.25" customHeight="1" x14ac:dyDescent="0.25">
      <c r="A3206" s="21">
        <v>25017</v>
      </c>
      <c r="B3206" s="21"/>
      <c r="C3206">
        <v>204.5</v>
      </c>
      <c r="D3206">
        <v>4.4000000000000004</v>
      </c>
      <c r="E3206">
        <v>746</v>
      </c>
      <c r="F3206">
        <v>407</v>
      </c>
      <c r="G3206">
        <v>40</v>
      </c>
      <c r="H3206">
        <v>407</v>
      </c>
      <c r="I3206">
        <v>1.48</v>
      </c>
      <c r="J3206" s="1">
        <v>18305</v>
      </c>
    </row>
    <row r="3207" spans="1:10" ht="14.25" customHeight="1" x14ac:dyDescent="0.25">
      <c r="A3207" s="21">
        <v>25017</v>
      </c>
      <c r="B3207" s="21"/>
      <c r="C3207">
        <v>84.8</v>
      </c>
      <c r="D3207">
        <v>4.4000000000000004</v>
      </c>
      <c r="E3207">
        <v>487</v>
      </c>
      <c r="F3207">
        <v>160</v>
      </c>
      <c r="G3207">
        <v>12</v>
      </c>
      <c r="H3207">
        <v>160</v>
      </c>
      <c r="I3207">
        <v>1.38</v>
      </c>
      <c r="J3207" s="1">
        <v>7544</v>
      </c>
    </row>
    <row r="3208" spans="1:10" ht="14.25" customHeight="1" x14ac:dyDescent="0.25">
      <c r="A3208" s="21">
        <v>25017</v>
      </c>
      <c r="B3208" s="21"/>
      <c r="C3208">
        <v>45.4</v>
      </c>
      <c r="D3208">
        <v>4.9000000000000004</v>
      </c>
      <c r="E3208">
        <v>115</v>
      </c>
      <c r="F3208">
        <v>67</v>
      </c>
      <c r="G3208">
        <v>10</v>
      </c>
      <c r="H3208">
        <v>67</v>
      </c>
      <c r="I3208">
        <v>1.28</v>
      </c>
      <c r="J3208" s="1">
        <v>3360</v>
      </c>
    </row>
    <row r="3209" spans="1:10" ht="14.25" customHeight="1" x14ac:dyDescent="0.25">
      <c r="A3209" s="21">
        <v>25017</v>
      </c>
      <c r="B3209" s="21"/>
      <c r="C3209">
        <v>15.1</v>
      </c>
      <c r="D3209">
        <v>3.3</v>
      </c>
      <c r="E3209">
        <v>90</v>
      </c>
      <c r="F3209">
        <v>57</v>
      </c>
      <c r="G3209">
        <v>6</v>
      </c>
      <c r="H3209">
        <v>57</v>
      </c>
      <c r="I3209">
        <v>1.2</v>
      </c>
      <c r="J3209" s="1">
        <v>1690</v>
      </c>
    </row>
    <row r="3210" spans="1:10" ht="14.25" customHeight="1" x14ac:dyDescent="0.25">
      <c r="A3210" s="21">
        <v>25017</v>
      </c>
      <c r="B3210" s="21"/>
      <c r="E3210">
        <v>2</v>
      </c>
      <c r="H3210">
        <v>157</v>
      </c>
    </row>
    <row r="3211" spans="1:10" ht="14.25" customHeight="1" x14ac:dyDescent="0.25">
      <c r="A3211" s="21">
        <v>25017</v>
      </c>
      <c r="B3211" s="21"/>
      <c r="C3211">
        <v>55.4</v>
      </c>
      <c r="D3211">
        <v>4.3</v>
      </c>
      <c r="E3211">
        <v>464</v>
      </c>
      <c r="F3211">
        <v>111</v>
      </c>
      <c r="G3211">
        <v>14</v>
      </c>
      <c r="H3211">
        <v>111</v>
      </c>
      <c r="I3211">
        <v>1.45</v>
      </c>
      <c r="J3211" s="1">
        <v>5675</v>
      </c>
    </row>
    <row r="3212" spans="1:10" ht="14.25" customHeight="1" x14ac:dyDescent="0.25">
      <c r="A3212" s="21">
        <v>25017</v>
      </c>
      <c r="B3212" s="21"/>
      <c r="C3212">
        <v>130.9</v>
      </c>
      <c r="D3212">
        <v>4.0999999999999996</v>
      </c>
      <c r="E3212">
        <v>850</v>
      </c>
      <c r="F3212">
        <v>228</v>
      </c>
      <c r="G3212">
        <v>12</v>
      </c>
      <c r="H3212">
        <v>228</v>
      </c>
      <c r="I3212">
        <v>1.54</v>
      </c>
      <c r="J3212" s="1">
        <v>15050</v>
      </c>
    </row>
    <row r="3213" spans="1:10" ht="14.25" customHeight="1" x14ac:dyDescent="0.25">
      <c r="A3213" s="21">
        <v>25017</v>
      </c>
      <c r="B3213" s="21"/>
      <c r="C3213">
        <v>116.6</v>
      </c>
      <c r="D3213">
        <v>4</v>
      </c>
      <c r="E3213">
        <v>557</v>
      </c>
      <c r="F3213">
        <v>205</v>
      </c>
      <c r="G3213">
        <v>10</v>
      </c>
      <c r="H3213">
        <v>229</v>
      </c>
      <c r="I3213">
        <v>1.4</v>
      </c>
      <c r="J3213" s="1">
        <v>11884</v>
      </c>
    </row>
    <row r="3214" spans="1:10" ht="14.25" customHeight="1" x14ac:dyDescent="0.25">
      <c r="A3214" s="21">
        <v>25017</v>
      </c>
      <c r="B3214" s="21"/>
      <c r="C3214">
        <v>83.4</v>
      </c>
      <c r="D3214">
        <v>4.0999999999999996</v>
      </c>
      <c r="E3214">
        <v>521</v>
      </c>
      <c r="F3214">
        <v>216</v>
      </c>
      <c r="G3214">
        <v>22</v>
      </c>
      <c r="H3214">
        <v>216</v>
      </c>
      <c r="I3214">
        <v>1.47</v>
      </c>
      <c r="J3214" s="1">
        <v>8346</v>
      </c>
    </row>
    <row r="3215" spans="1:10" ht="14.25" customHeight="1" x14ac:dyDescent="0.25">
      <c r="A3215" s="21">
        <v>25017</v>
      </c>
      <c r="B3215" s="21"/>
      <c r="C3215">
        <v>322</v>
      </c>
      <c r="D3215">
        <v>4.9000000000000004</v>
      </c>
      <c r="E3215" s="1">
        <v>1155</v>
      </c>
      <c r="F3215">
        <v>345</v>
      </c>
      <c r="G3215">
        <v>52</v>
      </c>
      <c r="H3215">
        <v>335</v>
      </c>
      <c r="I3215">
        <v>1.81</v>
      </c>
      <c r="J3215" s="1">
        <v>23936</v>
      </c>
    </row>
    <row r="3216" spans="1:10" ht="14.25" customHeight="1" x14ac:dyDescent="0.25">
      <c r="A3216" s="21">
        <v>25017</v>
      </c>
      <c r="B3216" s="21"/>
    </row>
    <row r="3217" spans="1:10" ht="14.25" customHeight="1" x14ac:dyDescent="0.25">
      <c r="A3217" s="21">
        <v>25017</v>
      </c>
      <c r="B3217" s="21"/>
      <c r="E3217">
        <v>6</v>
      </c>
    </row>
    <row r="3218" spans="1:10" ht="14.25" customHeight="1" x14ac:dyDescent="0.25">
      <c r="A3218" s="21">
        <v>25017</v>
      </c>
      <c r="B3218" s="21"/>
    </row>
    <row r="3219" spans="1:10" ht="14.25" customHeight="1" x14ac:dyDescent="0.25">
      <c r="A3219" s="21">
        <v>25017</v>
      </c>
      <c r="B3219" s="21"/>
      <c r="H3219">
        <v>162</v>
      </c>
    </row>
    <row r="3220" spans="1:10" ht="14.25" customHeight="1" x14ac:dyDescent="0.25">
      <c r="A3220" s="21">
        <v>25017</v>
      </c>
      <c r="B3220" s="21"/>
      <c r="E3220">
        <v>2</v>
      </c>
    </row>
    <row r="3221" spans="1:10" ht="14.25" customHeight="1" x14ac:dyDescent="0.25">
      <c r="A3221" s="21">
        <v>25017</v>
      </c>
      <c r="B3221" s="21"/>
      <c r="H3221">
        <v>132</v>
      </c>
    </row>
    <row r="3222" spans="1:10" ht="14.25" customHeight="1" x14ac:dyDescent="0.25">
      <c r="A3222" s="21">
        <v>25017</v>
      </c>
      <c r="B3222" s="21"/>
    </row>
    <row r="3223" spans="1:10" ht="14.25" customHeight="1" x14ac:dyDescent="0.25">
      <c r="A3223" s="21">
        <v>25019</v>
      </c>
      <c r="B3223" s="21"/>
      <c r="C3223">
        <v>5</v>
      </c>
      <c r="D3223">
        <v>4.9000000000000004</v>
      </c>
      <c r="E3223">
        <v>35</v>
      </c>
      <c r="F3223">
        <v>19</v>
      </c>
      <c r="H3223">
        <v>19</v>
      </c>
      <c r="I3223">
        <v>1.17</v>
      </c>
      <c r="J3223">
        <v>444</v>
      </c>
    </row>
    <row r="3224" spans="1:10" ht="14.25" customHeight="1" x14ac:dyDescent="0.25">
      <c r="A3224" s="21">
        <v>25021</v>
      </c>
      <c r="B3224" s="21"/>
      <c r="C3224">
        <v>88.4</v>
      </c>
      <c r="D3224">
        <v>4.0999999999999996</v>
      </c>
      <c r="E3224">
        <v>305</v>
      </c>
      <c r="F3224">
        <v>149</v>
      </c>
      <c r="G3224">
        <v>10</v>
      </c>
      <c r="H3224">
        <v>149</v>
      </c>
      <c r="I3224">
        <v>1.35</v>
      </c>
      <c r="J3224" s="1">
        <v>8219</v>
      </c>
    </row>
    <row r="3225" spans="1:10" ht="14.25" customHeight="1" x14ac:dyDescent="0.25">
      <c r="A3225" s="21">
        <v>25021</v>
      </c>
      <c r="B3225" s="21"/>
      <c r="C3225">
        <v>62.9</v>
      </c>
      <c r="D3225">
        <v>3.7</v>
      </c>
      <c r="E3225">
        <v>224</v>
      </c>
      <c r="F3225">
        <v>102</v>
      </c>
      <c r="G3225">
        <v>8</v>
      </c>
      <c r="H3225">
        <v>102</v>
      </c>
      <c r="I3225">
        <v>1.47</v>
      </c>
      <c r="J3225" s="1">
        <v>6135</v>
      </c>
    </row>
    <row r="3226" spans="1:10" ht="14.25" customHeight="1" x14ac:dyDescent="0.25">
      <c r="A3226" s="21">
        <v>25021</v>
      </c>
      <c r="B3226" s="21"/>
      <c r="C3226">
        <v>311.39999999999998</v>
      </c>
      <c r="D3226">
        <v>4.5</v>
      </c>
      <c r="E3226">
        <v>925</v>
      </c>
      <c r="F3226">
        <v>390</v>
      </c>
      <c r="G3226">
        <v>34</v>
      </c>
      <c r="H3226">
        <v>390</v>
      </c>
      <c r="I3226">
        <v>1.42</v>
      </c>
      <c r="J3226" s="1">
        <v>27383</v>
      </c>
    </row>
    <row r="3227" spans="1:10" ht="14.25" customHeight="1" x14ac:dyDescent="0.25">
      <c r="A3227" s="21">
        <v>25021</v>
      </c>
      <c r="B3227" s="21"/>
      <c r="C3227">
        <v>29.1</v>
      </c>
      <c r="D3227">
        <v>4.2</v>
      </c>
      <c r="E3227">
        <v>228</v>
      </c>
      <c r="F3227">
        <v>58</v>
      </c>
      <c r="G3227">
        <v>7</v>
      </c>
      <c r="H3227">
        <v>58</v>
      </c>
      <c r="I3227">
        <v>1.39</v>
      </c>
      <c r="J3227" s="1">
        <v>2503</v>
      </c>
    </row>
    <row r="3228" spans="1:10" ht="14.25" customHeight="1" x14ac:dyDescent="0.25">
      <c r="A3228" s="21">
        <v>25021</v>
      </c>
      <c r="B3228" s="21"/>
      <c r="C3228">
        <v>43.5</v>
      </c>
      <c r="D3228">
        <v>4</v>
      </c>
      <c r="J3228" s="1">
        <v>3934</v>
      </c>
    </row>
    <row r="3229" spans="1:10" ht="14.25" customHeight="1" x14ac:dyDescent="0.25">
      <c r="A3229" s="21">
        <v>25021</v>
      </c>
      <c r="B3229" s="21"/>
    </row>
    <row r="3230" spans="1:10" ht="14.25" customHeight="1" x14ac:dyDescent="0.25">
      <c r="A3230" s="21">
        <v>25023</v>
      </c>
      <c r="B3230" s="21"/>
      <c r="C3230">
        <v>112.8</v>
      </c>
      <c r="D3230">
        <v>4.7</v>
      </c>
      <c r="E3230">
        <v>412</v>
      </c>
      <c r="F3230">
        <v>175</v>
      </c>
      <c r="G3230">
        <v>16</v>
      </c>
      <c r="H3230">
        <v>175</v>
      </c>
      <c r="I3230">
        <v>1.37</v>
      </c>
      <c r="J3230" s="1">
        <v>9634</v>
      </c>
    </row>
    <row r="3231" spans="1:10" ht="14.25" customHeight="1" x14ac:dyDescent="0.25">
      <c r="A3231" s="21">
        <v>25023</v>
      </c>
      <c r="B3231" s="21"/>
      <c r="C3231">
        <v>115.4</v>
      </c>
      <c r="D3231">
        <v>4</v>
      </c>
      <c r="E3231">
        <v>465</v>
      </c>
      <c r="F3231">
        <v>145</v>
      </c>
      <c r="G3231">
        <v>13</v>
      </c>
      <c r="H3231">
        <v>145</v>
      </c>
      <c r="I3231">
        <v>1.5</v>
      </c>
      <c r="J3231" s="1">
        <v>11284</v>
      </c>
    </row>
    <row r="3232" spans="1:10" ht="14.25" customHeight="1" x14ac:dyDescent="0.25">
      <c r="A3232" s="21">
        <v>25023</v>
      </c>
      <c r="B3232" s="21"/>
      <c r="C3232">
        <v>182.2</v>
      </c>
      <c r="D3232">
        <v>4.5</v>
      </c>
      <c r="E3232">
        <v>380</v>
      </c>
      <c r="F3232">
        <v>249</v>
      </c>
      <c r="G3232">
        <v>18</v>
      </c>
      <c r="H3232">
        <v>267</v>
      </c>
      <c r="I3232">
        <v>1.45</v>
      </c>
      <c r="J3232" s="1">
        <v>15718</v>
      </c>
    </row>
    <row r="3233" spans="1:10" ht="14.25" customHeight="1" x14ac:dyDescent="0.25">
      <c r="A3233" s="21">
        <v>25023</v>
      </c>
      <c r="B3233" s="21"/>
      <c r="E3233">
        <v>8</v>
      </c>
    </row>
    <row r="3234" spans="1:10" ht="14.25" customHeight="1" x14ac:dyDescent="0.25">
      <c r="A3234" s="21">
        <v>25025</v>
      </c>
      <c r="B3234" s="21"/>
      <c r="C3234">
        <v>244.4</v>
      </c>
      <c r="D3234">
        <v>5.5</v>
      </c>
      <c r="E3234">
        <v>806</v>
      </c>
      <c r="F3234">
        <v>364</v>
      </c>
      <c r="G3234">
        <v>98</v>
      </c>
      <c r="H3234">
        <v>364</v>
      </c>
      <c r="I3234">
        <v>2.52</v>
      </c>
      <c r="J3234" s="1">
        <v>16749</v>
      </c>
    </row>
    <row r="3235" spans="1:10" ht="14.25" customHeight="1" x14ac:dyDescent="0.25">
      <c r="A3235" s="21">
        <v>25025</v>
      </c>
      <c r="B3235" s="21"/>
      <c r="C3235">
        <v>99.2</v>
      </c>
      <c r="D3235">
        <v>3.9</v>
      </c>
      <c r="E3235">
        <v>371</v>
      </c>
      <c r="F3235">
        <v>147</v>
      </c>
      <c r="H3235">
        <v>147</v>
      </c>
      <c r="I3235">
        <v>1.41</v>
      </c>
      <c r="J3235" s="1">
        <v>9191</v>
      </c>
    </row>
    <row r="3236" spans="1:10" ht="14.25" customHeight="1" x14ac:dyDescent="0.25">
      <c r="A3236" s="21">
        <v>25025</v>
      </c>
      <c r="B3236" s="21"/>
      <c r="C3236">
        <v>727.7</v>
      </c>
      <c r="D3236">
        <v>6.6</v>
      </c>
      <c r="E3236" s="1">
        <v>2095</v>
      </c>
      <c r="F3236">
        <v>804</v>
      </c>
      <c r="H3236">
        <v>804</v>
      </c>
      <c r="I3236">
        <v>2.2599999999999998</v>
      </c>
      <c r="J3236" s="1">
        <v>42328</v>
      </c>
    </row>
    <row r="3237" spans="1:10" ht="14.25" customHeight="1" x14ac:dyDescent="0.25">
      <c r="A3237" s="21">
        <v>25025</v>
      </c>
      <c r="B3237" s="21"/>
      <c r="C3237">
        <v>595.1</v>
      </c>
      <c r="D3237">
        <v>5.8</v>
      </c>
      <c r="E3237" s="1">
        <v>1602</v>
      </c>
      <c r="F3237">
        <v>694</v>
      </c>
      <c r="G3237">
        <v>77</v>
      </c>
      <c r="H3237">
        <v>694</v>
      </c>
      <c r="I3237">
        <v>2.08</v>
      </c>
      <c r="J3237" s="1">
        <v>39871</v>
      </c>
    </row>
    <row r="3238" spans="1:10" ht="14.25" customHeight="1" x14ac:dyDescent="0.25">
      <c r="A3238" s="21">
        <v>25025</v>
      </c>
      <c r="B3238" s="21"/>
      <c r="C3238">
        <v>51.7</v>
      </c>
      <c r="D3238">
        <v>2.2999999999999998</v>
      </c>
      <c r="E3238">
        <v>188</v>
      </c>
      <c r="F3238">
        <v>98</v>
      </c>
      <c r="G3238">
        <v>10</v>
      </c>
      <c r="H3238">
        <v>98</v>
      </c>
      <c r="I3238">
        <v>2.4</v>
      </c>
      <c r="J3238" s="1">
        <v>8146</v>
      </c>
    </row>
    <row r="3239" spans="1:10" ht="14.25" customHeight="1" x14ac:dyDescent="0.25">
      <c r="A3239" s="21">
        <v>25025</v>
      </c>
      <c r="B3239" s="21"/>
      <c r="C3239">
        <v>143.1</v>
      </c>
      <c r="D3239">
        <v>5.0999999999999996</v>
      </c>
      <c r="E3239">
        <v>380</v>
      </c>
      <c r="F3239">
        <v>212</v>
      </c>
      <c r="G3239">
        <v>46</v>
      </c>
      <c r="H3239">
        <v>212</v>
      </c>
      <c r="I3239">
        <v>2.0499999999999998</v>
      </c>
      <c r="J3239" s="1">
        <v>10714</v>
      </c>
    </row>
    <row r="3240" spans="1:10" ht="14.25" customHeight="1" x14ac:dyDescent="0.25">
      <c r="A3240" s="21">
        <v>25025</v>
      </c>
      <c r="B3240" s="21"/>
      <c r="C3240">
        <v>841</v>
      </c>
      <c r="D3240">
        <v>6.5</v>
      </c>
      <c r="E3240" s="1">
        <v>3018</v>
      </c>
      <c r="F3240">
        <v>993</v>
      </c>
      <c r="G3240">
        <v>20</v>
      </c>
      <c r="H3240">
        <v>993</v>
      </c>
      <c r="I3240">
        <v>2.2200000000000002</v>
      </c>
      <c r="J3240" s="1">
        <v>49506</v>
      </c>
    </row>
    <row r="3241" spans="1:10" ht="14.25" customHeight="1" x14ac:dyDescent="0.25">
      <c r="A3241" s="21">
        <v>25025</v>
      </c>
      <c r="B3241" s="21"/>
      <c r="C3241">
        <v>12.2</v>
      </c>
      <c r="D3241">
        <v>3.8</v>
      </c>
      <c r="E3241">
        <v>354</v>
      </c>
      <c r="F3241">
        <v>41</v>
      </c>
      <c r="H3241">
        <v>41</v>
      </c>
      <c r="I3241">
        <v>1.84</v>
      </c>
      <c r="J3241" s="1">
        <v>1175</v>
      </c>
    </row>
    <row r="3242" spans="1:10" ht="14.25" customHeight="1" x14ac:dyDescent="0.25">
      <c r="A3242" s="21">
        <v>25025</v>
      </c>
      <c r="B3242" s="21"/>
      <c r="C3242">
        <v>62.3</v>
      </c>
      <c r="D3242">
        <v>5.0999999999999996</v>
      </c>
      <c r="E3242">
        <v>176</v>
      </c>
      <c r="F3242">
        <v>110</v>
      </c>
      <c r="G3242">
        <v>10</v>
      </c>
      <c r="H3242">
        <v>110</v>
      </c>
      <c r="I3242">
        <v>1.41</v>
      </c>
      <c r="J3242" s="1">
        <v>4478</v>
      </c>
    </row>
    <row r="3243" spans="1:10" ht="14.25" customHeight="1" x14ac:dyDescent="0.25">
      <c r="A3243" s="21">
        <v>25025</v>
      </c>
      <c r="B3243" s="21"/>
      <c r="C3243">
        <v>356.3</v>
      </c>
      <c r="D3243">
        <v>5.4</v>
      </c>
      <c r="E3243" s="1">
        <v>1763</v>
      </c>
      <c r="F3243">
        <v>399</v>
      </c>
      <c r="G3243">
        <v>63</v>
      </c>
      <c r="H3243">
        <v>399</v>
      </c>
      <c r="I3243">
        <v>1.94</v>
      </c>
      <c r="J3243" s="1">
        <v>25816</v>
      </c>
    </row>
    <row r="3244" spans="1:10" ht="14.25" customHeight="1" x14ac:dyDescent="0.25">
      <c r="A3244" s="21">
        <v>25025</v>
      </c>
      <c r="B3244" s="21"/>
      <c r="C3244">
        <v>77.400000000000006</v>
      </c>
      <c r="D3244">
        <v>376.5</v>
      </c>
      <c r="J3244">
        <v>75</v>
      </c>
    </row>
    <row r="3245" spans="1:10" ht="14.25" customHeight="1" x14ac:dyDescent="0.25">
      <c r="A3245" s="21">
        <v>25025</v>
      </c>
      <c r="B3245" s="21"/>
      <c r="C3245">
        <v>28.1</v>
      </c>
      <c r="D3245">
        <v>6.5</v>
      </c>
      <c r="E3245">
        <v>409</v>
      </c>
      <c r="F3245">
        <v>30</v>
      </c>
      <c r="H3245">
        <v>30</v>
      </c>
      <c r="I3245">
        <v>2.64</v>
      </c>
      <c r="J3245" s="1">
        <v>1568</v>
      </c>
    </row>
    <row r="3246" spans="1:10" ht="14.25" customHeight="1" x14ac:dyDescent="0.25">
      <c r="A3246" s="21">
        <v>25025</v>
      </c>
      <c r="B3246" s="21"/>
    </row>
    <row r="3247" spans="1:10" ht="14.25" customHeight="1" x14ac:dyDescent="0.25">
      <c r="A3247" s="21">
        <v>25027</v>
      </c>
      <c r="B3247" s="21"/>
      <c r="C3247">
        <v>524.1</v>
      </c>
      <c r="D3247">
        <v>5.5</v>
      </c>
      <c r="E3247" s="1">
        <v>1862</v>
      </c>
      <c r="F3247">
        <v>609</v>
      </c>
      <c r="G3247">
        <v>82</v>
      </c>
      <c r="H3247">
        <v>609</v>
      </c>
      <c r="I3247">
        <v>1.92</v>
      </c>
      <c r="J3247" s="1">
        <v>37164</v>
      </c>
    </row>
    <row r="3248" spans="1:10" ht="14.25" customHeight="1" x14ac:dyDescent="0.25">
      <c r="A3248" s="21">
        <v>25027</v>
      </c>
      <c r="B3248" s="21"/>
      <c r="C3248">
        <v>173.4</v>
      </c>
      <c r="D3248">
        <v>4</v>
      </c>
      <c r="E3248">
        <v>533</v>
      </c>
      <c r="F3248">
        <v>259</v>
      </c>
      <c r="H3248">
        <v>259</v>
      </c>
      <c r="I3248">
        <v>1.58</v>
      </c>
      <c r="J3248" s="1">
        <v>16843</v>
      </c>
    </row>
    <row r="3249" spans="1:10" ht="14.25" customHeight="1" x14ac:dyDescent="0.25">
      <c r="A3249" s="21">
        <v>25027</v>
      </c>
      <c r="B3249" s="21"/>
      <c r="C3249">
        <v>53.1</v>
      </c>
      <c r="D3249">
        <v>4.5</v>
      </c>
      <c r="E3249">
        <v>283</v>
      </c>
      <c r="F3249">
        <v>114</v>
      </c>
      <c r="G3249">
        <v>6</v>
      </c>
      <c r="H3249">
        <v>114</v>
      </c>
      <c r="I3249">
        <v>1.24</v>
      </c>
      <c r="J3249" s="1">
        <v>4321</v>
      </c>
    </row>
    <row r="3250" spans="1:10" ht="14.25" customHeight="1" x14ac:dyDescent="0.25">
      <c r="A3250" s="21">
        <v>25027</v>
      </c>
      <c r="B3250" s="21"/>
      <c r="C3250">
        <v>76.900000000000006</v>
      </c>
      <c r="D3250">
        <v>4</v>
      </c>
      <c r="E3250">
        <v>297</v>
      </c>
      <c r="F3250">
        <v>125</v>
      </c>
      <c r="G3250">
        <v>10</v>
      </c>
      <c r="H3250">
        <v>125</v>
      </c>
      <c r="I3250">
        <v>1.41</v>
      </c>
      <c r="J3250" s="1">
        <v>7390</v>
      </c>
    </row>
    <row r="3251" spans="1:10" ht="14.25" customHeight="1" x14ac:dyDescent="0.25">
      <c r="A3251" s="21">
        <v>25027</v>
      </c>
      <c r="B3251" s="21"/>
      <c r="C3251">
        <v>103.1</v>
      </c>
      <c r="D3251">
        <v>6.2</v>
      </c>
      <c r="E3251">
        <v>21</v>
      </c>
      <c r="F3251">
        <v>114</v>
      </c>
      <c r="H3251">
        <v>114</v>
      </c>
      <c r="I3251">
        <v>0.99</v>
      </c>
      <c r="J3251" s="1">
        <v>6037</v>
      </c>
    </row>
    <row r="3252" spans="1:10" ht="14.25" customHeight="1" x14ac:dyDescent="0.25">
      <c r="A3252" s="21">
        <v>25027</v>
      </c>
      <c r="B3252" s="21"/>
      <c r="C3252">
        <v>5.8</v>
      </c>
      <c r="D3252">
        <v>3.7</v>
      </c>
      <c r="F3252">
        <v>21</v>
      </c>
      <c r="H3252">
        <v>21</v>
      </c>
      <c r="J3252">
        <v>573</v>
      </c>
    </row>
    <row r="3253" spans="1:10" ht="14.25" customHeight="1" x14ac:dyDescent="0.25">
      <c r="A3253" s="21">
        <v>25027</v>
      </c>
      <c r="B3253" s="21"/>
      <c r="C3253">
        <v>90.5</v>
      </c>
      <c r="D3253">
        <v>3.9</v>
      </c>
      <c r="E3253">
        <v>511</v>
      </c>
      <c r="F3253">
        <v>149</v>
      </c>
      <c r="G3253">
        <v>10</v>
      </c>
      <c r="H3253">
        <v>149</v>
      </c>
      <c r="I3253">
        <v>1.4</v>
      </c>
      <c r="J3253" s="1">
        <v>8999</v>
      </c>
    </row>
    <row r="3254" spans="1:10" ht="14.25" customHeight="1" x14ac:dyDescent="0.25">
      <c r="A3254" s="21">
        <v>25027</v>
      </c>
      <c r="B3254" s="21"/>
      <c r="C3254">
        <v>43.2</v>
      </c>
      <c r="D3254">
        <v>3.9</v>
      </c>
      <c r="E3254">
        <v>163</v>
      </c>
      <c r="F3254">
        <v>114</v>
      </c>
      <c r="G3254">
        <v>11</v>
      </c>
      <c r="H3254">
        <v>114</v>
      </c>
      <c r="I3254">
        <v>1.26</v>
      </c>
      <c r="J3254" s="1">
        <v>4009</v>
      </c>
    </row>
    <row r="3255" spans="1:10" ht="14.25" customHeight="1" x14ac:dyDescent="0.25">
      <c r="A3255" s="21">
        <v>25027</v>
      </c>
      <c r="B3255" s="21"/>
      <c r="C3255">
        <v>8.4</v>
      </c>
      <c r="D3255">
        <v>3.2</v>
      </c>
      <c r="J3255">
        <v>963</v>
      </c>
    </row>
    <row r="3256" spans="1:10" ht="14.25" customHeight="1" x14ac:dyDescent="0.25">
      <c r="A3256" s="21">
        <v>25027</v>
      </c>
      <c r="B3256" s="21"/>
      <c r="H3256">
        <v>163</v>
      </c>
    </row>
    <row r="3257" spans="1:10" ht="14.25" customHeight="1" x14ac:dyDescent="0.25">
      <c r="A3257" s="21">
        <v>25027</v>
      </c>
      <c r="B3257" s="21"/>
    </row>
    <row r="3258" spans="1:10" ht="14.25" customHeight="1" x14ac:dyDescent="0.25">
      <c r="A3258" s="21">
        <v>25027</v>
      </c>
      <c r="B3258" s="21"/>
      <c r="E3258">
        <v>2</v>
      </c>
    </row>
    <row r="3259" spans="1:10" ht="14.25" customHeight="1" x14ac:dyDescent="0.25">
      <c r="A3259" s="21">
        <v>25027</v>
      </c>
      <c r="B3259" s="21"/>
    </row>
    <row r="3260" spans="1:10" ht="14.25" customHeight="1" x14ac:dyDescent="0.25">
      <c r="A3260" s="21">
        <v>26007</v>
      </c>
      <c r="B3260" s="21"/>
      <c r="C3260">
        <v>41.7</v>
      </c>
      <c r="D3260">
        <v>3.7</v>
      </c>
      <c r="E3260">
        <v>189</v>
      </c>
      <c r="F3260">
        <v>128</v>
      </c>
      <c r="G3260">
        <v>9</v>
      </c>
      <c r="H3260">
        <v>128</v>
      </c>
      <c r="I3260">
        <v>1.48</v>
      </c>
      <c r="J3260" s="1">
        <v>4362</v>
      </c>
    </row>
    <row r="3261" spans="1:10" ht="14.25" customHeight="1" x14ac:dyDescent="0.25">
      <c r="A3261" s="21">
        <v>26017</v>
      </c>
      <c r="B3261" s="21"/>
      <c r="C3261">
        <v>180.4</v>
      </c>
      <c r="D3261">
        <v>4.4000000000000004</v>
      </c>
      <c r="E3261">
        <v>356</v>
      </c>
      <c r="F3261">
        <v>291</v>
      </c>
      <c r="G3261">
        <v>32</v>
      </c>
      <c r="H3261">
        <v>291</v>
      </c>
      <c r="I3261">
        <v>1.77</v>
      </c>
      <c r="J3261" s="1">
        <v>14681</v>
      </c>
    </row>
    <row r="3262" spans="1:10" ht="14.25" customHeight="1" x14ac:dyDescent="0.25">
      <c r="A3262" s="21">
        <v>26021</v>
      </c>
      <c r="B3262" s="21"/>
      <c r="C3262">
        <v>128.80000000000001</v>
      </c>
      <c r="D3262">
        <v>3.4</v>
      </c>
      <c r="E3262">
        <v>523</v>
      </c>
      <c r="F3262">
        <v>264</v>
      </c>
      <c r="G3262">
        <v>20</v>
      </c>
      <c r="H3262">
        <v>196</v>
      </c>
      <c r="I3262">
        <v>1.67</v>
      </c>
      <c r="J3262" s="1">
        <v>15093</v>
      </c>
    </row>
    <row r="3263" spans="1:10" ht="14.25" customHeight="1" x14ac:dyDescent="0.25">
      <c r="A3263" s="21">
        <v>26021</v>
      </c>
      <c r="B3263" s="21"/>
      <c r="C3263">
        <v>0.8</v>
      </c>
      <c r="D3263">
        <v>1.8</v>
      </c>
      <c r="E3263">
        <v>51</v>
      </c>
      <c r="F3263">
        <v>26</v>
      </c>
      <c r="H3263">
        <v>26</v>
      </c>
      <c r="I3263">
        <v>1.28</v>
      </c>
      <c r="J3263">
        <v>154</v>
      </c>
    </row>
    <row r="3264" spans="1:10" ht="14.25" customHeight="1" x14ac:dyDescent="0.25">
      <c r="A3264" s="21">
        <v>26021</v>
      </c>
      <c r="B3264" s="21"/>
      <c r="C3264">
        <v>11.1</v>
      </c>
      <c r="D3264">
        <v>27.5</v>
      </c>
      <c r="J3264">
        <v>122</v>
      </c>
    </row>
    <row r="3265" spans="1:10" ht="14.25" customHeight="1" x14ac:dyDescent="0.25">
      <c r="A3265" s="21">
        <v>26021</v>
      </c>
      <c r="B3265" s="21"/>
    </row>
    <row r="3266" spans="1:10" ht="14.25" customHeight="1" x14ac:dyDescent="0.25">
      <c r="A3266" s="21">
        <v>26023</v>
      </c>
      <c r="B3266" s="21"/>
      <c r="C3266">
        <v>31.3</v>
      </c>
      <c r="D3266">
        <v>4</v>
      </c>
      <c r="E3266">
        <v>99</v>
      </c>
      <c r="F3266">
        <v>87</v>
      </c>
      <c r="G3266">
        <v>10</v>
      </c>
      <c r="H3266">
        <v>87</v>
      </c>
      <c r="I3266">
        <v>1.22</v>
      </c>
      <c r="J3266" s="1">
        <v>2927</v>
      </c>
    </row>
    <row r="3267" spans="1:10" ht="14.25" customHeight="1" x14ac:dyDescent="0.25">
      <c r="A3267" s="21">
        <v>26025</v>
      </c>
      <c r="B3267" s="21"/>
      <c r="C3267">
        <v>77.2</v>
      </c>
      <c r="D3267">
        <v>3.9</v>
      </c>
      <c r="E3267">
        <v>258</v>
      </c>
      <c r="F3267">
        <v>159</v>
      </c>
      <c r="G3267">
        <v>20</v>
      </c>
      <c r="H3267">
        <v>159</v>
      </c>
      <c r="I3267">
        <v>1.56</v>
      </c>
      <c r="J3267" s="1">
        <v>7254</v>
      </c>
    </row>
    <row r="3268" spans="1:10" ht="14.25" customHeight="1" x14ac:dyDescent="0.25">
      <c r="A3268" s="21">
        <v>26025</v>
      </c>
      <c r="B3268" s="21"/>
      <c r="C3268">
        <v>41.4</v>
      </c>
      <c r="D3268">
        <v>3</v>
      </c>
      <c r="E3268">
        <v>207</v>
      </c>
      <c r="F3268">
        <v>78</v>
      </c>
      <c r="G3268">
        <v>12</v>
      </c>
      <c r="H3268">
        <v>78</v>
      </c>
      <c r="I3268">
        <v>1.72</v>
      </c>
      <c r="J3268" s="1">
        <v>4953</v>
      </c>
    </row>
    <row r="3269" spans="1:10" ht="14.25" customHeight="1" x14ac:dyDescent="0.25">
      <c r="A3269" s="21">
        <v>26033</v>
      </c>
      <c r="B3269" s="21"/>
      <c r="C3269">
        <v>24.7</v>
      </c>
      <c r="D3269">
        <v>3.9</v>
      </c>
      <c r="E3269">
        <v>110</v>
      </c>
      <c r="F3269">
        <v>49</v>
      </c>
      <c r="G3269">
        <v>6</v>
      </c>
      <c r="H3269">
        <v>49</v>
      </c>
      <c r="I3269">
        <v>1.35</v>
      </c>
      <c r="J3269" s="1">
        <v>2449</v>
      </c>
    </row>
    <row r="3270" spans="1:10" ht="14.25" customHeight="1" x14ac:dyDescent="0.25">
      <c r="A3270" s="21">
        <v>26035</v>
      </c>
      <c r="B3270" s="21"/>
      <c r="C3270">
        <v>7.3</v>
      </c>
      <c r="D3270">
        <v>2.8</v>
      </c>
      <c r="E3270">
        <v>79</v>
      </c>
      <c r="F3270">
        <v>49</v>
      </c>
      <c r="H3270">
        <v>49</v>
      </c>
      <c r="I3270">
        <v>1.27</v>
      </c>
      <c r="J3270">
        <v>952</v>
      </c>
    </row>
    <row r="3271" spans="1:10" ht="14.25" customHeight="1" x14ac:dyDescent="0.25">
      <c r="A3271" s="21">
        <v>26039</v>
      </c>
      <c r="B3271" s="21"/>
      <c r="C3271">
        <v>18.100000000000001</v>
      </c>
      <c r="D3271">
        <v>3.1</v>
      </c>
      <c r="E3271">
        <v>100</v>
      </c>
      <c r="F3271">
        <v>49</v>
      </c>
      <c r="G3271">
        <v>6</v>
      </c>
      <c r="H3271">
        <v>49</v>
      </c>
      <c r="I3271">
        <v>1.38</v>
      </c>
      <c r="J3271" s="1">
        <v>2284</v>
      </c>
    </row>
    <row r="3272" spans="1:10" ht="14.25" customHeight="1" x14ac:dyDescent="0.25">
      <c r="A3272" s="21">
        <v>26043</v>
      </c>
      <c r="B3272" s="21"/>
      <c r="C3272">
        <v>20.100000000000001</v>
      </c>
      <c r="D3272">
        <v>3.5</v>
      </c>
      <c r="E3272">
        <v>115</v>
      </c>
      <c r="F3272">
        <v>39</v>
      </c>
      <c r="G3272">
        <v>6</v>
      </c>
      <c r="H3272">
        <v>39</v>
      </c>
      <c r="I3272">
        <v>1.56</v>
      </c>
      <c r="J3272" s="1">
        <v>2325</v>
      </c>
    </row>
    <row r="3273" spans="1:10" ht="14.25" customHeight="1" x14ac:dyDescent="0.25">
      <c r="A3273" s="21">
        <v>26047</v>
      </c>
      <c r="B3273" s="21"/>
      <c r="C3273">
        <v>90.4</v>
      </c>
      <c r="D3273">
        <v>3.7</v>
      </c>
      <c r="E3273">
        <v>313</v>
      </c>
      <c r="F3273">
        <v>170</v>
      </c>
      <c r="G3273">
        <v>18</v>
      </c>
      <c r="H3273">
        <v>170</v>
      </c>
      <c r="I3273">
        <v>1.91</v>
      </c>
      <c r="J3273" s="1">
        <v>9131</v>
      </c>
    </row>
    <row r="3274" spans="1:10" ht="14.25" customHeight="1" x14ac:dyDescent="0.25">
      <c r="A3274" s="21">
        <v>26049</v>
      </c>
      <c r="B3274" s="21"/>
      <c r="C3274">
        <v>246.4</v>
      </c>
      <c r="D3274">
        <v>5.4</v>
      </c>
      <c r="E3274">
        <v>524</v>
      </c>
      <c r="F3274">
        <v>370</v>
      </c>
      <c r="G3274">
        <v>46</v>
      </c>
      <c r="H3274">
        <v>370</v>
      </c>
      <c r="I3274">
        <v>1.62</v>
      </c>
      <c r="J3274" s="1">
        <v>17240</v>
      </c>
    </row>
    <row r="3275" spans="1:10" ht="14.25" customHeight="1" x14ac:dyDescent="0.25">
      <c r="A3275" s="21">
        <v>26049</v>
      </c>
      <c r="B3275" s="21"/>
      <c r="C3275">
        <v>228.3</v>
      </c>
      <c r="D3275">
        <v>4.7</v>
      </c>
      <c r="E3275">
        <v>436</v>
      </c>
      <c r="F3275">
        <v>305</v>
      </c>
      <c r="G3275">
        <v>18</v>
      </c>
      <c r="H3275">
        <v>305</v>
      </c>
      <c r="I3275">
        <v>1.81</v>
      </c>
      <c r="J3275" s="1">
        <v>17969</v>
      </c>
    </row>
    <row r="3276" spans="1:10" ht="14.25" customHeight="1" x14ac:dyDescent="0.25">
      <c r="A3276" s="21">
        <v>26049</v>
      </c>
      <c r="B3276" s="21"/>
      <c r="C3276">
        <v>223.9</v>
      </c>
      <c r="D3276">
        <v>4.3</v>
      </c>
      <c r="E3276">
        <v>489</v>
      </c>
      <c r="F3276">
        <v>350</v>
      </c>
      <c r="G3276">
        <v>45</v>
      </c>
      <c r="H3276">
        <v>350</v>
      </c>
      <c r="I3276">
        <v>1.87</v>
      </c>
      <c r="J3276" s="1">
        <v>19591</v>
      </c>
    </row>
    <row r="3277" spans="1:10" ht="14.25" customHeight="1" x14ac:dyDescent="0.25">
      <c r="A3277" s="21">
        <v>26055</v>
      </c>
      <c r="B3277" s="21"/>
      <c r="C3277">
        <v>241.9</v>
      </c>
      <c r="D3277">
        <v>4.2</v>
      </c>
      <c r="E3277">
        <v>777</v>
      </c>
      <c r="F3277">
        <v>409</v>
      </c>
      <c r="G3277">
        <v>20</v>
      </c>
      <c r="H3277">
        <v>409</v>
      </c>
      <c r="I3277">
        <v>1.89</v>
      </c>
      <c r="J3277" s="1">
        <v>21759</v>
      </c>
    </row>
    <row r="3278" spans="1:10" ht="14.25" customHeight="1" x14ac:dyDescent="0.25">
      <c r="A3278" s="21">
        <v>26057</v>
      </c>
      <c r="B3278" s="21"/>
      <c r="C3278">
        <v>27.3</v>
      </c>
      <c r="D3278">
        <v>3.3</v>
      </c>
      <c r="E3278">
        <v>164</v>
      </c>
      <c r="F3278">
        <v>49</v>
      </c>
      <c r="H3278">
        <v>49</v>
      </c>
      <c r="I3278">
        <v>1.37</v>
      </c>
      <c r="J3278" s="1">
        <v>3349</v>
      </c>
    </row>
    <row r="3279" spans="1:10" ht="14.25" customHeight="1" x14ac:dyDescent="0.25">
      <c r="A3279" s="21">
        <v>26059</v>
      </c>
      <c r="B3279" s="21"/>
      <c r="C3279">
        <v>12.2</v>
      </c>
      <c r="D3279">
        <v>2.5</v>
      </c>
      <c r="E3279">
        <v>91</v>
      </c>
      <c r="F3279">
        <v>44</v>
      </c>
      <c r="G3279">
        <v>4</v>
      </c>
      <c r="H3279">
        <v>44</v>
      </c>
      <c r="I3279">
        <v>1.4</v>
      </c>
      <c r="J3279" s="1">
        <v>1981</v>
      </c>
    </row>
    <row r="3280" spans="1:10" ht="14.25" customHeight="1" x14ac:dyDescent="0.25">
      <c r="A3280" s="21">
        <v>26061</v>
      </c>
      <c r="B3280" s="21"/>
      <c r="C3280">
        <v>8.6999999999999993</v>
      </c>
      <c r="D3280">
        <v>2.9</v>
      </c>
      <c r="E3280">
        <v>77</v>
      </c>
      <c r="F3280">
        <v>36</v>
      </c>
      <c r="H3280">
        <v>36</v>
      </c>
      <c r="I3280">
        <v>1.48</v>
      </c>
      <c r="J3280" s="1">
        <v>1237</v>
      </c>
    </row>
    <row r="3281" spans="1:10" ht="14.25" customHeight="1" x14ac:dyDescent="0.25">
      <c r="A3281" s="21">
        <v>26063</v>
      </c>
      <c r="B3281" s="21"/>
      <c r="C3281">
        <v>8.1999999999999993</v>
      </c>
      <c r="D3281">
        <v>2.9</v>
      </c>
      <c r="E3281">
        <v>56</v>
      </c>
      <c r="F3281">
        <v>33</v>
      </c>
      <c r="G3281">
        <v>4</v>
      </c>
      <c r="H3281">
        <v>33</v>
      </c>
      <c r="I3281">
        <v>1.51</v>
      </c>
      <c r="J3281" s="1">
        <v>1220</v>
      </c>
    </row>
    <row r="3282" spans="1:10" ht="14.25" customHeight="1" x14ac:dyDescent="0.25">
      <c r="A3282" s="21">
        <v>26065</v>
      </c>
      <c r="B3282" s="21"/>
      <c r="C3282">
        <v>376.2</v>
      </c>
      <c r="D3282">
        <v>4.4000000000000004</v>
      </c>
      <c r="E3282" s="1">
        <v>1206</v>
      </c>
      <c r="F3282">
        <v>533</v>
      </c>
      <c r="G3282">
        <v>99</v>
      </c>
      <c r="H3282">
        <v>533</v>
      </c>
      <c r="I3282">
        <v>1.7</v>
      </c>
      <c r="J3282" s="1">
        <v>32636</v>
      </c>
    </row>
    <row r="3283" spans="1:10" ht="14.25" customHeight="1" x14ac:dyDescent="0.25">
      <c r="A3283" s="21">
        <v>26065</v>
      </c>
      <c r="B3283" s="21"/>
      <c r="C3283">
        <v>120.4</v>
      </c>
      <c r="D3283">
        <v>4.0999999999999996</v>
      </c>
      <c r="E3283">
        <v>427</v>
      </c>
      <c r="F3283">
        <v>240</v>
      </c>
      <c r="G3283">
        <v>16</v>
      </c>
      <c r="H3283">
        <v>310</v>
      </c>
      <c r="I3283">
        <v>1.76</v>
      </c>
      <c r="J3283" s="1">
        <v>11233</v>
      </c>
    </row>
    <row r="3284" spans="1:10" ht="14.25" customHeight="1" x14ac:dyDescent="0.25">
      <c r="A3284" s="21">
        <v>26065</v>
      </c>
      <c r="B3284" s="21"/>
      <c r="H3284">
        <v>52</v>
      </c>
    </row>
    <row r="3285" spans="1:10" ht="14.25" customHeight="1" x14ac:dyDescent="0.25">
      <c r="A3285" s="21">
        <v>26069</v>
      </c>
      <c r="B3285" s="21"/>
      <c r="C3285">
        <v>9.4</v>
      </c>
      <c r="D3285">
        <v>2.2000000000000002</v>
      </c>
      <c r="E3285">
        <v>68</v>
      </c>
      <c r="F3285">
        <v>47</v>
      </c>
      <c r="G3285">
        <v>4</v>
      </c>
      <c r="H3285">
        <v>47</v>
      </c>
      <c r="I3285">
        <v>1.3</v>
      </c>
      <c r="J3285" s="1">
        <v>1705</v>
      </c>
    </row>
    <row r="3286" spans="1:10" ht="14.25" customHeight="1" x14ac:dyDescent="0.25">
      <c r="A3286" s="21">
        <v>26073</v>
      </c>
      <c r="B3286" s="21"/>
      <c r="C3286">
        <v>20.3</v>
      </c>
      <c r="D3286">
        <v>2.7</v>
      </c>
      <c r="E3286">
        <v>107</v>
      </c>
      <c r="F3286">
        <v>90</v>
      </c>
      <c r="G3286">
        <v>8</v>
      </c>
      <c r="H3286">
        <v>90</v>
      </c>
      <c r="I3286">
        <v>1.41</v>
      </c>
      <c r="J3286" s="1">
        <v>3138</v>
      </c>
    </row>
    <row r="3287" spans="1:10" ht="14.25" customHeight="1" x14ac:dyDescent="0.25">
      <c r="A3287" s="21">
        <v>26075</v>
      </c>
      <c r="B3287" s="21"/>
      <c r="C3287">
        <v>207.5</v>
      </c>
      <c r="D3287">
        <v>4.2</v>
      </c>
      <c r="E3287">
        <v>576</v>
      </c>
      <c r="F3287">
        <v>313</v>
      </c>
      <c r="G3287">
        <v>34</v>
      </c>
      <c r="H3287">
        <v>313</v>
      </c>
      <c r="I3287">
        <v>1.7</v>
      </c>
      <c r="J3287" s="1">
        <v>18252</v>
      </c>
    </row>
    <row r="3288" spans="1:10" ht="14.25" customHeight="1" x14ac:dyDescent="0.25">
      <c r="A3288" s="21">
        <v>26075</v>
      </c>
      <c r="B3288" s="21"/>
      <c r="H3288">
        <v>112</v>
      </c>
    </row>
    <row r="3289" spans="1:10" ht="14.25" customHeight="1" x14ac:dyDescent="0.25">
      <c r="A3289" s="21">
        <v>26077</v>
      </c>
      <c r="B3289" s="21"/>
      <c r="C3289">
        <v>278.60000000000002</v>
      </c>
      <c r="D3289">
        <v>4</v>
      </c>
      <c r="E3289">
        <v>873</v>
      </c>
      <c r="F3289">
        <v>415</v>
      </c>
      <c r="G3289">
        <v>55</v>
      </c>
      <c r="H3289">
        <v>415</v>
      </c>
      <c r="I3289">
        <v>2.0099999999999998</v>
      </c>
      <c r="J3289" s="1">
        <v>26705</v>
      </c>
    </row>
    <row r="3290" spans="1:10" ht="14.25" customHeight="1" x14ac:dyDescent="0.25">
      <c r="A3290" s="21">
        <v>26077</v>
      </c>
      <c r="B3290" s="21"/>
    </row>
    <row r="3291" spans="1:10" ht="14.25" customHeight="1" x14ac:dyDescent="0.25">
      <c r="A3291" s="21">
        <v>26077</v>
      </c>
      <c r="B3291" s="21"/>
      <c r="C3291">
        <v>162.5</v>
      </c>
      <c r="D3291">
        <v>4</v>
      </c>
      <c r="E3291">
        <v>583</v>
      </c>
      <c r="F3291">
        <v>306</v>
      </c>
      <c r="G3291">
        <v>15</v>
      </c>
      <c r="H3291">
        <v>306</v>
      </c>
      <c r="I3291">
        <v>1.88</v>
      </c>
      <c r="J3291" s="1">
        <v>15308</v>
      </c>
    </row>
    <row r="3292" spans="1:10" ht="14.25" customHeight="1" x14ac:dyDescent="0.25">
      <c r="A3292" s="21">
        <v>26081</v>
      </c>
      <c r="B3292" s="21"/>
      <c r="C3292">
        <v>99.1</v>
      </c>
      <c r="D3292">
        <v>3.4</v>
      </c>
      <c r="E3292">
        <v>489</v>
      </c>
      <c r="F3292">
        <v>187</v>
      </c>
      <c r="G3292">
        <v>16</v>
      </c>
      <c r="H3292">
        <v>187</v>
      </c>
      <c r="I3292">
        <v>1.99</v>
      </c>
      <c r="J3292" s="1">
        <v>10476</v>
      </c>
    </row>
    <row r="3293" spans="1:10" ht="14.25" customHeight="1" x14ac:dyDescent="0.25">
      <c r="A3293" s="21">
        <v>26081</v>
      </c>
      <c r="B3293" s="21"/>
      <c r="C3293">
        <v>789.1</v>
      </c>
      <c r="D3293">
        <v>4.5999999999999996</v>
      </c>
      <c r="E3293" s="1">
        <v>2547</v>
      </c>
      <c r="F3293" s="1">
        <v>1095</v>
      </c>
      <c r="G3293">
        <v>94</v>
      </c>
      <c r="H3293" s="1">
        <v>1095</v>
      </c>
      <c r="I3293">
        <v>2.06</v>
      </c>
      <c r="J3293" s="1">
        <v>69396</v>
      </c>
    </row>
    <row r="3294" spans="1:10" ht="14.25" customHeight="1" x14ac:dyDescent="0.25">
      <c r="A3294" s="21">
        <v>26081</v>
      </c>
      <c r="B3294" s="21"/>
      <c r="C3294">
        <v>174.7</v>
      </c>
      <c r="D3294">
        <v>3.9</v>
      </c>
      <c r="E3294">
        <v>817</v>
      </c>
      <c r="F3294">
        <v>275</v>
      </c>
      <c r="G3294">
        <v>32</v>
      </c>
      <c r="H3294">
        <v>275</v>
      </c>
      <c r="I3294">
        <v>1.76</v>
      </c>
      <c r="J3294" s="1">
        <v>15855</v>
      </c>
    </row>
    <row r="3295" spans="1:10" ht="14.25" customHeight="1" x14ac:dyDescent="0.25">
      <c r="A3295" s="21">
        <v>26081</v>
      </c>
      <c r="B3295" s="21"/>
      <c r="H3295">
        <v>248</v>
      </c>
    </row>
    <row r="3296" spans="1:10" ht="14.25" customHeight="1" x14ac:dyDescent="0.25">
      <c r="A3296" s="21">
        <v>26087</v>
      </c>
      <c r="B3296" s="21"/>
      <c r="C3296">
        <v>61.2</v>
      </c>
      <c r="D3296">
        <v>4.0999999999999996</v>
      </c>
      <c r="E3296">
        <v>138</v>
      </c>
      <c r="F3296">
        <v>116</v>
      </c>
      <c r="G3296">
        <v>10</v>
      </c>
      <c r="H3296">
        <v>116</v>
      </c>
      <c r="I3296">
        <v>1.64</v>
      </c>
      <c r="J3296" s="1">
        <v>5547</v>
      </c>
    </row>
    <row r="3297" spans="1:10" ht="14.25" customHeight="1" x14ac:dyDescent="0.25">
      <c r="A3297" s="21">
        <v>26091</v>
      </c>
      <c r="B3297" s="21"/>
      <c r="C3297">
        <v>28.2</v>
      </c>
      <c r="D3297">
        <v>3.5</v>
      </c>
      <c r="E3297">
        <v>173</v>
      </c>
      <c r="F3297">
        <v>88</v>
      </c>
      <c r="G3297">
        <v>9</v>
      </c>
      <c r="H3297">
        <v>88</v>
      </c>
      <c r="I3297">
        <v>1.51</v>
      </c>
      <c r="J3297" s="1">
        <v>3244</v>
      </c>
    </row>
    <row r="3298" spans="1:10" ht="14.25" customHeight="1" x14ac:dyDescent="0.25">
      <c r="A3298" s="21">
        <v>26093</v>
      </c>
      <c r="B3298" s="21"/>
      <c r="C3298">
        <v>23.5</v>
      </c>
      <c r="D3298">
        <v>3.1</v>
      </c>
      <c r="E3298">
        <v>202</v>
      </c>
      <c r="F3298">
        <v>43</v>
      </c>
      <c r="G3298">
        <v>8</v>
      </c>
      <c r="H3298">
        <v>43</v>
      </c>
      <c r="I3298">
        <v>1.49</v>
      </c>
      <c r="J3298" s="1">
        <v>2767</v>
      </c>
    </row>
    <row r="3299" spans="1:10" ht="14.25" customHeight="1" x14ac:dyDescent="0.25">
      <c r="A3299" s="21">
        <v>26093</v>
      </c>
      <c r="B3299" s="21"/>
      <c r="C3299">
        <v>45.4</v>
      </c>
      <c r="D3299">
        <v>7.4</v>
      </c>
      <c r="E3299">
        <v>9</v>
      </c>
      <c r="F3299">
        <v>99</v>
      </c>
      <c r="H3299">
        <v>99</v>
      </c>
      <c r="I3299">
        <v>1.1499999999999999</v>
      </c>
      <c r="J3299" s="1">
        <v>2243</v>
      </c>
    </row>
    <row r="3300" spans="1:10" ht="14.25" customHeight="1" x14ac:dyDescent="0.25">
      <c r="A3300" s="21">
        <v>26099</v>
      </c>
      <c r="B3300" s="21"/>
      <c r="C3300">
        <v>3.2</v>
      </c>
      <c r="D3300">
        <v>6.2</v>
      </c>
      <c r="J3300">
        <v>189</v>
      </c>
    </row>
    <row r="3301" spans="1:10" ht="14.25" customHeight="1" x14ac:dyDescent="0.25">
      <c r="A3301" s="21">
        <v>26099</v>
      </c>
      <c r="B3301" s="21"/>
      <c r="C3301">
        <v>285.39999999999998</v>
      </c>
      <c r="D3301">
        <v>4.7</v>
      </c>
      <c r="E3301">
        <v>618</v>
      </c>
      <c r="F3301">
        <v>429</v>
      </c>
      <c r="G3301">
        <v>41</v>
      </c>
      <c r="H3301">
        <v>429</v>
      </c>
      <c r="I3301">
        <v>1.65</v>
      </c>
      <c r="J3301" s="1">
        <v>21954</v>
      </c>
    </row>
    <row r="3302" spans="1:10" ht="14.25" customHeight="1" x14ac:dyDescent="0.25">
      <c r="A3302" s="21">
        <v>26099</v>
      </c>
      <c r="B3302" s="21"/>
      <c r="C3302">
        <v>0.7</v>
      </c>
      <c r="D3302">
        <v>2</v>
      </c>
      <c r="E3302">
        <v>31</v>
      </c>
      <c r="F3302">
        <v>13</v>
      </c>
      <c r="H3302">
        <v>13</v>
      </c>
      <c r="I3302">
        <v>2.7</v>
      </c>
      <c r="J3302">
        <v>130</v>
      </c>
    </row>
    <row r="3303" spans="1:10" ht="14.25" customHeight="1" x14ac:dyDescent="0.25">
      <c r="A3303" s="21">
        <v>26099</v>
      </c>
      <c r="B3303" s="21"/>
      <c r="C3303">
        <v>176</v>
      </c>
      <c r="D3303">
        <v>4.5999999999999996</v>
      </c>
      <c r="E3303">
        <v>390</v>
      </c>
      <c r="F3303">
        <v>279</v>
      </c>
      <c r="G3303">
        <v>24</v>
      </c>
      <c r="H3303">
        <v>279</v>
      </c>
      <c r="I3303">
        <v>1.73</v>
      </c>
      <c r="J3303" s="1">
        <v>14280</v>
      </c>
    </row>
    <row r="3304" spans="1:10" ht="14.25" customHeight="1" x14ac:dyDescent="0.25">
      <c r="A3304" s="21">
        <v>26099</v>
      </c>
      <c r="B3304" s="21"/>
      <c r="C3304">
        <v>190.2</v>
      </c>
      <c r="D3304">
        <v>3.9</v>
      </c>
      <c r="E3304">
        <v>508</v>
      </c>
      <c r="F3304">
        <v>321</v>
      </c>
      <c r="G3304">
        <v>48</v>
      </c>
      <c r="H3304">
        <v>321</v>
      </c>
      <c r="I3304">
        <v>1.69</v>
      </c>
      <c r="J3304" s="1">
        <v>18166</v>
      </c>
    </row>
    <row r="3305" spans="1:10" ht="14.25" customHeight="1" x14ac:dyDescent="0.25">
      <c r="A3305" s="21">
        <v>26099</v>
      </c>
      <c r="B3305" s="21"/>
      <c r="C3305">
        <v>55.1</v>
      </c>
      <c r="D3305">
        <v>4.2</v>
      </c>
      <c r="J3305" s="1">
        <v>4860</v>
      </c>
    </row>
    <row r="3306" spans="1:10" ht="14.25" customHeight="1" x14ac:dyDescent="0.25">
      <c r="A3306" s="21">
        <v>26099</v>
      </c>
      <c r="B3306" s="21"/>
      <c r="E3306">
        <v>1</v>
      </c>
      <c r="H3306">
        <v>85</v>
      </c>
    </row>
    <row r="3307" spans="1:10" ht="14.25" customHeight="1" x14ac:dyDescent="0.25">
      <c r="A3307" s="21">
        <v>26101</v>
      </c>
      <c r="B3307" s="21"/>
      <c r="C3307">
        <v>9</v>
      </c>
      <c r="D3307">
        <v>2.8</v>
      </c>
      <c r="E3307">
        <v>86</v>
      </c>
      <c r="F3307">
        <v>45</v>
      </c>
      <c r="H3307">
        <v>45</v>
      </c>
      <c r="I3307">
        <v>1.44</v>
      </c>
      <c r="J3307" s="1">
        <v>1301</v>
      </c>
    </row>
    <row r="3308" spans="1:10" ht="14.25" customHeight="1" x14ac:dyDescent="0.25">
      <c r="A3308" s="21">
        <v>26103</v>
      </c>
      <c r="B3308" s="21"/>
      <c r="C3308">
        <v>99.5</v>
      </c>
      <c r="D3308">
        <v>4.8</v>
      </c>
      <c r="E3308">
        <v>312</v>
      </c>
      <c r="F3308">
        <v>238</v>
      </c>
      <c r="G3308">
        <v>26</v>
      </c>
      <c r="H3308">
        <v>238</v>
      </c>
      <c r="I3308">
        <v>1.85</v>
      </c>
      <c r="J3308" s="1">
        <v>8081</v>
      </c>
    </row>
    <row r="3309" spans="1:10" ht="14.25" customHeight="1" x14ac:dyDescent="0.25">
      <c r="A3309" s="21">
        <v>26105</v>
      </c>
      <c r="B3309" s="21"/>
      <c r="C3309">
        <v>18</v>
      </c>
      <c r="D3309">
        <v>3.8</v>
      </c>
      <c r="E3309">
        <v>96</v>
      </c>
      <c r="F3309">
        <v>45</v>
      </c>
      <c r="G3309">
        <v>6</v>
      </c>
      <c r="H3309">
        <v>45</v>
      </c>
      <c r="I3309">
        <v>1.47</v>
      </c>
      <c r="J3309" s="1">
        <v>1843</v>
      </c>
    </row>
    <row r="3310" spans="1:10" ht="14.25" customHeight="1" x14ac:dyDescent="0.25">
      <c r="A3310" s="21">
        <v>26107</v>
      </c>
      <c r="B3310" s="21"/>
      <c r="C3310">
        <v>17</v>
      </c>
      <c r="D3310">
        <v>3</v>
      </c>
      <c r="E3310">
        <v>101</v>
      </c>
      <c r="F3310">
        <v>49</v>
      </c>
      <c r="G3310">
        <v>4</v>
      </c>
      <c r="H3310">
        <v>49</v>
      </c>
      <c r="I3310">
        <v>1.28</v>
      </c>
      <c r="J3310" s="1">
        <v>2395</v>
      </c>
    </row>
    <row r="3311" spans="1:10" ht="14.25" customHeight="1" x14ac:dyDescent="0.25">
      <c r="A3311" s="21">
        <v>26111</v>
      </c>
      <c r="B3311" s="21"/>
      <c r="C3311">
        <v>160.69999999999999</v>
      </c>
      <c r="D3311">
        <v>3.9</v>
      </c>
      <c r="E3311">
        <v>488</v>
      </c>
      <c r="F3311">
        <v>324</v>
      </c>
      <c r="G3311">
        <v>26</v>
      </c>
      <c r="H3311">
        <v>324</v>
      </c>
      <c r="I3311">
        <v>1.93</v>
      </c>
      <c r="J3311" s="1">
        <v>15767</v>
      </c>
    </row>
    <row r="3312" spans="1:10" ht="14.25" customHeight="1" x14ac:dyDescent="0.25">
      <c r="A3312" s="21">
        <v>26115</v>
      </c>
      <c r="B3312" s="21"/>
      <c r="C3312">
        <v>54</v>
      </c>
      <c r="D3312">
        <v>3.9</v>
      </c>
      <c r="E3312">
        <v>282</v>
      </c>
      <c r="F3312">
        <v>153</v>
      </c>
      <c r="G3312">
        <v>14</v>
      </c>
      <c r="H3312">
        <v>153</v>
      </c>
      <c r="I3312">
        <v>1.4</v>
      </c>
      <c r="J3312" s="1">
        <v>5342</v>
      </c>
    </row>
    <row r="3313" spans="1:10" ht="14.25" customHeight="1" x14ac:dyDescent="0.25">
      <c r="A3313" s="21">
        <v>26117</v>
      </c>
      <c r="B3313" s="21"/>
      <c r="C3313">
        <v>21.3</v>
      </c>
      <c r="D3313">
        <v>2.7</v>
      </c>
      <c r="E3313">
        <v>131</v>
      </c>
      <c r="F3313">
        <v>49</v>
      </c>
      <c r="G3313">
        <v>8</v>
      </c>
      <c r="H3313">
        <v>49</v>
      </c>
      <c r="I3313">
        <v>1.37</v>
      </c>
      <c r="J3313" s="1">
        <v>3191</v>
      </c>
    </row>
    <row r="3314" spans="1:10" ht="14.25" customHeight="1" x14ac:dyDescent="0.25">
      <c r="A3314" s="21">
        <v>26117</v>
      </c>
      <c r="B3314" s="21"/>
      <c r="C3314">
        <v>6.2</v>
      </c>
      <c r="D3314">
        <v>3</v>
      </c>
      <c r="E3314">
        <v>47</v>
      </c>
      <c r="F3314">
        <v>48</v>
      </c>
      <c r="G3314">
        <v>4</v>
      </c>
      <c r="H3314">
        <v>48</v>
      </c>
      <c r="I3314">
        <v>1.22</v>
      </c>
      <c r="J3314">
        <v>807</v>
      </c>
    </row>
    <row r="3315" spans="1:10" ht="14.25" customHeight="1" x14ac:dyDescent="0.25">
      <c r="A3315" s="21">
        <v>26121</v>
      </c>
      <c r="B3315" s="21"/>
      <c r="E3315">
        <v>2</v>
      </c>
    </row>
    <row r="3316" spans="1:10" ht="14.25" customHeight="1" x14ac:dyDescent="0.25">
      <c r="A3316" s="21">
        <v>26121</v>
      </c>
      <c r="B3316" s="21"/>
      <c r="C3316">
        <v>169</v>
      </c>
      <c r="D3316">
        <v>1.1000000000000001</v>
      </c>
      <c r="E3316">
        <v>629</v>
      </c>
      <c r="F3316">
        <v>331</v>
      </c>
      <c r="G3316">
        <v>44</v>
      </c>
      <c r="H3316">
        <v>331</v>
      </c>
      <c r="I3316">
        <v>1.92</v>
      </c>
      <c r="J3316" s="1">
        <v>62990</v>
      </c>
    </row>
    <row r="3317" spans="1:10" ht="14.25" customHeight="1" x14ac:dyDescent="0.25">
      <c r="A3317" s="21">
        <v>26121</v>
      </c>
      <c r="B3317" s="21"/>
    </row>
    <row r="3318" spans="1:10" ht="14.25" customHeight="1" x14ac:dyDescent="0.25">
      <c r="A3318" s="21">
        <v>26125</v>
      </c>
      <c r="B3318" s="21"/>
      <c r="C3318">
        <v>211.8</v>
      </c>
      <c r="D3318">
        <v>4.3</v>
      </c>
      <c r="E3318">
        <v>549</v>
      </c>
      <c r="F3318">
        <v>380</v>
      </c>
      <c r="G3318">
        <v>32</v>
      </c>
      <c r="H3318">
        <v>380</v>
      </c>
      <c r="I3318">
        <v>1.8</v>
      </c>
      <c r="J3318" s="1">
        <v>19102</v>
      </c>
    </row>
    <row r="3319" spans="1:10" ht="14.25" customHeight="1" x14ac:dyDescent="0.25">
      <c r="A3319" s="21">
        <v>26125</v>
      </c>
      <c r="B3319" s="21"/>
      <c r="C3319">
        <v>16.5</v>
      </c>
      <c r="D3319">
        <v>7.5</v>
      </c>
      <c r="E3319">
        <v>37</v>
      </c>
      <c r="F3319">
        <v>34</v>
      </c>
      <c r="H3319">
        <v>34</v>
      </c>
      <c r="I3319">
        <v>1.25</v>
      </c>
      <c r="J3319">
        <v>805</v>
      </c>
    </row>
    <row r="3320" spans="1:10" ht="14.25" customHeight="1" x14ac:dyDescent="0.25">
      <c r="A3320" s="21">
        <v>26125</v>
      </c>
      <c r="B3320" s="21"/>
      <c r="C3320">
        <v>4.2</v>
      </c>
      <c r="D3320">
        <v>4.0999999999999996</v>
      </c>
      <c r="E3320">
        <v>40</v>
      </c>
      <c r="F3320">
        <v>47</v>
      </c>
      <c r="G3320">
        <v>10</v>
      </c>
      <c r="H3320">
        <v>47</v>
      </c>
      <c r="I3320">
        <v>1.2</v>
      </c>
      <c r="J3320">
        <v>371</v>
      </c>
    </row>
    <row r="3321" spans="1:10" ht="14.25" customHeight="1" x14ac:dyDescent="0.25">
      <c r="A3321" s="21">
        <v>26125</v>
      </c>
      <c r="B3321" s="21"/>
      <c r="C3321">
        <v>347</v>
      </c>
      <c r="D3321">
        <v>4.3</v>
      </c>
      <c r="E3321">
        <v>739</v>
      </c>
      <c r="F3321">
        <v>542</v>
      </c>
      <c r="G3321">
        <v>34</v>
      </c>
      <c r="H3321">
        <v>542</v>
      </c>
      <c r="I3321">
        <v>1.79</v>
      </c>
      <c r="J3321" s="1">
        <v>30604</v>
      </c>
    </row>
    <row r="3322" spans="1:10" ht="14.25" customHeight="1" x14ac:dyDescent="0.25">
      <c r="A3322" s="21">
        <v>26125</v>
      </c>
      <c r="B3322" s="21"/>
      <c r="C3322">
        <v>57.5</v>
      </c>
      <c r="D3322">
        <v>4.8</v>
      </c>
      <c r="E3322">
        <v>262</v>
      </c>
      <c r="F3322">
        <v>106</v>
      </c>
      <c r="G3322">
        <v>9</v>
      </c>
      <c r="H3322">
        <v>106</v>
      </c>
      <c r="I3322">
        <v>1.51</v>
      </c>
      <c r="J3322" s="1">
        <v>4406</v>
      </c>
    </row>
    <row r="3323" spans="1:10" ht="14.25" customHeight="1" x14ac:dyDescent="0.25">
      <c r="A3323" s="21">
        <v>26125</v>
      </c>
      <c r="B3323" s="21"/>
      <c r="C3323">
        <v>383.6</v>
      </c>
      <c r="D3323">
        <v>4.3</v>
      </c>
      <c r="E3323" s="1">
        <v>1015</v>
      </c>
      <c r="F3323">
        <v>495</v>
      </c>
      <c r="G3323">
        <v>56</v>
      </c>
      <c r="H3323">
        <v>495</v>
      </c>
      <c r="I3323">
        <v>1.55</v>
      </c>
      <c r="J3323" s="1">
        <v>34863</v>
      </c>
    </row>
    <row r="3324" spans="1:10" ht="14.25" customHeight="1" x14ac:dyDescent="0.25">
      <c r="A3324" s="21">
        <v>26125</v>
      </c>
      <c r="B3324" s="21"/>
      <c r="C3324">
        <v>155.5</v>
      </c>
      <c r="D3324">
        <v>4.4000000000000004</v>
      </c>
      <c r="E3324">
        <v>444</v>
      </c>
      <c r="F3324">
        <v>256</v>
      </c>
      <c r="G3324">
        <v>24</v>
      </c>
      <c r="H3324">
        <v>256</v>
      </c>
      <c r="I3324">
        <v>1.58</v>
      </c>
      <c r="J3324" s="1">
        <v>13159</v>
      </c>
    </row>
    <row r="3325" spans="1:10" ht="14.25" customHeight="1" x14ac:dyDescent="0.25">
      <c r="A3325" s="21">
        <v>26125</v>
      </c>
      <c r="B3325" s="21"/>
      <c r="C3325">
        <v>723.8</v>
      </c>
      <c r="D3325">
        <v>4.5</v>
      </c>
      <c r="E3325" s="1">
        <v>2556</v>
      </c>
      <c r="F3325">
        <v>998</v>
      </c>
      <c r="G3325">
        <v>138</v>
      </c>
      <c r="H3325">
        <v>998</v>
      </c>
      <c r="I3325">
        <v>1.79</v>
      </c>
      <c r="J3325" s="1">
        <v>61758</v>
      </c>
    </row>
    <row r="3326" spans="1:10" ht="14.25" customHeight="1" x14ac:dyDescent="0.25">
      <c r="A3326" s="21">
        <v>26125</v>
      </c>
      <c r="B3326" s="21"/>
      <c r="C3326">
        <v>71.3</v>
      </c>
      <c r="D3326">
        <v>3.8</v>
      </c>
      <c r="E3326">
        <v>165</v>
      </c>
      <c r="F3326">
        <v>130</v>
      </c>
      <c r="G3326">
        <v>12</v>
      </c>
      <c r="H3326">
        <v>130</v>
      </c>
      <c r="I3326">
        <v>1.6</v>
      </c>
      <c r="J3326" s="1">
        <v>7704</v>
      </c>
    </row>
    <row r="3327" spans="1:10" ht="14.25" customHeight="1" x14ac:dyDescent="0.25">
      <c r="A3327" s="21">
        <v>26125</v>
      </c>
      <c r="B3327" s="21"/>
      <c r="C3327">
        <v>3.9</v>
      </c>
      <c r="D3327">
        <v>3</v>
      </c>
      <c r="E3327">
        <v>56</v>
      </c>
      <c r="F3327">
        <v>45</v>
      </c>
      <c r="H3327">
        <v>45</v>
      </c>
      <c r="I3327">
        <v>1.55</v>
      </c>
      <c r="J3327">
        <v>467</v>
      </c>
    </row>
    <row r="3328" spans="1:10" ht="14.25" customHeight="1" x14ac:dyDescent="0.25">
      <c r="A3328" s="21">
        <v>26125</v>
      </c>
      <c r="B3328" s="21"/>
      <c r="C3328">
        <v>122.2</v>
      </c>
      <c r="D3328">
        <v>3.8</v>
      </c>
      <c r="E3328">
        <v>376</v>
      </c>
      <c r="F3328">
        <v>191</v>
      </c>
      <c r="G3328">
        <v>36</v>
      </c>
      <c r="H3328">
        <v>191</v>
      </c>
      <c r="I3328">
        <v>1.7</v>
      </c>
      <c r="J3328" s="1">
        <v>12260</v>
      </c>
    </row>
    <row r="3329" spans="1:10" ht="14.25" customHeight="1" x14ac:dyDescent="0.25">
      <c r="A3329" s="21">
        <v>26125</v>
      </c>
      <c r="B3329" s="21"/>
      <c r="C3329">
        <v>84.7</v>
      </c>
      <c r="D3329">
        <v>4.0999999999999996</v>
      </c>
      <c r="E3329">
        <v>276</v>
      </c>
      <c r="F3329">
        <v>180</v>
      </c>
      <c r="G3329">
        <v>18</v>
      </c>
      <c r="H3329">
        <v>180</v>
      </c>
      <c r="I3329">
        <v>1.73</v>
      </c>
      <c r="J3329" s="1">
        <v>7868</v>
      </c>
    </row>
    <row r="3330" spans="1:10" ht="14.25" customHeight="1" x14ac:dyDescent="0.25">
      <c r="A3330" s="21">
        <v>26125</v>
      </c>
      <c r="B3330" s="21"/>
    </row>
    <row r="3331" spans="1:10" ht="14.25" customHeight="1" x14ac:dyDescent="0.25">
      <c r="A3331" s="21">
        <v>26125</v>
      </c>
      <c r="B3331" s="21"/>
      <c r="E3331">
        <v>1</v>
      </c>
      <c r="H3331">
        <v>200</v>
      </c>
    </row>
    <row r="3332" spans="1:10" ht="14.25" customHeight="1" x14ac:dyDescent="0.25">
      <c r="A3332" s="21">
        <v>26125</v>
      </c>
      <c r="B3332" s="21"/>
    </row>
    <row r="3333" spans="1:10" ht="14.25" customHeight="1" x14ac:dyDescent="0.25">
      <c r="A3333" s="21">
        <v>26125</v>
      </c>
      <c r="B3333" s="21"/>
    </row>
    <row r="3334" spans="1:10" ht="14.25" customHeight="1" x14ac:dyDescent="0.25">
      <c r="A3334" s="21">
        <v>26129</v>
      </c>
      <c r="B3334" s="21"/>
      <c r="C3334">
        <v>20.9</v>
      </c>
      <c r="D3334">
        <v>3.5</v>
      </c>
      <c r="E3334">
        <v>63</v>
      </c>
      <c r="F3334">
        <v>88</v>
      </c>
      <c r="H3334">
        <v>88</v>
      </c>
      <c r="I3334">
        <v>1.51</v>
      </c>
      <c r="J3334" s="1">
        <v>2203</v>
      </c>
    </row>
    <row r="3335" spans="1:10" ht="14.25" customHeight="1" x14ac:dyDescent="0.25">
      <c r="A3335" s="21">
        <v>26137</v>
      </c>
      <c r="B3335" s="21"/>
      <c r="C3335">
        <v>16.399999999999999</v>
      </c>
      <c r="D3335">
        <v>3.2</v>
      </c>
      <c r="E3335">
        <v>128</v>
      </c>
      <c r="F3335">
        <v>46</v>
      </c>
      <c r="G3335">
        <v>4</v>
      </c>
      <c r="H3335">
        <v>46</v>
      </c>
      <c r="I3335">
        <v>1.43</v>
      </c>
      <c r="J3335" s="1">
        <v>2073</v>
      </c>
    </row>
    <row r="3336" spans="1:10" ht="14.25" customHeight="1" x14ac:dyDescent="0.25">
      <c r="A3336" s="21">
        <v>26139</v>
      </c>
      <c r="B3336" s="21"/>
      <c r="C3336">
        <v>7.1</v>
      </c>
      <c r="D3336">
        <v>2.2000000000000002</v>
      </c>
      <c r="E3336">
        <v>106</v>
      </c>
      <c r="F3336">
        <v>81</v>
      </c>
      <c r="G3336">
        <v>7</v>
      </c>
      <c r="H3336">
        <v>81</v>
      </c>
      <c r="I3336">
        <v>1.53</v>
      </c>
      <c r="J3336" s="1">
        <v>1386</v>
      </c>
    </row>
    <row r="3337" spans="1:10" ht="14.25" customHeight="1" x14ac:dyDescent="0.25">
      <c r="A3337" s="21">
        <v>26139</v>
      </c>
      <c r="B3337" s="21"/>
      <c r="C3337">
        <v>82.1</v>
      </c>
      <c r="D3337">
        <v>3.9</v>
      </c>
      <c r="E3337">
        <v>377</v>
      </c>
      <c r="F3337">
        <v>189</v>
      </c>
      <c r="G3337">
        <v>8</v>
      </c>
      <c r="H3337">
        <v>189</v>
      </c>
      <c r="I3337">
        <v>1.52</v>
      </c>
      <c r="J3337" s="1">
        <v>8639</v>
      </c>
    </row>
    <row r="3338" spans="1:10" ht="14.25" customHeight="1" x14ac:dyDescent="0.25">
      <c r="A3338" s="21">
        <v>26139</v>
      </c>
      <c r="B3338" s="21"/>
      <c r="C3338">
        <v>17.2</v>
      </c>
      <c r="D3338">
        <v>2.2999999999999998</v>
      </c>
      <c r="E3338">
        <v>97</v>
      </c>
      <c r="F3338">
        <v>55</v>
      </c>
      <c r="G3338">
        <v>7</v>
      </c>
      <c r="H3338">
        <v>55</v>
      </c>
      <c r="I3338">
        <v>1.4</v>
      </c>
      <c r="J3338" s="1">
        <v>3304</v>
      </c>
    </row>
    <row r="3339" spans="1:10" ht="14.25" customHeight="1" x14ac:dyDescent="0.25">
      <c r="A3339" s="21">
        <v>26145</v>
      </c>
      <c r="B3339" s="21"/>
      <c r="C3339">
        <v>125.7</v>
      </c>
      <c r="D3339">
        <v>4.7</v>
      </c>
      <c r="E3339">
        <v>174</v>
      </c>
      <c r="F3339">
        <v>204</v>
      </c>
      <c r="G3339">
        <v>10</v>
      </c>
      <c r="H3339">
        <v>204</v>
      </c>
      <c r="I3339">
        <v>1.91</v>
      </c>
      <c r="J3339" s="1">
        <v>9667</v>
      </c>
    </row>
    <row r="3340" spans="1:10" ht="14.25" customHeight="1" x14ac:dyDescent="0.25">
      <c r="A3340" s="21">
        <v>26145</v>
      </c>
      <c r="B3340" s="21"/>
      <c r="C3340">
        <v>336.3</v>
      </c>
      <c r="D3340">
        <v>5.2</v>
      </c>
      <c r="E3340">
        <v>743</v>
      </c>
      <c r="F3340">
        <v>473</v>
      </c>
      <c r="G3340">
        <v>36</v>
      </c>
      <c r="H3340">
        <v>473</v>
      </c>
      <c r="I3340">
        <v>1.76</v>
      </c>
      <c r="J3340" s="1">
        <v>25113</v>
      </c>
    </row>
    <row r="3341" spans="1:10" ht="14.25" customHeight="1" x14ac:dyDescent="0.25">
      <c r="A3341" s="21">
        <v>26145</v>
      </c>
      <c r="B3341" s="21"/>
      <c r="C3341">
        <v>4</v>
      </c>
      <c r="D3341">
        <v>2.9</v>
      </c>
      <c r="E3341">
        <v>8</v>
      </c>
      <c r="F3341">
        <v>7</v>
      </c>
      <c r="H3341">
        <v>7</v>
      </c>
      <c r="I3341">
        <v>1.1000000000000001</v>
      </c>
      <c r="J3341">
        <v>512</v>
      </c>
    </row>
    <row r="3342" spans="1:10" ht="14.25" customHeight="1" x14ac:dyDescent="0.25">
      <c r="A3342" s="21">
        <v>26145</v>
      </c>
      <c r="B3342" s="21"/>
      <c r="E3342">
        <v>2</v>
      </c>
      <c r="H3342">
        <v>290</v>
      </c>
    </row>
    <row r="3343" spans="1:10" ht="14.25" customHeight="1" x14ac:dyDescent="0.25">
      <c r="A3343" s="21">
        <v>26147</v>
      </c>
      <c r="B3343" s="21"/>
      <c r="C3343">
        <v>7.8</v>
      </c>
      <c r="D3343">
        <v>2.9</v>
      </c>
      <c r="E3343">
        <v>47</v>
      </c>
      <c r="F3343">
        <v>65</v>
      </c>
      <c r="G3343">
        <v>3</v>
      </c>
      <c r="H3343">
        <v>65</v>
      </c>
      <c r="I3343">
        <v>1.25</v>
      </c>
      <c r="J3343" s="1">
        <v>1135</v>
      </c>
    </row>
    <row r="3344" spans="1:10" ht="14.25" customHeight="1" x14ac:dyDescent="0.25">
      <c r="A3344" s="21">
        <v>26147</v>
      </c>
      <c r="B3344" s="21"/>
      <c r="C3344">
        <v>106.7</v>
      </c>
      <c r="D3344">
        <v>3.5</v>
      </c>
      <c r="E3344">
        <v>249</v>
      </c>
      <c r="F3344">
        <v>163</v>
      </c>
      <c r="G3344">
        <v>18</v>
      </c>
      <c r="H3344">
        <v>163</v>
      </c>
      <c r="I3344">
        <v>1.57</v>
      </c>
      <c r="J3344" s="1">
        <v>11579</v>
      </c>
    </row>
    <row r="3345" spans="1:10" ht="14.25" customHeight="1" x14ac:dyDescent="0.25">
      <c r="A3345" s="21">
        <v>26147</v>
      </c>
      <c r="B3345" s="21"/>
      <c r="C3345">
        <v>34.9</v>
      </c>
      <c r="D3345">
        <v>3.5</v>
      </c>
      <c r="E3345">
        <v>94</v>
      </c>
      <c r="F3345">
        <v>154</v>
      </c>
      <c r="G3345">
        <v>8</v>
      </c>
      <c r="H3345">
        <v>144</v>
      </c>
      <c r="I3345">
        <v>1.7</v>
      </c>
      <c r="J3345" s="1">
        <v>3680</v>
      </c>
    </row>
    <row r="3346" spans="1:10" ht="14.25" customHeight="1" x14ac:dyDescent="0.25">
      <c r="A3346" s="21">
        <v>26149</v>
      </c>
      <c r="B3346" s="21"/>
      <c r="C3346">
        <v>7.2</v>
      </c>
      <c r="D3346">
        <v>3.1</v>
      </c>
      <c r="E3346">
        <v>72</v>
      </c>
      <c r="F3346">
        <v>48</v>
      </c>
      <c r="G3346">
        <v>4</v>
      </c>
      <c r="H3346">
        <v>48</v>
      </c>
      <c r="I3346">
        <v>1.29</v>
      </c>
      <c r="J3346">
        <v>982</v>
      </c>
    </row>
    <row r="3347" spans="1:10" ht="14.25" customHeight="1" x14ac:dyDescent="0.25">
      <c r="A3347" s="21">
        <v>26149</v>
      </c>
      <c r="B3347" s="21"/>
      <c r="C3347">
        <v>8.3000000000000007</v>
      </c>
      <c r="D3347">
        <v>2.6</v>
      </c>
      <c r="E3347">
        <v>46</v>
      </c>
      <c r="F3347">
        <v>49</v>
      </c>
      <c r="H3347">
        <v>49</v>
      </c>
      <c r="I3347">
        <v>1.1299999999999999</v>
      </c>
      <c r="J3347" s="1">
        <v>1356</v>
      </c>
    </row>
    <row r="3348" spans="1:10" ht="14.25" customHeight="1" x14ac:dyDescent="0.25">
      <c r="A3348" s="21">
        <v>26155</v>
      </c>
      <c r="B3348" s="21"/>
      <c r="C3348">
        <v>44.6</v>
      </c>
      <c r="D3348">
        <v>4.4000000000000004</v>
      </c>
      <c r="E3348">
        <v>202</v>
      </c>
      <c r="F3348">
        <v>111</v>
      </c>
      <c r="G3348">
        <v>7</v>
      </c>
      <c r="H3348">
        <v>111</v>
      </c>
      <c r="I3348">
        <v>1.4</v>
      </c>
      <c r="J3348" s="1">
        <v>3933</v>
      </c>
    </row>
    <row r="3349" spans="1:10" ht="14.25" customHeight="1" x14ac:dyDescent="0.25">
      <c r="A3349" s="21">
        <v>26159</v>
      </c>
      <c r="B3349" s="21"/>
      <c r="C3349">
        <v>3.4</v>
      </c>
      <c r="D3349">
        <v>2.2999999999999998</v>
      </c>
      <c r="E3349">
        <v>59</v>
      </c>
      <c r="F3349">
        <v>49</v>
      </c>
      <c r="H3349">
        <v>49</v>
      </c>
      <c r="I3349">
        <v>1.26</v>
      </c>
      <c r="J3349">
        <v>534</v>
      </c>
    </row>
    <row r="3350" spans="1:10" ht="14.25" customHeight="1" x14ac:dyDescent="0.25">
      <c r="A3350" s="21">
        <v>26161</v>
      </c>
      <c r="B3350" s="21"/>
      <c r="C3350">
        <v>766.9</v>
      </c>
      <c r="D3350">
        <v>6.4</v>
      </c>
      <c r="E3350" s="1">
        <v>3288</v>
      </c>
      <c r="F3350">
        <v>931</v>
      </c>
      <c r="G3350">
        <v>20</v>
      </c>
      <c r="H3350">
        <v>931</v>
      </c>
      <c r="I3350">
        <v>2.25</v>
      </c>
      <c r="J3350" s="1">
        <v>44920</v>
      </c>
    </row>
    <row r="3351" spans="1:10" ht="14.25" customHeight="1" x14ac:dyDescent="0.25">
      <c r="A3351" s="21">
        <v>26161</v>
      </c>
      <c r="B3351" s="21"/>
      <c r="C3351">
        <v>25.4</v>
      </c>
      <c r="D3351">
        <v>2.5</v>
      </c>
      <c r="E3351">
        <v>159</v>
      </c>
      <c r="F3351">
        <v>97</v>
      </c>
      <c r="G3351">
        <v>6</v>
      </c>
      <c r="H3351">
        <v>97</v>
      </c>
      <c r="I3351">
        <v>1.54</v>
      </c>
      <c r="J3351" s="1">
        <v>3763</v>
      </c>
    </row>
    <row r="3352" spans="1:10" ht="14.25" customHeight="1" x14ac:dyDescent="0.25">
      <c r="A3352" s="21">
        <v>26161</v>
      </c>
      <c r="B3352" s="21"/>
      <c r="C3352">
        <v>329</v>
      </c>
      <c r="D3352">
        <v>4.3</v>
      </c>
      <c r="E3352" s="1">
        <v>1269</v>
      </c>
      <c r="F3352">
        <v>450</v>
      </c>
      <c r="G3352">
        <v>20</v>
      </c>
      <c r="H3352">
        <v>450</v>
      </c>
      <c r="I3352">
        <v>1.81</v>
      </c>
      <c r="J3352" s="1">
        <v>30614</v>
      </c>
    </row>
    <row r="3353" spans="1:10" ht="14.25" customHeight="1" x14ac:dyDescent="0.25">
      <c r="A3353" s="21">
        <v>26161</v>
      </c>
      <c r="B3353" s="21"/>
    </row>
    <row r="3354" spans="1:10" ht="14.25" customHeight="1" x14ac:dyDescent="0.25">
      <c r="A3354" s="21">
        <v>26161</v>
      </c>
      <c r="B3354" s="21"/>
      <c r="C3354">
        <v>4.2</v>
      </c>
      <c r="D3354">
        <v>1.8</v>
      </c>
      <c r="E3354">
        <v>16</v>
      </c>
      <c r="F3354">
        <v>24</v>
      </c>
      <c r="H3354">
        <v>24</v>
      </c>
      <c r="I3354">
        <v>1.77</v>
      </c>
      <c r="J3354">
        <v>860</v>
      </c>
    </row>
    <row r="3355" spans="1:10" ht="14.25" customHeight="1" x14ac:dyDescent="0.25">
      <c r="A3355" s="21">
        <v>26161</v>
      </c>
      <c r="B3355" s="21"/>
    </row>
    <row r="3356" spans="1:10" ht="14.25" customHeight="1" x14ac:dyDescent="0.25">
      <c r="A3356" s="21">
        <v>26161</v>
      </c>
      <c r="B3356" s="21"/>
      <c r="H3356">
        <v>50</v>
      </c>
    </row>
    <row r="3357" spans="1:10" ht="14.25" customHeight="1" x14ac:dyDescent="0.25">
      <c r="A3357" s="21">
        <v>26163</v>
      </c>
      <c r="B3357" s="21"/>
      <c r="C3357">
        <v>84.2</v>
      </c>
      <c r="D3357">
        <v>3.9</v>
      </c>
      <c r="E3357">
        <v>141</v>
      </c>
      <c r="F3357">
        <v>130</v>
      </c>
      <c r="G3357">
        <v>13</v>
      </c>
      <c r="H3357">
        <v>130</v>
      </c>
      <c r="I3357">
        <v>1.81</v>
      </c>
      <c r="J3357" s="1">
        <v>8082</v>
      </c>
    </row>
    <row r="3358" spans="1:10" ht="14.25" customHeight="1" x14ac:dyDescent="0.25">
      <c r="A3358" s="21">
        <v>26163</v>
      </c>
      <c r="B3358" s="21"/>
      <c r="C3358">
        <v>69.900000000000006</v>
      </c>
      <c r="D3358">
        <v>4.2</v>
      </c>
      <c r="E3358">
        <v>137</v>
      </c>
      <c r="F3358">
        <v>99</v>
      </c>
      <c r="G3358">
        <v>16</v>
      </c>
      <c r="H3358">
        <v>99</v>
      </c>
      <c r="I3358">
        <v>1.42</v>
      </c>
      <c r="J3358" s="1">
        <v>6142</v>
      </c>
    </row>
    <row r="3359" spans="1:10" ht="14.25" customHeight="1" x14ac:dyDescent="0.25">
      <c r="A3359" s="21">
        <v>26163</v>
      </c>
      <c r="B3359" s="21"/>
      <c r="C3359">
        <v>165.7</v>
      </c>
      <c r="D3359">
        <v>5.6</v>
      </c>
      <c r="E3359">
        <v>184</v>
      </c>
      <c r="F3359">
        <v>195</v>
      </c>
      <c r="G3359">
        <v>28</v>
      </c>
      <c r="H3359">
        <v>195</v>
      </c>
      <c r="I3359">
        <v>1.63</v>
      </c>
      <c r="J3359" s="1">
        <v>10815</v>
      </c>
    </row>
    <row r="3360" spans="1:10" ht="14.25" customHeight="1" x14ac:dyDescent="0.25">
      <c r="A3360" s="21">
        <v>26163</v>
      </c>
      <c r="B3360" s="21"/>
      <c r="C3360">
        <v>335.7</v>
      </c>
      <c r="D3360">
        <v>5.0999999999999996</v>
      </c>
      <c r="E3360" s="1">
        <v>1275</v>
      </c>
      <c r="F3360">
        <v>549</v>
      </c>
      <c r="G3360">
        <v>52</v>
      </c>
      <c r="H3360">
        <v>549</v>
      </c>
      <c r="I3360">
        <v>1.87</v>
      </c>
      <c r="J3360" s="1">
        <v>25466</v>
      </c>
    </row>
    <row r="3361" spans="1:10" ht="14.25" customHeight="1" x14ac:dyDescent="0.25">
      <c r="A3361" s="21">
        <v>26163</v>
      </c>
      <c r="B3361" s="21"/>
      <c r="C3361">
        <v>108</v>
      </c>
      <c r="D3361">
        <v>4.0999999999999996</v>
      </c>
      <c r="E3361">
        <v>151</v>
      </c>
      <c r="F3361">
        <v>193</v>
      </c>
      <c r="G3361">
        <v>28</v>
      </c>
      <c r="H3361">
        <v>193</v>
      </c>
      <c r="I3361">
        <v>1.58</v>
      </c>
      <c r="J3361" s="1">
        <v>9816</v>
      </c>
    </row>
    <row r="3362" spans="1:10" ht="14.25" customHeight="1" x14ac:dyDescent="0.25">
      <c r="A3362" s="21">
        <v>26163</v>
      </c>
      <c r="B3362" s="21"/>
      <c r="C3362">
        <v>5.9</v>
      </c>
      <c r="D3362">
        <v>3.9</v>
      </c>
      <c r="J3362">
        <v>560</v>
      </c>
    </row>
    <row r="3363" spans="1:10" ht="14.25" customHeight="1" x14ac:dyDescent="0.25">
      <c r="A3363" s="21">
        <v>26163</v>
      </c>
      <c r="B3363" s="21"/>
      <c r="C3363">
        <v>86.6</v>
      </c>
      <c r="D3363">
        <v>4.0999999999999996</v>
      </c>
      <c r="E3363">
        <v>183</v>
      </c>
      <c r="F3363">
        <v>170</v>
      </c>
      <c r="G3363">
        <v>18</v>
      </c>
      <c r="H3363">
        <v>170</v>
      </c>
      <c r="I3363">
        <v>1.52</v>
      </c>
      <c r="J3363" s="1">
        <v>7797</v>
      </c>
    </row>
    <row r="3364" spans="1:10" ht="14.25" customHeight="1" x14ac:dyDescent="0.25">
      <c r="A3364" s="21">
        <v>26163</v>
      </c>
      <c r="B3364" s="21"/>
      <c r="C3364">
        <v>143.80000000000001</v>
      </c>
      <c r="D3364">
        <v>3.8</v>
      </c>
      <c r="E3364">
        <v>359</v>
      </c>
      <c r="F3364">
        <v>281</v>
      </c>
      <c r="G3364">
        <v>80</v>
      </c>
      <c r="H3364">
        <v>281</v>
      </c>
      <c r="I3364">
        <v>1.58</v>
      </c>
      <c r="J3364" s="1">
        <v>14206</v>
      </c>
    </row>
    <row r="3365" spans="1:10" ht="14.25" customHeight="1" x14ac:dyDescent="0.25">
      <c r="A3365" s="21">
        <v>26163</v>
      </c>
      <c r="B3365" s="21"/>
      <c r="C3365">
        <v>66.2</v>
      </c>
      <c r="D3365">
        <v>8</v>
      </c>
      <c r="E3365">
        <v>137</v>
      </c>
      <c r="F3365">
        <v>123</v>
      </c>
      <c r="G3365">
        <v>12</v>
      </c>
      <c r="H3365">
        <v>123</v>
      </c>
      <c r="I3365">
        <v>2.12</v>
      </c>
      <c r="J3365" s="1">
        <v>3036</v>
      </c>
    </row>
    <row r="3366" spans="1:10" ht="14.25" customHeight="1" x14ac:dyDescent="0.25">
      <c r="A3366" s="21">
        <v>26163</v>
      </c>
      <c r="B3366" s="21"/>
      <c r="C3366">
        <v>529</v>
      </c>
      <c r="D3366">
        <v>5.4</v>
      </c>
      <c r="E3366" s="1">
        <v>1825</v>
      </c>
      <c r="F3366">
        <v>685</v>
      </c>
      <c r="G3366">
        <v>44</v>
      </c>
      <c r="H3366">
        <v>685</v>
      </c>
      <c r="I3366">
        <v>2.21</v>
      </c>
      <c r="J3366" s="1">
        <v>35908</v>
      </c>
    </row>
    <row r="3367" spans="1:10" ht="14.25" customHeight="1" x14ac:dyDescent="0.25">
      <c r="A3367" s="21">
        <v>26163</v>
      </c>
      <c r="B3367" s="21"/>
      <c r="C3367">
        <v>436.4</v>
      </c>
      <c r="D3367">
        <v>5.7</v>
      </c>
      <c r="E3367" s="1">
        <v>1036</v>
      </c>
      <c r="F3367">
        <v>567</v>
      </c>
      <c r="G3367">
        <v>17</v>
      </c>
      <c r="H3367">
        <v>567</v>
      </c>
      <c r="I3367">
        <v>1.85</v>
      </c>
      <c r="J3367" s="1">
        <v>30354</v>
      </c>
    </row>
    <row r="3368" spans="1:10" ht="14.25" customHeight="1" x14ac:dyDescent="0.25">
      <c r="A3368" s="21">
        <v>26163</v>
      </c>
      <c r="B3368" s="21"/>
      <c r="C3368">
        <v>227.4</v>
      </c>
      <c r="D3368">
        <v>4.5999999999999996</v>
      </c>
      <c r="E3368">
        <v>351</v>
      </c>
      <c r="F3368">
        <v>357</v>
      </c>
      <c r="G3368">
        <v>39</v>
      </c>
      <c r="H3368">
        <v>357</v>
      </c>
      <c r="I3368">
        <v>1.52</v>
      </c>
      <c r="J3368" s="1">
        <v>18345</v>
      </c>
    </row>
    <row r="3369" spans="1:10" ht="14.25" customHeight="1" x14ac:dyDescent="0.25">
      <c r="A3369" s="21">
        <v>26163</v>
      </c>
      <c r="B3369" s="21"/>
      <c r="C3369">
        <v>168.1</v>
      </c>
      <c r="D3369">
        <v>4</v>
      </c>
      <c r="E3369">
        <v>342</v>
      </c>
      <c r="F3369">
        <v>252</v>
      </c>
      <c r="G3369">
        <v>16</v>
      </c>
      <c r="H3369">
        <v>252</v>
      </c>
      <c r="I3369">
        <v>1.47</v>
      </c>
      <c r="J3369" s="1">
        <v>15804</v>
      </c>
    </row>
    <row r="3370" spans="1:10" ht="14.25" customHeight="1" x14ac:dyDescent="0.25">
      <c r="A3370" s="21">
        <v>26163</v>
      </c>
      <c r="B3370" s="21"/>
      <c r="C3370">
        <v>231.9</v>
      </c>
      <c r="D3370">
        <v>4.8</v>
      </c>
      <c r="E3370">
        <v>455</v>
      </c>
      <c r="F3370">
        <v>368</v>
      </c>
      <c r="G3370">
        <v>34</v>
      </c>
      <c r="H3370">
        <v>368</v>
      </c>
      <c r="I3370">
        <v>1.82</v>
      </c>
      <c r="J3370" s="1">
        <v>19882</v>
      </c>
    </row>
    <row r="3371" spans="1:10" ht="14.25" customHeight="1" x14ac:dyDescent="0.25">
      <c r="A3371" s="21">
        <v>26163</v>
      </c>
      <c r="B3371" s="21"/>
      <c r="C3371">
        <v>124.3</v>
      </c>
      <c r="D3371">
        <v>3.8</v>
      </c>
      <c r="E3371">
        <v>335</v>
      </c>
      <c r="F3371">
        <v>266</v>
      </c>
      <c r="G3371">
        <v>17</v>
      </c>
      <c r="H3371">
        <v>266</v>
      </c>
      <c r="I3371">
        <v>1.48</v>
      </c>
      <c r="J3371" s="1">
        <v>12186</v>
      </c>
    </row>
    <row r="3372" spans="1:10" ht="14.25" customHeight="1" x14ac:dyDescent="0.25">
      <c r="A3372" s="21">
        <v>26163</v>
      </c>
      <c r="B3372" s="21"/>
      <c r="E3372">
        <v>2</v>
      </c>
    </row>
    <row r="3373" spans="1:10" ht="14.25" customHeight="1" x14ac:dyDescent="0.25">
      <c r="A3373" s="21">
        <v>26163</v>
      </c>
      <c r="B3373" s="21"/>
    </row>
    <row r="3374" spans="1:10" ht="14.25" customHeight="1" x14ac:dyDescent="0.25">
      <c r="A3374" s="21">
        <v>26163</v>
      </c>
      <c r="B3374" s="21"/>
      <c r="C3374">
        <v>26.3</v>
      </c>
      <c r="D3374">
        <v>36.1</v>
      </c>
      <c r="F3374">
        <v>36</v>
      </c>
      <c r="H3374">
        <v>36</v>
      </c>
      <c r="I3374">
        <v>1.55</v>
      </c>
      <c r="J3374">
        <v>267</v>
      </c>
    </row>
    <row r="3375" spans="1:10" ht="14.25" customHeight="1" x14ac:dyDescent="0.25">
      <c r="A3375" s="21">
        <v>26165</v>
      </c>
      <c r="B3375" s="21"/>
      <c r="C3375">
        <v>24</v>
      </c>
      <c r="D3375">
        <v>3.4</v>
      </c>
      <c r="E3375">
        <v>135</v>
      </c>
      <c r="F3375">
        <v>49</v>
      </c>
      <c r="G3375">
        <v>20</v>
      </c>
      <c r="H3375">
        <v>49</v>
      </c>
      <c r="I3375">
        <v>1.48</v>
      </c>
      <c r="J3375" s="1">
        <v>2790</v>
      </c>
    </row>
    <row r="3376" spans="1:10" ht="14.25" customHeight="1" x14ac:dyDescent="0.25">
      <c r="A3376" s="21">
        <v>27003</v>
      </c>
      <c r="B3376" s="21"/>
      <c r="C3376">
        <v>330.4</v>
      </c>
      <c r="D3376">
        <v>4.2</v>
      </c>
      <c r="E3376">
        <v>722</v>
      </c>
      <c r="F3376">
        <v>466</v>
      </c>
      <c r="G3376">
        <v>35</v>
      </c>
      <c r="H3376">
        <v>466</v>
      </c>
      <c r="I3376">
        <v>1.73</v>
      </c>
      <c r="J3376" s="1">
        <v>29771</v>
      </c>
    </row>
    <row r="3377" spans="1:10" ht="14.25" customHeight="1" x14ac:dyDescent="0.25">
      <c r="A3377" s="21">
        <v>27003</v>
      </c>
      <c r="B3377" s="21"/>
      <c r="E3377">
        <v>1</v>
      </c>
      <c r="H3377">
        <v>275</v>
      </c>
    </row>
    <row r="3378" spans="1:10" ht="14.25" customHeight="1" x14ac:dyDescent="0.25">
      <c r="A3378" s="21">
        <v>27005</v>
      </c>
      <c r="B3378" s="21"/>
      <c r="C3378">
        <v>16</v>
      </c>
      <c r="D3378">
        <v>3.2</v>
      </c>
      <c r="E3378">
        <v>128</v>
      </c>
      <c r="F3378">
        <v>36</v>
      </c>
      <c r="G3378">
        <v>8</v>
      </c>
      <c r="H3378">
        <v>36</v>
      </c>
      <c r="I3378">
        <v>1.44</v>
      </c>
      <c r="J3378" s="1">
        <v>2111</v>
      </c>
    </row>
    <row r="3379" spans="1:10" ht="14.25" customHeight="1" x14ac:dyDescent="0.25">
      <c r="A3379" s="21">
        <v>27007</v>
      </c>
      <c r="B3379" s="21"/>
      <c r="C3379">
        <v>48</v>
      </c>
      <c r="D3379">
        <v>4.7</v>
      </c>
      <c r="E3379">
        <v>234</v>
      </c>
      <c r="F3379">
        <v>89</v>
      </c>
      <c r="G3379">
        <v>10</v>
      </c>
      <c r="H3379">
        <v>89</v>
      </c>
      <c r="I3379">
        <v>1.7</v>
      </c>
      <c r="J3379" s="1">
        <v>4310</v>
      </c>
    </row>
    <row r="3380" spans="1:10" ht="14.25" customHeight="1" x14ac:dyDescent="0.25">
      <c r="A3380" s="21">
        <v>27007</v>
      </c>
      <c r="B3380" s="21"/>
      <c r="C3380">
        <v>0.8</v>
      </c>
      <c r="D3380">
        <v>8.6999999999999993</v>
      </c>
      <c r="E3380">
        <v>21</v>
      </c>
      <c r="F3380">
        <v>23</v>
      </c>
      <c r="H3380">
        <v>23</v>
      </c>
      <c r="I3380">
        <v>0.95</v>
      </c>
      <c r="J3380">
        <v>32</v>
      </c>
    </row>
    <row r="3381" spans="1:10" ht="14.25" customHeight="1" x14ac:dyDescent="0.25">
      <c r="A3381" s="21">
        <v>27013</v>
      </c>
      <c r="B3381" s="21"/>
      <c r="C3381">
        <v>103.1</v>
      </c>
      <c r="D3381">
        <v>4.0999999999999996</v>
      </c>
      <c r="E3381">
        <v>464</v>
      </c>
      <c r="F3381">
        <v>167</v>
      </c>
      <c r="G3381">
        <v>29</v>
      </c>
      <c r="H3381">
        <v>167</v>
      </c>
      <c r="I3381">
        <v>1.64</v>
      </c>
      <c r="J3381" s="1">
        <v>10059</v>
      </c>
    </row>
    <row r="3382" spans="1:10" ht="14.25" customHeight="1" x14ac:dyDescent="0.25">
      <c r="A3382" s="21">
        <v>27019</v>
      </c>
      <c r="B3382" s="21"/>
      <c r="C3382">
        <v>56.5</v>
      </c>
      <c r="D3382">
        <v>3.6</v>
      </c>
      <c r="E3382">
        <v>405</v>
      </c>
      <c r="F3382">
        <v>112</v>
      </c>
      <c r="G3382">
        <v>18</v>
      </c>
      <c r="H3382">
        <v>109</v>
      </c>
      <c r="I3382">
        <v>1.52</v>
      </c>
      <c r="J3382" s="1">
        <v>6375</v>
      </c>
    </row>
    <row r="3383" spans="1:10" ht="14.25" customHeight="1" x14ac:dyDescent="0.25">
      <c r="A3383" s="21">
        <v>27025</v>
      </c>
      <c r="B3383" s="21"/>
      <c r="C3383">
        <v>24.6</v>
      </c>
      <c r="D3383">
        <v>3.2</v>
      </c>
      <c r="E3383">
        <v>196</v>
      </c>
      <c r="F3383">
        <v>55</v>
      </c>
      <c r="G3383">
        <v>10</v>
      </c>
      <c r="H3383">
        <v>55</v>
      </c>
      <c r="I3383">
        <v>1.52</v>
      </c>
      <c r="J3383" s="1">
        <v>3165</v>
      </c>
    </row>
    <row r="3384" spans="1:10" ht="14.25" customHeight="1" x14ac:dyDescent="0.25">
      <c r="A3384" s="21">
        <v>27035</v>
      </c>
      <c r="B3384" s="21"/>
      <c r="C3384">
        <v>51.3</v>
      </c>
      <c r="D3384">
        <v>4</v>
      </c>
      <c r="E3384">
        <v>219</v>
      </c>
      <c r="F3384">
        <v>127</v>
      </c>
      <c r="G3384">
        <v>10</v>
      </c>
      <c r="H3384">
        <v>127</v>
      </c>
      <c r="I3384">
        <v>1.54</v>
      </c>
      <c r="J3384" s="1">
        <v>4856</v>
      </c>
    </row>
    <row r="3385" spans="1:10" ht="14.25" customHeight="1" x14ac:dyDescent="0.25">
      <c r="A3385" s="21">
        <v>27037</v>
      </c>
      <c r="B3385" s="21"/>
      <c r="C3385">
        <v>8.5</v>
      </c>
      <c r="D3385">
        <v>2.7</v>
      </c>
      <c r="E3385">
        <v>79</v>
      </c>
      <c r="F3385">
        <v>29</v>
      </c>
      <c r="H3385">
        <v>29</v>
      </c>
      <c r="I3385">
        <v>1.44</v>
      </c>
      <c r="J3385" s="1">
        <v>1275</v>
      </c>
    </row>
    <row r="3386" spans="1:10" ht="14.25" customHeight="1" x14ac:dyDescent="0.25">
      <c r="A3386" s="21">
        <v>27037</v>
      </c>
      <c r="B3386" s="21"/>
      <c r="C3386">
        <v>116.9</v>
      </c>
      <c r="D3386">
        <v>4.0999999999999996</v>
      </c>
      <c r="E3386">
        <v>384</v>
      </c>
      <c r="F3386">
        <v>171</v>
      </c>
      <c r="G3386">
        <v>12</v>
      </c>
      <c r="H3386">
        <v>150</v>
      </c>
      <c r="I3386">
        <v>1.68</v>
      </c>
      <c r="J3386" s="1">
        <v>11478</v>
      </c>
    </row>
    <row r="3387" spans="1:10" ht="14.25" customHeight="1" x14ac:dyDescent="0.25">
      <c r="A3387" s="21">
        <v>27041</v>
      </c>
      <c r="B3387" s="21"/>
      <c r="C3387">
        <v>29.3</v>
      </c>
      <c r="D3387">
        <v>3.4</v>
      </c>
      <c r="E3387">
        <v>213</v>
      </c>
      <c r="F3387">
        <v>99</v>
      </c>
      <c r="G3387">
        <v>8</v>
      </c>
      <c r="H3387">
        <v>99</v>
      </c>
      <c r="I3387">
        <v>1.87</v>
      </c>
      <c r="J3387" s="1">
        <v>3523</v>
      </c>
    </row>
    <row r="3388" spans="1:10" ht="14.25" customHeight="1" x14ac:dyDescent="0.25">
      <c r="A3388" s="21">
        <v>27047</v>
      </c>
      <c r="B3388" s="21"/>
      <c r="C3388">
        <v>40</v>
      </c>
      <c r="D3388">
        <v>3.6</v>
      </c>
      <c r="E3388">
        <v>333</v>
      </c>
      <c r="F3388">
        <v>159</v>
      </c>
      <c r="G3388">
        <v>18</v>
      </c>
      <c r="H3388">
        <v>159</v>
      </c>
      <c r="I3388">
        <v>1.42</v>
      </c>
      <c r="J3388" s="1">
        <v>4361</v>
      </c>
    </row>
    <row r="3389" spans="1:10" ht="14.25" customHeight="1" x14ac:dyDescent="0.25">
      <c r="A3389" s="21">
        <v>27049</v>
      </c>
      <c r="B3389" s="21"/>
      <c r="C3389">
        <v>12.8</v>
      </c>
      <c r="D3389">
        <v>2.4</v>
      </c>
      <c r="E3389">
        <v>144</v>
      </c>
      <c r="F3389">
        <v>50</v>
      </c>
      <c r="G3389">
        <v>4</v>
      </c>
      <c r="H3389">
        <v>50</v>
      </c>
      <c r="I3389">
        <v>1.56</v>
      </c>
      <c r="J3389" s="1">
        <v>2211</v>
      </c>
    </row>
    <row r="3390" spans="1:10" ht="14.25" customHeight="1" x14ac:dyDescent="0.25">
      <c r="A3390" s="21">
        <v>27053</v>
      </c>
      <c r="B3390" s="21"/>
      <c r="C3390">
        <v>224</v>
      </c>
      <c r="D3390">
        <v>4.8</v>
      </c>
      <c r="E3390" s="1">
        <v>1012</v>
      </c>
      <c r="F3390">
        <v>330</v>
      </c>
      <c r="G3390">
        <v>24</v>
      </c>
      <c r="H3390">
        <v>330</v>
      </c>
      <c r="I3390">
        <v>1.77</v>
      </c>
      <c r="J3390" s="1">
        <v>17773</v>
      </c>
    </row>
    <row r="3391" spans="1:10" ht="14.25" customHeight="1" x14ac:dyDescent="0.25">
      <c r="A3391" s="21">
        <v>27053</v>
      </c>
      <c r="B3391" s="21"/>
      <c r="C3391">
        <v>430.1</v>
      </c>
      <c r="D3391">
        <v>4.8</v>
      </c>
      <c r="E3391" s="1">
        <v>1954</v>
      </c>
      <c r="F3391">
        <v>599</v>
      </c>
      <c r="G3391">
        <v>30</v>
      </c>
      <c r="H3391">
        <v>599</v>
      </c>
      <c r="I3391">
        <v>2.3199999999999998</v>
      </c>
      <c r="J3391" s="1">
        <v>34199</v>
      </c>
    </row>
    <row r="3392" spans="1:10" ht="14.25" customHeight="1" x14ac:dyDescent="0.25">
      <c r="A3392" s="21">
        <v>27053</v>
      </c>
      <c r="B3392" s="21"/>
      <c r="C3392">
        <v>216.4</v>
      </c>
      <c r="D3392">
        <v>3.9</v>
      </c>
      <c r="E3392" s="1">
        <v>1373</v>
      </c>
      <c r="F3392">
        <v>361</v>
      </c>
      <c r="G3392">
        <v>22</v>
      </c>
      <c r="H3392">
        <v>361</v>
      </c>
      <c r="I3392">
        <v>1.73</v>
      </c>
      <c r="J3392" s="1">
        <v>22641</v>
      </c>
    </row>
    <row r="3393" spans="1:10" ht="14.25" customHeight="1" x14ac:dyDescent="0.25">
      <c r="A3393" s="21">
        <v>27053</v>
      </c>
      <c r="B3393" s="21"/>
      <c r="C3393">
        <v>200.1</v>
      </c>
      <c r="D3393">
        <v>4.3</v>
      </c>
      <c r="E3393">
        <v>625</v>
      </c>
      <c r="F3393">
        <v>316</v>
      </c>
      <c r="G3393">
        <v>23</v>
      </c>
      <c r="H3393">
        <v>316</v>
      </c>
      <c r="I3393">
        <v>1.98</v>
      </c>
      <c r="J3393" s="1">
        <v>18351</v>
      </c>
    </row>
    <row r="3394" spans="1:10" ht="14.25" customHeight="1" x14ac:dyDescent="0.25">
      <c r="A3394" s="21">
        <v>27053</v>
      </c>
      <c r="B3394" s="21"/>
      <c r="C3394">
        <v>589.70000000000005</v>
      </c>
      <c r="D3394">
        <v>6.7</v>
      </c>
      <c r="E3394" s="1">
        <v>1778</v>
      </c>
      <c r="F3394">
        <v>778</v>
      </c>
      <c r="G3394">
        <v>21</v>
      </c>
      <c r="H3394">
        <v>778</v>
      </c>
      <c r="I3394">
        <v>2.23</v>
      </c>
      <c r="J3394" s="1">
        <v>29064</v>
      </c>
    </row>
    <row r="3395" spans="1:10" ht="14.25" customHeight="1" x14ac:dyDescent="0.25">
      <c r="A3395" s="21">
        <v>27053</v>
      </c>
      <c r="B3395" s="21"/>
      <c r="C3395">
        <v>0</v>
      </c>
      <c r="D3395">
        <v>4</v>
      </c>
      <c r="E3395">
        <v>45</v>
      </c>
      <c r="F3395">
        <v>8</v>
      </c>
      <c r="H3395">
        <v>8</v>
      </c>
      <c r="I3395">
        <v>1.25</v>
      </c>
      <c r="J3395">
        <v>2</v>
      </c>
    </row>
    <row r="3396" spans="1:10" ht="14.25" customHeight="1" x14ac:dyDescent="0.25">
      <c r="A3396" s="21">
        <v>27053</v>
      </c>
      <c r="B3396" s="21"/>
      <c r="C3396">
        <v>206.7</v>
      </c>
      <c r="D3396">
        <v>4</v>
      </c>
      <c r="E3396">
        <v>808</v>
      </c>
      <c r="F3396">
        <v>341</v>
      </c>
      <c r="G3396">
        <v>53</v>
      </c>
      <c r="H3396">
        <v>341</v>
      </c>
      <c r="I3396">
        <v>1.86</v>
      </c>
      <c r="J3396" s="1">
        <v>18994</v>
      </c>
    </row>
    <row r="3397" spans="1:10" ht="14.25" customHeight="1" x14ac:dyDescent="0.25">
      <c r="A3397" s="21">
        <v>27053</v>
      </c>
      <c r="B3397" s="21"/>
      <c r="C3397">
        <v>75.5</v>
      </c>
      <c r="D3397">
        <v>3.9</v>
      </c>
      <c r="E3397">
        <v>141</v>
      </c>
      <c r="F3397">
        <v>134</v>
      </c>
      <c r="H3397">
        <v>134</v>
      </c>
      <c r="I3397">
        <v>1.71</v>
      </c>
      <c r="J3397" s="1">
        <v>9264</v>
      </c>
    </row>
    <row r="3398" spans="1:10" ht="14.25" customHeight="1" x14ac:dyDescent="0.25">
      <c r="A3398" s="21">
        <v>27053</v>
      </c>
      <c r="B3398" s="21"/>
    </row>
    <row r="3399" spans="1:10" ht="14.25" customHeight="1" x14ac:dyDescent="0.25">
      <c r="A3399" s="21">
        <v>27053</v>
      </c>
      <c r="B3399" s="21"/>
      <c r="E3399">
        <v>45</v>
      </c>
      <c r="H3399">
        <v>50</v>
      </c>
    </row>
    <row r="3400" spans="1:10" ht="14.25" customHeight="1" x14ac:dyDescent="0.25">
      <c r="A3400" s="21">
        <v>27059</v>
      </c>
      <c r="B3400" s="21"/>
      <c r="C3400">
        <v>26.4</v>
      </c>
      <c r="D3400">
        <v>3.7</v>
      </c>
      <c r="E3400">
        <v>120</v>
      </c>
      <c r="F3400">
        <v>70</v>
      </c>
      <c r="H3400">
        <v>70</v>
      </c>
      <c r="I3400">
        <v>1.37</v>
      </c>
      <c r="J3400" s="1">
        <v>2761</v>
      </c>
    </row>
    <row r="3401" spans="1:10" ht="14.25" customHeight="1" x14ac:dyDescent="0.25">
      <c r="A3401" s="21">
        <v>27061</v>
      </c>
      <c r="B3401" s="21"/>
      <c r="C3401">
        <v>12.6</v>
      </c>
      <c r="D3401">
        <v>3.4</v>
      </c>
      <c r="E3401">
        <v>89</v>
      </c>
      <c r="F3401">
        <v>36</v>
      </c>
      <c r="H3401">
        <v>36</v>
      </c>
      <c r="I3401">
        <v>1.21</v>
      </c>
      <c r="J3401" s="1">
        <v>1544</v>
      </c>
    </row>
    <row r="3402" spans="1:10" ht="14.25" customHeight="1" x14ac:dyDescent="0.25">
      <c r="A3402" s="21">
        <v>27067</v>
      </c>
      <c r="B3402" s="21"/>
      <c r="C3402">
        <v>33.6</v>
      </c>
      <c r="D3402">
        <v>4.2</v>
      </c>
      <c r="E3402">
        <v>139</v>
      </c>
      <c r="F3402">
        <v>81</v>
      </c>
      <c r="G3402">
        <v>8</v>
      </c>
      <c r="H3402">
        <v>81</v>
      </c>
      <c r="I3402">
        <v>1.42</v>
      </c>
      <c r="J3402" s="1">
        <v>3230</v>
      </c>
    </row>
    <row r="3403" spans="1:10" ht="14.25" customHeight="1" x14ac:dyDescent="0.25">
      <c r="A3403" s="21">
        <v>27067</v>
      </c>
      <c r="B3403" s="21"/>
    </row>
    <row r="3404" spans="1:10" ht="14.25" customHeight="1" x14ac:dyDescent="0.25">
      <c r="A3404" s="21">
        <v>27085</v>
      </c>
      <c r="B3404" s="21"/>
      <c r="C3404">
        <v>19.3</v>
      </c>
      <c r="D3404">
        <v>4.2</v>
      </c>
      <c r="E3404">
        <v>112</v>
      </c>
      <c r="F3404">
        <v>49</v>
      </c>
      <c r="G3404">
        <v>6</v>
      </c>
      <c r="H3404">
        <v>49</v>
      </c>
      <c r="I3404">
        <v>1.41</v>
      </c>
      <c r="J3404" s="1">
        <v>1822</v>
      </c>
    </row>
    <row r="3405" spans="1:10" ht="14.25" customHeight="1" x14ac:dyDescent="0.25">
      <c r="A3405" s="21">
        <v>27091</v>
      </c>
      <c r="B3405" s="21"/>
      <c r="C3405">
        <v>11.9</v>
      </c>
      <c r="D3405">
        <v>4.0999999999999996</v>
      </c>
      <c r="E3405">
        <v>82</v>
      </c>
      <c r="F3405">
        <v>55</v>
      </c>
      <c r="H3405">
        <v>55</v>
      </c>
      <c r="I3405">
        <v>1.36</v>
      </c>
      <c r="J3405" s="1">
        <v>1198</v>
      </c>
    </row>
    <row r="3406" spans="1:10" ht="14.25" customHeight="1" x14ac:dyDescent="0.25">
      <c r="A3406" s="21">
        <v>27095</v>
      </c>
      <c r="B3406" s="21"/>
      <c r="C3406">
        <v>12.4</v>
      </c>
      <c r="D3406">
        <v>3.3</v>
      </c>
      <c r="E3406">
        <v>123</v>
      </c>
      <c r="F3406">
        <v>33</v>
      </c>
      <c r="G3406">
        <v>4</v>
      </c>
      <c r="H3406">
        <v>33</v>
      </c>
      <c r="I3406">
        <v>1.62</v>
      </c>
      <c r="J3406" s="1">
        <v>1616</v>
      </c>
    </row>
    <row r="3407" spans="1:10" ht="14.25" customHeight="1" x14ac:dyDescent="0.25">
      <c r="A3407" s="21">
        <v>27099</v>
      </c>
      <c r="B3407" s="21"/>
      <c r="H3407">
        <v>80</v>
      </c>
    </row>
    <row r="3408" spans="1:10" ht="14.25" customHeight="1" x14ac:dyDescent="0.25">
      <c r="A3408" s="21">
        <v>27105</v>
      </c>
      <c r="B3408" s="21"/>
      <c r="C3408">
        <v>6.9</v>
      </c>
      <c r="D3408">
        <v>3.1</v>
      </c>
      <c r="E3408">
        <v>69</v>
      </c>
      <c r="F3408">
        <v>48</v>
      </c>
      <c r="H3408">
        <v>48</v>
      </c>
      <c r="I3408">
        <v>1.18</v>
      </c>
      <c r="J3408" s="1">
        <v>1117</v>
      </c>
    </row>
    <row r="3409" spans="1:10" ht="14.25" customHeight="1" x14ac:dyDescent="0.25">
      <c r="A3409" s="21">
        <v>27109</v>
      </c>
      <c r="B3409" s="21"/>
      <c r="C3409">
        <v>11.5</v>
      </c>
      <c r="D3409">
        <v>3.1</v>
      </c>
      <c r="E3409">
        <v>251</v>
      </c>
      <c r="F3409">
        <v>61</v>
      </c>
      <c r="G3409">
        <v>6</v>
      </c>
      <c r="H3409">
        <v>61</v>
      </c>
      <c r="I3409">
        <v>1.41</v>
      </c>
      <c r="J3409" s="1">
        <v>1990</v>
      </c>
    </row>
    <row r="3410" spans="1:10" ht="14.25" customHeight="1" x14ac:dyDescent="0.25">
      <c r="A3410" s="21">
        <v>27109</v>
      </c>
      <c r="B3410" s="21"/>
      <c r="C3410">
        <v>818.9</v>
      </c>
      <c r="D3410">
        <v>5.2</v>
      </c>
      <c r="E3410" s="1">
        <v>4313</v>
      </c>
      <c r="F3410" s="1">
        <v>1115</v>
      </c>
      <c r="G3410">
        <v>212</v>
      </c>
      <c r="H3410" s="1">
        <v>1115</v>
      </c>
      <c r="I3410">
        <v>2.2599999999999998</v>
      </c>
      <c r="J3410" s="1">
        <v>58001</v>
      </c>
    </row>
    <row r="3411" spans="1:10" ht="14.25" customHeight="1" x14ac:dyDescent="0.25">
      <c r="A3411" s="21">
        <v>27109</v>
      </c>
      <c r="B3411" s="21"/>
      <c r="H3411">
        <v>794</v>
      </c>
    </row>
    <row r="3412" spans="1:10" ht="14.25" customHeight="1" x14ac:dyDescent="0.25">
      <c r="A3412" s="21">
        <v>27109</v>
      </c>
      <c r="B3412" s="21"/>
    </row>
    <row r="3413" spans="1:10" ht="14.25" customHeight="1" x14ac:dyDescent="0.25">
      <c r="A3413" s="21">
        <v>27111</v>
      </c>
      <c r="B3413" s="21"/>
      <c r="C3413">
        <v>15.3</v>
      </c>
      <c r="D3413">
        <v>3.6</v>
      </c>
      <c r="E3413">
        <v>107</v>
      </c>
      <c r="F3413">
        <v>80</v>
      </c>
      <c r="G3413">
        <v>5</v>
      </c>
      <c r="H3413">
        <v>80</v>
      </c>
      <c r="I3413">
        <v>1.49</v>
      </c>
      <c r="J3413" s="1">
        <v>1732</v>
      </c>
    </row>
    <row r="3414" spans="1:10" ht="14.25" customHeight="1" x14ac:dyDescent="0.25">
      <c r="A3414" s="21">
        <v>27115</v>
      </c>
      <c r="B3414" s="21"/>
    </row>
    <row r="3415" spans="1:10" ht="14.25" customHeight="1" x14ac:dyDescent="0.25">
      <c r="A3415" s="21">
        <v>27123</v>
      </c>
      <c r="B3415" s="21"/>
      <c r="C3415">
        <v>104.4</v>
      </c>
      <c r="D3415">
        <v>4.0999999999999996</v>
      </c>
      <c r="E3415">
        <v>292</v>
      </c>
      <c r="F3415">
        <v>184</v>
      </c>
      <c r="G3415">
        <v>20</v>
      </c>
      <c r="H3415">
        <v>184</v>
      </c>
      <c r="I3415">
        <v>1.45</v>
      </c>
      <c r="J3415" s="1">
        <v>11252</v>
      </c>
    </row>
    <row r="3416" spans="1:10" ht="14.25" customHeight="1" x14ac:dyDescent="0.25">
      <c r="A3416" s="21">
        <v>27123</v>
      </c>
      <c r="B3416" s="21"/>
      <c r="C3416">
        <v>360.6</v>
      </c>
      <c r="D3416">
        <v>5.0999999999999996</v>
      </c>
      <c r="E3416" s="1">
        <v>1220</v>
      </c>
      <c r="F3416">
        <v>431</v>
      </c>
      <c r="G3416">
        <v>16</v>
      </c>
      <c r="H3416">
        <v>431</v>
      </c>
      <c r="I3416">
        <v>1.91</v>
      </c>
      <c r="J3416" s="1">
        <v>26407</v>
      </c>
    </row>
    <row r="3417" spans="1:10" ht="14.25" customHeight="1" x14ac:dyDescent="0.25">
      <c r="A3417" s="21">
        <v>27123</v>
      </c>
      <c r="B3417" s="21"/>
      <c r="C3417">
        <v>155.19999999999999</v>
      </c>
      <c r="D3417">
        <v>5.5</v>
      </c>
      <c r="E3417">
        <v>610</v>
      </c>
      <c r="F3417">
        <v>197</v>
      </c>
      <c r="G3417">
        <v>48</v>
      </c>
      <c r="H3417">
        <v>197</v>
      </c>
      <c r="I3417">
        <v>1.93</v>
      </c>
      <c r="J3417" s="1">
        <v>10391</v>
      </c>
    </row>
    <row r="3418" spans="1:10" ht="14.25" customHeight="1" x14ac:dyDescent="0.25">
      <c r="A3418" s="21">
        <v>27123</v>
      </c>
      <c r="B3418" s="21"/>
      <c r="C3418">
        <v>255.6</v>
      </c>
      <c r="D3418">
        <v>4.2</v>
      </c>
      <c r="E3418">
        <v>703</v>
      </c>
      <c r="F3418">
        <v>336</v>
      </c>
      <c r="G3418">
        <v>21</v>
      </c>
      <c r="H3418">
        <v>336</v>
      </c>
      <c r="I3418">
        <v>1.9</v>
      </c>
      <c r="J3418" s="1">
        <v>23750</v>
      </c>
    </row>
    <row r="3419" spans="1:10" ht="14.25" customHeight="1" x14ac:dyDescent="0.25">
      <c r="A3419" s="21">
        <v>27131</v>
      </c>
      <c r="B3419" s="21"/>
      <c r="C3419">
        <v>12.9</v>
      </c>
      <c r="D3419">
        <v>3</v>
      </c>
      <c r="E3419">
        <v>119</v>
      </c>
      <c r="F3419">
        <v>37</v>
      </c>
      <c r="H3419">
        <v>37</v>
      </c>
      <c r="I3419">
        <v>1.47</v>
      </c>
      <c r="J3419" s="1">
        <v>1929</v>
      </c>
    </row>
    <row r="3420" spans="1:10" ht="14.25" customHeight="1" x14ac:dyDescent="0.25">
      <c r="A3420" s="21">
        <v>27131</v>
      </c>
      <c r="B3420" s="21"/>
      <c r="C3420">
        <v>10.3</v>
      </c>
      <c r="D3420">
        <v>2.9</v>
      </c>
      <c r="E3420">
        <v>56</v>
      </c>
      <c r="F3420">
        <v>32</v>
      </c>
      <c r="H3420">
        <v>32</v>
      </c>
      <c r="I3420">
        <v>1.3</v>
      </c>
      <c r="J3420" s="1">
        <v>1498</v>
      </c>
    </row>
    <row r="3421" spans="1:10" ht="14.25" customHeight="1" x14ac:dyDescent="0.25">
      <c r="A3421" s="21">
        <v>27137</v>
      </c>
      <c r="B3421" s="21"/>
      <c r="C3421">
        <v>13.1</v>
      </c>
      <c r="D3421">
        <v>3.4</v>
      </c>
      <c r="E3421">
        <v>121</v>
      </c>
      <c r="F3421">
        <v>48</v>
      </c>
      <c r="G3421">
        <v>8</v>
      </c>
      <c r="H3421">
        <v>48</v>
      </c>
      <c r="I3421">
        <v>1.35</v>
      </c>
      <c r="J3421" s="1">
        <v>1521</v>
      </c>
    </row>
    <row r="3422" spans="1:10" ht="14.25" customHeight="1" x14ac:dyDescent="0.25">
      <c r="A3422" s="21">
        <v>27137</v>
      </c>
      <c r="B3422" s="21"/>
      <c r="C3422">
        <v>152.19999999999999</v>
      </c>
      <c r="D3422">
        <v>5</v>
      </c>
      <c r="E3422">
        <v>448</v>
      </c>
      <c r="F3422">
        <v>238</v>
      </c>
      <c r="G3422">
        <v>25</v>
      </c>
      <c r="H3422">
        <v>238</v>
      </c>
      <c r="I3422">
        <v>1.81</v>
      </c>
      <c r="J3422" s="1">
        <v>11461</v>
      </c>
    </row>
    <row r="3423" spans="1:10" ht="14.25" customHeight="1" x14ac:dyDescent="0.25">
      <c r="A3423" s="21">
        <v>27137</v>
      </c>
      <c r="B3423" s="21"/>
      <c r="C3423">
        <v>54.7</v>
      </c>
      <c r="D3423">
        <v>7.1</v>
      </c>
      <c r="E3423">
        <v>491</v>
      </c>
      <c r="F3423">
        <v>103</v>
      </c>
      <c r="G3423">
        <v>8</v>
      </c>
      <c r="H3423">
        <v>103</v>
      </c>
      <c r="I3423">
        <v>1.57</v>
      </c>
      <c r="J3423" s="1">
        <v>2799</v>
      </c>
    </row>
    <row r="3424" spans="1:10" ht="14.25" customHeight="1" x14ac:dyDescent="0.25">
      <c r="A3424" s="21">
        <v>27137</v>
      </c>
      <c r="B3424" s="21"/>
      <c r="C3424">
        <v>38</v>
      </c>
      <c r="D3424">
        <v>5.4</v>
      </c>
      <c r="E3424">
        <v>112</v>
      </c>
      <c r="F3424">
        <v>73</v>
      </c>
      <c r="G3424">
        <v>4</v>
      </c>
      <c r="H3424">
        <v>73</v>
      </c>
      <c r="I3424">
        <v>1.35</v>
      </c>
      <c r="J3424" s="1">
        <v>2693</v>
      </c>
    </row>
    <row r="3425" spans="1:10" ht="14.25" customHeight="1" x14ac:dyDescent="0.25">
      <c r="A3425" s="21">
        <v>27137</v>
      </c>
      <c r="B3425" s="21"/>
      <c r="C3425">
        <v>236.1</v>
      </c>
      <c r="D3425">
        <v>5</v>
      </c>
      <c r="E3425">
        <v>347</v>
      </c>
      <c r="F3425">
        <v>307</v>
      </c>
      <c r="G3425">
        <v>33</v>
      </c>
      <c r="H3425">
        <v>307</v>
      </c>
      <c r="I3425">
        <v>1.99</v>
      </c>
      <c r="J3425" s="1">
        <v>17661</v>
      </c>
    </row>
    <row r="3426" spans="1:10" ht="14.25" customHeight="1" x14ac:dyDescent="0.25">
      <c r="A3426" s="21">
        <v>27139</v>
      </c>
      <c r="B3426" s="21"/>
      <c r="C3426">
        <v>45.9</v>
      </c>
      <c r="D3426">
        <v>3</v>
      </c>
      <c r="E3426">
        <v>202</v>
      </c>
      <c r="F3426">
        <v>89</v>
      </c>
      <c r="H3426">
        <v>89</v>
      </c>
      <c r="I3426">
        <v>1.51</v>
      </c>
      <c r="J3426" s="1">
        <v>6158</v>
      </c>
    </row>
    <row r="3427" spans="1:10" ht="14.25" customHeight="1" x14ac:dyDescent="0.25">
      <c r="A3427" s="21">
        <v>27145</v>
      </c>
      <c r="B3427" s="21"/>
      <c r="C3427">
        <v>311.39999999999998</v>
      </c>
      <c r="D3427">
        <v>4.3</v>
      </c>
      <c r="E3427">
        <v>990</v>
      </c>
      <c r="F3427">
        <v>457</v>
      </c>
      <c r="G3427">
        <v>42</v>
      </c>
      <c r="H3427">
        <v>457</v>
      </c>
      <c r="I3427">
        <v>2.06</v>
      </c>
      <c r="J3427" s="1">
        <v>27721</v>
      </c>
    </row>
    <row r="3428" spans="1:10" ht="14.25" customHeight="1" x14ac:dyDescent="0.25">
      <c r="A3428" s="21">
        <v>27147</v>
      </c>
      <c r="B3428" s="21"/>
      <c r="C3428">
        <v>14.6</v>
      </c>
      <c r="D3428">
        <v>3</v>
      </c>
      <c r="E3428">
        <v>80</v>
      </c>
      <c r="F3428">
        <v>29</v>
      </c>
      <c r="H3428">
        <v>29</v>
      </c>
      <c r="I3428">
        <v>1.39</v>
      </c>
      <c r="J3428" s="1">
        <v>2119</v>
      </c>
    </row>
    <row r="3429" spans="1:10" ht="14.25" customHeight="1" x14ac:dyDescent="0.25">
      <c r="A3429" s="21">
        <v>27159</v>
      </c>
      <c r="B3429" s="21"/>
      <c r="H3429">
        <v>75</v>
      </c>
    </row>
    <row r="3430" spans="1:10" ht="14.25" customHeight="1" x14ac:dyDescent="0.25">
      <c r="A3430" s="21">
        <v>27163</v>
      </c>
      <c r="B3430" s="21"/>
      <c r="C3430">
        <v>53.8</v>
      </c>
      <c r="D3430">
        <v>3.2</v>
      </c>
      <c r="E3430">
        <v>157</v>
      </c>
      <c r="F3430">
        <v>86</v>
      </c>
      <c r="G3430">
        <v>18</v>
      </c>
      <c r="H3430">
        <v>86</v>
      </c>
      <c r="I3430">
        <v>1.77</v>
      </c>
      <c r="J3430" s="1">
        <v>7634</v>
      </c>
    </row>
    <row r="3431" spans="1:10" ht="14.25" customHeight="1" x14ac:dyDescent="0.25">
      <c r="A3431" s="21">
        <v>27163</v>
      </c>
      <c r="B3431" s="21"/>
      <c r="C3431">
        <v>27</v>
      </c>
      <c r="D3431">
        <v>2.8</v>
      </c>
      <c r="E3431">
        <v>171</v>
      </c>
      <c r="F3431">
        <v>68</v>
      </c>
      <c r="G3431">
        <v>13</v>
      </c>
      <c r="H3431">
        <v>68</v>
      </c>
      <c r="I3431">
        <v>1.64</v>
      </c>
      <c r="J3431" s="1">
        <v>4005</v>
      </c>
    </row>
    <row r="3432" spans="1:10" ht="14.25" customHeight="1" x14ac:dyDescent="0.25">
      <c r="A3432" s="21">
        <v>27169</v>
      </c>
      <c r="B3432" s="21"/>
      <c r="C3432">
        <v>19.2</v>
      </c>
      <c r="D3432">
        <v>4.3</v>
      </c>
      <c r="E3432">
        <v>141</v>
      </c>
      <c r="F3432">
        <v>41</v>
      </c>
      <c r="G3432">
        <v>8</v>
      </c>
      <c r="H3432">
        <v>49</v>
      </c>
      <c r="I3432">
        <v>1.28</v>
      </c>
      <c r="J3432" s="1">
        <v>1737</v>
      </c>
    </row>
    <row r="3433" spans="1:10" ht="14.25" customHeight="1" x14ac:dyDescent="0.25">
      <c r="A3433" s="21">
        <v>27171</v>
      </c>
      <c r="B3433" s="21"/>
      <c r="C3433">
        <v>15.5</v>
      </c>
      <c r="D3433">
        <v>3.1</v>
      </c>
      <c r="E3433">
        <v>103</v>
      </c>
      <c r="F3433">
        <v>44</v>
      </c>
      <c r="H3433">
        <v>44</v>
      </c>
      <c r="I3433">
        <v>1.5</v>
      </c>
      <c r="J3433" s="1">
        <v>2176</v>
      </c>
    </row>
    <row r="3434" spans="1:10" ht="14.25" customHeight="1" x14ac:dyDescent="0.25">
      <c r="A3434" s="21">
        <v>28001</v>
      </c>
      <c r="B3434" s="21"/>
      <c r="C3434">
        <v>43.3</v>
      </c>
      <c r="D3434">
        <v>4.5</v>
      </c>
      <c r="E3434">
        <v>80</v>
      </c>
      <c r="F3434">
        <v>147</v>
      </c>
      <c r="G3434">
        <v>15</v>
      </c>
      <c r="H3434">
        <v>147</v>
      </c>
      <c r="I3434">
        <v>1.36</v>
      </c>
      <c r="J3434" s="1">
        <v>3852</v>
      </c>
    </row>
    <row r="3435" spans="1:10" ht="14.25" customHeight="1" x14ac:dyDescent="0.25">
      <c r="A3435" s="21">
        <v>28001</v>
      </c>
      <c r="B3435" s="21"/>
      <c r="C3435">
        <v>33.200000000000003</v>
      </c>
      <c r="D3435">
        <v>4.5999999999999996</v>
      </c>
      <c r="J3435" s="1">
        <v>3098</v>
      </c>
    </row>
    <row r="3436" spans="1:10" ht="14.25" customHeight="1" x14ac:dyDescent="0.25">
      <c r="A3436" s="21">
        <v>28003</v>
      </c>
      <c r="B3436" s="21"/>
      <c r="C3436">
        <v>75.3</v>
      </c>
      <c r="D3436">
        <v>4</v>
      </c>
      <c r="E3436">
        <v>189</v>
      </c>
      <c r="F3436">
        <v>163</v>
      </c>
      <c r="G3436">
        <v>24</v>
      </c>
      <c r="H3436">
        <v>163</v>
      </c>
      <c r="I3436">
        <v>1.53</v>
      </c>
      <c r="J3436" s="1">
        <v>7140</v>
      </c>
    </row>
    <row r="3437" spans="1:10" ht="14.25" customHeight="1" x14ac:dyDescent="0.25">
      <c r="A3437" s="21">
        <v>28011</v>
      </c>
      <c r="B3437" s="21"/>
      <c r="C3437">
        <v>29.3</v>
      </c>
      <c r="D3437">
        <v>4.0999999999999996</v>
      </c>
      <c r="E3437">
        <v>66</v>
      </c>
      <c r="F3437">
        <v>152</v>
      </c>
      <c r="G3437">
        <v>8</v>
      </c>
      <c r="H3437">
        <v>152</v>
      </c>
      <c r="I3437">
        <v>1.3</v>
      </c>
      <c r="J3437" s="1">
        <v>2834</v>
      </c>
    </row>
    <row r="3438" spans="1:10" ht="14.25" customHeight="1" x14ac:dyDescent="0.25">
      <c r="A3438" s="21">
        <v>28017</v>
      </c>
      <c r="B3438" s="21"/>
      <c r="C3438">
        <v>5.0999999999999996</v>
      </c>
      <c r="D3438">
        <v>17.2</v>
      </c>
      <c r="E3438">
        <v>25</v>
      </c>
      <c r="F3438">
        <v>39</v>
      </c>
      <c r="H3438">
        <v>39</v>
      </c>
      <c r="I3438">
        <v>1.1299999999999999</v>
      </c>
      <c r="J3438">
        <v>108</v>
      </c>
    </row>
    <row r="3439" spans="1:10" ht="14.25" customHeight="1" x14ac:dyDescent="0.25">
      <c r="A3439" s="21">
        <v>28025</v>
      </c>
      <c r="B3439" s="21"/>
      <c r="C3439">
        <v>20.8</v>
      </c>
      <c r="D3439">
        <v>5.3</v>
      </c>
      <c r="E3439">
        <v>33</v>
      </c>
      <c r="F3439">
        <v>49</v>
      </c>
      <c r="G3439">
        <v>6</v>
      </c>
      <c r="H3439">
        <v>49</v>
      </c>
      <c r="I3439">
        <v>1.21</v>
      </c>
      <c r="J3439" s="1">
        <v>1603</v>
      </c>
    </row>
    <row r="3440" spans="1:10" ht="14.25" customHeight="1" x14ac:dyDescent="0.25">
      <c r="A3440" s="21">
        <v>28027</v>
      </c>
      <c r="B3440" s="21"/>
      <c r="C3440">
        <v>26.9</v>
      </c>
      <c r="D3440">
        <v>5.5</v>
      </c>
      <c r="E3440">
        <v>61</v>
      </c>
      <c r="F3440">
        <v>181</v>
      </c>
      <c r="G3440">
        <v>10</v>
      </c>
      <c r="H3440">
        <v>181</v>
      </c>
      <c r="I3440">
        <v>1.45</v>
      </c>
      <c r="J3440" s="1">
        <v>2087</v>
      </c>
    </row>
    <row r="3441" spans="1:10" ht="14.25" customHeight="1" x14ac:dyDescent="0.25">
      <c r="A3441" s="21">
        <v>28033</v>
      </c>
      <c r="B3441" s="21"/>
      <c r="C3441">
        <v>206.1</v>
      </c>
      <c r="D3441">
        <v>5</v>
      </c>
      <c r="E3441">
        <v>302</v>
      </c>
      <c r="F3441">
        <v>299</v>
      </c>
      <c r="H3441">
        <v>299</v>
      </c>
      <c r="I3441">
        <v>1.65</v>
      </c>
      <c r="J3441" s="1">
        <v>15685</v>
      </c>
    </row>
    <row r="3442" spans="1:10" ht="14.25" customHeight="1" x14ac:dyDescent="0.25">
      <c r="A3442" s="21">
        <v>28033</v>
      </c>
      <c r="B3442" s="21"/>
      <c r="C3442">
        <v>25.9</v>
      </c>
      <c r="D3442">
        <v>1</v>
      </c>
      <c r="E3442">
        <v>90</v>
      </c>
      <c r="F3442">
        <v>53</v>
      </c>
      <c r="G3442">
        <v>8</v>
      </c>
      <c r="H3442">
        <v>53</v>
      </c>
      <c r="I3442">
        <v>1.57</v>
      </c>
      <c r="J3442" s="1">
        <v>10904</v>
      </c>
    </row>
    <row r="3443" spans="1:10" ht="14.25" customHeight="1" x14ac:dyDescent="0.25">
      <c r="A3443" s="21">
        <v>28035</v>
      </c>
      <c r="B3443" s="21"/>
      <c r="C3443">
        <v>300.5</v>
      </c>
      <c r="D3443">
        <v>4.5</v>
      </c>
      <c r="E3443">
        <v>441</v>
      </c>
      <c r="F3443">
        <v>429</v>
      </c>
      <c r="G3443">
        <v>40</v>
      </c>
      <c r="H3443">
        <v>429</v>
      </c>
      <c r="I3443">
        <v>1.85</v>
      </c>
      <c r="J3443" s="1">
        <v>26309</v>
      </c>
    </row>
    <row r="3444" spans="1:10" ht="14.25" customHeight="1" x14ac:dyDescent="0.25">
      <c r="A3444" s="21">
        <v>28035</v>
      </c>
      <c r="B3444" s="21"/>
      <c r="C3444">
        <v>62.1</v>
      </c>
      <c r="D3444">
        <v>4.2</v>
      </c>
      <c r="E3444">
        <v>166</v>
      </c>
      <c r="F3444">
        <v>130</v>
      </c>
      <c r="G3444">
        <v>17</v>
      </c>
      <c r="H3444">
        <v>130</v>
      </c>
      <c r="I3444">
        <v>1.69</v>
      </c>
      <c r="J3444" s="1">
        <v>6019</v>
      </c>
    </row>
    <row r="3445" spans="1:10" ht="14.25" customHeight="1" x14ac:dyDescent="0.25">
      <c r="A3445" s="21">
        <v>28035</v>
      </c>
      <c r="B3445" s="21"/>
      <c r="H3445">
        <v>30</v>
      </c>
    </row>
    <row r="3446" spans="1:10" ht="14.25" customHeight="1" x14ac:dyDescent="0.25">
      <c r="A3446" s="21">
        <v>28039</v>
      </c>
      <c r="B3446" s="21"/>
      <c r="C3446">
        <v>8.4</v>
      </c>
      <c r="D3446">
        <v>3.6</v>
      </c>
      <c r="E3446">
        <v>50</v>
      </c>
      <c r="F3446">
        <v>42</v>
      </c>
      <c r="G3446">
        <v>6</v>
      </c>
      <c r="H3446">
        <v>42</v>
      </c>
      <c r="I3446">
        <v>1.28</v>
      </c>
      <c r="J3446" s="1">
        <v>1012</v>
      </c>
    </row>
    <row r="3447" spans="1:10" ht="14.25" customHeight="1" x14ac:dyDescent="0.25">
      <c r="A3447" s="21">
        <v>28043</v>
      </c>
      <c r="B3447" s="21"/>
      <c r="C3447">
        <v>18.100000000000001</v>
      </c>
      <c r="D3447">
        <v>4.0999999999999996</v>
      </c>
      <c r="E3447">
        <v>81</v>
      </c>
      <c r="F3447">
        <v>49</v>
      </c>
      <c r="H3447">
        <v>49</v>
      </c>
      <c r="I3447">
        <v>1.41</v>
      </c>
      <c r="J3447" s="1">
        <v>1786</v>
      </c>
    </row>
    <row r="3448" spans="1:10" ht="14.25" customHeight="1" x14ac:dyDescent="0.25">
      <c r="A3448" s="21">
        <v>28045</v>
      </c>
      <c r="B3448" s="21"/>
      <c r="C3448">
        <v>8.6999999999999993</v>
      </c>
      <c r="D3448">
        <v>3.5</v>
      </c>
      <c r="E3448">
        <v>53</v>
      </c>
      <c r="F3448">
        <v>51</v>
      </c>
      <c r="G3448">
        <v>6</v>
      </c>
      <c r="H3448">
        <v>51</v>
      </c>
      <c r="I3448">
        <v>1.35</v>
      </c>
      <c r="J3448" s="1">
        <v>1005</v>
      </c>
    </row>
    <row r="3449" spans="1:10" ht="14.25" customHeight="1" x14ac:dyDescent="0.25">
      <c r="A3449" s="21">
        <v>28047</v>
      </c>
      <c r="B3449" s="21"/>
      <c r="C3449">
        <v>29.2</v>
      </c>
      <c r="D3449">
        <v>3.8</v>
      </c>
      <c r="E3449">
        <v>70</v>
      </c>
      <c r="F3449">
        <v>100</v>
      </c>
      <c r="G3449">
        <v>13</v>
      </c>
      <c r="H3449">
        <v>100</v>
      </c>
      <c r="I3449">
        <v>1.56</v>
      </c>
      <c r="J3449" s="1">
        <v>3177</v>
      </c>
    </row>
    <row r="3450" spans="1:10" ht="14.25" customHeight="1" x14ac:dyDescent="0.25">
      <c r="A3450" s="21">
        <v>28047</v>
      </c>
      <c r="B3450" s="21"/>
      <c r="C3450">
        <v>51.5</v>
      </c>
      <c r="D3450">
        <v>3.8</v>
      </c>
      <c r="E3450">
        <v>103</v>
      </c>
      <c r="F3450">
        <v>143</v>
      </c>
      <c r="G3450">
        <v>18</v>
      </c>
      <c r="H3450">
        <v>143</v>
      </c>
      <c r="I3450">
        <v>1.63</v>
      </c>
      <c r="J3450" s="1">
        <v>5401</v>
      </c>
    </row>
    <row r="3451" spans="1:10" ht="14.25" customHeight="1" x14ac:dyDescent="0.25">
      <c r="A3451" s="21">
        <v>28047</v>
      </c>
      <c r="B3451" s="21"/>
      <c r="C3451">
        <v>185.5</v>
      </c>
      <c r="D3451">
        <v>4.2</v>
      </c>
      <c r="E3451">
        <v>462</v>
      </c>
      <c r="F3451">
        <v>281</v>
      </c>
      <c r="G3451">
        <v>26</v>
      </c>
      <c r="H3451">
        <v>281</v>
      </c>
      <c r="I3451">
        <v>1.72</v>
      </c>
      <c r="J3451" s="1">
        <v>16777</v>
      </c>
    </row>
    <row r="3452" spans="1:10" ht="14.25" customHeight="1" x14ac:dyDescent="0.25">
      <c r="A3452" s="21">
        <v>28049</v>
      </c>
      <c r="B3452" s="21"/>
      <c r="C3452">
        <v>569.6</v>
      </c>
      <c r="D3452">
        <v>6.9</v>
      </c>
      <c r="E3452">
        <v>919</v>
      </c>
      <c r="F3452">
        <v>698</v>
      </c>
      <c r="G3452">
        <v>20</v>
      </c>
      <c r="H3452">
        <v>697</v>
      </c>
      <c r="I3452">
        <v>2.16</v>
      </c>
      <c r="J3452" s="1">
        <v>30747</v>
      </c>
    </row>
    <row r="3453" spans="1:10" ht="14.25" customHeight="1" x14ac:dyDescent="0.25">
      <c r="A3453" s="21">
        <v>28049</v>
      </c>
      <c r="B3453" s="21"/>
      <c r="C3453">
        <v>279.3</v>
      </c>
      <c r="D3453">
        <v>4.7</v>
      </c>
      <c r="E3453">
        <v>521</v>
      </c>
      <c r="F3453">
        <v>424</v>
      </c>
      <c r="G3453">
        <v>28</v>
      </c>
      <c r="H3453">
        <v>424</v>
      </c>
      <c r="I3453">
        <v>1.8</v>
      </c>
      <c r="J3453" s="1">
        <v>22220</v>
      </c>
    </row>
    <row r="3454" spans="1:10" ht="14.25" customHeight="1" x14ac:dyDescent="0.25">
      <c r="A3454" s="21">
        <v>28049</v>
      </c>
      <c r="B3454" s="21"/>
      <c r="E3454">
        <v>21</v>
      </c>
      <c r="F3454">
        <v>31</v>
      </c>
      <c r="H3454">
        <v>31</v>
      </c>
      <c r="I3454">
        <v>1.1200000000000001</v>
      </c>
    </row>
    <row r="3455" spans="1:10" ht="14.25" customHeight="1" x14ac:dyDescent="0.25">
      <c r="A3455" s="21">
        <v>28049</v>
      </c>
      <c r="B3455" s="21"/>
      <c r="C3455">
        <v>331.9</v>
      </c>
      <c r="D3455">
        <v>5</v>
      </c>
      <c r="E3455">
        <v>533</v>
      </c>
      <c r="F3455">
        <v>545</v>
      </c>
      <c r="G3455">
        <v>56</v>
      </c>
      <c r="H3455">
        <v>571</v>
      </c>
      <c r="I3455">
        <v>1.73</v>
      </c>
      <c r="J3455" s="1">
        <v>24967</v>
      </c>
    </row>
    <row r="3456" spans="1:10" ht="14.25" customHeight="1" x14ac:dyDescent="0.25">
      <c r="A3456" s="21">
        <v>28049</v>
      </c>
      <c r="B3456" s="21"/>
      <c r="C3456">
        <v>87</v>
      </c>
      <c r="D3456">
        <v>4.9000000000000004</v>
      </c>
      <c r="E3456">
        <v>121</v>
      </c>
      <c r="F3456">
        <v>248</v>
      </c>
      <c r="G3456">
        <v>45</v>
      </c>
      <c r="H3456">
        <v>248</v>
      </c>
      <c r="I3456">
        <v>1.98</v>
      </c>
      <c r="J3456" s="1">
        <v>6775</v>
      </c>
    </row>
    <row r="3457" spans="1:10" ht="14.25" customHeight="1" x14ac:dyDescent="0.25">
      <c r="A3457" s="21">
        <v>28049</v>
      </c>
      <c r="B3457" s="21"/>
      <c r="H3457">
        <v>90</v>
      </c>
    </row>
    <row r="3458" spans="1:10" ht="14.25" customHeight="1" x14ac:dyDescent="0.25">
      <c r="A3458" s="21">
        <v>28049</v>
      </c>
      <c r="B3458" s="21"/>
      <c r="H3458">
        <v>92</v>
      </c>
    </row>
    <row r="3459" spans="1:10" ht="14.25" customHeight="1" x14ac:dyDescent="0.25">
      <c r="A3459" s="21">
        <v>28059</v>
      </c>
      <c r="B3459" s="21"/>
      <c r="C3459">
        <v>185.1</v>
      </c>
      <c r="D3459">
        <v>4.4000000000000004</v>
      </c>
      <c r="E3459">
        <v>682</v>
      </c>
      <c r="F3459">
        <v>328</v>
      </c>
      <c r="G3459">
        <v>48</v>
      </c>
      <c r="H3459">
        <v>435</v>
      </c>
      <c r="I3459">
        <v>1.68</v>
      </c>
      <c r="J3459" s="1">
        <v>15924</v>
      </c>
    </row>
    <row r="3460" spans="1:10" ht="14.25" customHeight="1" x14ac:dyDescent="0.25">
      <c r="A3460" s="21">
        <v>28059</v>
      </c>
      <c r="B3460" s="21"/>
      <c r="H3460">
        <v>136</v>
      </c>
    </row>
    <row r="3461" spans="1:10" ht="14.25" customHeight="1" x14ac:dyDescent="0.25">
      <c r="A3461" s="21">
        <v>28061</v>
      </c>
      <c r="B3461" s="21"/>
      <c r="C3461">
        <v>6.4</v>
      </c>
      <c r="D3461">
        <v>129.6</v>
      </c>
      <c r="E3461">
        <v>18</v>
      </c>
      <c r="F3461">
        <v>20</v>
      </c>
      <c r="H3461">
        <v>16</v>
      </c>
      <c r="I3461">
        <v>0.91</v>
      </c>
      <c r="J3461">
        <v>18</v>
      </c>
    </row>
    <row r="3462" spans="1:10" ht="14.25" customHeight="1" x14ac:dyDescent="0.25">
      <c r="A3462" s="21">
        <v>28063</v>
      </c>
      <c r="B3462" s="21"/>
      <c r="C3462">
        <v>0.9</v>
      </c>
      <c r="D3462">
        <v>3.3</v>
      </c>
      <c r="E3462">
        <v>9</v>
      </c>
      <c r="F3462">
        <v>12</v>
      </c>
      <c r="H3462">
        <v>12</v>
      </c>
      <c r="I3462">
        <v>1.0900000000000001</v>
      </c>
      <c r="J3462">
        <v>96</v>
      </c>
    </row>
    <row r="3463" spans="1:10" ht="14.25" customHeight="1" x14ac:dyDescent="0.25">
      <c r="A3463" s="21">
        <v>28067</v>
      </c>
      <c r="B3463" s="21"/>
      <c r="C3463">
        <v>93.1</v>
      </c>
      <c r="D3463">
        <v>5.0999999999999996</v>
      </c>
      <c r="E3463">
        <v>179</v>
      </c>
      <c r="F3463">
        <v>268</v>
      </c>
      <c r="G3463">
        <v>14</v>
      </c>
      <c r="H3463">
        <v>268</v>
      </c>
      <c r="I3463">
        <v>1.34</v>
      </c>
      <c r="J3463" s="1">
        <v>7093</v>
      </c>
    </row>
    <row r="3464" spans="1:10" ht="14.25" customHeight="1" x14ac:dyDescent="0.25">
      <c r="A3464" s="21">
        <v>28071</v>
      </c>
      <c r="B3464" s="21"/>
      <c r="C3464">
        <v>94.6</v>
      </c>
      <c r="D3464">
        <v>3.9</v>
      </c>
      <c r="E3464">
        <v>196</v>
      </c>
      <c r="F3464">
        <v>171</v>
      </c>
      <c r="G3464">
        <v>24</v>
      </c>
      <c r="H3464">
        <v>171</v>
      </c>
      <c r="I3464">
        <v>1.74</v>
      </c>
      <c r="J3464" s="1">
        <v>9374</v>
      </c>
    </row>
    <row r="3465" spans="1:10" ht="14.25" customHeight="1" x14ac:dyDescent="0.25">
      <c r="A3465" s="21">
        <v>28075</v>
      </c>
      <c r="B3465" s="21"/>
      <c r="C3465">
        <v>58.1</v>
      </c>
      <c r="D3465">
        <v>3.9</v>
      </c>
      <c r="E3465">
        <v>211</v>
      </c>
      <c r="F3465">
        <v>182</v>
      </c>
      <c r="G3465">
        <v>22</v>
      </c>
      <c r="H3465">
        <v>182</v>
      </c>
      <c r="I3465">
        <v>1.46</v>
      </c>
      <c r="J3465" s="1">
        <v>5941</v>
      </c>
    </row>
    <row r="3466" spans="1:10" ht="14.25" customHeight="1" x14ac:dyDescent="0.25">
      <c r="A3466" s="21">
        <v>28075</v>
      </c>
      <c r="B3466" s="21"/>
      <c r="C3466">
        <v>19</v>
      </c>
      <c r="D3466" s="2">
        <v>6932</v>
      </c>
      <c r="E3466">
        <v>10</v>
      </c>
      <c r="F3466">
        <v>33</v>
      </c>
      <c r="H3466">
        <v>33</v>
      </c>
      <c r="I3466">
        <v>1.1499999999999999</v>
      </c>
      <c r="J3466">
        <v>1</v>
      </c>
    </row>
    <row r="3467" spans="1:10" ht="14.25" customHeight="1" x14ac:dyDescent="0.25">
      <c r="A3467" s="21">
        <v>28075</v>
      </c>
      <c r="B3467" s="21"/>
      <c r="C3467">
        <v>18.5</v>
      </c>
      <c r="D3467">
        <v>5.7</v>
      </c>
      <c r="E3467">
        <v>13</v>
      </c>
      <c r="F3467">
        <v>83</v>
      </c>
      <c r="H3467">
        <v>83</v>
      </c>
      <c r="I3467">
        <v>1.05</v>
      </c>
      <c r="J3467" s="1">
        <v>1177</v>
      </c>
    </row>
    <row r="3468" spans="1:10" ht="14.25" customHeight="1" x14ac:dyDescent="0.25">
      <c r="A3468" s="21">
        <v>28075</v>
      </c>
      <c r="B3468" s="21"/>
      <c r="C3468">
        <v>104.1</v>
      </c>
      <c r="D3468">
        <v>4.2</v>
      </c>
      <c r="E3468">
        <v>197</v>
      </c>
      <c r="F3468">
        <v>260</v>
      </c>
      <c r="G3468">
        <v>17</v>
      </c>
      <c r="H3468">
        <v>260</v>
      </c>
      <c r="I3468">
        <v>1.66</v>
      </c>
      <c r="J3468" s="1">
        <v>9906</v>
      </c>
    </row>
    <row r="3469" spans="1:10" ht="14.25" customHeight="1" x14ac:dyDescent="0.25">
      <c r="A3469" s="21">
        <v>28081</v>
      </c>
      <c r="B3469" s="21"/>
      <c r="C3469">
        <v>300.8</v>
      </c>
      <c r="D3469">
        <v>5.0999999999999996</v>
      </c>
      <c r="E3469">
        <v>654</v>
      </c>
      <c r="F3469">
        <v>536</v>
      </c>
      <c r="G3469">
        <v>24</v>
      </c>
      <c r="H3469">
        <v>536</v>
      </c>
      <c r="I3469">
        <v>1.84</v>
      </c>
      <c r="J3469" s="1">
        <v>23178</v>
      </c>
    </row>
    <row r="3470" spans="1:10" ht="14.25" customHeight="1" x14ac:dyDescent="0.25">
      <c r="A3470" s="21">
        <v>28081</v>
      </c>
      <c r="B3470" s="21"/>
      <c r="H3470">
        <v>123</v>
      </c>
    </row>
    <row r="3471" spans="1:10" ht="14.25" customHeight="1" x14ac:dyDescent="0.25">
      <c r="A3471" s="21">
        <v>28083</v>
      </c>
      <c r="B3471" s="21"/>
      <c r="C3471">
        <v>52.1</v>
      </c>
      <c r="D3471">
        <v>3.7</v>
      </c>
      <c r="E3471">
        <v>110</v>
      </c>
      <c r="F3471">
        <v>173</v>
      </c>
      <c r="G3471">
        <v>9</v>
      </c>
      <c r="H3471">
        <v>173</v>
      </c>
      <c r="I3471">
        <v>1.52</v>
      </c>
      <c r="J3471" s="1">
        <v>5383</v>
      </c>
    </row>
    <row r="3472" spans="1:10" ht="14.25" customHeight="1" x14ac:dyDescent="0.25">
      <c r="A3472" s="21">
        <v>28085</v>
      </c>
      <c r="B3472" s="21"/>
      <c r="C3472">
        <v>16.100000000000001</v>
      </c>
      <c r="D3472">
        <v>2.9</v>
      </c>
      <c r="E3472">
        <v>138</v>
      </c>
      <c r="F3472">
        <v>90</v>
      </c>
      <c r="G3472">
        <v>5</v>
      </c>
      <c r="H3472">
        <v>90</v>
      </c>
      <c r="I3472">
        <v>1.52</v>
      </c>
      <c r="J3472" s="1">
        <v>2506</v>
      </c>
    </row>
    <row r="3473" spans="1:10" ht="14.25" customHeight="1" x14ac:dyDescent="0.25">
      <c r="A3473" s="21">
        <v>28087</v>
      </c>
      <c r="B3473" s="21"/>
      <c r="C3473">
        <v>67.3</v>
      </c>
      <c r="D3473">
        <v>3.9</v>
      </c>
      <c r="E3473">
        <v>155</v>
      </c>
      <c r="F3473">
        <v>159</v>
      </c>
      <c r="G3473">
        <v>18</v>
      </c>
      <c r="H3473">
        <v>159</v>
      </c>
      <c r="I3473">
        <v>1.95</v>
      </c>
      <c r="J3473" s="1">
        <v>6754</v>
      </c>
    </row>
    <row r="3474" spans="1:10" ht="14.25" customHeight="1" x14ac:dyDescent="0.25">
      <c r="A3474" s="21">
        <v>28089</v>
      </c>
      <c r="B3474" s="21"/>
      <c r="C3474">
        <v>11.8</v>
      </c>
      <c r="D3474">
        <v>3.4</v>
      </c>
      <c r="E3474">
        <v>46</v>
      </c>
      <c r="F3474">
        <v>67</v>
      </c>
      <c r="G3474">
        <v>7</v>
      </c>
      <c r="H3474">
        <v>67</v>
      </c>
      <c r="I3474">
        <v>1.36</v>
      </c>
      <c r="J3474" s="1">
        <v>1588</v>
      </c>
    </row>
    <row r="3475" spans="1:10" ht="14.25" customHeight="1" x14ac:dyDescent="0.25">
      <c r="A3475" s="21">
        <v>28091</v>
      </c>
      <c r="B3475" s="21"/>
      <c r="C3475">
        <v>17.2</v>
      </c>
      <c r="D3475">
        <v>9.5</v>
      </c>
      <c r="E3475">
        <v>33</v>
      </c>
      <c r="F3475">
        <v>49</v>
      </c>
      <c r="G3475">
        <v>6</v>
      </c>
      <c r="H3475">
        <v>49</v>
      </c>
      <c r="I3475">
        <v>1.1200000000000001</v>
      </c>
      <c r="J3475">
        <v>660</v>
      </c>
    </row>
    <row r="3476" spans="1:10" ht="14.25" customHeight="1" x14ac:dyDescent="0.25">
      <c r="A3476" s="21">
        <v>28093</v>
      </c>
      <c r="B3476" s="21"/>
      <c r="C3476">
        <v>5.5</v>
      </c>
      <c r="D3476">
        <v>6.1</v>
      </c>
      <c r="E3476">
        <v>19</v>
      </c>
      <c r="F3476">
        <v>27</v>
      </c>
      <c r="H3476">
        <v>27</v>
      </c>
      <c r="I3476">
        <v>0.94</v>
      </c>
      <c r="J3476">
        <v>331</v>
      </c>
    </row>
    <row r="3477" spans="1:10" ht="14.25" customHeight="1" x14ac:dyDescent="0.25">
      <c r="A3477" s="21">
        <v>28095</v>
      </c>
      <c r="B3477" s="21"/>
      <c r="C3477">
        <v>26.8</v>
      </c>
      <c r="D3477">
        <v>4.5</v>
      </c>
      <c r="E3477">
        <v>44</v>
      </c>
      <c r="F3477">
        <v>94</v>
      </c>
      <c r="G3477">
        <v>9</v>
      </c>
      <c r="H3477">
        <v>94</v>
      </c>
      <c r="I3477">
        <v>1.32</v>
      </c>
      <c r="J3477" s="1">
        <v>2424</v>
      </c>
    </row>
    <row r="3478" spans="1:10" ht="14.25" customHeight="1" x14ac:dyDescent="0.25">
      <c r="A3478" s="21">
        <v>28097</v>
      </c>
      <c r="B3478" s="21"/>
      <c r="C3478">
        <v>1.3</v>
      </c>
      <c r="D3478">
        <v>3.7</v>
      </c>
      <c r="J3478">
        <v>125</v>
      </c>
    </row>
    <row r="3479" spans="1:10" ht="14.25" customHeight="1" x14ac:dyDescent="0.25">
      <c r="A3479" s="21">
        <v>28099</v>
      </c>
      <c r="B3479" s="21"/>
      <c r="C3479">
        <v>1.8</v>
      </c>
      <c r="D3479">
        <v>3.4</v>
      </c>
      <c r="E3479">
        <v>31</v>
      </c>
      <c r="F3479">
        <v>20</v>
      </c>
      <c r="H3479">
        <v>20</v>
      </c>
      <c r="I3479">
        <v>0.87</v>
      </c>
      <c r="J3479">
        <v>195</v>
      </c>
    </row>
    <row r="3480" spans="1:10" ht="14.25" customHeight="1" x14ac:dyDescent="0.25">
      <c r="A3480" s="21">
        <v>28099</v>
      </c>
      <c r="B3480" s="21"/>
      <c r="C3480">
        <v>12.2</v>
      </c>
      <c r="D3480">
        <v>3.7</v>
      </c>
      <c r="E3480">
        <v>38</v>
      </c>
      <c r="F3480">
        <v>38</v>
      </c>
      <c r="H3480">
        <v>38</v>
      </c>
      <c r="I3480">
        <v>0.98</v>
      </c>
      <c r="J3480" s="1">
        <v>1209</v>
      </c>
    </row>
    <row r="3481" spans="1:10" ht="14.25" customHeight="1" x14ac:dyDescent="0.25">
      <c r="A3481" s="21">
        <v>28105</v>
      </c>
      <c r="B3481" s="21"/>
      <c r="C3481">
        <v>19.3</v>
      </c>
      <c r="D3481">
        <v>6.3</v>
      </c>
      <c r="E3481">
        <v>87</v>
      </c>
      <c r="F3481">
        <v>88</v>
      </c>
      <c r="G3481">
        <v>6</v>
      </c>
      <c r="H3481">
        <v>88</v>
      </c>
      <c r="I3481">
        <v>1.6</v>
      </c>
      <c r="J3481" s="1">
        <v>1474</v>
      </c>
    </row>
    <row r="3482" spans="1:10" ht="14.25" customHeight="1" x14ac:dyDescent="0.25">
      <c r="A3482" s="21">
        <v>28107</v>
      </c>
      <c r="B3482" s="21"/>
      <c r="C3482">
        <v>25.9</v>
      </c>
      <c r="D3482">
        <v>4.5999999999999996</v>
      </c>
      <c r="E3482">
        <v>46</v>
      </c>
      <c r="F3482">
        <v>45</v>
      </c>
      <c r="H3482">
        <v>45</v>
      </c>
      <c r="I3482">
        <v>1.06</v>
      </c>
      <c r="J3482" s="1">
        <v>2096</v>
      </c>
    </row>
    <row r="3483" spans="1:10" ht="14.25" customHeight="1" x14ac:dyDescent="0.25">
      <c r="A3483" s="21">
        <v>28109</v>
      </c>
      <c r="B3483" s="21"/>
      <c r="C3483">
        <v>22.4</v>
      </c>
      <c r="D3483">
        <v>5.5</v>
      </c>
      <c r="E3483">
        <v>65</v>
      </c>
      <c r="F3483">
        <v>49</v>
      </c>
      <c r="G3483">
        <v>6</v>
      </c>
      <c r="H3483">
        <v>49</v>
      </c>
      <c r="I3483">
        <v>1.35</v>
      </c>
      <c r="J3483" s="1">
        <v>1586</v>
      </c>
    </row>
    <row r="3484" spans="1:10" ht="14.25" customHeight="1" x14ac:dyDescent="0.25">
      <c r="A3484" s="21">
        <v>28113</v>
      </c>
      <c r="B3484" s="21"/>
      <c r="C3484">
        <v>3.6</v>
      </c>
      <c r="D3484">
        <v>3.7</v>
      </c>
      <c r="E3484">
        <v>2</v>
      </c>
      <c r="F3484">
        <v>17</v>
      </c>
      <c r="H3484">
        <v>17</v>
      </c>
      <c r="I3484">
        <v>1.0900000000000001</v>
      </c>
      <c r="J3484">
        <v>346</v>
      </c>
    </row>
    <row r="3485" spans="1:10" ht="14.25" customHeight="1" x14ac:dyDescent="0.25">
      <c r="A3485" s="21">
        <v>28113</v>
      </c>
      <c r="B3485" s="21"/>
      <c r="C3485">
        <v>37.299999999999997</v>
      </c>
      <c r="D3485">
        <v>3.6</v>
      </c>
      <c r="E3485">
        <v>143</v>
      </c>
      <c r="F3485">
        <v>160</v>
      </c>
      <c r="G3485">
        <v>16</v>
      </c>
      <c r="H3485">
        <v>160</v>
      </c>
      <c r="I3485">
        <v>1.63</v>
      </c>
      <c r="J3485" s="1">
        <v>4150</v>
      </c>
    </row>
    <row r="3486" spans="1:10" ht="14.25" customHeight="1" x14ac:dyDescent="0.25">
      <c r="A3486" s="21">
        <v>28117</v>
      </c>
      <c r="B3486" s="21"/>
      <c r="C3486">
        <v>7.2</v>
      </c>
      <c r="D3486">
        <v>3.9</v>
      </c>
      <c r="E3486">
        <v>28</v>
      </c>
      <c r="F3486">
        <v>39</v>
      </c>
      <c r="H3486">
        <v>39</v>
      </c>
      <c r="I3486">
        <v>1.29</v>
      </c>
      <c r="J3486">
        <v>667</v>
      </c>
    </row>
    <row r="3487" spans="1:10" ht="14.25" customHeight="1" x14ac:dyDescent="0.25">
      <c r="A3487" s="21">
        <v>28121</v>
      </c>
      <c r="B3487" s="21"/>
      <c r="C3487">
        <v>46.8</v>
      </c>
      <c r="D3487">
        <v>4.4000000000000004</v>
      </c>
      <c r="E3487">
        <v>157</v>
      </c>
      <c r="F3487">
        <v>158</v>
      </c>
      <c r="G3487">
        <v>10</v>
      </c>
      <c r="H3487">
        <v>160</v>
      </c>
      <c r="I3487">
        <v>1.94</v>
      </c>
      <c r="J3487" s="1">
        <v>4713</v>
      </c>
    </row>
    <row r="3488" spans="1:10" ht="14.25" customHeight="1" x14ac:dyDescent="0.25">
      <c r="A3488" s="21">
        <v>28121</v>
      </c>
      <c r="B3488" s="21"/>
      <c r="C3488">
        <v>15.7</v>
      </c>
      <c r="D3488">
        <v>4.0999999999999996</v>
      </c>
      <c r="E3488">
        <v>39</v>
      </c>
      <c r="F3488">
        <v>114</v>
      </c>
      <c r="G3488">
        <v>8</v>
      </c>
      <c r="H3488">
        <v>114</v>
      </c>
      <c r="I3488">
        <v>1.58</v>
      </c>
      <c r="J3488" s="1">
        <v>1412</v>
      </c>
    </row>
    <row r="3489" spans="1:10" ht="14.25" customHeight="1" x14ac:dyDescent="0.25">
      <c r="A3489" s="21">
        <v>28121</v>
      </c>
      <c r="B3489" s="21"/>
      <c r="C3489">
        <v>10</v>
      </c>
      <c r="D3489">
        <v>4.4000000000000004</v>
      </c>
      <c r="E3489">
        <v>39</v>
      </c>
      <c r="F3489">
        <v>33</v>
      </c>
      <c r="H3489">
        <v>33</v>
      </c>
      <c r="I3489">
        <v>1.37</v>
      </c>
      <c r="J3489" s="1">
        <v>1260</v>
      </c>
    </row>
    <row r="3490" spans="1:10" ht="14.25" customHeight="1" x14ac:dyDescent="0.25">
      <c r="A3490" s="21">
        <v>28121</v>
      </c>
      <c r="B3490" s="21"/>
      <c r="C3490">
        <v>3.3</v>
      </c>
      <c r="D3490">
        <v>8.8000000000000007</v>
      </c>
      <c r="E3490">
        <v>12</v>
      </c>
      <c r="F3490">
        <v>32</v>
      </c>
      <c r="H3490">
        <v>32</v>
      </c>
      <c r="I3490">
        <v>1</v>
      </c>
      <c r="J3490">
        <v>136</v>
      </c>
    </row>
    <row r="3491" spans="1:10" ht="14.25" customHeight="1" x14ac:dyDescent="0.25">
      <c r="A3491" s="21">
        <v>28125</v>
      </c>
      <c r="B3491" s="21"/>
      <c r="C3491">
        <v>4.5</v>
      </c>
      <c r="D3491">
        <v>10.4</v>
      </c>
      <c r="E3491">
        <v>15</v>
      </c>
      <c r="F3491">
        <v>19</v>
      </c>
      <c r="H3491">
        <v>19</v>
      </c>
      <c r="I3491">
        <v>0.91</v>
      </c>
      <c r="J3491">
        <v>160</v>
      </c>
    </row>
    <row r="3492" spans="1:10" ht="14.25" customHeight="1" x14ac:dyDescent="0.25">
      <c r="A3492" s="21">
        <v>28127</v>
      </c>
      <c r="B3492" s="21"/>
      <c r="C3492">
        <v>11.8</v>
      </c>
      <c r="D3492">
        <v>7.3</v>
      </c>
      <c r="E3492">
        <v>58</v>
      </c>
      <c r="F3492">
        <v>44</v>
      </c>
      <c r="H3492">
        <v>44</v>
      </c>
      <c r="I3492">
        <v>1.01</v>
      </c>
      <c r="J3492">
        <v>590</v>
      </c>
    </row>
    <row r="3493" spans="1:10" ht="14.25" customHeight="1" x14ac:dyDescent="0.25">
      <c r="A3493" s="21">
        <v>28129</v>
      </c>
      <c r="B3493" s="21"/>
      <c r="C3493">
        <v>0</v>
      </c>
      <c r="D3493">
        <v>2.5</v>
      </c>
      <c r="F3493">
        <v>19</v>
      </c>
      <c r="H3493">
        <v>19</v>
      </c>
      <c r="I3493">
        <v>1.1399999999999999</v>
      </c>
      <c r="J3493">
        <v>2</v>
      </c>
    </row>
    <row r="3494" spans="1:10" ht="14.25" customHeight="1" x14ac:dyDescent="0.25">
      <c r="A3494" s="21">
        <v>28133</v>
      </c>
      <c r="B3494" s="21"/>
      <c r="C3494">
        <v>11.5</v>
      </c>
      <c r="D3494">
        <v>5.6</v>
      </c>
      <c r="E3494">
        <v>36</v>
      </c>
      <c r="F3494">
        <v>47</v>
      </c>
      <c r="H3494">
        <v>47</v>
      </c>
      <c r="I3494">
        <v>1.04</v>
      </c>
      <c r="J3494">
        <v>823</v>
      </c>
    </row>
    <row r="3495" spans="1:10" ht="14.25" customHeight="1" x14ac:dyDescent="0.25">
      <c r="A3495" s="21">
        <v>28137</v>
      </c>
      <c r="B3495" s="21"/>
      <c r="C3495">
        <v>5.0999999999999996</v>
      </c>
      <c r="D3495">
        <v>3.5</v>
      </c>
      <c r="I3495">
        <v>1.02</v>
      </c>
      <c r="J3495">
        <v>531</v>
      </c>
    </row>
    <row r="3496" spans="1:10" ht="14.25" customHeight="1" x14ac:dyDescent="0.25">
      <c r="A3496" s="21">
        <v>28141</v>
      </c>
      <c r="B3496" s="21"/>
      <c r="C3496">
        <v>15.2</v>
      </c>
      <c r="D3496">
        <v>5.9</v>
      </c>
      <c r="E3496">
        <v>16</v>
      </c>
      <c r="F3496">
        <v>66</v>
      </c>
      <c r="H3496">
        <v>66</v>
      </c>
      <c r="I3496">
        <v>1.1299999999999999</v>
      </c>
      <c r="J3496">
        <v>680</v>
      </c>
    </row>
    <row r="3497" spans="1:10" ht="14.25" customHeight="1" x14ac:dyDescent="0.25">
      <c r="A3497" s="21">
        <v>28145</v>
      </c>
      <c r="B3497" s="21"/>
      <c r="C3497">
        <v>22.6</v>
      </c>
      <c r="D3497">
        <v>3.9</v>
      </c>
      <c r="E3497">
        <v>102</v>
      </c>
      <c r="F3497">
        <v>92</v>
      </c>
      <c r="G3497">
        <v>8</v>
      </c>
      <c r="H3497">
        <v>92</v>
      </c>
      <c r="I3497">
        <v>1.32</v>
      </c>
      <c r="J3497" s="1">
        <v>2594</v>
      </c>
    </row>
    <row r="3498" spans="1:10" ht="14.25" customHeight="1" x14ac:dyDescent="0.25">
      <c r="A3498" s="21">
        <v>28149</v>
      </c>
      <c r="B3498" s="21"/>
      <c r="C3498">
        <v>97.6</v>
      </c>
      <c r="D3498">
        <v>5.3</v>
      </c>
      <c r="E3498">
        <v>96</v>
      </c>
      <c r="F3498">
        <v>301</v>
      </c>
      <c r="G3498">
        <v>22</v>
      </c>
      <c r="H3498">
        <v>301</v>
      </c>
      <c r="I3498">
        <v>1.56</v>
      </c>
      <c r="J3498" s="1">
        <v>6919</v>
      </c>
    </row>
    <row r="3499" spans="1:10" ht="14.25" customHeight="1" x14ac:dyDescent="0.25">
      <c r="A3499" s="21">
        <v>28151</v>
      </c>
      <c r="B3499" s="21"/>
      <c r="C3499">
        <v>72.400000000000006</v>
      </c>
      <c r="D3499">
        <v>5</v>
      </c>
      <c r="E3499">
        <v>115</v>
      </c>
      <c r="F3499">
        <v>177</v>
      </c>
      <c r="G3499">
        <v>22</v>
      </c>
      <c r="H3499">
        <v>177</v>
      </c>
      <c r="I3499">
        <v>1.52</v>
      </c>
      <c r="J3499" s="1">
        <v>5641</v>
      </c>
    </row>
    <row r="3500" spans="1:10" ht="14.25" customHeight="1" x14ac:dyDescent="0.25">
      <c r="A3500" s="21">
        <v>28151</v>
      </c>
      <c r="B3500" s="21"/>
      <c r="E3500">
        <v>1</v>
      </c>
    </row>
    <row r="3501" spans="1:10" ht="14.25" customHeight="1" x14ac:dyDescent="0.25">
      <c r="A3501" s="21">
        <v>28153</v>
      </c>
      <c r="B3501" s="21"/>
      <c r="C3501">
        <v>22.1</v>
      </c>
      <c r="D3501">
        <v>6.6</v>
      </c>
      <c r="E3501">
        <v>27</v>
      </c>
      <c r="F3501">
        <v>49</v>
      </c>
      <c r="G3501">
        <v>6</v>
      </c>
      <c r="H3501">
        <v>49</v>
      </c>
      <c r="I3501">
        <v>1.05</v>
      </c>
      <c r="J3501" s="1">
        <v>1279</v>
      </c>
    </row>
    <row r="3502" spans="1:10" ht="14.25" customHeight="1" x14ac:dyDescent="0.25">
      <c r="A3502" s="21">
        <v>28155</v>
      </c>
      <c r="B3502" s="21"/>
      <c r="C3502">
        <v>20.399999999999999</v>
      </c>
      <c r="D3502">
        <v>7.8</v>
      </c>
      <c r="E3502">
        <v>12</v>
      </c>
      <c r="F3502">
        <v>38</v>
      </c>
      <c r="H3502">
        <v>38</v>
      </c>
      <c r="I3502">
        <v>1.05</v>
      </c>
      <c r="J3502">
        <v>960</v>
      </c>
    </row>
    <row r="3503" spans="1:10" ht="14.25" customHeight="1" x14ac:dyDescent="0.25">
      <c r="A3503" s="21">
        <v>28159</v>
      </c>
      <c r="B3503" s="21"/>
      <c r="C3503">
        <v>3.4</v>
      </c>
      <c r="D3503">
        <v>3.8</v>
      </c>
      <c r="E3503">
        <v>18</v>
      </c>
      <c r="F3503">
        <v>14</v>
      </c>
      <c r="H3503">
        <v>14</v>
      </c>
      <c r="I3503">
        <v>1.02</v>
      </c>
      <c r="J3503">
        <v>319</v>
      </c>
    </row>
    <row r="3504" spans="1:10" ht="14.25" customHeight="1" x14ac:dyDescent="0.25">
      <c r="A3504" s="21">
        <v>28161</v>
      </c>
      <c r="B3504" s="21"/>
      <c r="C3504">
        <v>16.399999999999999</v>
      </c>
      <c r="D3504">
        <v>9</v>
      </c>
      <c r="E3504">
        <v>29</v>
      </c>
      <c r="F3504">
        <v>26</v>
      </c>
      <c r="H3504">
        <v>26</v>
      </c>
      <c r="I3504">
        <v>0.9</v>
      </c>
      <c r="J3504">
        <v>662</v>
      </c>
    </row>
    <row r="3505" spans="1:10" ht="14.25" customHeight="1" x14ac:dyDescent="0.25">
      <c r="A3505" s="21">
        <v>29001</v>
      </c>
      <c r="B3505" s="21"/>
      <c r="C3505">
        <v>23.4</v>
      </c>
      <c r="D3505">
        <v>4.2</v>
      </c>
      <c r="E3505">
        <v>111</v>
      </c>
      <c r="F3505">
        <v>51</v>
      </c>
      <c r="G3505">
        <v>10</v>
      </c>
      <c r="H3505">
        <v>51</v>
      </c>
      <c r="I3505">
        <v>1.78</v>
      </c>
      <c r="J3505" s="1">
        <v>2309</v>
      </c>
    </row>
    <row r="3506" spans="1:10" ht="14.25" customHeight="1" x14ac:dyDescent="0.25">
      <c r="A3506" s="21">
        <v>29007</v>
      </c>
      <c r="B3506" s="21"/>
      <c r="C3506">
        <v>11.6</v>
      </c>
      <c r="D3506">
        <v>2.9</v>
      </c>
      <c r="E3506">
        <v>76</v>
      </c>
      <c r="F3506">
        <v>40</v>
      </c>
      <c r="H3506">
        <v>40</v>
      </c>
      <c r="I3506">
        <v>1.28</v>
      </c>
      <c r="J3506" s="1">
        <v>1598</v>
      </c>
    </row>
    <row r="3507" spans="1:10" ht="14.25" customHeight="1" x14ac:dyDescent="0.25">
      <c r="A3507" s="21">
        <v>29013</v>
      </c>
      <c r="B3507" s="21"/>
      <c r="C3507">
        <v>9.1</v>
      </c>
      <c r="D3507">
        <v>4</v>
      </c>
      <c r="E3507">
        <v>37</v>
      </c>
      <c r="F3507">
        <v>44</v>
      </c>
      <c r="H3507">
        <v>44</v>
      </c>
      <c r="I3507">
        <v>1.19</v>
      </c>
      <c r="J3507">
        <v>825</v>
      </c>
    </row>
    <row r="3508" spans="1:10" ht="14.25" customHeight="1" x14ac:dyDescent="0.25">
      <c r="A3508" s="21">
        <v>29019</v>
      </c>
      <c r="B3508" s="21"/>
      <c r="C3508">
        <v>146</v>
      </c>
      <c r="D3508">
        <v>4.4000000000000004</v>
      </c>
      <c r="E3508">
        <v>325</v>
      </c>
      <c r="F3508">
        <v>335</v>
      </c>
      <c r="G3508">
        <v>32</v>
      </c>
      <c r="H3508">
        <v>335</v>
      </c>
      <c r="I3508">
        <v>2.09</v>
      </c>
      <c r="J3508" s="1">
        <v>12845</v>
      </c>
    </row>
    <row r="3509" spans="1:10" ht="14.25" customHeight="1" x14ac:dyDescent="0.25">
      <c r="A3509" s="21">
        <v>29019</v>
      </c>
      <c r="B3509" s="21"/>
      <c r="C3509">
        <v>389</v>
      </c>
      <c r="D3509">
        <v>5.3</v>
      </c>
      <c r="E3509">
        <v>939</v>
      </c>
      <c r="F3509">
        <v>530</v>
      </c>
      <c r="G3509">
        <v>82</v>
      </c>
      <c r="H3509">
        <v>530</v>
      </c>
      <c r="I3509">
        <v>1.97</v>
      </c>
      <c r="J3509" s="1">
        <v>25942</v>
      </c>
    </row>
    <row r="3510" spans="1:10" ht="14.25" customHeight="1" x14ac:dyDescent="0.25">
      <c r="A3510" s="21">
        <v>29019</v>
      </c>
      <c r="B3510" s="21"/>
      <c r="H3510">
        <v>18</v>
      </c>
    </row>
    <row r="3511" spans="1:10" ht="14.25" customHeight="1" x14ac:dyDescent="0.25">
      <c r="A3511" s="21">
        <v>29019</v>
      </c>
      <c r="B3511" s="21"/>
    </row>
    <row r="3512" spans="1:10" ht="14.25" customHeight="1" x14ac:dyDescent="0.25">
      <c r="A3512" s="21">
        <v>29019</v>
      </c>
      <c r="B3512" s="21"/>
      <c r="E3512">
        <v>5</v>
      </c>
    </row>
    <row r="3513" spans="1:10" ht="14.25" customHeight="1" x14ac:dyDescent="0.25">
      <c r="A3513" s="21">
        <v>29021</v>
      </c>
      <c r="B3513" s="21"/>
      <c r="C3513">
        <v>189.6</v>
      </c>
      <c r="D3513">
        <v>3.4</v>
      </c>
      <c r="E3513">
        <v>368</v>
      </c>
      <c r="F3513">
        <v>352</v>
      </c>
      <c r="G3513">
        <v>21</v>
      </c>
      <c r="H3513">
        <v>352</v>
      </c>
      <c r="I3513">
        <v>1.73</v>
      </c>
      <c r="J3513" s="1">
        <v>21465</v>
      </c>
    </row>
    <row r="3514" spans="1:10" ht="14.25" customHeight="1" x14ac:dyDescent="0.25">
      <c r="A3514" s="21">
        <v>29023</v>
      </c>
      <c r="B3514" s="21"/>
      <c r="C3514">
        <v>123.1</v>
      </c>
      <c r="D3514">
        <v>4.3</v>
      </c>
      <c r="E3514">
        <v>147</v>
      </c>
      <c r="F3514">
        <v>220</v>
      </c>
      <c r="G3514">
        <v>14</v>
      </c>
      <c r="H3514">
        <v>220</v>
      </c>
      <c r="I3514">
        <v>1.52</v>
      </c>
      <c r="J3514" s="1">
        <v>11000</v>
      </c>
    </row>
    <row r="3515" spans="1:10" ht="14.25" customHeight="1" x14ac:dyDescent="0.25">
      <c r="A3515" s="21">
        <v>29023</v>
      </c>
      <c r="B3515" s="21"/>
    </row>
    <row r="3516" spans="1:10" ht="14.25" customHeight="1" x14ac:dyDescent="0.25">
      <c r="A3516" s="21">
        <v>29023</v>
      </c>
      <c r="B3516" s="21"/>
      <c r="C3516">
        <v>1.7</v>
      </c>
      <c r="D3516">
        <v>2.9</v>
      </c>
      <c r="I3516">
        <v>0.98</v>
      </c>
      <c r="J3516">
        <v>215</v>
      </c>
    </row>
    <row r="3517" spans="1:10" ht="14.25" customHeight="1" x14ac:dyDescent="0.25">
      <c r="A3517" s="21">
        <v>29027</v>
      </c>
      <c r="B3517" s="21"/>
      <c r="C3517">
        <v>0.9</v>
      </c>
      <c r="D3517">
        <v>2.2999999999999998</v>
      </c>
      <c r="E3517">
        <v>18</v>
      </c>
      <c r="F3517">
        <v>18</v>
      </c>
      <c r="H3517">
        <v>18</v>
      </c>
      <c r="I3517">
        <v>1.1100000000000001</v>
      </c>
      <c r="J3517">
        <v>143</v>
      </c>
    </row>
    <row r="3518" spans="1:10" ht="14.25" customHeight="1" x14ac:dyDescent="0.25">
      <c r="A3518" s="21">
        <v>29029</v>
      </c>
      <c r="B3518" s="21"/>
      <c r="C3518">
        <v>40.299999999999997</v>
      </c>
      <c r="D3518">
        <v>3.4</v>
      </c>
      <c r="E3518">
        <v>163</v>
      </c>
      <c r="F3518">
        <v>100</v>
      </c>
      <c r="G3518">
        <v>18</v>
      </c>
      <c r="H3518">
        <v>100</v>
      </c>
      <c r="I3518">
        <v>1.62</v>
      </c>
      <c r="J3518" s="1">
        <v>4705</v>
      </c>
    </row>
    <row r="3519" spans="1:10" ht="14.25" customHeight="1" x14ac:dyDescent="0.25">
      <c r="A3519" s="21">
        <v>29031</v>
      </c>
      <c r="B3519" s="21"/>
      <c r="C3519">
        <v>99</v>
      </c>
      <c r="D3519">
        <v>5.3</v>
      </c>
      <c r="E3519">
        <v>228</v>
      </c>
      <c r="F3519">
        <v>181</v>
      </c>
      <c r="H3519">
        <v>181</v>
      </c>
      <c r="I3519">
        <v>1.92</v>
      </c>
      <c r="J3519" s="1">
        <v>7639</v>
      </c>
    </row>
    <row r="3520" spans="1:10" ht="14.25" customHeight="1" x14ac:dyDescent="0.25">
      <c r="A3520" s="21">
        <v>29031</v>
      </c>
      <c r="B3520" s="21"/>
      <c r="C3520">
        <v>131.6</v>
      </c>
      <c r="D3520">
        <v>5</v>
      </c>
      <c r="E3520">
        <v>438</v>
      </c>
      <c r="F3520">
        <v>283</v>
      </c>
      <c r="G3520">
        <v>31</v>
      </c>
      <c r="H3520">
        <v>283</v>
      </c>
      <c r="I3520">
        <v>1.85</v>
      </c>
      <c r="J3520" s="1">
        <v>10055</v>
      </c>
    </row>
    <row r="3521" spans="1:10" ht="14.25" customHeight="1" x14ac:dyDescent="0.25">
      <c r="A3521" s="21">
        <v>29037</v>
      </c>
      <c r="B3521" s="21"/>
      <c r="C3521">
        <v>29</v>
      </c>
      <c r="D3521">
        <v>3</v>
      </c>
      <c r="E3521">
        <v>72</v>
      </c>
      <c r="F3521">
        <v>71</v>
      </c>
      <c r="G3521">
        <v>5</v>
      </c>
      <c r="H3521">
        <v>71</v>
      </c>
      <c r="I3521">
        <v>1.36</v>
      </c>
      <c r="J3521" s="1">
        <v>3557</v>
      </c>
    </row>
    <row r="3522" spans="1:10" ht="14.25" customHeight="1" x14ac:dyDescent="0.25">
      <c r="A3522" s="21">
        <v>29043</v>
      </c>
      <c r="B3522" s="21"/>
      <c r="H3522">
        <v>48</v>
      </c>
    </row>
    <row r="3523" spans="1:10" ht="14.25" customHeight="1" x14ac:dyDescent="0.25">
      <c r="A3523" s="21">
        <v>29047</v>
      </c>
      <c r="B3523" s="21"/>
      <c r="C3523">
        <v>219.8</v>
      </c>
      <c r="D3523">
        <v>6.4</v>
      </c>
      <c r="E3523">
        <v>488</v>
      </c>
      <c r="F3523">
        <v>363</v>
      </c>
      <c r="G3523">
        <v>14</v>
      </c>
      <c r="H3523">
        <v>363</v>
      </c>
      <c r="I3523">
        <v>1.75</v>
      </c>
      <c r="J3523" s="1">
        <v>13097</v>
      </c>
    </row>
    <row r="3524" spans="1:10" ht="14.25" customHeight="1" x14ac:dyDescent="0.25">
      <c r="A3524" s="21">
        <v>29047</v>
      </c>
      <c r="B3524" s="21"/>
      <c r="C3524">
        <v>81.5</v>
      </c>
      <c r="D3524">
        <v>4.2</v>
      </c>
      <c r="E3524">
        <v>201</v>
      </c>
      <c r="F3524">
        <v>199</v>
      </c>
      <c r="G3524">
        <v>20</v>
      </c>
      <c r="H3524">
        <v>199</v>
      </c>
      <c r="I3524">
        <v>1.63</v>
      </c>
      <c r="J3524" s="1">
        <v>7747</v>
      </c>
    </row>
    <row r="3525" spans="1:10" ht="14.25" customHeight="1" x14ac:dyDescent="0.25">
      <c r="A3525" s="21">
        <v>29047</v>
      </c>
      <c r="B3525" s="21"/>
    </row>
    <row r="3526" spans="1:10" ht="14.25" customHeight="1" x14ac:dyDescent="0.25">
      <c r="A3526" s="21">
        <v>29049</v>
      </c>
      <c r="B3526" s="21"/>
      <c r="C3526">
        <v>17.7</v>
      </c>
      <c r="D3526">
        <v>4.9000000000000004</v>
      </c>
      <c r="E3526">
        <v>81</v>
      </c>
      <c r="F3526">
        <v>42</v>
      </c>
      <c r="G3526">
        <v>5</v>
      </c>
      <c r="H3526">
        <v>42</v>
      </c>
      <c r="I3526">
        <v>1.1100000000000001</v>
      </c>
      <c r="J3526" s="1">
        <v>1352</v>
      </c>
    </row>
    <row r="3527" spans="1:10" ht="14.25" customHeight="1" x14ac:dyDescent="0.25">
      <c r="A3527" s="21">
        <v>29051</v>
      </c>
      <c r="B3527" s="21"/>
      <c r="C3527">
        <v>48.3</v>
      </c>
      <c r="D3527">
        <v>3.5</v>
      </c>
      <c r="E3527">
        <v>217</v>
      </c>
      <c r="F3527">
        <v>100</v>
      </c>
      <c r="G3527">
        <v>12</v>
      </c>
      <c r="H3527">
        <v>100</v>
      </c>
      <c r="I3527">
        <v>1.51</v>
      </c>
      <c r="J3527" s="1">
        <v>5319</v>
      </c>
    </row>
    <row r="3528" spans="1:10" ht="14.25" customHeight="1" x14ac:dyDescent="0.25">
      <c r="A3528" s="21">
        <v>29051</v>
      </c>
      <c r="B3528" s="21"/>
      <c r="C3528">
        <v>68.3</v>
      </c>
      <c r="D3528">
        <v>3.9</v>
      </c>
      <c r="E3528">
        <v>172</v>
      </c>
      <c r="F3528">
        <v>167</v>
      </c>
      <c r="G3528">
        <v>13</v>
      </c>
      <c r="H3528">
        <v>154</v>
      </c>
      <c r="I3528">
        <v>1.76</v>
      </c>
      <c r="J3528" s="1">
        <v>6861</v>
      </c>
    </row>
    <row r="3529" spans="1:10" ht="14.25" customHeight="1" x14ac:dyDescent="0.25">
      <c r="A3529" s="21">
        <v>29053</v>
      </c>
      <c r="B3529" s="21"/>
      <c r="C3529">
        <v>5.9</v>
      </c>
      <c r="D3529">
        <v>11.6</v>
      </c>
      <c r="I3529">
        <v>1.02</v>
      </c>
      <c r="J3529">
        <v>185</v>
      </c>
    </row>
    <row r="3530" spans="1:10" ht="14.25" customHeight="1" x14ac:dyDescent="0.25">
      <c r="A3530" s="21">
        <v>29069</v>
      </c>
      <c r="B3530" s="21"/>
      <c r="C3530">
        <v>19.399999999999999</v>
      </c>
      <c r="D3530">
        <v>3.3</v>
      </c>
      <c r="I3530">
        <v>1.23</v>
      </c>
      <c r="J3530" s="1">
        <v>2376</v>
      </c>
    </row>
    <row r="3531" spans="1:10" ht="14.25" customHeight="1" x14ac:dyDescent="0.25">
      <c r="A3531" s="21">
        <v>29071</v>
      </c>
      <c r="B3531" s="21"/>
      <c r="C3531">
        <v>55.9</v>
      </c>
      <c r="D3531">
        <v>3.3</v>
      </c>
      <c r="E3531">
        <v>292</v>
      </c>
      <c r="F3531">
        <v>148</v>
      </c>
      <c r="G3531">
        <v>13</v>
      </c>
      <c r="H3531">
        <v>148</v>
      </c>
      <c r="I3531">
        <v>1.74</v>
      </c>
      <c r="J3531" s="1">
        <v>6706</v>
      </c>
    </row>
    <row r="3532" spans="1:10" ht="14.25" customHeight="1" x14ac:dyDescent="0.25">
      <c r="A3532" s="21">
        <v>29077</v>
      </c>
      <c r="B3532" s="21"/>
      <c r="C3532">
        <v>2.9</v>
      </c>
      <c r="D3532">
        <v>3.2</v>
      </c>
      <c r="J3532">
        <v>328</v>
      </c>
    </row>
    <row r="3533" spans="1:10" ht="14.25" customHeight="1" x14ac:dyDescent="0.25">
      <c r="A3533" s="21">
        <v>29077</v>
      </c>
      <c r="B3533" s="21"/>
      <c r="C3533">
        <v>470.8</v>
      </c>
      <c r="D3533">
        <v>4.9000000000000004</v>
      </c>
      <c r="E3533">
        <v>998</v>
      </c>
      <c r="F3533">
        <v>665</v>
      </c>
      <c r="G3533">
        <v>55</v>
      </c>
      <c r="H3533">
        <v>665</v>
      </c>
      <c r="I3533">
        <v>1.98</v>
      </c>
      <c r="J3533" s="1">
        <v>36279</v>
      </c>
    </row>
    <row r="3534" spans="1:10" ht="14.25" customHeight="1" x14ac:dyDescent="0.25">
      <c r="A3534" s="21">
        <v>29077</v>
      </c>
      <c r="B3534" s="21"/>
      <c r="C3534">
        <v>448.8</v>
      </c>
      <c r="D3534">
        <v>5.2</v>
      </c>
      <c r="E3534">
        <v>932</v>
      </c>
      <c r="F3534">
        <v>596</v>
      </c>
      <c r="G3534">
        <v>74</v>
      </c>
      <c r="H3534">
        <v>596</v>
      </c>
      <c r="I3534">
        <v>1.86</v>
      </c>
      <c r="J3534" s="1">
        <v>32971</v>
      </c>
    </row>
    <row r="3535" spans="1:10" ht="14.25" customHeight="1" x14ac:dyDescent="0.25">
      <c r="A3535" s="21">
        <v>29077</v>
      </c>
      <c r="B3535" s="21"/>
      <c r="H3535">
        <v>75</v>
      </c>
    </row>
    <row r="3536" spans="1:10" ht="14.25" customHeight="1" x14ac:dyDescent="0.25">
      <c r="A3536" s="21">
        <v>29077</v>
      </c>
      <c r="B3536" s="21"/>
    </row>
    <row r="3537" spans="1:10" ht="14.25" customHeight="1" x14ac:dyDescent="0.25">
      <c r="A3537" s="21">
        <v>29083</v>
      </c>
      <c r="B3537" s="21"/>
      <c r="C3537">
        <v>17.7</v>
      </c>
      <c r="D3537">
        <v>3.6</v>
      </c>
      <c r="E3537">
        <v>117</v>
      </c>
      <c r="F3537">
        <v>42</v>
      </c>
      <c r="G3537">
        <v>8</v>
      </c>
      <c r="H3537">
        <v>42</v>
      </c>
      <c r="I3537">
        <v>1.35</v>
      </c>
      <c r="J3537" s="1">
        <v>2051</v>
      </c>
    </row>
    <row r="3538" spans="1:10" ht="14.25" customHeight="1" x14ac:dyDescent="0.25">
      <c r="A3538" s="21">
        <v>29091</v>
      </c>
      <c r="B3538" s="21"/>
      <c r="C3538">
        <v>51.2</v>
      </c>
      <c r="D3538">
        <v>3.5</v>
      </c>
      <c r="E3538">
        <v>164</v>
      </c>
      <c r="F3538">
        <v>103</v>
      </c>
      <c r="G3538">
        <v>12</v>
      </c>
      <c r="H3538">
        <v>103</v>
      </c>
      <c r="I3538">
        <v>1.47</v>
      </c>
      <c r="J3538" s="1">
        <v>5687</v>
      </c>
    </row>
    <row r="3539" spans="1:10" ht="14.25" customHeight="1" x14ac:dyDescent="0.25">
      <c r="A3539" s="21">
        <v>29095</v>
      </c>
      <c r="B3539" s="21"/>
      <c r="C3539">
        <v>137</v>
      </c>
      <c r="D3539">
        <v>4.0999999999999996</v>
      </c>
      <c r="E3539">
        <v>256</v>
      </c>
      <c r="F3539">
        <v>184</v>
      </c>
      <c r="G3539">
        <v>16</v>
      </c>
      <c r="H3539">
        <v>184</v>
      </c>
      <c r="I3539">
        <v>1.51</v>
      </c>
      <c r="J3539" s="1">
        <v>13566</v>
      </c>
    </row>
    <row r="3540" spans="1:10" ht="14.25" customHeight="1" x14ac:dyDescent="0.25">
      <c r="A3540" s="21">
        <v>29095</v>
      </c>
      <c r="B3540" s="21"/>
      <c r="C3540">
        <v>69.2</v>
      </c>
      <c r="D3540">
        <v>4</v>
      </c>
      <c r="E3540">
        <v>140</v>
      </c>
      <c r="F3540">
        <v>127</v>
      </c>
      <c r="G3540">
        <v>16</v>
      </c>
      <c r="H3540">
        <v>127</v>
      </c>
      <c r="I3540">
        <v>1.88</v>
      </c>
      <c r="J3540" s="1">
        <v>6316</v>
      </c>
    </row>
    <row r="3541" spans="1:10" ht="14.25" customHeight="1" x14ac:dyDescent="0.25">
      <c r="A3541" s="21">
        <v>29095</v>
      </c>
      <c r="B3541" s="21"/>
      <c r="C3541">
        <v>53.3</v>
      </c>
      <c r="D3541">
        <v>5.0999999999999996</v>
      </c>
      <c r="E3541">
        <v>224</v>
      </c>
      <c r="F3541">
        <v>110</v>
      </c>
      <c r="G3541">
        <v>8</v>
      </c>
      <c r="H3541">
        <v>110</v>
      </c>
      <c r="I3541">
        <v>1.45</v>
      </c>
      <c r="J3541" s="1">
        <v>4416</v>
      </c>
    </row>
    <row r="3542" spans="1:10" ht="14.25" customHeight="1" x14ac:dyDescent="0.25">
      <c r="A3542" s="21">
        <v>29095</v>
      </c>
      <c r="B3542" s="21"/>
      <c r="C3542">
        <v>187.9</v>
      </c>
      <c r="D3542">
        <v>4</v>
      </c>
      <c r="E3542">
        <v>312</v>
      </c>
      <c r="F3542">
        <v>265</v>
      </c>
      <c r="G3542">
        <v>40</v>
      </c>
      <c r="H3542">
        <v>265</v>
      </c>
      <c r="I3542">
        <v>1.6</v>
      </c>
      <c r="J3542" s="1">
        <v>16651</v>
      </c>
    </row>
    <row r="3543" spans="1:10" ht="14.25" customHeight="1" x14ac:dyDescent="0.25">
      <c r="A3543" s="21">
        <v>29095</v>
      </c>
      <c r="B3543" s="21"/>
      <c r="C3543">
        <v>331.2</v>
      </c>
      <c r="D3543">
        <v>5.9</v>
      </c>
      <c r="E3543">
        <v>944</v>
      </c>
      <c r="F3543">
        <v>443</v>
      </c>
      <c r="G3543">
        <v>71</v>
      </c>
      <c r="H3543">
        <v>443</v>
      </c>
      <c r="I3543">
        <v>2.3199999999999998</v>
      </c>
      <c r="J3543" s="1">
        <v>21183</v>
      </c>
    </row>
    <row r="3544" spans="1:10" ht="14.25" customHeight="1" x14ac:dyDescent="0.25">
      <c r="A3544" s="21">
        <v>29095</v>
      </c>
      <c r="B3544" s="21"/>
      <c r="C3544">
        <v>43.8</v>
      </c>
      <c r="D3544">
        <v>3.6</v>
      </c>
      <c r="E3544">
        <v>95</v>
      </c>
      <c r="F3544">
        <v>80</v>
      </c>
      <c r="G3544">
        <v>10</v>
      </c>
      <c r="H3544">
        <v>80</v>
      </c>
      <c r="I3544">
        <v>1.52</v>
      </c>
      <c r="J3544" s="1">
        <v>4431</v>
      </c>
    </row>
    <row r="3545" spans="1:10" ht="14.25" customHeight="1" x14ac:dyDescent="0.25">
      <c r="A3545" s="21">
        <v>29095</v>
      </c>
      <c r="B3545" s="21"/>
      <c r="C3545">
        <v>47.6</v>
      </c>
      <c r="D3545">
        <v>3.7</v>
      </c>
      <c r="E3545">
        <v>89</v>
      </c>
      <c r="F3545">
        <v>73</v>
      </c>
      <c r="G3545">
        <v>8</v>
      </c>
      <c r="H3545">
        <v>73</v>
      </c>
      <c r="I3545">
        <v>1.7</v>
      </c>
      <c r="J3545" s="1">
        <v>4690</v>
      </c>
    </row>
    <row r="3546" spans="1:10" ht="14.25" customHeight="1" x14ac:dyDescent="0.25">
      <c r="A3546" s="21">
        <v>29095</v>
      </c>
      <c r="B3546" s="21"/>
      <c r="C3546">
        <v>238.7</v>
      </c>
      <c r="D3546">
        <v>5.5</v>
      </c>
      <c r="E3546">
        <v>342</v>
      </c>
      <c r="F3546">
        <v>330</v>
      </c>
      <c r="G3546">
        <v>28</v>
      </c>
      <c r="H3546">
        <v>374</v>
      </c>
      <c r="I3546">
        <v>1.87</v>
      </c>
      <c r="J3546" s="1">
        <v>16398</v>
      </c>
    </row>
    <row r="3547" spans="1:10" ht="14.25" customHeight="1" x14ac:dyDescent="0.25">
      <c r="A3547" s="21">
        <v>29095</v>
      </c>
      <c r="B3547" s="21"/>
      <c r="C3547">
        <v>188.6</v>
      </c>
      <c r="D3547">
        <v>6</v>
      </c>
      <c r="E3547">
        <v>389</v>
      </c>
      <c r="F3547">
        <v>238</v>
      </c>
      <c r="G3547">
        <v>41</v>
      </c>
      <c r="H3547">
        <v>238</v>
      </c>
      <c r="I3547">
        <v>1.49</v>
      </c>
      <c r="J3547" s="1">
        <v>12317</v>
      </c>
    </row>
    <row r="3548" spans="1:10" ht="14.25" customHeight="1" x14ac:dyDescent="0.25">
      <c r="A3548" s="21">
        <v>29095</v>
      </c>
      <c r="B3548" s="21"/>
    </row>
    <row r="3549" spans="1:10" ht="14.25" customHeight="1" x14ac:dyDescent="0.25">
      <c r="A3549" s="21">
        <v>29097</v>
      </c>
      <c r="B3549" s="21"/>
      <c r="C3549">
        <v>224.6</v>
      </c>
      <c r="D3549">
        <v>5</v>
      </c>
      <c r="E3549">
        <v>373</v>
      </c>
      <c r="F3549">
        <v>361</v>
      </c>
      <c r="G3549">
        <v>39</v>
      </c>
      <c r="H3549">
        <v>339</v>
      </c>
      <c r="I3549">
        <v>1.81</v>
      </c>
      <c r="J3549" s="1">
        <v>16999</v>
      </c>
    </row>
    <row r="3550" spans="1:10" ht="14.25" customHeight="1" x14ac:dyDescent="0.25">
      <c r="A3550" s="21">
        <v>29097</v>
      </c>
      <c r="B3550" s="21"/>
      <c r="C3550">
        <v>155</v>
      </c>
      <c r="D3550">
        <v>4.5999999999999996</v>
      </c>
      <c r="E3550">
        <v>262</v>
      </c>
      <c r="F3550">
        <v>240</v>
      </c>
      <c r="G3550">
        <v>48</v>
      </c>
      <c r="H3550">
        <v>240</v>
      </c>
      <c r="I3550">
        <v>1.74</v>
      </c>
      <c r="J3550" s="1">
        <v>12793</v>
      </c>
    </row>
    <row r="3551" spans="1:10" ht="14.25" customHeight="1" x14ac:dyDescent="0.25">
      <c r="A3551" s="21">
        <v>29097</v>
      </c>
      <c r="B3551" s="21"/>
      <c r="H3551">
        <v>72</v>
      </c>
    </row>
    <row r="3552" spans="1:10" ht="14.25" customHeight="1" x14ac:dyDescent="0.25">
      <c r="A3552" s="21">
        <v>29099</v>
      </c>
      <c r="B3552" s="21"/>
      <c r="C3552">
        <v>112.3</v>
      </c>
      <c r="D3552">
        <v>4.4000000000000004</v>
      </c>
      <c r="E3552">
        <v>224</v>
      </c>
      <c r="F3552">
        <v>279</v>
      </c>
      <c r="G3552">
        <v>28</v>
      </c>
      <c r="H3552">
        <v>279</v>
      </c>
      <c r="I3552">
        <v>1.61</v>
      </c>
      <c r="J3552" s="1">
        <v>9618</v>
      </c>
    </row>
    <row r="3553" spans="1:10" ht="14.25" customHeight="1" x14ac:dyDescent="0.25">
      <c r="A3553" s="21">
        <v>29101</v>
      </c>
      <c r="B3553" s="21"/>
      <c r="C3553">
        <v>19.8</v>
      </c>
      <c r="D3553">
        <v>3.5</v>
      </c>
      <c r="E3553">
        <v>89</v>
      </c>
      <c r="F3553">
        <v>46</v>
      </c>
      <c r="H3553">
        <v>46</v>
      </c>
      <c r="I3553">
        <v>1.37</v>
      </c>
      <c r="J3553" s="1">
        <v>2468</v>
      </c>
    </row>
    <row r="3554" spans="1:10" ht="14.25" customHeight="1" x14ac:dyDescent="0.25">
      <c r="A3554" s="21">
        <v>29105</v>
      </c>
      <c r="B3554" s="21"/>
      <c r="C3554">
        <v>15.3</v>
      </c>
      <c r="D3554">
        <v>2.4</v>
      </c>
      <c r="E3554">
        <v>108</v>
      </c>
      <c r="F3554">
        <v>43</v>
      </c>
      <c r="G3554">
        <v>4</v>
      </c>
      <c r="H3554">
        <v>43</v>
      </c>
      <c r="I3554">
        <v>1.42</v>
      </c>
      <c r="J3554" s="1">
        <v>2497</v>
      </c>
    </row>
    <row r="3555" spans="1:10" ht="14.25" customHeight="1" x14ac:dyDescent="0.25">
      <c r="A3555" s="21">
        <v>29127</v>
      </c>
      <c r="B3555" s="21"/>
      <c r="C3555">
        <v>41.7</v>
      </c>
      <c r="D3555">
        <v>3.6</v>
      </c>
      <c r="E3555">
        <v>157</v>
      </c>
      <c r="F3555">
        <v>86</v>
      </c>
      <c r="G3555">
        <v>8</v>
      </c>
      <c r="H3555">
        <v>86</v>
      </c>
      <c r="I3555">
        <v>1.39</v>
      </c>
      <c r="J3555" s="1">
        <v>4534</v>
      </c>
    </row>
    <row r="3556" spans="1:10" ht="14.25" customHeight="1" x14ac:dyDescent="0.25">
      <c r="A3556" s="21">
        <v>29147</v>
      </c>
      <c r="B3556" s="21"/>
      <c r="C3556">
        <v>6.9</v>
      </c>
      <c r="D3556">
        <v>2.7</v>
      </c>
      <c r="E3556">
        <v>44</v>
      </c>
      <c r="F3556">
        <v>38</v>
      </c>
      <c r="H3556">
        <v>38</v>
      </c>
      <c r="I3556">
        <v>1.1299999999999999</v>
      </c>
      <c r="J3556" s="1">
        <v>1124</v>
      </c>
    </row>
    <row r="3557" spans="1:10" ht="14.25" customHeight="1" x14ac:dyDescent="0.25">
      <c r="A3557" s="21">
        <v>29155</v>
      </c>
      <c r="B3557" s="21"/>
      <c r="C3557">
        <v>17.100000000000001</v>
      </c>
      <c r="D3557">
        <v>4.4000000000000004</v>
      </c>
      <c r="E3557">
        <v>23</v>
      </c>
      <c r="F3557">
        <v>49</v>
      </c>
      <c r="G3557">
        <v>7</v>
      </c>
      <c r="H3557">
        <v>49</v>
      </c>
      <c r="I3557">
        <v>1.1100000000000001</v>
      </c>
      <c r="J3557" s="1">
        <v>1428</v>
      </c>
    </row>
    <row r="3558" spans="1:10" ht="14.25" customHeight="1" x14ac:dyDescent="0.25">
      <c r="A3558" s="21">
        <v>29159</v>
      </c>
      <c r="B3558" s="21"/>
      <c r="C3558">
        <v>40.4</v>
      </c>
      <c r="D3558">
        <v>4</v>
      </c>
      <c r="E3558">
        <v>132</v>
      </c>
      <c r="F3558">
        <v>108</v>
      </c>
      <c r="G3558">
        <v>9</v>
      </c>
      <c r="H3558">
        <v>108</v>
      </c>
      <c r="I3558">
        <v>1.44</v>
      </c>
      <c r="J3558" s="1">
        <v>3923</v>
      </c>
    </row>
    <row r="3559" spans="1:10" ht="14.25" customHeight="1" x14ac:dyDescent="0.25">
      <c r="A3559" s="21">
        <v>29161</v>
      </c>
      <c r="B3559" s="21"/>
      <c r="C3559">
        <v>48.7</v>
      </c>
      <c r="D3559">
        <v>3.9</v>
      </c>
      <c r="E3559">
        <v>173</v>
      </c>
      <c r="F3559">
        <v>172</v>
      </c>
      <c r="G3559">
        <v>18</v>
      </c>
      <c r="H3559">
        <v>172</v>
      </c>
      <c r="I3559">
        <v>1.4</v>
      </c>
      <c r="J3559" s="1">
        <v>4963</v>
      </c>
    </row>
    <row r="3560" spans="1:10" ht="14.25" customHeight="1" x14ac:dyDescent="0.25">
      <c r="A3560" s="21">
        <v>29165</v>
      </c>
      <c r="B3560" s="21"/>
      <c r="C3560">
        <v>74.2</v>
      </c>
      <c r="D3560">
        <v>4</v>
      </c>
      <c r="E3560">
        <v>109</v>
      </c>
      <c r="F3560">
        <v>118</v>
      </c>
      <c r="H3560">
        <v>118</v>
      </c>
      <c r="I3560">
        <v>1.41</v>
      </c>
      <c r="J3560" s="1">
        <v>7198</v>
      </c>
    </row>
    <row r="3561" spans="1:10" ht="14.25" customHeight="1" x14ac:dyDescent="0.25">
      <c r="A3561" s="21">
        <v>29167</v>
      </c>
      <c r="B3561" s="21"/>
      <c r="C3561">
        <v>23.2</v>
      </c>
      <c r="D3561">
        <v>3</v>
      </c>
      <c r="E3561">
        <v>166</v>
      </c>
      <c r="F3561">
        <v>52</v>
      </c>
      <c r="G3561">
        <v>8</v>
      </c>
      <c r="H3561">
        <v>52</v>
      </c>
      <c r="I3561">
        <v>1.64</v>
      </c>
      <c r="J3561" s="1">
        <v>3141</v>
      </c>
    </row>
    <row r="3562" spans="1:10" ht="14.25" customHeight="1" x14ac:dyDescent="0.25">
      <c r="A3562" s="21">
        <v>29175</v>
      </c>
      <c r="B3562" s="21"/>
      <c r="C3562">
        <v>8.6</v>
      </c>
      <c r="D3562">
        <v>3.6</v>
      </c>
      <c r="E3562">
        <v>52</v>
      </c>
      <c r="F3562">
        <v>33</v>
      </c>
      <c r="G3562">
        <v>8</v>
      </c>
      <c r="H3562">
        <v>33</v>
      </c>
      <c r="I3562">
        <v>1.38</v>
      </c>
      <c r="J3562">
        <v>919</v>
      </c>
    </row>
    <row r="3563" spans="1:10" ht="14.25" customHeight="1" x14ac:dyDescent="0.25">
      <c r="A3563" s="21">
        <v>29181</v>
      </c>
      <c r="B3563" s="21"/>
      <c r="C3563">
        <v>1.8</v>
      </c>
      <c r="D3563">
        <v>3.1</v>
      </c>
      <c r="I3563">
        <v>1.1399999999999999</v>
      </c>
      <c r="J3563">
        <v>214</v>
      </c>
    </row>
    <row r="3564" spans="1:10" ht="14.25" customHeight="1" x14ac:dyDescent="0.25">
      <c r="A3564" s="21">
        <v>29183</v>
      </c>
      <c r="B3564" s="21"/>
      <c r="C3564">
        <v>161.6</v>
      </c>
      <c r="D3564">
        <v>4.4000000000000004</v>
      </c>
      <c r="E3564">
        <v>279</v>
      </c>
      <c r="F3564">
        <v>233</v>
      </c>
      <c r="G3564">
        <v>14</v>
      </c>
      <c r="H3564">
        <v>333</v>
      </c>
      <c r="I3564">
        <v>1.65</v>
      </c>
      <c r="J3564" s="1">
        <v>13836</v>
      </c>
    </row>
    <row r="3565" spans="1:10" ht="14.25" customHeight="1" x14ac:dyDescent="0.25">
      <c r="A3565" s="21">
        <v>29183</v>
      </c>
      <c r="B3565" s="21"/>
      <c r="C3565">
        <v>95.1</v>
      </c>
      <c r="D3565">
        <v>3.4</v>
      </c>
      <c r="E3565">
        <v>231</v>
      </c>
      <c r="F3565">
        <v>199</v>
      </c>
      <c r="G3565">
        <v>9</v>
      </c>
      <c r="H3565">
        <v>199</v>
      </c>
      <c r="I3565">
        <v>1.59</v>
      </c>
      <c r="J3565" s="1">
        <v>10902</v>
      </c>
    </row>
    <row r="3566" spans="1:10" ht="14.25" customHeight="1" x14ac:dyDescent="0.25">
      <c r="A3566" s="21">
        <v>29183</v>
      </c>
      <c r="B3566" s="21"/>
      <c r="C3566">
        <v>56.8</v>
      </c>
      <c r="D3566">
        <v>3.9</v>
      </c>
      <c r="E3566">
        <v>140</v>
      </c>
      <c r="F3566">
        <v>113</v>
      </c>
      <c r="G3566">
        <v>16</v>
      </c>
      <c r="H3566">
        <v>113</v>
      </c>
      <c r="I3566">
        <v>1.49</v>
      </c>
      <c r="J3566" s="1">
        <v>5350</v>
      </c>
    </row>
    <row r="3567" spans="1:10" ht="14.25" customHeight="1" x14ac:dyDescent="0.25">
      <c r="A3567" s="21">
        <v>29183</v>
      </c>
      <c r="B3567" s="21"/>
      <c r="C3567">
        <v>28.2</v>
      </c>
      <c r="D3567">
        <v>3.9</v>
      </c>
      <c r="E3567">
        <v>73</v>
      </c>
      <c r="F3567">
        <v>68</v>
      </c>
      <c r="H3567">
        <v>68</v>
      </c>
      <c r="I3567">
        <v>1.5</v>
      </c>
      <c r="J3567" s="1">
        <v>3300</v>
      </c>
    </row>
    <row r="3568" spans="1:10" ht="14.25" customHeight="1" x14ac:dyDescent="0.25">
      <c r="A3568" s="21">
        <v>29183</v>
      </c>
      <c r="B3568" s="21"/>
      <c r="E3568">
        <v>2</v>
      </c>
      <c r="H3568">
        <v>77</v>
      </c>
    </row>
    <row r="3569" spans="1:10" ht="14.25" customHeight="1" x14ac:dyDescent="0.25">
      <c r="A3569" s="21">
        <v>29185</v>
      </c>
      <c r="B3569" s="21"/>
      <c r="C3569">
        <v>2.7</v>
      </c>
      <c r="D3569">
        <v>4.0999999999999996</v>
      </c>
      <c r="J3569">
        <v>240</v>
      </c>
    </row>
    <row r="3570" spans="1:10" ht="14.25" customHeight="1" x14ac:dyDescent="0.25">
      <c r="A3570" s="21">
        <v>29187</v>
      </c>
      <c r="B3570" s="21"/>
      <c r="C3570">
        <v>24.2</v>
      </c>
      <c r="D3570">
        <v>3.2</v>
      </c>
      <c r="E3570">
        <v>108</v>
      </c>
      <c r="F3570">
        <v>92</v>
      </c>
      <c r="G3570">
        <v>10</v>
      </c>
      <c r="H3570">
        <v>92</v>
      </c>
      <c r="I3570">
        <v>1.36</v>
      </c>
      <c r="J3570" s="1">
        <v>3209</v>
      </c>
    </row>
    <row r="3571" spans="1:10" ht="14.25" customHeight="1" x14ac:dyDescent="0.25">
      <c r="A3571" s="21">
        <v>29187</v>
      </c>
      <c r="B3571" s="21"/>
      <c r="C3571">
        <v>10.3</v>
      </c>
      <c r="D3571">
        <v>4.4000000000000004</v>
      </c>
      <c r="J3571">
        <v>861</v>
      </c>
    </row>
    <row r="3572" spans="1:10" ht="14.25" customHeight="1" x14ac:dyDescent="0.25">
      <c r="A3572" s="21">
        <v>29189</v>
      </c>
      <c r="B3572" s="21"/>
      <c r="C3572">
        <v>110.9</v>
      </c>
      <c r="D3572">
        <v>3.6</v>
      </c>
      <c r="E3572">
        <v>280</v>
      </c>
      <c r="F3572">
        <v>180</v>
      </c>
      <c r="G3572">
        <v>39</v>
      </c>
      <c r="H3572">
        <v>180</v>
      </c>
      <c r="I3572">
        <v>1.84</v>
      </c>
      <c r="J3572" s="1">
        <v>12032</v>
      </c>
    </row>
    <row r="3573" spans="1:10" ht="14.25" customHeight="1" x14ac:dyDescent="0.25">
      <c r="A3573" s="21">
        <v>29189</v>
      </c>
      <c r="B3573" s="21"/>
      <c r="C3573">
        <v>239.9</v>
      </c>
      <c r="D3573">
        <v>4.5999999999999996</v>
      </c>
      <c r="E3573">
        <v>487</v>
      </c>
      <c r="F3573">
        <v>406</v>
      </c>
      <c r="G3573">
        <v>40</v>
      </c>
      <c r="H3573">
        <v>406</v>
      </c>
      <c r="I3573">
        <v>1.79</v>
      </c>
      <c r="J3573" s="1">
        <v>21022</v>
      </c>
    </row>
    <row r="3574" spans="1:10" ht="14.25" customHeight="1" x14ac:dyDescent="0.25">
      <c r="A3574" s="21">
        <v>29189</v>
      </c>
      <c r="B3574" s="21"/>
      <c r="C3574">
        <v>280.5</v>
      </c>
      <c r="D3574">
        <v>4.2</v>
      </c>
      <c r="E3574">
        <v>409</v>
      </c>
      <c r="F3574">
        <v>438</v>
      </c>
      <c r="G3574">
        <v>16</v>
      </c>
      <c r="H3574">
        <v>438</v>
      </c>
      <c r="I3574">
        <v>1.79</v>
      </c>
      <c r="J3574" s="1">
        <v>25205</v>
      </c>
    </row>
    <row r="3575" spans="1:10" ht="14.25" customHeight="1" x14ac:dyDescent="0.25">
      <c r="A3575" s="21">
        <v>29189</v>
      </c>
      <c r="B3575" s="21"/>
      <c r="C3575">
        <v>339</v>
      </c>
      <c r="D3575">
        <v>4.5999999999999996</v>
      </c>
      <c r="E3575">
        <v>461</v>
      </c>
      <c r="F3575">
        <v>634</v>
      </c>
      <c r="G3575">
        <v>52</v>
      </c>
      <c r="H3575">
        <v>634</v>
      </c>
      <c r="I3575">
        <v>1.68</v>
      </c>
      <c r="J3575" s="1">
        <v>28259</v>
      </c>
    </row>
    <row r="3576" spans="1:10" ht="14.25" customHeight="1" x14ac:dyDescent="0.25">
      <c r="A3576" s="21">
        <v>29189</v>
      </c>
      <c r="B3576" s="21"/>
      <c r="C3576">
        <v>181.9</v>
      </c>
      <c r="D3576">
        <v>4.5999999999999996</v>
      </c>
      <c r="E3576">
        <v>611</v>
      </c>
      <c r="F3576">
        <v>394</v>
      </c>
      <c r="G3576">
        <v>18</v>
      </c>
      <c r="H3576">
        <v>394</v>
      </c>
      <c r="I3576">
        <v>1.81</v>
      </c>
      <c r="J3576" s="1">
        <v>14702</v>
      </c>
    </row>
    <row r="3577" spans="1:10" ht="14.25" customHeight="1" x14ac:dyDescent="0.25">
      <c r="A3577" s="21">
        <v>29189</v>
      </c>
      <c r="B3577" s="21"/>
      <c r="C3577">
        <v>168.1</v>
      </c>
      <c r="D3577">
        <v>4.8</v>
      </c>
      <c r="E3577">
        <v>269</v>
      </c>
      <c r="F3577">
        <v>205</v>
      </c>
      <c r="G3577">
        <v>18</v>
      </c>
      <c r="H3577">
        <v>205</v>
      </c>
      <c r="I3577">
        <v>1.81</v>
      </c>
      <c r="J3577" s="1">
        <v>12659</v>
      </c>
    </row>
    <row r="3578" spans="1:10" ht="14.25" customHeight="1" x14ac:dyDescent="0.25">
      <c r="A3578" s="21">
        <v>29189</v>
      </c>
      <c r="B3578" s="21"/>
    </row>
    <row r="3579" spans="1:10" ht="14.25" customHeight="1" x14ac:dyDescent="0.25">
      <c r="A3579" s="21">
        <v>29189</v>
      </c>
      <c r="B3579" s="21"/>
      <c r="C3579">
        <v>17</v>
      </c>
      <c r="D3579">
        <v>2.2000000000000002</v>
      </c>
      <c r="E3579">
        <v>133</v>
      </c>
      <c r="F3579">
        <v>77</v>
      </c>
      <c r="G3579">
        <v>8</v>
      </c>
      <c r="H3579">
        <v>77</v>
      </c>
      <c r="I3579">
        <v>1.75</v>
      </c>
      <c r="J3579" s="1">
        <v>2845</v>
      </c>
    </row>
    <row r="3580" spans="1:10" ht="14.25" customHeight="1" x14ac:dyDescent="0.25">
      <c r="A3580" s="21">
        <v>29189</v>
      </c>
      <c r="B3580" s="21"/>
      <c r="C3580">
        <v>26</v>
      </c>
      <c r="D3580">
        <v>2.9</v>
      </c>
      <c r="E3580">
        <v>96</v>
      </c>
      <c r="F3580">
        <v>88</v>
      </c>
      <c r="G3580">
        <v>10</v>
      </c>
      <c r="H3580">
        <v>88</v>
      </c>
      <c r="I3580">
        <v>2.17</v>
      </c>
      <c r="J3580" s="1">
        <v>3255</v>
      </c>
    </row>
    <row r="3581" spans="1:10" ht="14.25" customHeight="1" x14ac:dyDescent="0.25">
      <c r="A3581" s="21">
        <v>29189</v>
      </c>
      <c r="B3581" s="21"/>
      <c r="C3581">
        <v>576</v>
      </c>
      <c r="D3581">
        <v>5.6</v>
      </c>
      <c r="E3581" s="1">
        <v>1239</v>
      </c>
      <c r="F3581">
        <v>843</v>
      </c>
      <c r="G3581">
        <v>66</v>
      </c>
      <c r="H3581">
        <v>843</v>
      </c>
      <c r="I3581">
        <v>1.92</v>
      </c>
      <c r="J3581" s="1">
        <v>41026</v>
      </c>
    </row>
    <row r="3582" spans="1:10" ht="14.25" customHeight="1" x14ac:dyDescent="0.25">
      <c r="A3582" s="21">
        <v>29189</v>
      </c>
      <c r="B3582" s="21"/>
      <c r="C3582">
        <v>332.8</v>
      </c>
      <c r="D3582">
        <v>4.7</v>
      </c>
      <c r="E3582">
        <v>698</v>
      </c>
      <c r="F3582">
        <v>720</v>
      </c>
      <c r="G3582">
        <v>193</v>
      </c>
      <c r="H3582">
        <v>720</v>
      </c>
      <c r="I3582">
        <v>1.73</v>
      </c>
      <c r="J3582" s="1">
        <v>26057</v>
      </c>
    </row>
    <row r="3583" spans="1:10" ht="14.25" customHeight="1" x14ac:dyDescent="0.25">
      <c r="A3583" s="21">
        <v>29189</v>
      </c>
      <c r="B3583" s="21"/>
    </row>
    <row r="3584" spans="1:10" ht="14.25" customHeight="1" x14ac:dyDescent="0.25">
      <c r="A3584" s="21">
        <v>29195</v>
      </c>
      <c r="B3584" s="21"/>
      <c r="C3584">
        <v>11.4</v>
      </c>
      <c r="D3584">
        <v>3.3</v>
      </c>
      <c r="E3584">
        <v>70</v>
      </c>
      <c r="F3584">
        <v>42</v>
      </c>
      <c r="G3584">
        <v>7</v>
      </c>
      <c r="H3584">
        <v>42</v>
      </c>
      <c r="I3584">
        <v>1.1499999999999999</v>
      </c>
      <c r="J3584" s="1">
        <v>1384</v>
      </c>
    </row>
    <row r="3585" spans="1:10" ht="14.25" customHeight="1" x14ac:dyDescent="0.25">
      <c r="A3585" s="21">
        <v>29201</v>
      </c>
      <c r="B3585" s="21"/>
      <c r="C3585">
        <v>30.6</v>
      </c>
      <c r="D3585">
        <v>3.8</v>
      </c>
      <c r="E3585">
        <v>107</v>
      </c>
      <c r="F3585">
        <v>87</v>
      </c>
      <c r="G3585">
        <v>12</v>
      </c>
      <c r="H3585">
        <v>87</v>
      </c>
      <c r="I3585">
        <v>1.42</v>
      </c>
      <c r="J3585" s="1">
        <v>3198</v>
      </c>
    </row>
    <row r="3586" spans="1:10" ht="14.25" customHeight="1" x14ac:dyDescent="0.25">
      <c r="A3586" s="21">
        <v>29207</v>
      </c>
      <c r="B3586" s="21"/>
      <c r="C3586">
        <v>13.6</v>
      </c>
      <c r="D3586">
        <v>3.3</v>
      </c>
      <c r="E3586">
        <v>45</v>
      </c>
      <c r="F3586">
        <v>48</v>
      </c>
      <c r="G3586">
        <v>4</v>
      </c>
      <c r="H3586">
        <v>48</v>
      </c>
      <c r="I3586">
        <v>1.08</v>
      </c>
      <c r="J3586" s="1">
        <v>1508</v>
      </c>
    </row>
    <row r="3587" spans="1:10" ht="14.25" customHeight="1" x14ac:dyDescent="0.25">
      <c r="A3587" s="21">
        <v>29213</v>
      </c>
      <c r="B3587" s="21"/>
      <c r="C3587">
        <v>73.900000000000006</v>
      </c>
      <c r="D3587">
        <v>4.2</v>
      </c>
      <c r="E3587">
        <v>180</v>
      </c>
      <c r="F3587">
        <v>111</v>
      </c>
      <c r="G3587">
        <v>18</v>
      </c>
      <c r="H3587">
        <v>111</v>
      </c>
      <c r="I3587">
        <v>1.57</v>
      </c>
      <c r="J3587" s="1">
        <v>6671</v>
      </c>
    </row>
    <row r="3588" spans="1:10" ht="14.25" customHeight="1" x14ac:dyDescent="0.25">
      <c r="A3588" s="21">
        <v>29215</v>
      </c>
      <c r="B3588" s="21"/>
      <c r="C3588">
        <v>12.6</v>
      </c>
      <c r="D3588">
        <v>4.0999999999999996</v>
      </c>
      <c r="E3588">
        <v>54</v>
      </c>
      <c r="F3588">
        <v>47</v>
      </c>
      <c r="G3588">
        <v>4</v>
      </c>
      <c r="H3588">
        <v>47</v>
      </c>
      <c r="I3588">
        <v>1.1599999999999999</v>
      </c>
      <c r="J3588" s="1">
        <v>1191</v>
      </c>
    </row>
    <row r="3589" spans="1:10" ht="14.25" customHeight="1" x14ac:dyDescent="0.25">
      <c r="A3589" s="21">
        <v>29217</v>
      </c>
      <c r="B3589" s="21"/>
      <c r="C3589">
        <v>7.1</v>
      </c>
      <c r="D3589">
        <v>3.2</v>
      </c>
      <c r="E3589">
        <v>59</v>
      </c>
      <c r="F3589">
        <v>41</v>
      </c>
      <c r="G3589">
        <v>6</v>
      </c>
      <c r="H3589">
        <v>41</v>
      </c>
      <c r="I3589">
        <v>1.1399999999999999</v>
      </c>
      <c r="J3589">
        <v>976</v>
      </c>
    </row>
    <row r="3590" spans="1:10" ht="14.25" customHeight="1" x14ac:dyDescent="0.25">
      <c r="A3590" s="21">
        <v>29510</v>
      </c>
      <c r="B3590" s="21"/>
      <c r="C3590">
        <v>53.7</v>
      </c>
      <c r="D3590">
        <v>7.7</v>
      </c>
      <c r="E3590">
        <v>53</v>
      </c>
      <c r="F3590">
        <v>147</v>
      </c>
      <c r="G3590">
        <v>12</v>
      </c>
      <c r="H3590">
        <v>147</v>
      </c>
      <c r="I3590">
        <v>1.23</v>
      </c>
      <c r="J3590" s="1">
        <v>2534</v>
      </c>
    </row>
    <row r="3591" spans="1:10" ht="14.25" customHeight="1" x14ac:dyDescent="0.25">
      <c r="A3591" s="21">
        <v>29510</v>
      </c>
      <c r="B3591" s="21"/>
      <c r="C3591">
        <v>811.6</v>
      </c>
      <c r="D3591">
        <v>6.1</v>
      </c>
      <c r="E3591" s="1">
        <v>1869</v>
      </c>
      <c r="F3591" s="1">
        <v>1272</v>
      </c>
      <c r="G3591">
        <v>65</v>
      </c>
      <c r="H3591" s="1">
        <v>1272</v>
      </c>
      <c r="I3591">
        <v>2.31</v>
      </c>
      <c r="J3591" s="1">
        <v>49494</v>
      </c>
    </row>
    <row r="3592" spans="1:10" ht="14.25" customHeight="1" x14ac:dyDescent="0.25">
      <c r="A3592" s="21">
        <v>29510</v>
      </c>
      <c r="B3592" s="21"/>
      <c r="C3592">
        <v>20.3</v>
      </c>
      <c r="D3592">
        <v>6</v>
      </c>
      <c r="J3592" s="1">
        <v>1228</v>
      </c>
    </row>
    <row r="3593" spans="1:10" ht="14.25" customHeight="1" x14ac:dyDescent="0.25">
      <c r="A3593" s="21">
        <v>29510</v>
      </c>
      <c r="B3593" s="21"/>
      <c r="C3593">
        <v>244.7</v>
      </c>
      <c r="D3593">
        <v>4.0999999999999996</v>
      </c>
      <c r="E3593">
        <v>537</v>
      </c>
      <c r="F3593">
        <v>288</v>
      </c>
      <c r="G3593">
        <v>79</v>
      </c>
      <c r="H3593">
        <v>288</v>
      </c>
      <c r="I3593">
        <v>2.17</v>
      </c>
      <c r="J3593" s="1">
        <v>21743</v>
      </c>
    </row>
    <row r="3594" spans="1:10" ht="14.25" customHeight="1" x14ac:dyDescent="0.25">
      <c r="A3594" s="21">
        <v>30013</v>
      </c>
      <c r="B3594" s="21"/>
      <c r="C3594">
        <v>111.9</v>
      </c>
      <c r="D3594">
        <v>4.4000000000000004</v>
      </c>
      <c r="E3594">
        <v>280</v>
      </c>
      <c r="F3594">
        <v>312</v>
      </c>
      <c r="G3594">
        <v>20</v>
      </c>
      <c r="H3594">
        <v>312</v>
      </c>
      <c r="I3594">
        <v>1.84</v>
      </c>
      <c r="J3594" s="1">
        <v>9884</v>
      </c>
    </row>
    <row r="3595" spans="1:10" ht="14.25" customHeight="1" x14ac:dyDescent="0.25">
      <c r="A3595" s="21">
        <v>30013</v>
      </c>
      <c r="B3595" s="21"/>
      <c r="C3595">
        <v>10.5</v>
      </c>
      <c r="D3595">
        <v>3</v>
      </c>
      <c r="E3595">
        <v>161</v>
      </c>
      <c r="F3595">
        <v>20</v>
      </c>
      <c r="H3595">
        <v>20</v>
      </c>
      <c r="I3595">
        <v>1.6</v>
      </c>
      <c r="J3595" s="1">
        <v>1274</v>
      </c>
    </row>
    <row r="3596" spans="1:10" ht="14.25" customHeight="1" x14ac:dyDescent="0.25">
      <c r="A3596" s="21">
        <v>30013</v>
      </c>
      <c r="B3596" s="21"/>
    </row>
    <row r="3597" spans="1:10" ht="14.25" customHeight="1" x14ac:dyDescent="0.25">
      <c r="A3597" s="21">
        <v>30029</v>
      </c>
      <c r="B3597" s="21"/>
      <c r="C3597">
        <v>109.7</v>
      </c>
      <c r="D3597">
        <v>4.5999999999999996</v>
      </c>
      <c r="E3597">
        <v>406</v>
      </c>
      <c r="F3597">
        <v>178</v>
      </c>
      <c r="G3597">
        <v>18</v>
      </c>
      <c r="H3597">
        <v>178</v>
      </c>
      <c r="I3597">
        <v>1.97</v>
      </c>
      <c r="J3597" s="1">
        <v>8928</v>
      </c>
    </row>
    <row r="3598" spans="1:10" ht="14.25" customHeight="1" x14ac:dyDescent="0.25">
      <c r="A3598" s="21">
        <v>30029</v>
      </c>
      <c r="B3598" s="21"/>
      <c r="C3598">
        <v>3.4</v>
      </c>
      <c r="D3598">
        <v>2.7</v>
      </c>
      <c r="E3598">
        <v>78</v>
      </c>
      <c r="F3598">
        <v>17</v>
      </c>
      <c r="H3598">
        <v>17</v>
      </c>
      <c r="I3598">
        <v>1.43</v>
      </c>
      <c r="J3598">
        <v>463</v>
      </c>
    </row>
    <row r="3599" spans="1:10" ht="14.25" customHeight="1" x14ac:dyDescent="0.25">
      <c r="A3599" s="21">
        <v>30031</v>
      </c>
      <c r="B3599" s="21"/>
      <c r="C3599">
        <v>51.4</v>
      </c>
      <c r="D3599">
        <v>3.1</v>
      </c>
      <c r="E3599">
        <v>392</v>
      </c>
      <c r="F3599">
        <v>83</v>
      </c>
      <c r="G3599">
        <v>8</v>
      </c>
      <c r="H3599">
        <v>83</v>
      </c>
      <c r="I3599">
        <v>1.78</v>
      </c>
      <c r="J3599" s="1">
        <v>7039</v>
      </c>
    </row>
    <row r="3600" spans="1:10" ht="14.25" customHeight="1" x14ac:dyDescent="0.25">
      <c r="A3600" s="21">
        <v>30035</v>
      </c>
      <c r="B3600" s="21"/>
      <c r="C3600">
        <v>4.7</v>
      </c>
      <c r="D3600">
        <v>4</v>
      </c>
      <c r="E3600">
        <v>25</v>
      </c>
      <c r="F3600">
        <v>26</v>
      </c>
      <c r="H3600">
        <v>26</v>
      </c>
      <c r="I3600">
        <v>0.96</v>
      </c>
      <c r="J3600">
        <v>491</v>
      </c>
    </row>
    <row r="3601" spans="1:10" ht="14.25" customHeight="1" x14ac:dyDescent="0.25">
      <c r="A3601" s="21">
        <v>30041</v>
      </c>
      <c r="B3601" s="21"/>
      <c r="C3601">
        <v>8.1</v>
      </c>
      <c r="D3601">
        <v>3.2</v>
      </c>
      <c r="E3601">
        <v>52</v>
      </c>
      <c r="F3601">
        <v>49</v>
      </c>
      <c r="G3601">
        <v>6</v>
      </c>
      <c r="H3601">
        <v>49</v>
      </c>
      <c r="I3601">
        <v>1.31</v>
      </c>
      <c r="J3601" s="1">
        <v>1129</v>
      </c>
    </row>
    <row r="3602" spans="1:10" ht="14.25" customHeight="1" x14ac:dyDescent="0.25">
      <c r="A3602" s="21">
        <v>30049</v>
      </c>
      <c r="B3602" s="21"/>
      <c r="C3602">
        <v>55.9</v>
      </c>
      <c r="D3602">
        <v>3</v>
      </c>
      <c r="E3602">
        <v>319</v>
      </c>
      <c r="F3602">
        <v>101</v>
      </c>
      <c r="G3602">
        <v>8</v>
      </c>
      <c r="H3602">
        <v>101</v>
      </c>
      <c r="I3602">
        <v>1.44</v>
      </c>
      <c r="J3602" s="1">
        <v>7371</v>
      </c>
    </row>
    <row r="3603" spans="1:10" ht="14.25" customHeight="1" x14ac:dyDescent="0.25">
      <c r="A3603" s="21">
        <v>30063</v>
      </c>
      <c r="B3603" s="21"/>
      <c r="C3603">
        <v>108.7</v>
      </c>
      <c r="D3603">
        <v>4.2</v>
      </c>
      <c r="E3603">
        <v>427</v>
      </c>
      <c r="F3603">
        <v>158</v>
      </c>
      <c r="G3603">
        <v>24</v>
      </c>
      <c r="H3603">
        <v>158</v>
      </c>
      <c r="I3603">
        <v>2.12</v>
      </c>
      <c r="J3603" s="1">
        <v>9651</v>
      </c>
    </row>
    <row r="3604" spans="1:10" ht="14.25" customHeight="1" x14ac:dyDescent="0.25">
      <c r="A3604" s="21">
        <v>30063</v>
      </c>
      <c r="B3604" s="21"/>
      <c r="C3604">
        <v>52.5</v>
      </c>
      <c r="D3604">
        <v>4.7</v>
      </c>
      <c r="E3604">
        <v>201</v>
      </c>
      <c r="F3604">
        <v>141</v>
      </c>
      <c r="G3604">
        <v>8</v>
      </c>
      <c r="H3604">
        <v>141</v>
      </c>
      <c r="I3604">
        <v>1.68</v>
      </c>
      <c r="J3604" s="1">
        <v>4490</v>
      </c>
    </row>
    <row r="3605" spans="1:10" ht="14.25" customHeight="1" x14ac:dyDescent="0.25">
      <c r="A3605" s="21">
        <v>30093</v>
      </c>
      <c r="B3605" s="21"/>
      <c r="C3605">
        <v>39.200000000000003</v>
      </c>
      <c r="D3605">
        <v>4.0999999999999996</v>
      </c>
      <c r="E3605">
        <v>140</v>
      </c>
      <c r="F3605">
        <v>71</v>
      </c>
      <c r="G3605">
        <v>11</v>
      </c>
      <c r="H3605">
        <v>71</v>
      </c>
      <c r="I3605">
        <v>1.72</v>
      </c>
      <c r="J3605" s="1">
        <v>3623</v>
      </c>
    </row>
    <row r="3606" spans="1:10" ht="14.25" customHeight="1" x14ac:dyDescent="0.25">
      <c r="A3606" s="21">
        <v>30111</v>
      </c>
      <c r="B3606" s="21"/>
      <c r="C3606">
        <v>132.30000000000001</v>
      </c>
      <c r="D3606">
        <v>3.2</v>
      </c>
      <c r="E3606">
        <v>477</v>
      </c>
      <c r="F3606">
        <v>236</v>
      </c>
      <c r="G3606">
        <v>17</v>
      </c>
      <c r="H3606">
        <v>236</v>
      </c>
      <c r="I3606">
        <v>2.1</v>
      </c>
      <c r="J3606" s="1">
        <v>15762</v>
      </c>
    </row>
    <row r="3607" spans="1:10" ht="14.25" customHeight="1" x14ac:dyDescent="0.25">
      <c r="A3607" s="21">
        <v>30111</v>
      </c>
      <c r="B3607" s="21"/>
      <c r="C3607">
        <v>208.8</v>
      </c>
      <c r="D3607">
        <v>4.9000000000000004</v>
      </c>
      <c r="E3607">
        <v>616</v>
      </c>
      <c r="F3607">
        <v>301</v>
      </c>
      <c r="G3607">
        <v>24</v>
      </c>
      <c r="H3607">
        <v>301</v>
      </c>
      <c r="I3607">
        <v>2.02</v>
      </c>
      <c r="J3607" s="1">
        <v>15822</v>
      </c>
    </row>
    <row r="3608" spans="1:10" ht="14.25" customHeight="1" x14ac:dyDescent="0.25">
      <c r="A3608" s="21">
        <v>31001</v>
      </c>
      <c r="B3608" s="21"/>
      <c r="C3608">
        <v>37.4</v>
      </c>
      <c r="D3608">
        <v>3.9</v>
      </c>
      <c r="E3608">
        <v>172</v>
      </c>
      <c r="F3608">
        <v>97</v>
      </c>
      <c r="G3608">
        <v>10</v>
      </c>
      <c r="H3608">
        <v>97</v>
      </c>
      <c r="I3608">
        <v>1.47</v>
      </c>
      <c r="J3608" s="1">
        <v>4211</v>
      </c>
    </row>
    <row r="3609" spans="1:10" ht="14.25" customHeight="1" x14ac:dyDescent="0.25">
      <c r="A3609" s="21">
        <v>31019</v>
      </c>
      <c r="B3609" s="21"/>
      <c r="C3609">
        <v>84.2</v>
      </c>
      <c r="D3609">
        <v>4.5</v>
      </c>
      <c r="E3609">
        <v>173</v>
      </c>
      <c r="F3609">
        <v>227</v>
      </c>
      <c r="G3609">
        <v>16</v>
      </c>
      <c r="H3609">
        <v>268</v>
      </c>
      <c r="I3609">
        <v>1.99</v>
      </c>
      <c r="J3609" s="1">
        <v>6989</v>
      </c>
    </row>
    <row r="3610" spans="1:10" ht="14.25" customHeight="1" x14ac:dyDescent="0.25">
      <c r="A3610" s="21">
        <v>31019</v>
      </c>
      <c r="B3610" s="21"/>
      <c r="C3610">
        <v>40.9</v>
      </c>
      <c r="D3610">
        <v>4.8</v>
      </c>
      <c r="E3610">
        <v>79</v>
      </c>
      <c r="F3610">
        <v>94</v>
      </c>
      <c r="G3610">
        <v>18</v>
      </c>
      <c r="H3610">
        <v>94</v>
      </c>
      <c r="I3610">
        <v>1.95</v>
      </c>
      <c r="J3610" s="1">
        <v>2710</v>
      </c>
    </row>
    <row r="3611" spans="1:10" ht="14.25" customHeight="1" x14ac:dyDescent="0.25">
      <c r="A3611" s="21">
        <v>31053</v>
      </c>
      <c r="B3611" s="21"/>
      <c r="C3611">
        <v>20.3</v>
      </c>
      <c r="D3611">
        <v>3.6</v>
      </c>
      <c r="E3611">
        <v>111</v>
      </c>
      <c r="F3611">
        <v>50</v>
      </c>
      <c r="H3611">
        <v>50</v>
      </c>
      <c r="I3611">
        <v>1.39</v>
      </c>
      <c r="J3611" s="1">
        <v>2234</v>
      </c>
    </row>
    <row r="3612" spans="1:10" ht="14.25" customHeight="1" x14ac:dyDescent="0.25">
      <c r="A3612" s="21">
        <v>31055</v>
      </c>
      <c r="B3612" s="21"/>
      <c r="C3612">
        <v>109.4</v>
      </c>
      <c r="D3612">
        <v>4.3</v>
      </c>
      <c r="E3612">
        <v>146</v>
      </c>
      <c r="F3612">
        <v>177</v>
      </c>
      <c r="G3612">
        <v>24</v>
      </c>
      <c r="H3612">
        <v>177</v>
      </c>
      <c r="I3612">
        <v>1.56</v>
      </c>
      <c r="J3612" s="1">
        <v>9702</v>
      </c>
    </row>
    <row r="3613" spans="1:10" ht="14.25" customHeight="1" x14ac:dyDescent="0.25">
      <c r="A3613" s="21">
        <v>31055</v>
      </c>
      <c r="B3613" s="21"/>
      <c r="C3613">
        <v>93.3</v>
      </c>
      <c r="D3613">
        <v>5.5</v>
      </c>
      <c r="J3613" s="1">
        <v>6420</v>
      </c>
    </row>
    <row r="3614" spans="1:10" ht="14.25" customHeight="1" x14ac:dyDescent="0.25">
      <c r="A3614" s="21">
        <v>31055</v>
      </c>
      <c r="B3614" s="21"/>
      <c r="C3614">
        <v>230.7</v>
      </c>
      <c r="D3614">
        <v>5.0999999999999996</v>
      </c>
      <c r="E3614">
        <v>578</v>
      </c>
      <c r="F3614">
        <v>356</v>
      </c>
      <c r="G3614">
        <v>22</v>
      </c>
      <c r="H3614">
        <v>356</v>
      </c>
      <c r="I3614">
        <v>1.79</v>
      </c>
      <c r="J3614" s="1">
        <v>18408</v>
      </c>
    </row>
    <row r="3615" spans="1:10" ht="14.25" customHeight="1" x14ac:dyDescent="0.25">
      <c r="A3615" s="21">
        <v>31055</v>
      </c>
      <c r="B3615" s="21"/>
      <c r="C3615">
        <v>286.7</v>
      </c>
      <c r="D3615">
        <v>4.8</v>
      </c>
      <c r="E3615">
        <v>786</v>
      </c>
      <c r="F3615">
        <v>385</v>
      </c>
      <c r="G3615">
        <v>52</v>
      </c>
      <c r="H3615">
        <v>385</v>
      </c>
      <c r="I3615">
        <v>1.9</v>
      </c>
      <c r="J3615" s="1">
        <v>23238</v>
      </c>
    </row>
    <row r="3616" spans="1:10" ht="14.25" customHeight="1" x14ac:dyDescent="0.25">
      <c r="A3616" s="21">
        <v>31055</v>
      </c>
      <c r="B3616" s="21"/>
      <c r="C3616">
        <v>8.4</v>
      </c>
      <c r="D3616">
        <v>1.6</v>
      </c>
      <c r="E3616">
        <v>82</v>
      </c>
      <c r="F3616">
        <v>24</v>
      </c>
      <c r="H3616">
        <v>24</v>
      </c>
      <c r="I3616">
        <v>2.2400000000000002</v>
      </c>
      <c r="J3616" s="1">
        <v>1875</v>
      </c>
    </row>
    <row r="3617" spans="1:10" ht="14.25" customHeight="1" x14ac:dyDescent="0.25">
      <c r="A3617" s="21">
        <v>31055</v>
      </c>
      <c r="B3617" s="21"/>
      <c r="C3617">
        <v>57.2</v>
      </c>
      <c r="D3617">
        <v>3.5</v>
      </c>
      <c r="E3617">
        <v>171</v>
      </c>
      <c r="F3617">
        <v>108</v>
      </c>
      <c r="G3617">
        <v>16</v>
      </c>
      <c r="H3617">
        <v>108</v>
      </c>
      <c r="I3617">
        <v>1.75</v>
      </c>
      <c r="J3617" s="1">
        <v>6545</v>
      </c>
    </row>
    <row r="3618" spans="1:10" ht="14.25" customHeight="1" x14ac:dyDescent="0.25">
      <c r="A3618" s="21">
        <v>31055</v>
      </c>
      <c r="B3618" s="21"/>
      <c r="C3618">
        <v>5.9</v>
      </c>
      <c r="D3618">
        <v>1.4</v>
      </c>
      <c r="E3618">
        <v>54</v>
      </c>
      <c r="F3618">
        <v>19</v>
      </c>
      <c r="H3618">
        <v>19</v>
      </c>
      <c r="I3618">
        <v>2.74</v>
      </c>
      <c r="J3618" s="1">
        <v>1496</v>
      </c>
    </row>
    <row r="3619" spans="1:10" ht="14.25" customHeight="1" x14ac:dyDescent="0.25">
      <c r="A3619" s="21">
        <v>31055</v>
      </c>
      <c r="B3619" s="21"/>
      <c r="C3619">
        <v>452.7</v>
      </c>
      <c r="D3619">
        <v>5.8</v>
      </c>
      <c r="E3619" s="1">
        <v>1581</v>
      </c>
      <c r="F3619">
        <v>568</v>
      </c>
      <c r="G3619">
        <v>60</v>
      </c>
      <c r="H3619">
        <v>568</v>
      </c>
      <c r="I3619">
        <v>2.1800000000000002</v>
      </c>
      <c r="J3619" s="1">
        <v>29102</v>
      </c>
    </row>
    <row r="3620" spans="1:10" ht="14.25" customHeight="1" x14ac:dyDescent="0.25">
      <c r="A3620" s="21">
        <v>31055</v>
      </c>
      <c r="B3620" s="21"/>
      <c r="E3620">
        <v>35</v>
      </c>
      <c r="H3620">
        <v>153</v>
      </c>
    </row>
    <row r="3621" spans="1:10" ht="14.25" customHeight="1" x14ac:dyDescent="0.25">
      <c r="A3621" s="21">
        <v>31055</v>
      </c>
      <c r="B3621" s="21"/>
      <c r="C3621">
        <v>6.4</v>
      </c>
      <c r="D3621">
        <v>2.6</v>
      </c>
      <c r="E3621">
        <v>29</v>
      </c>
      <c r="F3621">
        <v>34</v>
      </c>
      <c r="H3621">
        <v>34</v>
      </c>
      <c r="I3621">
        <v>5.26</v>
      </c>
      <c r="J3621">
        <v>884</v>
      </c>
    </row>
    <row r="3622" spans="1:10" ht="14.25" customHeight="1" x14ac:dyDescent="0.25">
      <c r="A3622" s="21">
        <v>31067</v>
      </c>
      <c r="B3622" s="21"/>
      <c r="C3622">
        <v>7.1</v>
      </c>
      <c r="D3622">
        <v>66.400000000000006</v>
      </c>
      <c r="J3622">
        <v>39</v>
      </c>
    </row>
    <row r="3623" spans="1:10" ht="14.25" customHeight="1" x14ac:dyDescent="0.25">
      <c r="A3623" s="21">
        <v>31079</v>
      </c>
      <c r="B3623" s="21"/>
      <c r="C3623">
        <v>56.9</v>
      </c>
      <c r="D3623">
        <v>3.6</v>
      </c>
      <c r="E3623">
        <v>150</v>
      </c>
      <c r="F3623">
        <v>140</v>
      </c>
      <c r="G3623">
        <v>16</v>
      </c>
      <c r="H3623">
        <v>140</v>
      </c>
      <c r="I3623">
        <v>1.68</v>
      </c>
      <c r="J3623" s="1">
        <v>6107</v>
      </c>
    </row>
    <row r="3624" spans="1:10" ht="14.25" customHeight="1" x14ac:dyDescent="0.25">
      <c r="A3624" s="21">
        <v>31079</v>
      </c>
      <c r="B3624" s="21"/>
    </row>
    <row r="3625" spans="1:10" ht="14.25" customHeight="1" x14ac:dyDescent="0.25">
      <c r="A3625" s="21">
        <v>31109</v>
      </c>
      <c r="B3625" s="21"/>
      <c r="C3625">
        <v>17</v>
      </c>
      <c r="D3625">
        <v>2.2999999999999998</v>
      </c>
      <c r="E3625">
        <v>34</v>
      </c>
      <c r="F3625">
        <v>54</v>
      </c>
      <c r="H3625">
        <v>54</v>
      </c>
      <c r="I3625">
        <v>3.42</v>
      </c>
      <c r="J3625" s="1">
        <v>2707</v>
      </c>
    </row>
    <row r="3626" spans="1:10" ht="14.25" customHeight="1" x14ac:dyDescent="0.25">
      <c r="A3626" s="21">
        <v>31109</v>
      </c>
      <c r="B3626" s="21"/>
      <c r="C3626">
        <v>81.8</v>
      </c>
      <c r="D3626">
        <v>4.2</v>
      </c>
      <c r="E3626">
        <v>327</v>
      </c>
      <c r="F3626">
        <v>235</v>
      </c>
      <c r="G3626">
        <v>16</v>
      </c>
      <c r="H3626">
        <v>235</v>
      </c>
      <c r="I3626">
        <v>1.86</v>
      </c>
      <c r="J3626" s="1">
        <v>7655</v>
      </c>
    </row>
    <row r="3627" spans="1:10" ht="14.25" customHeight="1" x14ac:dyDescent="0.25">
      <c r="A3627" s="21">
        <v>31109</v>
      </c>
      <c r="B3627" s="21"/>
      <c r="C3627">
        <v>318.7</v>
      </c>
      <c r="D3627">
        <v>5.0999999999999996</v>
      </c>
      <c r="E3627">
        <v>710</v>
      </c>
      <c r="F3627">
        <v>505</v>
      </c>
      <c r="G3627">
        <v>36</v>
      </c>
      <c r="H3627">
        <v>374</v>
      </c>
      <c r="I3627">
        <v>1.91</v>
      </c>
      <c r="J3627" s="1">
        <v>24028</v>
      </c>
    </row>
    <row r="3628" spans="1:10" ht="14.25" customHeight="1" x14ac:dyDescent="0.25">
      <c r="A3628" s="21">
        <v>31109</v>
      </c>
      <c r="B3628" s="21"/>
      <c r="H3628">
        <v>266</v>
      </c>
    </row>
    <row r="3629" spans="1:10" ht="14.25" customHeight="1" x14ac:dyDescent="0.25">
      <c r="A3629" s="21">
        <v>31109</v>
      </c>
      <c r="B3629" s="21"/>
      <c r="C3629">
        <v>4.8</v>
      </c>
      <c r="D3629">
        <v>1.3</v>
      </c>
      <c r="E3629">
        <v>51</v>
      </c>
      <c r="F3629">
        <v>21</v>
      </c>
      <c r="H3629">
        <v>21</v>
      </c>
      <c r="I3629">
        <v>2.12</v>
      </c>
      <c r="J3629" s="1">
        <v>1313</v>
      </c>
    </row>
    <row r="3630" spans="1:10" ht="14.25" customHeight="1" x14ac:dyDescent="0.25">
      <c r="A3630" s="21">
        <v>31111</v>
      </c>
      <c r="B3630" s="21"/>
      <c r="C3630">
        <v>48.7</v>
      </c>
      <c r="D3630">
        <v>3.7</v>
      </c>
      <c r="E3630">
        <v>177</v>
      </c>
      <c r="F3630">
        <v>97</v>
      </c>
      <c r="G3630">
        <v>19</v>
      </c>
      <c r="H3630">
        <v>97</v>
      </c>
      <c r="I3630">
        <v>1.62</v>
      </c>
      <c r="J3630" s="1">
        <v>5195</v>
      </c>
    </row>
    <row r="3631" spans="1:10" ht="14.25" customHeight="1" x14ac:dyDescent="0.25">
      <c r="A3631" s="21">
        <v>31119</v>
      </c>
      <c r="B3631" s="21"/>
      <c r="C3631">
        <v>47</v>
      </c>
      <c r="D3631">
        <v>4.0999999999999996</v>
      </c>
      <c r="E3631">
        <v>226</v>
      </c>
      <c r="F3631">
        <v>122</v>
      </c>
      <c r="G3631">
        <v>24</v>
      </c>
      <c r="H3631">
        <v>131</v>
      </c>
      <c r="I3631">
        <v>1.88</v>
      </c>
      <c r="J3631" s="1">
        <v>4985</v>
      </c>
    </row>
    <row r="3632" spans="1:10" ht="14.25" customHeight="1" x14ac:dyDescent="0.25">
      <c r="A3632" s="21">
        <v>31141</v>
      </c>
      <c r="B3632" s="21"/>
      <c r="C3632">
        <v>16.3</v>
      </c>
      <c r="D3632">
        <v>4</v>
      </c>
      <c r="E3632">
        <v>103</v>
      </c>
      <c r="F3632">
        <v>47</v>
      </c>
      <c r="G3632">
        <v>5</v>
      </c>
      <c r="H3632">
        <v>47</v>
      </c>
      <c r="I3632">
        <v>1.49</v>
      </c>
      <c r="J3632" s="1">
        <v>1793</v>
      </c>
    </row>
    <row r="3633" spans="1:10" ht="14.25" customHeight="1" x14ac:dyDescent="0.25">
      <c r="A3633" s="21">
        <v>31153</v>
      </c>
      <c r="B3633" s="21"/>
      <c r="C3633">
        <v>4.5999999999999996</v>
      </c>
      <c r="D3633">
        <v>2.6</v>
      </c>
      <c r="E3633">
        <v>44</v>
      </c>
      <c r="F3633">
        <v>28</v>
      </c>
      <c r="H3633">
        <v>28</v>
      </c>
      <c r="I3633">
        <v>1.42</v>
      </c>
      <c r="J3633">
        <v>651</v>
      </c>
    </row>
    <row r="3634" spans="1:10" ht="14.25" customHeight="1" x14ac:dyDescent="0.25">
      <c r="A3634" s="21">
        <v>31153</v>
      </c>
      <c r="B3634" s="21"/>
      <c r="C3634">
        <v>40.1</v>
      </c>
      <c r="D3634">
        <v>3.2</v>
      </c>
      <c r="E3634">
        <v>100</v>
      </c>
      <c r="F3634">
        <v>61</v>
      </c>
      <c r="G3634">
        <v>8</v>
      </c>
      <c r="H3634">
        <v>61</v>
      </c>
      <c r="I3634">
        <v>1.26</v>
      </c>
      <c r="J3634" s="1">
        <v>4897</v>
      </c>
    </row>
    <row r="3635" spans="1:10" ht="14.25" customHeight="1" x14ac:dyDescent="0.25">
      <c r="A3635" s="21">
        <v>31157</v>
      </c>
      <c r="B3635" s="21"/>
      <c r="C3635">
        <v>54.7</v>
      </c>
      <c r="D3635">
        <v>4.0999999999999996</v>
      </c>
      <c r="E3635">
        <v>244</v>
      </c>
      <c r="F3635">
        <v>122</v>
      </c>
      <c r="G3635">
        <v>22</v>
      </c>
      <c r="H3635">
        <v>122</v>
      </c>
      <c r="I3635">
        <v>1.64</v>
      </c>
      <c r="J3635" s="1">
        <v>5295</v>
      </c>
    </row>
    <row r="3636" spans="1:10" ht="14.25" customHeight="1" x14ac:dyDescent="0.25">
      <c r="A3636" s="21">
        <v>31173</v>
      </c>
      <c r="B3636" s="21"/>
      <c r="C3636">
        <v>1.7</v>
      </c>
      <c r="D3636">
        <v>2.2999999999999998</v>
      </c>
      <c r="E3636">
        <v>4</v>
      </c>
      <c r="F3636">
        <v>13</v>
      </c>
      <c r="H3636">
        <v>13</v>
      </c>
      <c r="J3636">
        <v>270</v>
      </c>
    </row>
    <row r="3637" spans="1:10" ht="14.25" customHeight="1" x14ac:dyDescent="0.25">
      <c r="A3637" s="21">
        <v>32003</v>
      </c>
      <c r="B3637" s="21"/>
      <c r="C3637">
        <v>347.9</v>
      </c>
      <c r="D3637">
        <v>5</v>
      </c>
      <c r="E3637">
        <v>482</v>
      </c>
      <c r="F3637">
        <v>498</v>
      </c>
      <c r="G3637">
        <v>20</v>
      </c>
      <c r="H3637">
        <v>498</v>
      </c>
      <c r="I3637">
        <v>2.0099999999999998</v>
      </c>
      <c r="J3637" s="1">
        <v>25789</v>
      </c>
    </row>
    <row r="3638" spans="1:10" ht="14.25" customHeight="1" x14ac:dyDescent="0.25">
      <c r="A3638" s="21">
        <v>32003</v>
      </c>
      <c r="B3638" s="21"/>
      <c r="C3638">
        <v>488.7</v>
      </c>
      <c r="D3638">
        <v>6.3</v>
      </c>
      <c r="E3638">
        <v>550</v>
      </c>
      <c r="F3638">
        <v>554</v>
      </c>
      <c r="G3638">
        <v>64</v>
      </c>
      <c r="H3638">
        <v>554</v>
      </c>
      <c r="I3638">
        <v>1.91</v>
      </c>
      <c r="J3638" s="1">
        <v>28518</v>
      </c>
    </row>
    <row r="3639" spans="1:10" ht="14.25" customHeight="1" x14ac:dyDescent="0.25">
      <c r="A3639" s="21">
        <v>32003</v>
      </c>
      <c r="B3639" s="21"/>
      <c r="C3639">
        <v>101.5</v>
      </c>
      <c r="D3639">
        <v>4.4000000000000004</v>
      </c>
      <c r="E3639">
        <v>92</v>
      </c>
      <c r="F3639">
        <v>136</v>
      </c>
      <c r="G3639">
        <v>20</v>
      </c>
      <c r="H3639">
        <v>136</v>
      </c>
      <c r="I3639">
        <v>1.5</v>
      </c>
      <c r="J3639" s="1">
        <v>8357</v>
      </c>
    </row>
    <row r="3640" spans="1:10" ht="14.25" customHeight="1" x14ac:dyDescent="0.25">
      <c r="A3640" s="21">
        <v>32003</v>
      </c>
      <c r="B3640" s="21"/>
      <c r="C3640">
        <v>10.4</v>
      </c>
      <c r="D3640">
        <v>3.7</v>
      </c>
      <c r="E3640">
        <v>25</v>
      </c>
      <c r="F3640">
        <v>82</v>
      </c>
      <c r="G3640">
        <v>10</v>
      </c>
      <c r="H3640">
        <v>82</v>
      </c>
      <c r="I3640">
        <v>1.54</v>
      </c>
      <c r="J3640" s="1">
        <v>1022</v>
      </c>
    </row>
    <row r="3641" spans="1:10" ht="14.25" customHeight="1" x14ac:dyDescent="0.25">
      <c r="A3641" s="21">
        <v>32003</v>
      </c>
      <c r="B3641" s="21"/>
      <c r="C3641">
        <v>234.6</v>
      </c>
      <c r="D3641">
        <v>5.7</v>
      </c>
      <c r="E3641">
        <v>262</v>
      </c>
      <c r="F3641">
        <v>274</v>
      </c>
      <c r="G3641">
        <v>20</v>
      </c>
      <c r="H3641">
        <v>274</v>
      </c>
      <c r="I3641">
        <v>1.78</v>
      </c>
      <c r="J3641" s="1">
        <v>14923</v>
      </c>
    </row>
    <row r="3642" spans="1:10" ht="14.25" customHeight="1" x14ac:dyDescent="0.25">
      <c r="A3642" s="21">
        <v>32003</v>
      </c>
      <c r="B3642" s="21"/>
      <c r="C3642">
        <v>160.4</v>
      </c>
      <c r="D3642">
        <v>4.5999999999999996</v>
      </c>
      <c r="E3642">
        <v>185</v>
      </c>
      <c r="F3642">
        <v>249</v>
      </c>
      <c r="G3642">
        <v>34</v>
      </c>
      <c r="H3642">
        <v>249</v>
      </c>
      <c r="I3642">
        <v>1.62</v>
      </c>
      <c r="J3642" s="1">
        <v>12675</v>
      </c>
    </row>
    <row r="3643" spans="1:10" ht="14.25" customHeight="1" x14ac:dyDescent="0.25">
      <c r="A3643" s="21">
        <v>32003</v>
      </c>
      <c r="B3643" s="21"/>
      <c r="C3643">
        <v>302.5</v>
      </c>
      <c r="D3643">
        <v>4.7</v>
      </c>
      <c r="E3643">
        <v>448</v>
      </c>
      <c r="F3643">
        <v>348</v>
      </c>
      <c r="G3643">
        <v>47</v>
      </c>
      <c r="H3643">
        <v>348</v>
      </c>
      <c r="I3643">
        <v>1.77</v>
      </c>
      <c r="J3643" s="1">
        <v>21837</v>
      </c>
    </row>
    <row r="3644" spans="1:10" ht="14.25" customHeight="1" x14ac:dyDescent="0.25">
      <c r="A3644" s="21">
        <v>32003</v>
      </c>
      <c r="B3644" s="21"/>
      <c r="C3644">
        <v>284.7</v>
      </c>
      <c r="D3644">
        <v>4.9000000000000004</v>
      </c>
      <c r="E3644">
        <v>465</v>
      </c>
      <c r="F3644">
        <v>370</v>
      </c>
      <c r="G3644">
        <v>59</v>
      </c>
      <c r="H3644">
        <v>370</v>
      </c>
      <c r="I3644">
        <v>1.61</v>
      </c>
      <c r="J3644" s="1">
        <v>22993</v>
      </c>
    </row>
    <row r="3645" spans="1:10" ht="14.25" customHeight="1" x14ac:dyDescent="0.25">
      <c r="A3645" s="21">
        <v>32003</v>
      </c>
      <c r="B3645" s="21"/>
      <c r="C3645">
        <v>253.7</v>
      </c>
      <c r="D3645">
        <v>5</v>
      </c>
      <c r="E3645">
        <v>402</v>
      </c>
      <c r="F3645">
        <v>326</v>
      </c>
      <c r="G3645">
        <v>50</v>
      </c>
      <c r="H3645">
        <v>326</v>
      </c>
      <c r="I3645">
        <v>1.98</v>
      </c>
      <c r="J3645" s="1">
        <v>19564</v>
      </c>
    </row>
    <row r="3646" spans="1:10" ht="14.25" customHeight="1" x14ac:dyDescent="0.25">
      <c r="A3646" s="21">
        <v>32003</v>
      </c>
      <c r="B3646" s="21"/>
      <c r="C3646">
        <v>213.8</v>
      </c>
      <c r="D3646">
        <v>4.7</v>
      </c>
      <c r="E3646">
        <v>189</v>
      </c>
      <c r="F3646">
        <v>337</v>
      </c>
      <c r="G3646">
        <v>28</v>
      </c>
      <c r="H3646">
        <v>328</v>
      </c>
      <c r="I3646">
        <v>1.87</v>
      </c>
      <c r="J3646" s="1">
        <v>17218</v>
      </c>
    </row>
    <row r="3647" spans="1:10" ht="14.25" customHeight="1" x14ac:dyDescent="0.25">
      <c r="A3647" s="21">
        <v>32003</v>
      </c>
      <c r="B3647" s="21"/>
      <c r="C3647">
        <v>103.8</v>
      </c>
      <c r="D3647">
        <v>4</v>
      </c>
      <c r="E3647">
        <v>176</v>
      </c>
      <c r="F3647">
        <v>172</v>
      </c>
      <c r="G3647">
        <v>22</v>
      </c>
      <c r="H3647">
        <v>180</v>
      </c>
      <c r="I3647">
        <v>1.8</v>
      </c>
      <c r="J3647" s="1">
        <v>9899</v>
      </c>
    </row>
    <row r="3648" spans="1:10" ht="14.25" customHeight="1" x14ac:dyDescent="0.25">
      <c r="A3648" s="21">
        <v>32003</v>
      </c>
      <c r="B3648" s="21"/>
      <c r="C3648">
        <v>86.1</v>
      </c>
      <c r="D3648">
        <v>4.4000000000000004</v>
      </c>
      <c r="E3648">
        <v>94</v>
      </c>
      <c r="F3648">
        <v>136</v>
      </c>
      <c r="G3648">
        <v>24</v>
      </c>
      <c r="H3648">
        <v>136</v>
      </c>
      <c r="I3648">
        <v>1.9</v>
      </c>
      <c r="J3648" s="1">
        <v>7543</v>
      </c>
    </row>
    <row r="3649" spans="1:10" ht="14.25" customHeight="1" x14ac:dyDescent="0.25">
      <c r="A3649" s="21">
        <v>32003</v>
      </c>
      <c r="B3649" s="21"/>
      <c r="C3649">
        <v>176.4</v>
      </c>
      <c r="D3649">
        <v>4.4000000000000004</v>
      </c>
      <c r="E3649">
        <v>173</v>
      </c>
      <c r="F3649">
        <v>248</v>
      </c>
      <c r="G3649">
        <v>16</v>
      </c>
      <c r="H3649">
        <v>262</v>
      </c>
      <c r="I3649">
        <v>1.67</v>
      </c>
      <c r="J3649" s="1">
        <v>15560</v>
      </c>
    </row>
    <row r="3650" spans="1:10" ht="14.25" customHeight="1" x14ac:dyDescent="0.25">
      <c r="A3650" s="21">
        <v>32003</v>
      </c>
      <c r="B3650" s="21"/>
      <c r="E3650">
        <v>13</v>
      </c>
    </row>
    <row r="3651" spans="1:10" ht="14.25" customHeight="1" x14ac:dyDescent="0.25">
      <c r="A3651" s="21">
        <v>32003</v>
      </c>
      <c r="B3651" s="21"/>
      <c r="C3651">
        <v>56.8</v>
      </c>
      <c r="D3651">
        <v>6.1</v>
      </c>
      <c r="E3651">
        <v>10</v>
      </c>
      <c r="F3651">
        <v>130</v>
      </c>
      <c r="H3651">
        <v>130</v>
      </c>
      <c r="I3651">
        <v>0.99</v>
      </c>
      <c r="J3651" s="1">
        <v>3375</v>
      </c>
    </row>
    <row r="3652" spans="1:10" ht="14.25" customHeight="1" x14ac:dyDescent="0.25">
      <c r="A3652" s="21">
        <v>32003</v>
      </c>
      <c r="B3652" s="21"/>
      <c r="C3652">
        <v>90.6</v>
      </c>
      <c r="D3652">
        <v>3.4</v>
      </c>
      <c r="E3652">
        <v>104</v>
      </c>
      <c r="F3652">
        <v>140</v>
      </c>
      <c r="G3652">
        <v>16</v>
      </c>
      <c r="H3652">
        <v>140</v>
      </c>
      <c r="I3652">
        <v>1.55</v>
      </c>
      <c r="J3652" s="1">
        <v>10545</v>
      </c>
    </row>
    <row r="3653" spans="1:10" ht="14.25" customHeight="1" x14ac:dyDescent="0.25">
      <c r="A3653" s="21">
        <v>32003</v>
      </c>
      <c r="B3653" s="21"/>
      <c r="C3653">
        <v>3.8</v>
      </c>
      <c r="D3653">
        <v>2.1</v>
      </c>
      <c r="E3653">
        <v>24</v>
      </c>
      <c r="F3653">
        <v>32</v>
      </c>
      <c r="H3653">
        <v>32</v>
      </c>
      <c r="I3653">
        <v>0.88</v>
      </c>
      <c r="J3653">
        <v>682</v>
      </c>
    </row>
    <row r="3654" spans="1:10" ht="14.25" customHeight="1" x14ac:dyDescent="0.25">
      <c r="A3654" s="21">
        <v>32003</v>
      </c>
      <c r="B3654" s="21"/>
      <c r="E3654">
        <v>2</v>
      </c>
    </row>
    <row r="3655" spans="1:10" ht="14.25" customHeight="1" x14ac:dyDescent="0.25">
      <c r="A3655" s="21">
        <v>32003</v>
      </c>
      <c r="B3655" s="21"/>
      <c r="E3655">
        <v>6</v>
      </c>
      <c r="H3655">
        <v>8</v>
      </c>
    </row>
    <row r="3656" spans="1:10" ht="14.25" customHeight="1" x14ac:dyDescent="0.25">
      <c r="A3656" s="21">
        <v>32003</v>
      </c>
      <c r="B3656" s="21"/>
      <c r="E3656">
        <v>2</v>
      </c>
      <c r="H3656">
        <v>8</v>
      </c>
    </row>
    <row r="3657" spans="1:10" ht="14.25" customHeight="1" x14ac:dyDescent="0.25">
      <c r="A3657" s="21">
        <v>32007</v>
      </c>
      <c r="B3657" s="21"/>
      <c r="C3657">
        <v>11.8</v>
      </c>
      <c r="D3657">
        <v>2.6</v>
      </c>
      <c r="E3657">
        <v>114</v>
      </c>
      <c r="F3657">
        <v>59</v>
      </c>
      <c r="G3657">
        <v>7</v>
      </c>
      <c r="H3657">
        <v>59</v>
      </c>
      <c r="I3657">
        <v>1.42</v>
      </c>
      <c r="J3657" s="1">
        <v>1958</v>
      </c>
    </row>
    <row r="3658" spans="1:10" ht="14.25" customHeight="1" x14ac:dyDescent="0.25">
      <c r="A3658" s="21">
        <v>32023</v>
      </c>
      <c r="B3658" s="21"/>
      <c r="C3658">
        <v>0.4</v>
      </c>
      <c r="D3658">
        <v>2.7</v>
      </c>
      <c r="J3658">
        <v>51</v>
      </c>
    </row>
    <row r="3659" spans="1:10" ht="14.25" customHeight="1" x14ac:dyDescent="0.25">
      <c r="A3659" s="21">
        <v>32031</v>
      </c>
      <c r="B3659" s="21"/>
      <c r="C3659">
        <v>36.299999999999997</v>
      </c>
      <c r="D3659">
        <v>3.3</v>
      </c>
      <c r="E3659">
        <v>93</v>
      </c>
      <c r="F3659">
        <v>72</v>
      </c>
      <c r="G3659">
        <v>12</v>
      </c>
      <c r="H3659">
        <v>72</v>
      </c>
      <c r="I3659">
        <v>1.57</v>
      </c>
      <c r="J3659" s="1">
        <v>4042</v>
      </c>
    </row>
    <row r="3660" spans="1:10" ht="14.25" customHeight="1" x14ac:dyDescent="0.25">
      <c r="A3660" s="21">
        <v>32031</v>
      </c>
      <c r="B3660" s="21"/>
      <c r="C3660">
        <v>159.30000000000001</v>
      </c>
      <c r="D3660">
        <v>4.5</v>
      </c>
      <c r="E3660">
        <v>364</v>
      </c>
      <c r="F3660">
        <v>252</v>
      </c>
      <c r="G3660">
        <v>28</v>
      </c>
      <c r="H3660">
        <v>252</v>
      </c>
      <c r="I3660">
        <v>2.1</v>
      </c>
      <c r="J3660" s="1">
        <v>13342</v>
      </c>
    </row>
    <row r="3661" spans="1:10" ht="14.25" customHeight="1" x14ac:dyDescent="0.25">
      <c r="A3661" s="21">
        <v>32031</v>
      </c>
      <c r="B3661" s="21"/>
      <c r="C3661">
        <v>490</v>
      </c>
      <c r="D3661">
        <v>5.7</v>
      </c>
      <c r="E3661">
        <v>992</v>
      </c>
      <c r="F3661">
        <v>637</v>
      </c>
      <c r="G3661">
        <v>216</v>
      </c>
      <c r="H3661">
        <v>637</v>
      </c>
      <c r="I3661">
        <v>2.06</v>
      </c>
      <c r="J3661" s="1">
        <v>32725</v>
      </c>
    </row>
    <row r="3662" spans="1:10" ht="14.25" customHeight="1" x14ac:dyDescent="0.25">
      <c r="A3662" s="21">
        <v>32031</v>
      </c>
      <c r="B3662" s="21"/>
      <c r="C3662">
        <v>36.700000000000003</v>
      </c>
      <c r="D3662">
        <v>3.3</v>
      </c>
      <c r="E3662">
        <v>69</v>
      </c>
      <c r="F3662">
        <v>76</v>
      </c>
      <c r="G3662">
        <v>34</v>
      </c>
      <c r="H3662">
        <v>76</v>
      </c>
      <c r="I3662">
        <v>1.48</v>
      </c>
      <c r="J3662" s="1">
        <v>4080</v>
      </c>
    </row>
    <row r="3663" spans="1:10" ht="14.25" customHeight="1" x14ac:dyDescent="0.25">
      <c r="A3663" s="21">
        <v>32510</v>
      </c>
      <c r="B3663" s="21"/>
      <c r="C3663">
        <v>124.2</v>
      </c>
      <c r="D3663">
        <v>4.3</v>
      </c>
      <c r="E3663">
        <v>400</v>
      </c>
      <c r="F3663">
        <v>175</v>
      </c>
      <c r="G3663">
        <v>24</v>
      </c>
      <c r="H3663">
        <v>175</v>
      </c>
      <c r="I3663">
        <v>1.73</v>
      </c>
      <c r="J3663" s="1">
        <v>10795</v>
      </c>
    </row>
    <row r="3664" spans="1:10" ht="14.25" customHeight="1" x14ac:dyDescent="0.25">
      <c r="A3664" s="21">
        <v>32510</v>
      </c>
      <c r="B3664" s="21"/>
      <c r="C3664">
        <v>4.9000000000000004</v>
      </c>
      <c r="D3664">
        <v>2.4</v>
      </c>
      <c r="E3664">
        <v>2</v>
      </c>
      <c r="F3664">
        <v>15</v>
      </c>
      <c r="H3664">
        <v>15</v>
      </c>
      <c r="J3664">
        <v>753</v>
      </c>
    </row>
    <row r="3665" spans="1:10" ht="14.25" customHeight="1" x14ac:dyDescent="0.25">
      <c r="A3665" s="21">
        <v>33001</v>
      </c>
      <c r="B3665" s="21"/>
      <c r="C3665">
        <v>51.7</v>
      </c>
      <c r="D3665">
        <v>5.4</v>
      </c>
      <c r="E3665">
        <v>192</v>
      </c>
      <c r="F3665">
        <v>86</v>
      </c>
      <c r="G3665">
        <v>10</v>
      </c>
      <c r="H3665">
        <v>86</v>
      </c>
      <c r="I3665">
        <v>1.7</v>
      </c>
      <c r="J3665" s="1">
        <v>3504</v>
      </c>
    </row>
    <row r="3666" spans="1:10" ht="14.25" customHeight="1" x14ac:dyDescent="0.25">
      <c r="A3666" s="21">
        <v>33005</v>
      </c>
      <c r="B3666" s="21"/>
      <c r="C3666">
        <v>50.3</v>
      </c>
      <c r="D3666">
        <v>4.4000000000000004</v>
      </c>
      <c r="E3666">
        <v>243</v>
      </c>
      <c r="F3666">
        <v>86</v>
      </c>
      <c r="G3666">
        <v>27</v>
      </c>
      <c r="H3666">
        <v>86</v>
      </c>
      <c r="I3666">
        <v>1.47</v>
      </c>
      <c r="J3666" s="1">
        <v>4347</v>
      </c>
    </row>
    <row r="3667" spans="1:10" ht="14.25" customHeight="1" x14ac:dyDescent="0.25">
      <c r="A3667" s="21">
        <v>33009</v>
      </c>
      <c r="B3667" s="21"/>
      <c r="C3667">
        <v>318.39999999999998</v>
      </c>
      <c r="D3667">
        <v>6.1</v>
      </c>
      <c r="E3667" s="1">
        <v>1357</v>
      </c>
      <c r="F3667">
        <v>401</v>
      </c>
      <c r="G3667">
        <v>48</v>
      </c>
      <c r="H3667">
        <v>401</v>
      </c>
      <c r="I3667">
        <v>2.39</v>
      </c>
      <c r="J3667" s="1">
        <v>18966</v>
      </c>
    </row>
    <row r="3668" spans="1:10" ht="14.25" customHeight="1" x14ac:dyDescent="0.25">
      <c r="A3668" s="21">
        <v>33011</v>
      </c>
      <c r="B3668" s="21"/>
      <c r="C3668">
        <v>162.9</v>
      </c>
      <c r="D3668">
        <v>5.6</v>
      </c>
      <c r="E3668">
        <v>412</v>
      </c>
      <c r="F3668">
        <v>239</v>
      </c>
      <c r="G3668">
        <v>30</v>
      </c>
      <c r="H3668">
        <v>239</v>
      </c>
      <c r="I3668">
        <v>1.98</v>
      </c>
      <c r="J3668" s="1">
        <v>11289</v>
      </c>
    </row>
    <row r="3669" spans="1:10" ht="14.25" customHeight="1" x14ac:dyDescent="0.25">
      <c r="A3669" s="21">
        <v>33011</v>
      </c>
      <c r="B3669" s="21"/>
      <c r="C3669">
        <v>90.2</v>
      </c>
      <c r="D3669">
        <v>3.9</v>
      </c>
      <c r="E3669">
        <v>428</v>
      </c>
      <c r="F3669">
        <v>142</v>
      </c>
      <c r="G3669">
        <v>11</v>
      </c>
      <c r="H3669">
        <v>142</v>
      </c>
      <c r="I3669">
        <v>1.39</v>
      </c>
      <c r="J3669" s="1">
        <v>9425</v>
      </c>
    </row>
    <row r="3670" spans="1:10" ht="14.25" customHeight="1" x14ac:dyDescent="0.25">
      <c r="A3670" s="21">
        <v>33011</v>
      </c>
      <c r="B3670" s="21"/>
      <c r="C3670">
        <v>60.3</v>
      </c>
      <c r="D3670">
        <v>4.9000000000000004</v>
      </c>
      <c r="E3670">
        <v>229</v>
      </c>
      <c r="F3670">
        <v>184</v>
      </c>
      <c r="G3670">
        <v>15</v>
      </c>
      <c r="H3670">
        <v>184</v>
      </c>
      <c r="I3670">
        <v>1.38</v>
      </c>
      <c r="J3670" s="1">
        <v>4691</v>
      </c>
    </row>
    <row r="3671" spans="1:10" ht="14.25" customHeight="1" x14ac:dyDescent="0.25">
      <c r="A3671" s="21">
        <v>33011</v>
      </c>
      <c r="B3671" s="21"/>
      <c r="C3671">
        <v>133</v>
      </c>
      <c r="D3671">
        <v>5</v>
      </c>
      <c r="E3671">
        <v>703</v>
      </c>
      <c r="F3671">
        <v>199</v>
      </c>
      <c r="G3671">
        <v>16</v>
      </c>
      <c r="H3671">
        <v>199</v>
      </c>
      <c r="I3671">
        <v>1.6</v>
      </c>
      <c r="J3671" s="1">
        <v>11833</v>
      </c>
    </row>
    <row r="3672" spans="1:10" ht="14.25" customHeight="1" x14ac:dyDescent="0.25">
      <c r="A3672" s="21">
        <v>33011</v>
      </c>
      <c r="B3672" s="21"/>
      <c r="H3672">
        <v>188</v>
      </c>
    </row>
    <row r="3673" spans="1:10" ht="14.25" customHeight="1" x14ac:dyDescent="0.25">
      <c r="A3673" s="21">
        <v>33013</v>
      </c>
      <c r="B3673" s="21"/>
      <c r="C3673">
        <v>162.5</v>
      </c>
      <c r="D3673">
        <v>4.5</v>
      </c>
      <c r="E3673">
        <v>620</v>
      </c>
      <c r="F3673">
        <v>206</v>
      </c>
      <c r="G3673">
        <v>18</v>
      </c>
      <c r="H3673">
        <v>206</v>
      </c>
      <c r="I3673">
        <v>1.7</v>
      </c>
      <c r="J3673" s="1">
        <v>12480</v>
      </c>
    </row>
    <row r="3674" spans="1:10" ht="14.25" customHeight="1" x14ac:dyDescent="0.25">
      <c r="A3674" s="21">
        <v>33015</v>
      </c>
      <c r="B3674" s="21"/>
      <c r="C3674">
        <v>55.9</v>
      </c>
      <c r="D3674">
        <v>4</v>
      </c>
      <c r="E3674">
        <v>294</v>
      </c>
      <c r="F3674">
        <v>97</v>
      </c>
      <c r="G3674">
        <v>19</v>
      </c>
      <c r="H3674">
        <v>97</v>
      </c>
      <c r="I3674">
        <v>1.56</v>
      </c>
      <c r="J3674" s="1">
        <v>5388</v>
      </c>
    </row>
    <row r="3675" spans="1:10" ht="14.25" customHeight="1" x14ac:dyDescent="0.25">
      <c r="A3675" s="21">
        <v>33015</v>
      </c>
      <c r="B3675" s="21"/>
      <c r="C3675">
        <v>126.9</v>
      </c>
      <c r="D3675">
        <v>5.0999999999999996</v>
      </c>
      <c r="E3675">
        <v>293</v>
      </c>
      <c r="F3675">
        <v>143</v>
      </c>
      <c r="G3675">
        <v>16</v>
      </c>
      <c r="H3675">
        <v>143</v>
      </c>
      <c r="I3675">
        <v>1.8</v>
      </c>
      <c r="J3675" s="1">
        <v>8601</v>
      </c>
    </row>
    <row r="3676" spans="1:10" ht="14.25" customHeight="1" x14ac:dyDescent="0.25">
      <c r="A3676" s="21">
        <v>33015</v>
      </c>
      <c r="B3676" s="21"/>
      <c r="C3676">
        <v>41.6</v>
      </c>
      <c r="D3676">
        <v>5.6</v>
      </c>
      <c r="E3676">
        <v>147</v>
      </c>
      <c r="F3676">
        <v>68</v>
      </c>
      <c r="G3676">
        <v>8</v>
      </c>
      <c r="H3676">
        <v>68</v>
      </c>
      <c r="I3676">
        <v>1.38</v>
      </c>
      <c r="J3676" s="1">
        <v>2769</v>
      </c>
    </row>
    <row r="3677" spans="1:10" ht="14.25" customHeight="1" x14ac:dyDescent="0.25">
      <c r="A3677" s="21">
        <v>33017</v>
      </c>
      <c r="B3677" s="21"/>
      <c r="C3677">
        <v>79</v>
      </c>
      <c r="D3677">
        <v>3.9</v>
      </c>
      <c r="E3677">
        <v>429</v>
      </c>
      <c r="F3677">
        <v>118</v>
      </c>
      <c r="G3677">
        <v>11</v>
      </c>
      <c r="H3677">
        <v>118</v>
      </c>
      <c r="I3677">
        <v>1.51</v>
      </c>
      <c r="J3677" s="1">
        <v>8253</v>
      </c>
    </row>
    <row r="3678" spans="1:10" ht="14.25" customHeight="1" x14ac:dyDescent="0.25">
      <c r="A3678" s="21">
        <v>33017</v>
      </c>
      <c r="B3678" s="21"/>
      <c r="C3678">
        <v>31.8</v>
      </c>
      <c r="D3678">
        <v>4.3</v>
      </c>
      <c r="E3678">
        <v>167</v>
      </c>
      <c r="F3678">
        <v>64</v>
      </c>
      <c r="G3678">
        <v>6</v>
      </c>
      <c r="H3678">
        <v>64</v>
      </c>
      <c r="I3678">
        <v>1.4</v>
      </c>
      <c r="J3678" s="1">
        <v>2841</v>
      </c>
    </row>
    <row r="3679" spans="1:10" ht="14.25" customHeight="1" x14ac:dyDescent="0.25">
      <c r="A3679" s="21">
        <v>34001</v>
      </c>
      <c r="B3679" s="21"/>
      <c r="C3679">
        <v>85.6</v>
      </c>
      <c r="D3679">
        <v>4</v>
      </c>
      <c r="E3679">
        <v>292</v>
      </c>
      <c r="F3679">
        <v>199</v>
      </c>
      <c r="G3679">
        <v>16</v>
      </c>
      <c r="H3679">
        <v>199</v>
      </c>
      <c r="I3679">
        <v>1.47</v>
      </c>
      <c r="J3679" s="1">
        <v>8638</v>
      </c>
    </row>
    <row r="3680" spans="1:10" ht="14.25" customHeight="1" x14ac:dyDescent="0.25">
      <c r="A3680" s="21">
        <v>34001</v>
      </c>
      <c r="B3680" s="21"/>
      <c r="C3680">
        <v>360.9</v>
      </c>
      <c r="D3680">
        <v>4.5</v>
      </c>
      <c r="E3680">
        <v>694</v>
      </c>
      <c r="F3680">
        <v>540</v>
      </c>
      <c r="G3680">
        <v>38</v>
      </c>
      <c r="H3680">
        <v>540</v>
      </c>
      <c r="I3680">
        <v>1.64</v>
      </c>
      <c r="J3680" s="1">
        <v>30244</v>
      </c>
    </row>
    <row r="3681" spans="1:10" ht="14.25" customHeight="1" x14ac:dyDescent="0.25">
      <c r="A3681" s="21">
        <v>34001</v>
      </c>
      <c r="B3681" s="21"/>
      <c r="C3681">
        <v>35.6</v>
      </c>
      <c r="D3681">
        <v>4.8</v>
      </c>
      <c r="J3681" s="1">
        <v>2746</v>
      </c>
    </row>
    <row r="3682" spans="1:10" ht="14.25" customHeight="1" x14ac:dyDescent="0.25">
      <c r="A3682" s="21">
        <v>34001</v>
      </c>
      <c r="B3682" s="21"/>
      <c r="E3682">
        <v>6</v>
      </c>
      <c r="H3682">
        <v>266</v>
      </c>
    </row>
    <row r="3683" spans="1:10" ht="14.25" customHeight="1" x14ac:dyDescent="0.25">
      <c r="A3683" s="21">
        <v>34001</v>
      </c>
      <c r="B3683" s="21"/>
    </row>
    <row r="3684" spans="1:10" ht="14.25" customHeight="1" x14ac:dyDescent="0.25">
      <c r="A3684" s="21">
        <v>34003</v>
      </c>
      <c r="B3684" s="21"/>
      <c r="C3684">
        <v>182.2</v>
      </c>
      <c r="D3684">
        <v>5.2</v>
      </c>
      <c r="E3684">
        <v>861</v>
      </c>
      <c r="F3684">
        <v>275</v>
      </c>
      <c r="G3684">
        <v>26</v>
      </c>
      <c r="H3684">
        <v>275</v>
      </c>
      <c r="I3684">
        <v>1.83</v>
      </c>
      <c r="J3684" s="1">
        <v>13937</v>
      </c>
    </row>
    <row r="3685" spans="1:10" ht="14.25" customHeight="1" x14ac:dyDescent="0.25">
      <c r="A3685" s="21">
        <v>34003</v>
      </c>
      <c r="B3685" s="21"/>
      <c r="C3685">
        <v>73.400000000000006</v>
      </c>
      <c r="D3685">
        <v>3.8</v>
      </c>
      <c r="E3685">
        <v>128</v>
      </c>
      <c r="F3685">
        <v>127</v>
      </c>
      <c r="G3685">
        <v>9</v>
      </c>
      <c r="H3685">
        <v>127</v>
      </c>
      <c r="I3685">
        <v>1.1599999999999999</v>
      </c>
      <c r="J3685" s="1">
        <v>7067</v>
      </c>
    </row>
    <row r="3686" spans="1:10" ht="14.25" customHeight="1" x14ac:dyDescent="0.25">
      <c r="A3686" s="21">
        <v>34003</v>
      </c>
      <c r="B3686" s="21"/>
      <c r="C3686">
        <v>167.8</v>
      </c>
      <c r="D3686">
        <v>5.3</v>
      </c>
      <c r="E3686">
        <v>609</v>
      </c>
      <c r="F3686">
        <v>284</v>
      </c>
      <c r="G3686">
        <v>19</v>
      </c>
      <c r="H3686">
        <v>284</v>
      </c>
      <c r="I3686">
        <v>1.59</v>
      </c>
      <c r="J3686" s="1">
        <v>12271</v>
      </c>
    </row>
    <row r="3687" spans="1:10" ht="14.25" customHeight="1" x14ac:dyDescent="0.25">
      <c r="A3687" s="21">
        <v>34003</v>
      </c>
      <c r="B3687" s="21"/>
      <c r="C3687">
        <v>568.79999999999995</v>
      </c>
      <c r="D3687">
        <v>6</v>
      </c>
      <c r="E3687" s="1">
        <v>1479</v>
      </c>
      <c r="F3687">
        <v>687</v>
      </c>
      <c r="G3687">
        <v>35</v>
      </c>
      <c r="H3687">
        <v>687</v>
      </c>
      <c r="I3687">
        <v>2.21</v>
      </c>
      <c r="J3687" s="1">
        <v>36706</v>
      </c>
    </row>
    <row r="3688" spans="1:10" ht="14.25" customHeight="1" x14ac:dyDescent="0.25">
      <c r="A3688" s="21">
        <v>34003</v>
      </c>
      <c r="B3688" s="21"/>
      <c r="C3688">
        <v>228.6</v>
      </c>
      <c r="D3688">
        <v>4.5</v>
      </c>
      <c r="E3688">
        <v>877</v>
      </c>
      <c r="F3688">
        <v>363</v>
      </c>
      <c r="G3688">
        <v>14</v>
      </c>
      <c r="H3688">
        <v>363</v>
      </c>
      <c r="I3688">
        <v>1.97</v>
      </c>
      <c r="J3688" s="1">
        <v>20249</v>
      </c>
    </row>
    <row r="3689" spans="1:10" ht="14.25" customHeight="1" x14ac:dyDescent="0.25">
      <c r="A3689" s="21">
        <v>34003</v>
      </c>
      <c r="B3689" s="21"/>
      <c r="C3689">
        <v>46.6</v>
      </c>
      <c r="D3689">
        <v>4</v>
      </c>
      <c r="E3689">
        <v>117</v>
      </c>
      <c r="F3689">
        <v>78</v>
      </c>
      <c r="G3689">
        <v>9</v>
      </c>
      <c r="H3689">
        <v>78</v>
      </c>
      <c r="I3689">
        <v>1.57</v>
      </c>
      <c r="J3689" s="1">
        <v>4955</v>
      </c>
    </row>
    <row r="3690" spans="1:10" ht="14.25" customHeight="1" x14ac:dyDescent="0.25">
      <c r="A3690" s="21">
        <v>34003</v>
      </c>
      <c r="B3690" s="21"/>
      <c r="H3690">
        <v>66</v>
      </c>
    </row>
    <row r="3691" spans="1:10" ht="14.25" customHeight="1" x14ac:dyDescent="0.25">
      <c r="A3691" s="21">
        <v>34003</v>
      </c>
      <c r="B3691" s="21"/>
      <c r="E3691">
        <v>5</v>
      </c>
      <c r="H3691">
        <v>775</v>
      </c>
    </row>
    <row r="3692" spans="1:10" ht="14.25" customHeight="1" x14ac:dyDescent="0.25">
      <c r="A3692" s="21">
        <v>34005</v>
      </c>
      <c r="B3692" s="21"/>
      <c r="C3692">
        <v>56</v>
      </c>
      <c r="D3692">
        <v>5.3</v>
      </c>
      <c r="E3692">
        <v>122</v>
      </c>
      <c r="F3692">
        <v>86</v>
      </c>
      <c r="G3692">
        <v>24</v>
      </c>
      <c r="H3692">
        <v>86</v>
      </c>
      <c r="I3692">
        <v>2.72</v>
      </c>
      <c r="J3692" s="1">
        <v>3840</v>
      </c>
    </row>
    <row r="3693" spans="1:10" ht="14.25" customHeight="1" x14ac:dyDescent="0.25">
      <c r="A3693" s="21">
        <v>34005</v>
      </c>
      <c r="B3693" s="21"/>
      <c r="C3693">
        <v>186.6</v>
      </c>
      <c r="D3693">
        <v>4.3</v>
      </c>
      <c r="E3693">
        <v>463</v>
      </c>
      <c r="F3693">
        <v>317</v>
      </c>
      <c r="G3693">
        <v>38</v>
      </c>
      <c r="H3693">
        <v>317</v>
      </c>
      <c r="I3693">
        <v>1.46</v>
      </c>
      <c r="J3693" s="1">
        <v>16955</v>
      </c>
    </row>
    <row r="3694" spans="1:10" ht="14.25" customHeight="1" x14ac:dyDescent="0.25">
      <c r="A3694" s="21">
        <v>34005</v>
      </c>
      <c r="B3694" s="21"/>
      <c r="C3694">
        <v>81.7</v>
      </c>
      <c r="D3694">
        <v>4.5</v>
      </c>
      <c r="E3694">
        <v>178</v>
      </c>
      <c r="F3694">
        <v>124</v>
      </c>
      <c r="G3694">
        <v>20</v>
      </c>
      <c r="H3694">
        <v>124</v>
      </c>
      <c r="I3694">
        <v>1.33</v>
      </c>
      <c r="J3694" s="1">
        <v>6686</v>
      </c>
    </row>
    <row r="3695" spans="1:10" ht="14.25" customHeight="1" x14ac:dyDescent="0.25">
      <c r="A3695" s="21">
        <v>34005</v>
      </c>
      <c r="B3695" s="21"/>
      <c r="H3695">
        <v>188</v>
      </c>
    </row>
    <row r="3696" spans="1:10" ht="14.25" customHeight="1" x14ac:dyDescent="0.25">
      <c r="A3696" s="21">
        <v>34007</v>
      </c>
      <c r="B3696" s="21"/>
      <c r="C3696">
        <v>343.7</v>
      </c>
      <c r="D3696">
        <v>4.7</v>
      </c>
      <c r="E3696">
        <v>682</v>
      </c>
      <c r="F3696">
        <v>522</v>
      </c>
      <c r="G3696">
        <v>67</v>
      </c>
      <c r="H3696">
        <v>522</v>
      </c>
      <c r="I3696">
        <v>1.5</v>
      </c>
      <c r="J3696" s="1">
        <v>26906</v>
      </c>
    </row>
    <row r="3697" spans="1:10" ht="14.25" customHeight="1" x14ac:dyDescent="0.25">
      <c r="A3697" s="21">
        <v>34007</v>
      </c>
      <c r="B3697" s="21"/>
      <c r="C3697">
        <v>145.30000000000001</v>
      </c>
      <c r="D3697">
        <v>3.7</v>
      </c>
      <c r="E3697">
        <v>323</v>
      </c>
      <c r="F3697">
        <v>257</v>
      </c>
      <c r="G3697">
        <v>21</v>
      </c>
      <c r="H3697">
        <v>257</v>
      </c>
      <c r="I3697">
        <v>2.13</v>
      </c>
      <c r="J3697" s="1">
        <v>14304</v>
      </c>
    </row>
    <row r="3698" spans="1:10" ht="14.25" customHeight="1" x14ac:dyDescent="0.25">
      <c r="A3698" s="21">
        <v>34007</v>
      </c>
      <c r="B3698" s="21"/>
    </row>
    <row r="3699" spans="1:10" ht="14.25" customHeight="1" x14ac:dyDescent="0.25">
      <c r="A3699" s="21">
        <v>34007</v>
      </c>
      <c r="B3699" s="21"/>
      <c r="C3699">
        <v>405.4</v>
      </c>
      <c r="D3699">
        <v>5.5</v>
      </c>
      <c r="E3699" s="1">
        <v>1121</v>
      </c>
      <c r="F3699">
        <v>574</v>
      </c>
      <c r="G3699">
        <v>30</v>
      </c>
      <c r="H3699">
        <v>574</v>
      </c>
      <c r="I3699">
        <v>2.11</v>
      </c>
      <c r="J3699" s="1">
        <v>28570</v>
      </c>
    </row>
    <row r="3700" spans="1:10" ht="14.25" customHeight="1" x14ac:dyDescent="0.25">
      <c r="A3700" s="21">
        <v>34007</v>
      </c>
      <c r="B3700" s="21"/>
      <c r="C3700">
        <v>373.8</v>
      </c>
      <c r="D3700">
        <v>4.2</v>
      </c>
      <c r="E3700">
        <v>865</v>
      </c>
      <c r="F3700">
        <v>587</v>
      </c>
      <c r="G3700">
        <v>48</v>
      </c>
      <c r="H3700">
        <v>389</v>
      </c>
      <c r="I3700">
        <v>1.43</v>
      </c>
      <c r="J3700" s="1">
        <v>35329</v>
      </c>
    </row>
    <row r="3701" spans="1:10" ht="14.25" customHeight="1" x14ac:dyDescent="0.25">
      <c r="A3701" s="21">
        <v>34007</v>
      </c>
      <c r="B3701" s="21"/>
      <c r="E3701">
        <v>7</v>
      </c>
      <c r="H3701">
        <v>150</v>
      </c>
    </row>
    <row r="3702" spans="1:10" ht="14.25" customHeight="1" x14ac:dyDescent="0.25">
      <c r="A3702" s="21">
        <v>34007</v>
      </c>
      <c r="B3702" s="21"/>
      <c r="H3702">
        <v>202</v>
      </c>
    </row>
    <row r="3703" spans="1:10" ht="14.25" customHeight="1" x14ac:dyDescent="0.25">
      <c r="A3703" s="21">
        <v>34009</v>
      </c>
      <c r="B3703" s="21"/>
      <c r="C3703">
        <v>64.5</v>
      </c>
      <c r="D3703">
        <v>3.7</v>
      </c>
      <c r="E3703">
        <v>294</v>
      </c>
      <c r="F3703">
        <v>149</v>
      </c>
      <c r="G3703">
        <v>16</v>
      </c>
      <c r="H3703">
        <v>149</v>
      </c>
      <c r="I3703">
        <v>1.42</v>
      </c>
      <c r="J3703" s="1">
        <v>6520</v>
      </c>
    </row>
    <row r="3704" spans="1:10" ht="14.25" customHeight="1" x14ac:dyDescent="0.25">
      <c r="A3704" s="21">
        <v>34011</v>
      </c>
      <c r="B3704" s="21"/>
      <c r="C3704">
        <v>189.3</v>
      </c>
      <c r="D3704">
        <v>4.7</v>
      </c>
      <c r="E3704">
        <v>513</v>
      </c>
      <c r="F3704">
        <v>280</v>
      </c>
      <c r="G3704">
        <v>12</v>
      </c>
      <c r="H3704">
        <v>280</v>
      </c>
      <c r="I3704">
        <v>1.41</v>
      </c>
      <c r="J3704" s="1">
        <v>16308</v>
      </c>
    </row>
    <row r="3705" spans="1:10" ht="14.25" customHeight="1" x14ac:dyDescent="0.25">
      <c r="A3705" s="21">
        <v>34013</v>
      </c>
      <c r="B3705" s="21"/>
      <c r="C3705">
        <v>319.8</v>
      </c>
      <c r="D3705">
        <v>6.7</v>
      </c>
      <c r="E3705">
        <v>528</v>
      </c>
      <c r="F3705">
        <v>442</v>
      </c>
      <c r="G3705">
        <v>35</v>
      </c>
      <c r="H3705">
        <v>442</v>
      </c>
      <c r="I3705">
        <v>2.2599999999999998</v>
      </c>
      <c r="J3705" s="1">
        <v>18423</v>
      </c>
    </row>
    <row r="3706" spans="1:10" ht="14.25" customHeight="1" x14ac:dyDescent="0.25">
      <c r="A3706" s="21">
        <v>34013</v>
      </c>
      <c r="B3706" s="21"/>
      <c r="C3706">
        <v>179</v>
      </c>
      <c r="D3706">
        <v>5.5</v>
      </c>
      <c r="E3706">
        <v>453</v>
      </c>
      <c r="F3706">
        <v>280</v>
      </c>
      <c r="G3706">
        <v>32</v>
      </c>
      <c r="H3706">
        <v>280</v>
      </c>
      <c r="I3706">
        <v>1.59</v>
      </c>
      <c r="J3706" s="1">
        <v>12605</v>
      </c>
    </row>
    <row r="3707" spans="1:10" ht="14.25" customHeight="1" x14ac:dyDescent="0.25">
      <c r="A3707" s="21">
        <v>34013</v>
      </c>
      <c r="B3707" s="21"/>
      <c r="C3707">
        <v>69.2</v>
      </c>
      <c r="D3707">
        <v>5.0999999999999996</v>
      </c>
      <c r="E3707">
        <v>133</v>
      </c>
      <c r="F3707">
        <v>159</v>
      </c>
      <c r="G3707">
        <v>15</v>
      </c>
      <c r="H3707">
        <v>159</v>
      </c>
      <c r="I3707">
        <v>1.68</v>
      </c>
      <c r="J3707" s="1">
        <v>4929</v>
      </c>
    </row>
    <row r="3708" spans="1:10" ht="14.25" customHeight="1" x14ac:dyDescent="0.25">
      <c r="A3708" s="21">
        <v>34013</v>
      </c>
      <c r="B3708" s="21"/>
      <c r="C3708">
        <v>413.1</v>
      </c>
      <c r="D3708">
        <v>5.8</v>
      </c>
      <c r="E3708" s="1">
        <v>1085</v>
      </c>
      <c r="F3708">
        <v>552</v>
      </c>
      <c r="G3708">
        <v>46</v>
      </c>
      <c r="H3708">
        <v>552</v>
      </c>
      <c r="I3708">
        <v>1.84</v>
      </c>
      <c r="J3708" s="1">
        <v>28094</v>
      </c>
    </row>
    <row r="3709" spans="1:10" ht="14.25" customHeight="1" x14ac:dyDescent="0.25">
      <c r="A3709" s="21">
        <v>34013</v>
      </c>
      <c r="B3709" s="21"/>
      <c r="C3709">
        <v>109.6</v>
      </c>
      <c r="D3709">
        <v>3.9</v>
      </c>
      <c r="E3709">
        <v>270</v>
      </c>
      <c r="F3709">
        <v>185</v>
      </c>
      <c r="G3709">
        <v>16</v>
      </c>
      <c r="H3709">
        <v>185</v>
      </c>
      <c r="I3709">
        <v>1.48</v>
      </c>
      <c r="J3709" s="1">
        <v>10662</v>
      </c>
    </row>
    <row r="3710" spans="1:10" ht="14.25" customHeight="1" x14ac:dyDescent="0.25">
      <c r="A3710" s="21">
        <v>34013</v>
      </c>
      <c r="B3710" s="21"/>
      <c r="C3710">
        <v>95.5</v>
      </c>
      <c r="D3710">
        <v>4.2</v>
      </c>
      <c r="E3710">
        <v>178</v>
      </c>
      <c r="F3710">
        <v>147</v>
      </c>
      <c r="G3710">
        <v>30</v>
      </c>
      <c r="H3710">
        <v>147</v>
      </c>
      <c r="I3710">
        <v>2.0299999999999998</v>
      </c>
      <c r="J3710" s="1">
        <v>8370</v>
      </c>
    </row>
    <row r="3711" spans="1:10" ht="14.25" customHeight="1" x14ac:dyDescent="0.25">
      <c r="A3711" s="21">
        <v>34013</v>
      </c>
      <c r="B3711" s="21"/>
      <c r="C3711">
        <v>266</v>
      </c>
      <c r="D3711">
        <v>6.5</v>
      </c>
      <c r="E3711">
        <v>555</v>
      </c>
      <c r="F3711">
        <v>355</v>
      </c>
      <c r="G3711">
        <v>41</v>
      </c>
      <c r="H3711">
        <v>355</v>
      </c>
      <c r="I3711">
        <v>2</v>
      </c>
      <c r="J3711" s="1">
        <v>15230</v>
      </c>
    </row>
    <row r="3712" spans="1:10" ht="14.25" customHeight="1" x14ac:dyDescent="0.25">
      <c r="A3712" s="21">
        <v>34013</v>
      </c>
      <c r="B3712" s="21"/>
      <c r="C3712">
        <v>50.7</v>
      </c>
      <c r="D3712">
        <v>6.3</v>
      </c>
      <c r="J3712" s="1">
        <v>1946</v>
      </c>
    </row>
    <row r="3713" spans="1:10" ht="14.25" customHeight="1" x14ac:dyDescent="0.25">
      <c r="A3713" s="21">
        <v>34015</v>
      </c>
      <c r="B3713" s="21"/>
      <c r="C3713">
        <v>102</v>
      </c>
      <c r="D3713">
        <v>4.9000000000000004</v>
      </c>
      <c r="E3713">
        <v>252</v>
      </c>
      <c r="F3713">
        <v>233</v>
      </c>
      <c r="G3713">
        <v>14</v>
      </c>
      <c r="H3713">
        <v>233</v>
      </c>
      <c r="I3713">
        <v>1.45</v>
      </c>
      <c r="J3713" s="1">
        <v>8125</v>
      </c>
    </row>
    <row r="3714" spans="1:10" ht="14.25" customHeight="1" x14ac:dyDescent="0.25">
      <c r="A3714" s="21">
        <v>34015</v>
      </c>
      <c r="B3714" s="21"/>
      <c r="E3714">
        <v>8</v>
      </c>
    </row>
    <row r="3715" spans="1:10" ht="14.25" customHeight="1" x14ac:dyDescent="0.25">
      <c r="A3715" s="21">
        <v>34017</v>
      </c>
      <c r="B3715" s="21"/>
      <c r="C3715">
        <v>184.6</v>
      </c>
      <c r="D3715">
        <v>5.4</v>
      </c>
      <c r="E3715">
        <v>354</v>
      </c>
      <c r="F3715">
        <v>272</v>
      </c>
      <c r="G3715">
        <v>18</v>
      </c>
      <c r="H3715">
        <v>272</v>
      </c>
      <c r="I3715">
        <v>1.79</v>
      </c>
      <c r="J3715" s="1">
        <v>13027</v>
      </c>
    </row>
    <row r="3716" spans="1:10" ht="14.25" customHeight="1" x14ac:dyDescent="0.25">
      <c r="A3716" s="21">
        <v>34017</v>
      </c>
      <c r="B3716" s="21"/>
      <c r="C3716">
        <v>54</v>
      </c>
      <c r="D3716">
        <v>4.8</v>
      </c>
      <c r="E3716">
        <v>183</v>
      </c>
      <c r="F3716">
        <v>117</v>
      </c>
      <c r="G3716">
        <v>15</v>
      </c>
      <c r="H3716">
        <v>117</v>
      </c>
      <c r="I3716">
        <v>1.34</v>
      </c>
      <c r="J3716" s="1">
        <v>4659</v>
      </c>
    </row>
    <row r="3717" spans="1:10" ht="14.25" customHeight="1" x14ac:dyDescent="0.25">
      <c r="A3717" s="21">
        <v>34017</v>
      </c>
      <c r="B3717" s="21"/>
      <c r="C3717">
        <v>105.4</v>
      </c>
      <c r="D3717">
        <v>4.4000000000000004</v>
      </c>
      <c r="E3717">
        <v>198</v>
      </c>
      <c r="F3717">
        <v>202</v>
      </c>
      <c r="G3717">
        <v>10</v>
      </c>
      <c r="H3717">
        <v>202</v>
      </c>
      <c r="I3717">
        <v>1.61</v>
      </c>
      <c r="J3717" s="1">
        <v>9575</v>
      </c>
    </row>
    <row r="3718" spans="1:10" ht="14.25" customHeight="1" x14ac:dyDescent="0.25">
      <c r="A3718" s="21">
        <v>34017</v>
      </c>
      <c r="B3718" s="21"/>
      <c r="C3718">
        <v>120.6</v>
      </c>
      <c r="D3718">
        <v>5.2</v>
      </c>
      <c r="E3718">
        <v>170</v>
      </c>
      <c r="F3718">
        <v>178</v>
      </c>
      <c r="G3718">
        <v>18</v>
      </c>
      <c r="H3718">
        <v>178</v>
      </c>
      <c r="I3718">
        <v>1.56</v>
      </c>
      <c r="J3718" s="1">
        <v>8868</v>
      </c>
    </row>
    <row r="3719" spans="1:10" ht="14.25" customHeight="1" x14ac:dyDescent="0.25">
      <c r="A3719" s="21">
        <v>34017</v>
      </c>
      <c r="B3719" s="21"/>
      <c r="C3719">
        <v>66.099999999999994</v>
      </c>
      <c r="D3719">
        <v>4.5</v>
      </c>
      <c r="E3719">
        <v>137</v>
      </c>
      <c r="F3719">
        <v>131</v>
      </c>
      <c r="G3719">
        <v>14</v>
      </c>
      <c r="H3719">
        <v>131</v>
      </c>
      <c r="I3719">
        <v>1.38</v>
      </c>
      <c r="J3719" s="1">
        <v>5083</v>
      </c>
    </row>
    <row r="3720" spans="1:10" ht="14.25" customHeight="1" x14ac:dyDescent="0.25">
      <c r="A3720" s="21">
        <v>34017</v>
      </c>
      <c r="B3720" s="21"/>
      <c r="C3720">
        <v>22</v>
      </c>
      <c r="D3720">
        <v>3.8</v>
      </c>
      <c r="E3720">
        <v>104</v>
      </c>
      <c r="F3720">
        <v>102</v>
      </c>
      <c r="G3720">
        <v>14</v>
      </c>
      <c r="H3720">
        <v>102</v>
      </c>
      <c r="I3720">
        <v>1.44</v>
      </c>
      <c r="J3720" s="1">
        <v>2299</v>
      </c>
    </row>
    <row r="3721" spans="1:10" ht="14.25" customHeight="1" x14ac:dyDescent="0.25">
      <c r="A3721" s="21">
        <v>34017</v>
      </c>
      <c r="B3721" s="21"/>
    </row>
    <row r="3722" spans="1:10" ht="14.25" customHeight="1" x14ac:dyDescent="0.25">
      <c r="A3722" s="21">
        <v>34019</v>
      </c>
      <c r="B3722" s="21"/>
      <c r="C3722">
        <v>96.6</v>
      </c>
      <c r="D3722">
        <v>4.4000000000000004</v>
      </c>
      <c r="E3722">
        <v>474</v>
      </c>
      <c r="F3722">
        <v>170</v>
      </c>
      <c r="G3722">
        <v>12</v>
      </c>
      <c r="H3722">
        <v>170</v>
      </c>
      <c r="I3722">
        <v>1.5</v>
      </c>
      <c r="J3722" s="1">
        <v>8670</v>
      </c>
    </row>
    <row r="3723" spans="1:10" ht="14.25" customHeight="1" x14ac:dyDescent="0.25">
      <c r="A3723" s="21">
        <v>34021</v>
      </c>
      <c r="B3723" s="21"/>
      <c r="C3723">
        <v>61.5</v>
      </c>
      <c r="D3723">
        <v>4.8</v>
      </c>
      <c r="E3723">
        <v>94</v>
      </c>
      <c r="F3723">
        <v>134</v>
      </c>
      <c r="G3723">
        <v>12</v>
      </c>
      <c r="H3723">
        <v>134</v>
      </c>
      <c r="I3723">
        <v>1.85</v>
      </c>
      <c r="J3723" s="1">
        <v>4718</v>
      </c>
    </row>
    <row r="3724" spans="1:10" ht="14.25" customHeight="1" x14ac:dyDescent="0.25">
      <c r="A3724" s="21">
        <v>34021</v>
      </c>
      <c r="B3724" s="21"/>
      <c r="C3724">
        <v>128.19999999999999</v>
      </c>
      <c r="D3724">
        <v>5.3</v>
      </c>
      <c r="E3724">
        <v>395</v>
      </c>
      <c r="F3724">
        <v>145</v>
      </c>
      <c r="G3724">
        <v>16</v>
      </c>
      <c r="H3724">
        <v>145</v>
      </c>
      <c r="I3724">
        <v>1.64</v>
      </c>
      <c r="J3724" s="1">
        <v>11188</v>
      </c>
    </row>
    <row r="3725" spans="1:10" ht="14.25" customHeight="1" x14ac:dyDescent="0.25">
      <c r="A3725" s="21">
        <v>34021</v>
      </c>
      <c r="B3725" s="21"/>
      <c r="C3725">
        <v>96.1</v>
      </c>
      <c r="D3725">
        <v>5</v>
      </c>
      <c r="E3725">
        <v>329</v>
      </c>
      <c r="F3725">
        <v>152</v>
      </c>
      <c r="G3725">
        <v>20</v>
      </c>
      <c r="H3725">
        <v>152</v>
      </c>
      <c r="I3725">
        <v>1.55</v>
      </c>
      <c r="J3725" s="1">
        <v>7055</v>
      </c>
    </row>
    <row r="3726" spans="1:10" ht="14.25" customHeight="1" x14ac:dyDescent="0.25">
      <c r="A3726" s="21">
        <v>34021</v>
      </c>
      <c r="B3726" s="21"/>
      <c r="C3726">
        <v>112.6</v>
      </c>
      <c r="D3726">
        <v>6.2</v>
      </c>
      <c r="E3726">
        <v>163</v>
      </c>
      <c r="F3726">
        <v>134</v>
      </c>
      <c r="G3726">
        <v>32</v>
      </c>
      <c r="H3726">
        <v>134</v>
      </c>
      <c r="I3726">
        <v>1.71</v>
      </c>
      <c r="J3726" s="1">
        <v>6579</v>
      </c>
    </row>
    <row r="3727" spans="1:10" ht="14.25" customHeight="1" x14ac:dyDescent="0.25">
      <c r="A3727" s="21">
        <v>34021</v>
      </c>
      <c r="B3727" s="21"/>
      <c r="H3727">
        <v>18</v>
      </c>
    </row>
    <row r="3728" spans="1:10" ht="14.25" customHeight="1" x14ac:dyDescent="0.25">
      <c r="A3728" s="21">
        <v>34023</v>
      </c>
      <c r="B3728" s="21"/>
      <c r="C3728">
        <v>152.69999999999999</v>
      </c>
      <c r="D3728">
        <v>4.3</v>
      </c>
      <c r="E3728" s="1">
        <v>1017</v>
      </c>
      <c r="F3728">
        <v>206</v>
      </c>
      <c r="G3728">
        <v>24</v>
      </c>
      <c r="H3728">
        <v>206</v>
      </c>
      <c r="I3728">
        <v>1.47</v>
      </c>
      <c r="J3728" s="1">
        <v>13863</v>
      </c>
    </row>
    <row r="3729" spans="1:10" ht="14.25" customHeight="1" x14ac:dyDescent="0.25">
      <c r="A3729" s="21">
        <v>34023</v>
      </c>
      <c r="B3729" s="21"/>
      <c r="C3729">
        <v>243.9</v>
      </c>
      <c r="D3729">
        <v>4.7</v>
      </c>
      <c r="E3729">
        <v>782</v>
      </c>
      <c r="F3729">
        <v>357</v>
      </c>
      <c r="H3729">
        <v>357</v>
      </c>
      <c r="I3729">
        <v>1.62</v>
      </c>
      <c r="J3729" s="1">
        <v>20340</v>
      </c>
    </row>
    <row r="3730" spans="1:10" ht="14.25" customHeight="1" x14ac:dyDescent="0.25">
      <c r="A3730" s="21">
        <v>34023</v>
      </c>
      <c r="B3730" s="21"/>
      <c r="C3730">
        <v>214.6</v>
      </c>
      <c r="D3730">
        <v>4.7</v>
      </c>
      <c r="E3730">
        <v>395</v>
      </c>
      <c r="F3730">
        <v>353</v>
      </c>
      <c r="G3730">
        <v>28</v>
      </c>
      <c r="H3730">
        <v>353</v>
      </c>
      <c r="I3730">
        <v>1.55</v>
      </c>
      <c r="J3730" s="1">
        <v>18954</v>
      </c>
    </row>
    <row r="3731" spans="1:10" ht="14.25" customHeight="1" x14ac:dyDescent="0.25">
      <c r="A3731" s="21">
        <v>34023</v>
      </c>
      <c r="B3731" s="21"/>
      <c r="C3731">
        <v>457.4</v>
      </c>
      <c r="D3731">
        <v>5.6</v>
      </c>
      <c r="E3731" s="1">
        <v>1081</v>
      </c>
      <c r="F3731">
        <v>610</v>
      </c>
      <c r="G3731">
        <v>16</v>
      </c>
      <c r="H3731">
        <v>600</v>
      </c>
      <c r="I3731">
        <v>2.1</v>
      </c>
      <c r="J3731" s="1">
        <v>30830</v>
      </c>
    </row>
    <row r="3732" spans="1:10" ht="14.25" customHeight="1" x14ac:dyDescent="0.25">
      <c r="A3732" s="21">
        <v>34023</v>
      </c>
      <c r="B3732" s="21"/>
      <c r="C3732">
        <v>157.1</v>
      </c>
      <c r="D3732">
        <v>5.2</v>
      </c>
      <c r="E3732">
        <v>361</v>
      </c>
      <c r="F3732">
        <v>302</v>
      </c>
      <c r="G3732">
        <v>29</v>
      </c>
      <c r="H3732">
        <v>302</v>
      </c>
      <c r="I3732">
        <v>1.58</v>
      </c>
      <c r="J3732" s="1">
        <v>11641</v>
      </c>
    </row>
    <row r="3733" spans="1:10" ht="14.25" customHeight="1" x14ac:dyDescent="0.25">
      <c r="A3733" s="21">
        <v>34023</v>
      </c>
      <c r="B3733" s="21"/>
      <c r="E3733">
        <v>6</v>
      </c>
      <c r="H3733">
        <v>113</v>
      </c>
    </row>
    <row r="3734" spans="1:10" ht="14.25" customHeight="1" x14ac:dyDescent="0.25">
      <c r="A3734" s="21">
        <v>34023</v>
      </c>
      <c r="B3734" s="21"/>
    </row>
    <row r="3735" spans="1:10" ht="14.25" customHeight="1" x14ac:dyDescent="0.25">
      <c r="A3735" s="21">
        <v>34025</v>
      </c>
      <c r="B3735" s="21"/>
      <c r="C3735">
        <v>397.4</v>
      </c>
      <c r="D3735">
        <v>5.0999999999999996</v>
      </c>
      <c r="E3735">
        <v>902</v>
      </c>
      <c r="F3735">
        <v>597</v>
      </c>
      <c r="G3735">
        <v>37</v>
      </c>
      <c r="H3735">
        <v>597</v>
      </c>
      <c r="I3735">
        <v>2.1</v>
      </c>
      <c r="J3735" s="1">
        <v>29251</v>
      </c>
    </row>
    <row r="3736" spans="1:10" ht="14.25" customHeight="1" x14ac:dyDescent="0.25">
      <c r="A3736" s="21">
        <v>34025</v>
      </c>
      <c r="B3736" s="21"/>
      <c r="C3736">
        <v>151.1</v>
      </c>
      <c r="D3736">
        <v>4.5</v>
      </c>
      <c r="E3736">
        <v>550</v>
      </c>
      <c r="F3736">
        <v>279</v>
      </c>
      <c r="G3736">
        <v>23</v>
      </c>
      <c r="H3736">
        <v>279</v>
      </c>
      <c r="I3736">
        <v>1.59</v>
      </c>
      <c r="J3736" s="1">
        <v>14787</v>
      </c>
    </row>
    <row r="3737" spans="1:10" ht="14.25" customHeight="1" x14ac:dyDescent="0.25">
      <c r="A3737" s="21">
        <v>34025</v>
      </c>
      <c r="B3737" s="21"/>
      <c r="C3737">
        <v>153.69999999999999</v>
      </c>
      <c r="D3737">
        <v>4.7</v>
      </c>
      <c r="E3737">
        <v>535</v>
      </c>
      <c r="F3737">
        <v>264</v>
      </c>
      <c r="G3737">
        <v>25</v>
      </c>
      <c r="H3737">
        <v>264</v>
      </c>
      <c r="I3737">
        <v>1.53</v>
      </c>
      <c r="J3737" s="1">
        <v>12451</v>
      </c>
    </row>
    <row r="3738" spans="1:10" ht="14.25" customHeight="1" x14ac:dyDescent="0.25">
      <c r="A3738" s="21">
        <v>34025</v>
      </c>
      <c r="B3738" s="21"/>
      <c r="C3738">
        <v>102.6</v>
      </c>
      <c r="D3738">
        <v>5.2</v>
      </c>
      <c r="E3738">
        <v>220</v>
      </c>
      <c r="F3738">
        <v>169</v>
      </c>
      <c r="G3738">
        <v>16</v>
      </c>
      <c r="H3738">
        <v>169</v>
      </c>
      <c r="I3738">
        <v>1.56</v>
      </c>
      <c r="J3738" s="1">
        <v>7212</v>
      </c>
    </row>
    <row r="3739" spans="1:10" ht="14.25" customHeight="1" x14ac:dyDescent="0.25">
      <c r="A3739" s="21">
        <v>34025</v>
      </c>
      <c r="B3739" s="21"/>
      <c r="C3739">
        <v>153</v>
      </c>
      <c r="D3739">
        <v>4.2</v>
      </c>
      <c r="E3739">
        <v>446</v>
      </c>
      <c r="F3739">
        <v>274</v>
      </c>
      <c r="G3739">
        <v>27</v>
      </c>
      <c r="H3739">
        <v>274</v>
      </c>
      <c r="I3739">
        <v>1.57</v>
      </c>
      <c r="J3739" s="1">
        <v>13930</v>
      </c>
    </row>
    <row r="3740" spans="1:10" ht="14.25" customHeight="1" x14ac:dyDescent="0.25">
      <c r="A3740" s="21">
        <v>34027</v>
      </c>
      <c r="B3740" s="21"/>
      <c r="C3740">
        <v>105.4</v>
      </c>
      <c r="D3740">
        <v>4.4000000000000004</v>
      </c>
      <c r="E3740">
        <v>393</v>
      </c>
      <c r="F3740">
        <v>175</v>
      </c>
      <c r="G3740">
        <v>12</v>
      </c>
      <c r="H3740">
        <v>175</v>
      </c>
      <c r="I3740">
        <v>1.46</v>
      </c>
      <c r="J3740" s="1">
        <v>9116</v>
      </c>
    </row>
    <row r="3741" spans="1:10" ht="14.25" customHeight="1" x14ac:dyDescent="0.25">
      <c r="A3741" s="21">
        <v>34027</v>
      </c>
      <c r="B3741" s="21"/>
      <c r="C3741">
        <v>489.3</v>
      </c>
      <c r="D3741">
        <v>4.5999999999999996</v>
      </c>
      <c r="E3741" s="1">
        <v>1534</v>
      </c>
      <c r="F3741">
        <v>614</v>
      </c>
      <c r="G3741">
        <v>44</v>
      </c>
      <c r="H3741">
        <v>614</v>
      </c>
      <c r="I3741">
        <v>2.12</v>
      </c>
      <c r="J3741" s="1">
        <v>41066</v>
      </c>
    </row>
    <row r="3742" spans="1:10" ht="14.25" customHeight="1" x14ac:dyDescent="0.25">
      <c r="A3742" s="21">
        <v>34027</v>
      </c>
      <c r="B3742" s="21"/>
      <c r="C3742">
        <v>142.9</v>
      </c>
      <c r="D3742">
        <v>3.8</v>
      </c>
      <c r="E3742">
        <v>336</v>
      </c>
      <c r="F3742">
        <v>325</v>
      </c>
      <c r="G3742">
        <v>25</v>
      </c>
      <c r="H3742">
        <v>264</v>
      </c>
      <c r="I3742">
        <v>1.69</v>
      </c>
      <c r="J3742" s="1">
        <v>14713</v>
      </c>
    </row>
    <row r="3743" spans="1:10" ht="14.25" customHeight="1" x14ac:dyDescent="0.25">
      <c r="A3743" s="21">
        <v>34027</v>
      </c>
      <c r="B3743" s="21"/>
      <c r="E3743">
        <v>1</v>
      </c>
      <c r="H3743">
        <v>60</v>
      </c>
    </row>
    <row r="3744" spans="1:10" ht="14.25" customHeight="1" x14ac:dyDescent="0.25">
      <c r="A3744" s="21">
        <v>34029</v>
      </c>
      <c r="B3744" s="21"/>
      <c r="C3744">
        <v>201.4</v>
      </c>
      <c r="D3744">
        <v>5.4</v>
      </c>
      <c r="E3744">
        <v>445</v>
      </c>
      <c r="F3744">
        <v>318</v>
      </c>
      <c r="G3744">
        <v>24</v>
      </c>
      <c r="H3744">
        <v>318</v>
      </c>
      <c r="I3744">
        <v>1.54</v>
      </c>
      <c r="J3744" s="1">
        <v>13885</v>
      </c>
    </row>
    <row r="3745" spans="1:10" ht="14.25" customHeight="1" x14ac:dyDescent="0.25">
      <c r="A3745" s="21">
        <v>34029</v>
      </c>
      <c r="B3745" s="21"/>
      <c r="C3745">
        <v>280.5</v>
      </c>
      <c r="D3745">
        <v>5.5</v>
      </c>
      <c r="E3745">
        <v>608</v>
      </c>
      <c r="F3745">
        <v>424</v>
      </c>
      <c r="G3745">
        <v>38</v>
      </c>
      <c r="H3745">
        <v>424</v>
      </c>
      <c r="I3745">
        <v>1.51</v>
      </c>
      <c r="J3745" s="1">
        <v>19660</v>
      </c>
    </row>
    <row r="3746" spans="1:10" ht="14.25" customHeight="1" x14ac:dyDescent="0.25">
      <c r="A3746" s="21">
        <v>34029</v>
      </c>
      <c r="B3746" s="21"/>
      <c r="C3746">
        <v>71.599999999999994</v>
      </c>
      <c r="D3746">
        <v>3.5</v>
      </c>
      <c r="E3746">
        <v>250</v>
      </c>
      <c r="F3746">
        <v>154</v>
      </c>
      <c r="G3746">
        <v>12</v>
      </c>
      <c r="H3746">
        <v>154</v>
      </c>
      <c r="I3746">
        <v>1.56</v>
      </c>
      <c r="J3746" s="1">
        <v>7613</v>
      </c>
    </row>
    <row r="3747" spans="1:10" ht="14.25" customHeight="1" x14ac:dyDescent="0.25">
      <c r="A3747" s="21">
        <v>34029</v>
      </c>
      <c r="B3747" s="21"/>
      <c r="C3747">
        <v>98.5</v>
      </c>
      <c r="D3747">
        <v>5.9</v>
      </c>
      <c r="E3747">
        <v>194</v>
      </c>
      <c r="F3747">
        <v>201</v>
      </c>
      <c r="G3747">
        <v>20</v>
      </c>
      <c r="H3747">
        <v>201</v>
      </c>
      <c r="I3747">
        <v>1.53</v>
      </c>
      <c r="J3747" s="1">
        <v>6098</v>
      </c>
    </row>
    <row r="3748" spans="1:10" ht="14.25" customHeight="1" x14ac:dyDescent="0.25">
      <c r="A3748" s="21">
        <v>34031</v>
      </c>
      <c r="B3748" s="21"/>
      <c r="C3748">
        <v>496.1</v>
      </c>
      <c r="D3748">
        <v>5.7</v>
      </c>
      <c r="E3748">
        <v>889</v>
      </c>
      <c r="F3748">
        <v>678</v>
      </c>
      <c r="G3748">
        <v>28</v>
      </c>
      <c r="H3748">
        <v>678</v>
      </c>
      <c r="I3748">
        <v>1.87</v>
      </c>
      <c r="J3748" s="1">
        <v>33009</v>
      </c>
    </row>
    <row r="3749" spans="1:10" ht="14.25" customHeight="1" x14ac:dyDescent="0.25">
      <c r="A3749" s="21">
        <v>34031</v>
      </c>
      <c r="B3749" s="21"/>
      <c r="C3749">
        <v>82.8</v>
      </c>
      <c r="D3749">
        <v>4.3</v>
      </c>
      <c r="E3749">
        <v>217</v>
      </c>
      <c r="F3749">
        <v>145</v>
      </c>
      <c r="G3749">
        <v>25</v>
      </c>
      <c r="H3749">
        <v>145</v>
      </c>
      <c r="I3749">
        <v>1.83</v>
      </c>
      <c r="J3749" s="1">
        <v>6044</v>
      </c>
    </row>
    <row r="3750" spans="1:10" ht="14.25" customHeight="1" x14ac:dyDescent="0.25">
      <c r="A3750" s="21">
        <v>34031</v>
      </c>
      <c r="B3750" s="21"/>
      <c r="E3750">
        <v>6</v>
      </c>
      <c r="H3750">
        <v>229</v>
      </c>
    </row>
    <row r="3751" spans="1:10" ht="14.25" customHeight="1" x14ac:dyDescent="0.25">
      <c r="A3751" s="21">
        <v>34033</v>
      </c>
      <c r="B3751" s="21"/>
      <c r="C3751">
        <v>24.8</v>
      </c>
      <c r="D3751">
        <v>3.4</v>
      </c>
      <c r="E3751">
        <v>90</v>
      </c>
      <c r="F3751">
        <v>126</v>
      </c>
      <c r="G3751">
        <v>12</v>
      </c>
      <c r="H3751">
        <v>126</v>
      </c>
      <c r="I3751">
        <v>1.23</v>
      </c>
      <c r="J3751" s="1">
        <v>2647</v>
      </c>
    </row>
    <row r="3752" spans="1:10" ht="14.25" customHeight="1" x14ac:dyDescent="0.25">
      <c r="A3752" s="21">
        <v>34033</v>
      </c>
      <c r="B3752" s="21"/>
      <c r="C3752">
        <v>30.6</v>
      </c>
      <c r="D3752">
        <v>4</v>
      </c>
      <c r="E3752">
        <v>72</v>
      </c>
      <c r="F3752">
        <v>83</v>
      </c>
      <c r="G3752">
        <v>7</v>
      </c>
      <c r="H3752">
        <v>83</v>
      </c>
      <c r="I3752">
        <v>1.31</v>
      </c>
      <c r="J3752" s="1">
        <v>2916</v>
      </c>
    </row>
    <row r="3753" spans="1:10" ht="14.25" customHeight="1" x14ac:dyDescent="0.25">
      <c r="A3753" s="21">
        <v>34035</v>
      </c>
      <c r="B3753" s="21"/>
      <c r="C3753">
        <v>160.6</v>
      </c>
      <c r="D3753">
        <v>4.8</v>
      </c>
      <c r="E3753">
        <v>450</v>
      </c>
      <c r="F3753">
        <v>281</v>
      </c>
      <c r="G3753">
        <v>28</v>
      </c>
      <c r="H3753">
        <v>281</v>
      </c>
      <c r="I3753">
        <v>1.54</v>
      </c>
      <c r="J3753" s="1">
        <v>12611</v>
      </c>
    </row>
    <row r="3754" spans="1:10" ht="14.25" customHeight="1" x14ac:dyDescent="0.25">
      <c r="A3754" s="21">
        <v>34037</v>
      </c>
      <c r="B3754" s="21"/>
      <c r="C3754">
        <v>92.8</v>
      </c>
      <c r="D3754">
        <v>4.3</v>
      </c>
      <c r="E3754">
        <v>241</v>
      </c>
      <c r="F3754">
        <v>130</v>
      </c>
      <c r="G3754">
        <v>10</v>
      </c>
      <c r="H3754">
        <v>130</v>
      </c>
      <c r="I3754">
        <v>1.46</v>
      </c>
      <c r="J3754" s="1">
        <v>8118</v>
      </c>
    </row>
    <row r="3755" spans="1:10" ht="14.25" customHeight="1" x14ac:dyDescent="0.25">
      <c r="A3755" s="21">
        <v>34037</v>
      </c>
      <c r="B3755" s="21"/>
      <c r="C3755">
        <v>10.1</v>
      </c>
      <c r="D3755">
        <v>3.1</v>
      </c>
      <c r="J3755" s="1">
        <v>1188</v>
      </c>
    </row>
    <row r="3756" spans="1:10" ht="14.25" customHeight="1" x14ac:dyDescent="0.25">
      <c r="A3756" s="21">
        <v>34039</v>
      </c>
      <c r="B3756" s="21"/>
      <c r="C3756">
        <v>131.19999999999999</v>
      </c>
      <c r="D3756">
        <v>4.8</v>
      </c>
      <c r="E3756">
        <v>274</v>
      </c>
      <c r="F3756">
        <v>220</v>
      </c>
      <c r="G3756">
        <v>25</v>
      </c>
      <c r="H3756">
        <v>220</v>
      </c>
      <c r="I3756">
        <v>1.52</v>
      </c>
      <c r="J3756" s="1">
        <v>10723</v>
      </c>
    </row>
    <row r="3757" spans="1:10" ht="14.25" customHeight="1" x14ac:dyDescent="0.25">
      <c r="A3757" s="21">
        <v>34039</v>
      </c>
      <c r="B3757" s="21"/>
      <c r="C3757">
        <v>69</v>
      </c>
      <c r="D3757">
        <v>5.3</v>
      </c>
      <c r="E3757">
        <v>194</v>
      </c>
      <c r="F3757">
        <v>122</v>
      </c>
      <c r="H3757">
        <v>122</v>
      </c>
      <c r="I3757">
        <v>1.67</v>
      </c>
      <c r="J3757" s="1">
        <v>4776</v>
      </c>
    </row>
    <row r="3758" spans="1:10" ht="14.25" customHeight="1" x14ac:dyDescent="0.25">
      <c r="A3758" s="21">
        <v>34039</v>
      </c>
      <c r="B3758" s="21"/>
      <c r="C3758">
        <v>250.6</v>
      </c>
      <c r="D3758">
        <v>4.0999999999999996</v>
      </c>
      <c r="E3758">
        <v>891</v>
      </c>
      <c r="F3758">
        <v>443</v>
      </c>
      <c r="G3758">
        <v>30</v>
      </c>
      <c r="H3758">
        <v>443</v>
      </c>
      <c r="I3758">
        <v>1.63</v>
      </c>
      <c r="J3758" s="1">
        <v>23734</v>
      </c>
    </row>
    <row r="3759" spans="1:10" ht="14.25" customHeight="1" x14ac:dyDescent="0.25">
      <c r="A3759" s="21">
        <v>34039</v>
      </c>
      <c r="B3759" s="21"/>
      <c r="C3759">
        <v>92.3</v>
      </c>
      <c r="D3759">
        <v>4.7</v>
      </c>
      <c r="J3759" s="1">
        <v>7634</v>
      </c>
    </row>
    <row r="3760" spans="1:10" ht="14.25" customHeight="1" x14ac:dyDescent="0.25">
      <c r="A3760" s="21">
        <v>34041</v>
      </c>
      <c r="B3760" s="21"/>
      <c r="C3760">
        <v>46.2</v>
      </c>
      <c r="D3760">
        <v>4.0999999999999996</v>
      </c>
      <c r="E3760">
        <v>178</v>
      </c>
      <c r="F3760">
        <v>92</v>
      </c>
      <c r="G3760">
        <v>12</v>
      </c>
      <c r="H3760">
        <v>92</v>
      </c>
      <c r="I3760">
        <v>1.51</v>
      </c>
      <c r="J3760" s="1">
        <v>4077</v>
      </c>
    </row>
    <row r="3761" spans="1:10" ht="14.25" customHeight="1" x14ac:dyDescent="0.25">
      <c r="A3761" s="21">
        <v>34041</v>
      </c>
      <c r="B3761" s="21"/>
      <c r="C3761">
        <v>37.1</v>
      </c>
      <c r="D3761">
        <v>4.0999999999999996</v>
      </c>
      <c r="E3761">
        <v>142</v>
      </c>
      <c r="F3761">
        <v>64</v>
      </c>
      <c r="G3761">
        <v>8</v>
      </c>
      <c r="H3761">
        <v>64</v>
      </c>
      <c r="I3761">
        <v>1.5</v>
      </c>
      <c r="J3761" s="1">
        <v>3330</v>
      </c>
    </row>
    <row r="3762" spans="1:10" ht="14.25" customHeight="1" x14ac:dyDescent="0.25">
      <c r="A3762" s="21">
        <v>35001</v>
      </c>
      <c r="B3762" s="21"/>
      <c r="C3762">
        <v>385.9</v>
      </c>
      <c r="D3762">
        <v>6.7</v>
      </c>
      <c r="E3762" s="1">
        <v>1197</v>
      </c>
      <c r="F3762">
        <v>473</v>
      </c>
      <c r="H3762">
        <v>451</v>
      </c>
      <c r="I3762">
        <v>2.04</v>
      </c>
      <c r="J3762" s="1">
        <v>22737</v>
      </c>
    </row>
    <row r="3763" spans="1:10" ht="14.25" customHeight="1" x14ac:dyDescent="0.25">
      <c r="A3763" s="21">
        <v>35001</v>
      </c>
      <c r="B3763" s="21"/>
      <c r="C3763">
        <v>171.9</v>
      </c>
      <c r="D3763">
        <v>5</v>
      </c>
      <c r="E3763">
        <v>400</v>
      </c>
      <c r="F3763">
        <v>293</v>
      </c>
      <c r="G3763">
        <v>48</v>
      </c>
      <c r="H3763">
        <v>293</v>
      </c>
      <c r="I3763">
        <v>2.19</v>
      </c>
      <c r="J3763" s="1">
        <v>12469</v>
      </c>
    </row>
    <row r="3764" spans="1:10" ht="14.25" customHeight="1" x14ac:dyDescent="0.25">
      <c r="A3764" s="21">
        <v>35001</v>
      </c>
      <c r="B3764" s="21"/>
      <c r="C3764">
        <v>485.1</v>
      </c>
      <c r="D3764">
        <v>4.7</v>
      </c>
      <c r="E3764" s="1">
        <v>1320</v>
      </c>
      <c r="F3764">
        <v>671</v>
      </c>
      <c r="G3764">
        <v>47</v>
      </c>
      <c r="H3764">
        <v>453</v>
      </c>
      <c r="I3764">
        <v>1.83</v>
      </c>
      <c r="J3764" s="1">
        <v>39171</v>
      </c>
    </row>
    <row r="3765" spans="1:10" ht="14.25" customHeight="1" x14ac:dyDescent="0.25">
      <c r="A3765" s="21">
        <v>35001</v>
      </c>
      <c r="B3765" s="21"/>
      <c r="C3765">
        <v>72.5</v>
      </c>
      <c r="D3765">
        <v>4.8</v>
      </c>
      <c r="E3765">
        <v>384</v>
      </c>
      <c r="F3765">
        <v>162</v>
      </c>
      <c r="G3765">
        <v>8</v>
      </c>
      <c r="H3765">
        <v>162</v>
      </c>
      <c r="I3765">
        <v>1.46</v>
      </c>
      <c r="J3765" s="1">
        <v>6772</v>
      </c>
    </row>
    <row r="3766" spans="1:10" ht="14.25" customHeight="1" x14ac:dyDescent="0.25">
      <c r="A3766" s="21">
        <v>35001</v>
      </c>
      <c r="B3766" s="21"/>
      <c r="C3766">
        <v>24.8</v>
      </c>
      <c r="D3766">
        <v>3.2</v>
      </c>
      <c r="E3766">
        <v>100</v>
      </c>
      <c r="F3766">
        <v>70</v>
      </c>
      <c r="G3766">
        <v>8</v>
      </c>
      <c r="H3766">
        <v>70</v>
      </c>
      <c r="I3766">
        <v>1.51</v>
      </c>
      <c r="J3766" s="1">
        <v>3079</v>
      </c>
    </row>
    <row r="3767" spans="1:10" ht="14.25" customHeight="1" x14ac:dyDescent="0.25">
      <c r="A3767" s="21">
        <v>35001</v>
      </c>
      <c r="B3767" s="21"/>
      <c r="E3767">
        <v>6</v>
      </c>
      <c r="H3767">
        <v>55</v>
      </c>
    </row>
    <row r="3768" spans="1:10" ht="14.25" customHeight="1" x14ac:dyDescent="0.25">
      <c r="A3768" s="21">
        <v>35001</v>
      </c>
      <c r="B3768" s="21"/>
    </row>
    <row r="3769" spans="1:10" ht="14.25" customHeight="1" x14ac:dyDescent="0.25">
      <c r="A3769" s="21">
        <v>35001</v>
      </c>
      <c r="B3769" s="21"/>
      <c r="E3769">
        <v>1</v>
      </c>
      <c r="H3769">
        <v>40</v>
      </c>
    </row>
    <row r="3770" spans="1:10" ht="14.25" customHeight="1" x14ac:dyDescent="0.25">
      <c r="A3770" s="21">
        <v>35001</v>
      </c>
      <c r="B3770" s="21"/>
    </row>
    <row r="3771" spans="1:10" ht="14.25" customHeight="1" x14ac:dyDescent="0.25">
      <c r="A3771" s="21">
        <v>35005</v>
      </c>
      <c r="B3771" s="21"/>
      <c r="C3771">
        <v>14.3</v>
      </c>
      <c r="D3771">
        <v>3.3</v>
      </c>
      <c r="E3771">
        <v>68</v>
      </c>
      <c r="F3771">
        <v>27</v>
      </c>
      <c r="G3771">
        <v>4</v>
      </c>
      <c r="H3771">
        <v>27</v>
      </c>
      <c r="I3771">
        <v>1.51</v>
      </c>
      <c r="J3771" s="1">
        <v>2011</v>
      </c>
    </row>
    <row r="3772" spans="1:10" ht="14.25" customHeight="1" x14ac:dyDescent="0.25">
      <c r="A3772" s="21">
        <v>35005</v>
      </c>
      <c r="B3772" s="21"/>
      <c r="C3772">
        <v>52.1</v>
      </c>
      <c r="D3772">
        <v>3.9</v>
      </c>
      <c r="E3772">
        <v>118</v>
      </c>
      <c r="F3772">
        <v>162</v>
      </c>
      <c r="G3772">
        <v>20</v>
      </c>
      <c r="H3772">
        <v>162</v>
      </c>
      <c r="I3772">
        <v>1.59</v>
      </c>
      <c r="J3772" s="1">
        <v>5105</v>
      </c>
    </row>
    <row r="3773" spans="1:10" ht="14.25" customHeight="1" x14ac:dyDescent="0.25">
      <c r="A3773" s="21">
        <v>35006</v>
      </c>
      <c r="B3773" s="21"/>
      <c r="C3773">
        <v>0.3</v>
      </c>
      <c r="D3773">
        <v>3.2</v>
      </c>
      <c r="E3773">
        <v>21</v>
      </c>
      <c r="F3773">
        <v>6</v>
      </c>
      <c r="H3773">
        <v>6</v>
      </c>
      <c r="I3773">
        <v>1.1299999999999999</v>
      </c>
      <c r="J3773">
        <v>38</v>
      </c>
    </row>
    <row r="3774" spans="1:10" ht="14.25" customHeight="1" x14ac:dyDescent="0.25">
      <c r="A3774" s="21">
        <v>35009</v>
      </c>
      <c r="B3774" s="21"/>
      <c r="C3774">
        <v>30</v>
      </c>
      <c r="D3774">
        <v>3.7</v>
      </c>
      <c r="E3774">
        <v>116</v>
      </c>
      <c r="F3774">
        <v>106</v>
      </c>
      <c r="G3774">
        <v>8</v>
      </c>
      <c r="H3774">
        <v>106</v>
      </c>
      <c r="I3774">
        <v>1.36</v>
      </c>
      <c r="J3774" s="1">
        <v>3562</v>
      </c>
    </row>
    <row r="3775" spans="1:10" ht="14.25" customHeight="1" x14ac:dyDescent="0.25">
      <c r="A3775" s="21">
        <v>35013</v>
      </c>
      <c r="B3775" s="21"/>
      <c r="C3775">
        <v>104.8</v>
      </c>
      <c r="D3775">
        <v>4.2</v>
      </c>
      <c r="E3775">
        <v>407</v>
      </c>
      <c r="F3775">
        <v>199</v>
      </c>
      <c r="G3775">
        <v>28</v>
      </c>
      <c r="H3775">
        <v>199</v>
      </c>
      <c r="I3775">
        <v>1.72</v>
      </c>
      <c r="J3775" s="1">
        <v>10247</v>
      </c>
    </row>
    <row r="3776" spans="1:10" ht="14.25" customHeight="1" x14ac:dyDescent="0.25">
      <c r="A3776" s="21">
        <v>35013</v>
      </c>
      <c r="B3776" s="21"/>
      <c r="C3776">
        <v>118.5</v>
      </c>
      <c r="D3776">
        <v>4.7</v>
      </c>
      <c r="E3776">
        <v>233</v>
      </c>
      <c r="F3776">
        <v>180</v>
      </c>
      <c r="G3776">
        <v>23</v>
      </c>
      <c r="H3776">
        <v>168</v>
      </c>
      <c r="I3776">
        <v>2</v>
      </c>
      <c r="J3776" s="1">
        <v>9795</v>
      </c>
    </row>
    <row r="3777" spans="1:10" ht="14.25" customHeight="1" x14ac:dyDescent="0.25">
      <c r="A3777" s="21">
        <v>35015</v>
      </c>
      <c r="B3777" s="21"/>
      <c r="C3777">
        <v>6.1</v>
      </c>
      <c r="D3777">
        <v>2.5</v>
      </c>
      <c r="E3777">
        <v>94</v>
      </c>
      <c r="F3777">
        <v>34</v>
      </c>
      <c r="H3777">
        <v>34</v>
      </c>
      <c r="I3777">
        <v>1.39</v>
      </c>
      <c r="J3777">
        <v>892</v>
      </c>
    </row>
    <row r="3778" spans="1:10" ht="14.25" customHeight="1" x14ac:dyDescent="0.25">
      <c r="A3778" s="21">
        <v>35015</v>
      </c>
      <c r="B3778" s="21"/>
      <c r="C3778">
        <v>17.7</v>
      </c>
      <c r="D3778">
        <v>3.4</v>
      </c>
      <c r="E3778">
        <v>80</v>
      </c>
      <c r="F3778">
        <v>82</v>
      </c>
      <c r="G3778">
        <v>15</v>
      </c>
      <c r="H3778">
        <v>82</v>
      </c>
      <c r="I3778">
        <v>1.6</v>
      </c>
      <c r="J3778" s="1">
        <v>2050</v>
      </c>
    </row>
    <row r="3779" spans="1:10" ht="14.25" customHeight="1" x14ac:dyDescent="0.25">
      <c r="A3779" s="21">
        <v>35017</v>
      </c>
      <c r="B3779" s="21"/>
      <c r="C3779">
        <v>10.7</v>
      </c>
      <c r="D3779">
        <v>4.3</v>
      </c>
      <c r="E3779">
        <v>112</v>
      </c>
      <c r="F3779">
        <v>32</v>
      </c>
      <c r="G3779">
        <v>6</v>
      </c>
      <c r="H3779">
        <v>32</v>
      </c>
      <c r="I3779">
        <v>1.47</v>
      </c>
      <c r="J3779" s="1">
        <v>1033</v>
      </c>
    </row>
    <row r="3780" spans="1:10" ht="14.25" customHeight="1" x14ac:dyDescent="0.25">
      <c r="A3780" s="21">
        <v>35019</v>
      </c>
      <c r="B3780" s="21"/>
      <c r="C3780">
        <v>1.6</v>
      </c>
      <c r="D3780">
        <v>2.8</v>
      </c>
      <c r="E3780">
        <v>16</v>
      </c>
      <c r="F3780">
        <v>10</v>
      </c>
      <c r="H3780">
        <v>10</v>
      </c>
      <c r="I3780">
        <v>0.9</v>
      </c>
      <c r="J3780">
        <v>212</v>
      </c>
    </row>
    <row r="3781" spans="1:10" ht="14.25" customHeight="1" x14ac:dyDescent="0.25">
      <c r="A3781" s="21">
        <v>35025</v>
      </c>
      <c r="B3781" s="21"/>
      <c r="C3781">
        <v>8.3000000000000007</v>
      </c>
      <c r="D3781">
        <v>3</v>
      </c>
      <c r="E3781">
        <v>52</v>
      </c>
      <c r="F3781">
        <v>61</v>
      </c>
      <c r="G3781">
        <v>8</v>
      </c>
      <c r="H3781">
        <v>61</v>
      </c>
      <c r="I3781">
        <v>1.42</v>
      </c>
      <c r="J3781" s="1">
        <v>2157</v>
      </c>
    </row>
    <row r="3782" spans="1:10" ht="14.25" customHeight="1" x14ac:dyDescent="0.25">
      <c r="A3782" s="21">
        <v>35028</v>
      </c>
      <c r="B3782" s="21"/>
      <c r="C3782">
        <v>6.2</v>
      </c>
      <c r="D3782">
        <v>3.6</v>
      </c>
      <c r="E3782">
        <v>78</v>
      </c>
      <c r="F3782">
        <v>47</v>
      </c>
      <c r="G3782">
        <v>6</v>
      </c>
      <c r="H3782">
        <v>47</v>
      </c>
      <c r="I3782">
        <v>1.28</v>
      </c>
      <c r="J3782">
        <v>756</v>
      </c>
    </row>
    <row r="3783" spans="1:10" ht="14.25" customHeight="1" x14ac:dyDescent="0.25">
      <c r="A3783" s="21">
        <v>35031</v>
      </c>
      <c r="B3783" s="21"/>
      <c r="C3783">
        <v>18.899999999999999</v>
      </c>
      <c r="D3783">
        <v>3.2</v>
      </c>
      <c r="E3783">
        <v>100</v>
      </c>
      <c r="F3783">
        <v>28</v>
      </c>
      <c r="G3783">
        <v>5</v>
      </c>
      <c r="H3783">
        <v>28</v>
      </c>
      <c r="I3783">
        <v>1.48</v>
      </c>
      <c r="J3783" s="1">
        <v>2368</v>
      </c>
    </row>
    <row r="3784" spans="1:10" ht="14.25" customHeight="1" x14ac:dyDescent="0.25">
      <c r="A3784" s="21">
        <v>35031</v>
      </c>
      <c r="B3784" s="21"/>
      <c r="C3784">
        <v>5.9</v>
      </c>
      <c r="D3784">
        <v>3.9</v>
      </c>
      <c r="E3784">
        <v>27</v>
      </c>
      <c r="F3784">
        <v>27</v>
      </c>
      <c r="H3784">
        <v>27</v>
      </c>
      <c r="I3784">
        <v>1.1000000000000001</v>
      </c>
      <c r="J3784">
        <v>548</v>
      </c>
    </row>
    <row r="3785" spans="1:10" ht="14.25" customHeight="1" x14ac:dyDescent="0.25">
      <c r="A3785" s="21">
        <v>35031</v>
      </c>
      <c r="B3785" s="21"/>
      <c r="C3785">
        <v>32.5</v>
      </c>
      <c r="D3785">
        <v>4.4000000000000004</v>
      </c>
      <c r="E3785">
        <v>174</v>
      </c>
      <c r="F3785">
        <v>74</v>
      </c>
      <c r="H3785">
        <v>74</v>
      </c>
      <c r="I3785">
        <v>1.1299999999999999</v>
      </c>
      <c r="J3785" s="1">
        <v>2696</v>
      </c>
    </row>
    <row r="3786" spans="1:10" ht="14.25" customHeight="1" x14ac:dyDescent="0.25">
      <c r="A3786" s="21">
        <v>35031</v>
      </c>
      <c r="B3786" s="21"/>
      <c r="C3786">
        <v>3.2</v>
      </c>
      <c r="D3786">
        <v>3.3</v>
      </c>
      <c r="E3786">
        <v>67</v>
      </c>
      <c r="F3786">
        <v>19</v>
      </c>
      <c r="H3786">
        <v>19</v>
      </c>
      <c r="I3786">
        <v>1.05</v>
      </c>
      <c r="J3786">
        <v>353</v>
      </c>
    </row>
    <row r="3787" spans="1:10" ht="14.25" customHeight="1" x14ac:dyDescent="0.25">
      <c r="A3787" s="21">
        <v>35035</v>
      </c>
      <c r="B3787" s="21"/>
      <c r="C3787">
        <v>0.4</v>
      </c>
      <c r="D3787">
        <v>3.3</v>
      </c>
      <c r="E3787">
        <v>17</v>
      </c>
      <c r="F3787">
        <v>6</v>
      </c>
      <c r="H3787">
        <v>6</v>
      </c>
      <c r="I3787">
        <v>0.93</v>
      </c>
      <c r="J3787">
        <v>48</v>
      </c>
    </row>
    <row r="3788" spans="1:10" ht="14.25" customHeight="1" x14ac:dyDescent="0.25">
      <c r="A3788" s="21">
        <v>35035</v>
      </c>
      <c r="B3788" s="21"/>
      <c r="C3788">
        <v>26.7</v>
      </c>
      <c r="D3788">
        <v>3.4</v>
      </c>
      <c r="E3788">
        <v>184</v>
      </c>
      <c r="F3788">
        <v>50</v>
      </c>
      <c r="G3788">
        <v>10</v>
      </c>
      <c r="H3788">
        <v>50</v>
      </c>
      <c r="I3788">
        <v>1.53</v>
      </c>
      <c r="J3788" s="1">
        <v>3103</v>
      </c>
    </row>
    <row r="3789" spans="1:10" ht="14.25" customHeight="1" x14ac:dyDescent="0.25">
      <c r="A3789" s="21">
        <v>35039</v>
      </c>
      <c r="B3789" s="21"/>
      <c r="C3789">
        <v>21.1</v>
      </c>
      <c r="D3789">
        <v>3.8</v>
      </c>
      <c r="E3789">
        <v>91</v>
      </c>
      <c r="F3789">
        <v>52</v>
      </c>
      <c r="G3789">
        <v>8</v>
      </c>
      <c r="H3789">
        <v>52</v>
      </c>
      <c r="I3789">
        <v>1.52</v>
      </c>
      <c r="J3789" s="1">
        <v>2097</v>
      </c>
    </row>
    <row r="3790" spans="1:10" ht="14.25" customHeight="1" x14ac:dyDescent="0.25">
      <c r="A3790" s="21">
        <v>35041</v>
      </c>
      <c r="B3790" s="21"/>
      <c r="C3790">
        <v>2.6</v>
      </c>
      <c r="D3790">
        <v>2.6</v>
      </c>
      <c r="E3790">
        <v>36</v>
      </c>
      <c r="F3790">
        <v>20</v>
      </c>
      <c r="H3790">
        <v>20</v>
      </c>
      <c r="I3790">
        <v>1.05</v>
      </c>
      <c r="J3790">
        <v>359</v>
      </c>
    </row>
    <row r="3791" spans="1:10" ht="14.25" customHeight="1" x14ac:dyDescent="0.25">
      <c r="A3791" s="21">
        <v>35043</v>
      </c>
      <c r="B3791" s="21"/>
      <c r="H3791">
        <v>140</v>
      </c>
    </row>
    <row r="3792" spans="1:10" ht="14.25" customHeight="1" x14ac:dyDescent="0.25">
      <c r="A3792" s="21">
        <v>35043</v>
      </c>
      <c r="B3792" s="21"/>
      <c r="C3792">
        <v>32.700000000000003</v>
      </c>
      <c r="D3792">
        <v>4.0999999999999996</v>
      </c>
      <c r="E3792">
        <v>106</v>
      </c>
      <c r="F3792">
        <v>60</v>
      </c>
      <c r="H3792">
        <v>60</v>
      </c>
      <c r="I3792">
        <v>1.68</v>
      </c>
      <c r="J3792" s="1">
        <v>2950</v>
      </c>
    </row>
    <row r="3793" spans="1:10" ht="14.25" customHeight="1" x14ac:dyDescent="0.25">
      <c r="A3793" s="21">
        <v>35045</v>
      </c>
      <c r="B3793" s="21"/>
      <c r="C3793">
        <v>94.9</v>
      </c>
      <c r="D3793">
        <v>4.0999999999999996</v>
      </c>
      <c r="E3793">
        <v>273</v>
      </c>
      <c r="F3793">
        <v>184</v>
      </c>
      <c r="G3793">
        <v>10</v>
      </c>
      <c r="H3793">
        <v>184</v>
      </c>
      <c r="I3793">
        <v>1.81</v>
      </c>
      <c r="J3793" s="1">
        <v>8857</v>
      </c>
    </row>
    <row r="3794" spans="1:10" ht="14.25" customHeight="1" x14ac:dyDescent="0.25">
      <c r="A3794" s="21">
        <v>35045</v>
      </c>
      <c r="B3794" s="21"/>
      <c r="C3794">
        <v>19.2</v>
      </c>
      <c r="D3794">
        <v>4.0999999999999996</v>
      </c>
      <c r="E3794">
        <v>176</v>
      </c>
      <c r="F3794">
        <v>60</v>
      </c>
      <c r="H3794">
        <v>60</v>
      </c>
      <c r="I3794">
        <v>1.2</v>
      </c>
      <c r="J3794" s="1">
        <v>1692</v>
      </c>
    </row>
    <row r="3795" spans="1:10" ht="14.25" customHeight="1" x14ac:dyDescent="0.25">
      <c r="A3795" s="21">
        <v>35047</v>
      </c>
      <c r="B3795" s="21"/>
      <c r="C3795">
        <v>9.6999999999999993</v>
      </c>
      <c r="D3795">
        <v>3.4</v>
      </c>
      <c r="E3795">
        <v>63</v>
      </c>
      <c r="F3795">
        <v>46</v>
      </c>
      <c r="G3795">
        <v>8</v>
      </c>
      <c r="H3795">
        <v>46</v>
      </c>
      <c r="I3795">
        <v>1.3</v>
      </c>
      <c r="J3795" s="1">
        <v>1090</v>
      </c>
    </row>
    <row r="3796" spans="1:10" ht="14.25" customHeight="1" x14ac:dyDescent="0.25">
      <c r="A3796" s="21">
        <v>35049</v>
      </c>
      <c r="B3796" s="21"/>
      <c r="C3796">
        <v>113.4</v>
      </c>
      <c r="D3796">
        <v>4.4000000000000004</v>
      </c>
      <c r="E3796">
        <v>467</v>
      </c>
      <c r="F3796">
        <v>185</v>
      </c>
      <c r="G3796">
        <v>18</v>
      </c>
      <c r="H3796">
        <v>185</v>
      </c>
      <c r="I3796">
        <v>1.65</v>
      </c>
      <c r="J3796" s="1">
        <v>10031</v>
      </c>
    </row>
    <row r="3797" spans="1:10" ht="14.25" customHeight="1" x14ac:dyDescent="0.25">
      <c r="A3797" s="21">
        <v>35049</v>
      </c>
      <c r="B3797" s="21"/>
      <c r="C3797">
        <v>0.2</v>
      </c>
      <c r="D3797">
        <v>4.5</v>
      </c>
      <c r="E3797">
        <v>46</v>
      </c>
      <c r="F3797">
        <v>4</v>
      </c>
      <c r="H3797">
        <v>4</v>
      </c>
      <c r="I3797">
        <v>2.35</v>
      </c>
      <c r="J3797">
        <v>19</v>
      </c>
    </row>
    <row r="3798" spans="1:10" ht="14.25" customHeight="1" x14ac:dyDescent="0.25">
      <c r="A3798" s="21">
        <v>35049</v>
      </c>
      <c r="B3798" s="21"/>
      <c r="H3798">
        <v>19</v>
      </c>
    </row>
    <row r="3799" spans="1:10" ht="14.25" customHeight="1" x14ac:dyDescent="0.25">
      <c r="A3799" s="21">
        <v>35049</v>
      </c>
      <c r="B3799" s="21"/>
      <c r="C3799">
        <v>15.5</v>
      </c>
      <c r="D3799">
        <v>2.9</v>
      </c>
      <c r="E3799">
        <v>48</v>
      </c>
      <c r="F3799">
        <v>36</v>
      </c>
      <c r="G3799">
        <v>6</v>
      </c>
      <c r="H3799">
        <v>36</v>
      </c>
      <c r="I3799">
        <v>1.48</v>
      </c>
      <c r="J3799" s="1">
        <v>1947</v>
      </c>
    </row>
    <row r="3800" spans="1:10" ht="14.25" customHeight="1" x14ac:dyDescent="0.25">
      <c r="A3800" s="21">
        <v>36001</v>
      </c>
      <c r="B3800" s="21"/>
      <c r="C3800">
        <v>17.8</v>
      </c>
      <c r="D3800">
        <v>3.8</v>
      </c>
      <c r="E3800">
        <v>130</v>
      </c>
      <c r="F3800">
        <v>73</v>
      </c>
      <c r="G3800">
        <v>16</v>
      </c>
      <c r="H3800">
        <v>73</v>
      </c>
      <c r="I3800">
        <v>1.48</v>
      </c>
      <c r="J3800" s="1">
        <v>1714</v>
      </c>
    </row>
    <row r="3801" spans="1:10" ht="14.25" customHeight="1" x14ac:dyDescent="0.25">
      <c r="A3801" s="21">
        <v>36001</v>
      </c>
      <c r="B3801" s="21"/>
      <c r="C3801">
        <v>576.6</v>
      </c>
      <c r="D3801">
        <v>5.5</v>
      </c>
      <c r="E3801">
        <v>883</v>
      </c>
      <c r="F3801">
        <v>747</v>
      </c>
      <c r="G3801">
        <v>65</v>
      </c>
      <c r="H3801">
        <v>747</v>
      </c>
      <c r="I3801">
        <v>1.97</v>
      </c>
      <c r="J3801" s="1">
        <v>39130</v>
      </c>
    </row>
    <row r="3802" spans="1:10" ht="14.25" customHeight="1" x14ac:dyDescent="0.25">
      <c r="A3802" s="21">
        <v>36001</v>
      </c>
      <c r="B3802" s="21"/>
      <c r="C3802">
        <v>365.9</v>
      </c>
      <c r="D3802">
        <v>5.0999999999999996</v>
      </c>
      <c r="E3802" s="1">
        <v>1214</v>
      </c>
      <c r="F3802">
        <v>482</v>
      </c>
      <c r="H3802">
        <v>482</v>
      </c>
      <c r="I3802">
        <v>1.81</v>
      </c>
      <c r="J3802" s="1">
        <v>27097</v>
      </c>
    </row>
    <row r="3803" spans="1:10" ht="14.25" customHeight="1" x14ac:dyDescent="0.25">
      <c r="A3803" s="21">
        <v>36001</v>
      </c>
      <c r="B3803" s="21"/>
      <c r="H3803">
        <v>20</v>
      </c>
    </row>
    <row r="3804" spans="1:10" ht="14.25" customHeight="1" x14ac:dyDescent="0.25">
      <c r="A3804" s="21">
        <v>36001</v>
      </c>
      <c r="B3804" s="21"/>
      <c r="C3804">
        <v>3.6</v>
      </c>
      <c r="D3804">
        <v>8.1999999999999993</v>
      </c>
      <c r="J3804">
        <v>159</v>
      </c>
    </row>
    <row r="3805" spans="1:10" ht="14.25" customHeight="1" x14ac:dyDescent="0.25">
      <c r="A3805" s="21">
        <v>36003</v>
      </c>
      <c r="B3805" s="21"/>
      <c r="C3805">
        <v>18.100000000000001</v>
      </c>
      <c r="D3805">
        <v>4.4000000000000004</v>
      </c>
      <c r="E3805">
        <v>81</v>
      </c>
      <c r="F3805">
        <v>49</v>
      </c>
      <c r="G3805">
        <v>6</v>
      </c>
      <c r="H3805">
        <v>49</v>
      </c>
      <c r="I3805">
        <v>1.21</v>
      </c>
      <c r="J3805" s="1">
        <v>1729</v>
      </c>
    </row>
    <row r="3806" spans="1:10" ht="14.25" customHeight="1" x14ac:dyDescent="0.25">
      <c r="A3806" s="21">
        <v>36005</v>
      </c>
      <c r="B3806" s="21"/>
      <c r="C3806">
        <v>219.2</v>
      </c>
      <c r="D3806">
        <v>4.5</v>
      </c>
      <c r="E3806">
        <v>396</v>
      </c>
      <c r="F3806">
        <v>287</v>
      </c>
      <c r="G3806">
        <v>38</v>
      </c>
      <c r="H3806">
        <v>287</v>
      </c>
      <c r="I3806">
        <v>1.54</v>
      </c>
      <c r="J3806" s="1">
        <v>18730</v>
      </c>
    </row>
    <row r="3807" spans="1:10" ht="14.25" customHeight="1" x14ac:dyDescent="0.25">
      <c r="A3807" s="21">
        <v>36005</v>
      </c>
      <c r="B3807" s="21"/>
      <c r="C3807">
        <v>248.6</v>
      </c>
      <c r="D3807">
        <v>5.7</v>
      </c>
      <c r="E3807">
        <v>405</v>
      </c>
      <c r="F3807">
        <v>326</v>
      </c>
      <c r="G3807">
        <v>32</v>
      </c>
      <c r="H3807">
        <v>326</v>
      </c>
      <c r="I3807">
        <v>1.56</v>
      </c>
      <c r="J3807" s="1">
        <v>16900</v>
      </c>
    </row>
    <row r="3808" spans="1:10" ht="14.25" customHeight="1" x14ac:dyDescent="0.25">
      <c r="A3808" s="21">
        <v>36005</v>
      </c>
      <c r="B3808" s="21"/>
      <c r="C3808">
        <v>55.8</v>
      </c>
      <c r="D3808">
        <v>6.9</v>
      </c>
      <c r="J3808" s="1">
        <v>2958</v>
      </c>
    </row>
    <row r="3809" spans="1:10" ht="14.25" customHeight="1" x14ac:dyDescent="0.25">
      <c r="A3809" s="21">
        <v>36005</v>
      </c>
      <c r="B3809" s="21"/>
      <c r="C3809">
        <v>349.8</v>
      </c>
      <c r="D3809">
        <v>4.8</v>
      </c>
      <c r="E3809">
        <v>448</v>
      </c>
      <c r="F3809">
        <v>460</v>
      </c>
      <c r="G3809">
        <v>31</v>
      </c>
      <c r="H3809">
        <v>460</v>
      </c>
      <c r="I3809">
        <v>1.61</v>
      </c>
      <c r="J3809" s="1">
        <v>27254</v>
      </c>
    </row>
    <row r="3810" spans="1:10" ht="14.25" customHeight="1" x14ac:dyDescent="0.25">
      <c r="A3810" s="21">
        <v>36005</v>
      </c>
      <c r="B3810" s="21"/>
      <c r="C3810">
        <v>58.3</v>
      </c>
      <c r="D3810">
        <v>4.5</v>
      </c>
      <c r="E3810">
        <v>113</v>
      </c>
      <c r="F3810">
        <v>130</v>
      </c>
      <c r="G3810">
        <v>20</v>
      </c>
      <c r="H3810">
        <v>130</v>
      </c>
      <c r="I3810">
        <v>1.19</v>
      </c>
      <c r="J3810" s="1">
        <v>5312</v>
      </c>
    </row>
    <row r="3811" spans="1:10" ht="14.25" customHeight="1" x14ac:dyDescent="0.25">
      <c r="A3811" s="21">
        <v>36005</v>
      </c>
      <c r="B3811" s="21"/>
      <c r="C3811">
        <v>169.3</v>
      </c>
      <c r="D3811">
        <v>4.8</v>
      </c>
      <c r="E3811">
        <v>376</v>
      </c>
      <c r="F3811">
        <v>283</v>
      </c>
      <c r="G3811">
        <v>26</v>
      </c>
      <c r="H3811">
        <v>283</v>
      </c>
      <c r="I3811">
        <v>1.57</v>
      </c>
      <c r="J3811" s="1">
        <v>13301</v>
      </c>
    </row>
    <row r="3812" spans="1:10" ht="14.25" customHeight="1" x14ac:dyDescent="0.25">
      <c r="A3812" s="21">
        <v>36005</v>
      </c>
      <c r="B3812" s="21"/>
      <c r="C3812" s="2">
        <v>1299.7</v>
      </c>
      <c r="D3812">
        <v>5.5</v>
      </c>
      <c r="E3812" s="1">
        <v>2204</v>
      </c>
      <c r="F3812" s="1">
        <v>1458</v>
      </c>
      <c r="G3812">
        <v>54</v>
      </c>
      <c r="H3812" s="1">
        <v>1458</v>
      </c>
      <c r="I3812">
        <v>1.82</v>
      </c>
      <c r="J3812" s="1">
        <v>88041</v>
      </c>
    </row>
    <row r="3813" spans="1:10" ht="14.25" customHeight="1" x14ac:dyDescent="0.25">
      <c r="A3813" s="21">
        <v>36005</v>
      </c>
      <c r="B3813" s="21"/>
      <c r="E3813">
        <v>34</v>
      </c>
    </row>
    <row r="3814" spans="1:10" ht="14.25" customHeight="1" x14ac:dyDescent="0.25">
      <c r="A3814" s="21">
        <v>36005</v>
      </c>
      <c r="B3814" s="21"/>
      <c r="E3814">
        <v>1</v>
      </c>
    </row>
    <row r="3815" spans="1:10" ht="14.25" customHeight="1" x14ac:dyDescent="0.25">
      <c r="A3815" s="21">
        <v>36005</v>
      </c>
      <c r="B3815" s="21"/>
      <c r="E3815">
        <v>17</v>
      </c>
    </row>
    <row r="3816" spans="1:10" ht="14.25" customHeight="1" x14ac:dyDescent="0.25">
      <c r="A3816" s="21">
        <v>36005</v>
      </c>
      <c r="B3816" s="21"/>
    </row>
    <row r="3817" spans="1:10" ht="14.25" customHeight="1" x14ac:dyDescent="0.25">
      <c r="A3817" s="21">
        <v>36007</v>
      </c>
      <c r="B3817" s="21"/>
      <c r="C3817">
        <v>109.9</v>
      </c>
      <c r="D3817">
        <v>4.4000000000000004</v>
      </c>
      <c r="E3817">
        <v>510</v>
      </c>
      <c r="F3817">
        <v>161</v>
      </c>
      <c r="G3817">
        <v>10</v>
      </c>
      <c r="H3817">
        <v>161</v>
      </c>
      <c r="I3817">
        <v>1.52</v>
      </c>
      <c r="J3817" s="1">
        <v>9534</v>
      </c>
    </row>
    <row r="3818" spans="1:10" ht="14.25" customHeight="1" x14ac:dyDescent="0.25">
      <c r="A3818" s="21">
        <v>36007</v>
      </c>
      <c r="B3818" s="21"/>
      <c r="C3818">
        <v>222.8</v>
      </c>
      <c r="D3818">
        <v>5.3</v>
      </c>
      <c r="E3818">
        <v>583</v>
      </c>
      <c r="F3818">
        <v>373</v>
      </c>
      <c r="G3818">
        <v>37</v>
      </c>
      <c r="H3818">
        <v>220</v>
      </c>
      <c r="I3818">
        <v>1.77</v>
      </c>
      <c r="J3818" s="1">
        <v>15405</v>
      </c>
    </row>
    <row r="3819" spans="1:10" ht="14.25" customHeight="1" x14ac:dyDescent="0.25">
      <c r="A3819" s="21">
        <v>36007</v>
      </c>
      <c r="B3819" s="21"/>
      <c r="H3819">
        <v>280</v>
      </c>
    </row>
    <row r="3820" spans="1:10" ht="14.25" customHeight="1" x14ac:dyDescent="0.25">
      <c r="A3820" s="21">
        <v>36009</v>
      </c>
      <c r="B3820" s="21"/>
      <c r="C3820">
        <v>41.5</v>
      </c>
      <c r="D3820">
        <v>6</v>
      </c>
      <c r="J3820" s="1">
        <v>2536</v>
      </c>
    </row>
    <row r="3821" spans="1:10" ht="14.25" customHeight="1" x14ac:dyDescent="0.25">
      <c r="A3821" s="21">
        <v>36009</v>
      </c>
      <c r="B3821" s="21"/>
      <c r="C3821">
        <v>109.6</v>
      </c>
      <c r="D3821">
        <v>5.2</v>
      </c>
      <c r="E3821">
        <v>287</v>
      </c>
      <c r="F3821">
        <v>260</v>
      </c>
      <c r="H3821">
        <v>260</v>
      </c>
      <c r="I3821">
        <v>1.38</v>
      </c>
      <c r="J3821" s="1">
        <v>7889</v>
      </c>
    </row>
    <row r="3822" spans="1:10" ht="14.25" customHeight="1" x14ac:dyDescent="0.25">
      <c r="A3822" s="21">
        <v>36011</v>
      </c>
      <c r="B3822" s="21"/>
      <c r="C3822">
        <v>47.1</v>
      </c>
      <c r="D3822">
        <v>4</v>
      </c>
      <c r="E3822">
        <v>213</v>
      </c>
      <c r="F3822">
        <v>85</v>
      </c>
      <c r="H3822">
        <v>85</v>
      </c>
      <c r="I3822">
        <v>1.34</v>
      </c>
      <c r="J3822" s="1">
        <v>4466</v>
      </c>
    </row>
    <row r="3823" spans="1:10" ht="14.25" customHeight="1" x14ac:dyDescent="0.25">
      <c r="A3823" s="21">
        <v>36013</v>
      </c>
      <c r="B3823" s="21"/>
      <c r="C3823">
        <v>71.8</v>
      </c>
      <c r="D3823">
        <v>5</v>
      </c>
      <c r="E3823">
        <v>271</v>
      </c>
      <c r="F3823">
        <v>159</v>
      </c>
      <c r="G3823">
        <v>23</v>
      </c>
      <c r="H3823">
        <v>159</v>
      </c>
      <c r="I3823">
        <v>1.32</v>
      </c>
      <c r="J3823" s="1">
        <v>5555</v>
      </c>
    </row>
    <row r="3824" spans="1:10" ht="14.25" customHeight="1" x14ac:dyDescent="0.25">
      <c r="A3824" s="21">
        <v>36013</v>
      </c>
      <c r="B3824" s="21"/>
      <c r="C3824">
        <v>21.3</v>
      </c>
      <c r="D3824">
        <v>4.7</v>
      </c>
      <c r="E3824">
        <v>163</v>
      </c>
      <c r="F3824">
        <v>45</v>
      </c>
      <c r="G3824">
        <v>3</v>
      </c>
      <c r="H3824">
        <v>45</v>
      </c>
      <c r="I3824">
        <v>1.28</v>
      </c>
      <c r="J3824" s="1">
        <v>2180</v>
      </c>
    </row>
    <row r="3825" spans="1:10" ht="14.25" customHeight="1" x14ac:dyDescent="0.25">
      <c r="A3825" s="21">
        <v>36013</v>
      </c>
      <c r="B3825" s="21"/>
      <c r="C3825">
        <v>0.1</v>
      </c>
      <c r="D3825">
        <v>3.7</v>
      </c>
      <c r="E3825">
        <v>33</v>
      </c>
      <c r="F3825">
        <v>4</v>
      </c>
      <c r="H3825">
        <v>4</v>
      </c>
      <c r="I3825">
        <v>0.84</v>
      </c>
      <c r="J3825">
        <v>11</v>
      </c>
    </row>
    <row r="3826" spans="1:10" ht="14.25" customHeight="1" x14ac:dyDescent="0.25">
      <c r="A3826" s="21">
        <v>36013</v>
      </c>
      <c r="B3826" s="21"/>
      <c r="I3826">
        <v>1.1299999999999999</v>
      </c>
    </row>
    <row r="3827" spans="1:10" ht="14.25" customHeight="1" x14ac:dyDescent="0.25">
      <c r="A3827" s="21">
        <v>36015</v>
      </c>
      <c r="B3827" s="21"/>
      <c r="C3827">
        <v>17.2</v>
      </c>
      <c r="D3827">
        <v>20.7</v>
      </c>
      <c r="E3827">
        <v>8</v>
      </c>
      <c r="F3827">
        <v>20</v>
      </c>
      <c r="H3827">
        <v>20</v>
      </c>
      <c r="I3827">
        <v>1.05</v>
      </c>
      <c r="J3827">
        <v>308</v>
      </c>
    </row>
    <row r="3828" spans="1:10" ht="14.25" customHeight="1" x14ac:dyDescent="0.25">
      <c r="A3828" s="21">
        <v>36015</v>
      </c>
      <c r="B3828" s="21"/>
      <c r="C3828">
        <v>120.7</v>
      </c>
      <c r="D3828">
        <v>4.2</v>
      </c>
      <c r="E3828">
        <v>306</v>
      </c>
      <c r="F3828">
        <v>225</v>
      </c>
      <c r="G3828">
        <v>20</v>
      </c>
      <c r="H3828">
        <v>225</v>
      </c>
      <c r="I3828">
        <v>1.53</v>
      </c>
      <c r="J3828" s="1">
        <v>10921</v>
      </c>
    </row>
    <row r="3829" spans="1:10" ht="14.25" customHeight="1" x14ac:dyDescent="0.25">
      <c r="A3829" s="21">
        <v>36017</v>
      </c>
      <c r="B3829" s="21"/>
      <c r="C3829">
        <v>10</v>
      </c>
      <c r="D3829">
        <v>3.6</v>
      </c>
      <c r="E3829">
        <v>75</v>
      </c>
      <c r="F3829">
        <v>58</v>
      </c>
      <c r="G3829">
        <v>7</v>
      </c>
      <c r="H3829">
        <v>58</v>
      </c>
      <c r="I3829">
        <v>1.35</v>
      </c>
      <c r="J3829" s="1">
        <v>1184</v>
      </c>
    </row>
    <row r="3830" spans="1:10" ht="14.25" customHeight="1" x14ac:dyDescent="0.25">
      <c r="A3830" s="21">
        <v>36019</v>
      </c>
      <c r="B3830" s="21"/>
      <c r="C3830">
        <v>131.69999999999999</v>
      </c>
      <c r="D3830">
        <v>5.0999999999999996</v>
      </c>
      <c r="E3830">
        <v>370</v>
      </c>
      <c r="F3830">
        <v>300</v>
      </c>
      <c r="G3830">
        <v>21</v>
      </c>
      <c r="H3830">
        <v>300</v>
      </c>
      <c r="I3830">
        <v>1.5</v>
      </c>
      <c r="J3830" s="1">
        <v>9754</v>
      </c>
    </row>
    <row r="3831" spans="1:10" ht="14.25" customHeight="1" x14ac:dyDescent="0.25">
      <c r="A3831" s="21">
        <v>36021</v>
      </c>
      <c r="B3831" s="21"/>
      <c r="C3831">
        <v>62.6</v>
      </c>
      <c r="D3831">
        <v>5.4</v>
      </c>
      <c r="E3831">
        <v>286</v>
      </c>
      <c r="F3831">
        <v>95</v>
      </c>
      <c r="G3831">
        <v>9</v>
      </c>
      <c r="H3831">
        <v>95</v>
      </c>
      <c r="I3831">
        <v>1.45</v>
      </c>
      <c r="J3831" s="1">
        <v>4342</v>
      </c>
    </row>
    <row r="3832" spans="1:10" ht="14.25" customHeight="1" x14ac:dyDescent="0.25">
      <c r="A3832" s="21">
        <v>36023</v>
      </c>
      <c r="B3832" s="21"/>
      <c r="C3832">
        <v>31.4</v>
      </c>
      <c r="D3832">
        <v>3.8</v>
      </c>
      <c r="E3832">
        <v>163</v>
      </c>
      <c r="F3832">
        <v>103</v>
      </c>
      <c r="G3832">
        <v>12</v>
      </c>
      <c r="H3832">
        <v>103</v>
      </c>
      <c r="I3832">
        <v>1.39</v>
      </c>
      <c r="J3832" s="1">
        <v>3130</v>
      </c>
    </row>
    <row r="3833" spans="1:10" ht="14.25" customHeight="1" x14ac:dyDescent="0.25">
      <c r="A3833" s="21">
        <v>36025</v>
      </c>
      <c r="B3833" s="21"/>
    </row>
    <row r="3834" spans="1:10" ht="14.25" customHeight="1" x14ac:dyDescent="0.25">
      <c r="A3834" s="21">
        <v>36027</v>
      </c>
      <c r="B3834" s="21"/>
      <c r="C3834">
        <v>94.8</v>
      </c>
      <c r="D3834">
        <v>6</v>
      </c>
      <c r="E3834">
        <v>51</v>
      </c>
      <c r="F3834">
        <v>185</v>
      </c>
      <c r="H3834">
        <v>185</v>
      </c>
      <c r="J3834" s="1">
        <v>5835</v>
      </c>
    </row>
    <row r="3835" spans="1:10" ht="14.25" customHeight="1" x14ac:dyDescent="0.25">
      <c r="A3835" s="21">
        <v>36027</v>
      </c>
      <c r="B3835" s="21"/>
      <c r="C3835">
        <v>47.8</v>
      </c>
      <c r="D3835">
        <v>3.8</v>
      </c>
      <c r="E3835">
        <v>164</v>
      </c>
      <c r="F3835">
        <v>74</v>
      </c>
      <c r="G3835">
        <v>7</v>
      </c>
      <c r="H3835">
        <v>74</v>
      </c>
      <c r="I3835">
        <v>1.47</v>
      </c>
      <c r="J3835" s="1">
        <v>5095</v>
      </c>
    </row>
    <row r="3836" spans="1:10" ht="14.25" customHeight="1" x14ac:dyDescent="0.25">
      <c r="A3836" s="21">
        <v>36027</v>
      </c>
      <c r="B3836" s="21"/>
      <c r="C3836">
        <v>268.8</v>
      </c>
      <c r="D3836">
        <v>4.9000000000000004</v>
      </c>
      <c r="E3836">
        <v>766</v>
      </c>
      <c r="F3836">
        <v>365</v>
      </c>
      <c r="G3836">
        <v>20</v>
      </c>
      <c r="H3836">
        <v>365</v>
      </c>
      <c r="I3836">
        <v>1.87</v>
      </c>
      <c r="J3836" s="1">
        <v>21294</v>
      </c>
    </row>
    <row r="3837" spans="1:10" ht="14.25" customHeight="1" x14ac:dyDescent="0.25">
      <c r="A3837" s="21">
        <v>36029</v>
      </c>
      <c r="B3837" s="21"/>
      <c r="C3837">
        <v>112</v>
      </c>
      <c r="D3837">
        <v>7.7</v>
      </c>
      <c r="E3837">
        <v>389</v>
      </c>
      <c r="F3837">
        <v>133</v>
      </c>
      <c r="G3837">
        <v>16</v>
      </c>
      <c r="H3837">
        <v>133</v>
      </c>
      <c r="I3837">
        <v>2.11</v>
      </c>
      <c r="J3837" s="1">
        <v>5307</v>
      </c>
    </row>
    <row r="3838" spans="1:10" ht="14.25" customHeight="1" x14ac:dyDescent="0.25">
      <c r="A3838" s="21">
        <v>36029</v>
      </c>
      <c r="B3838" s="21"/>
      <c r="C3838">
        <v>30.3</v>
      </c>
      <c r="D3838">
        <v>7.9</v>
      </c>
      <c r="J3838" s="1">
        <v>1391</v>
      </c>
    </row>
    <row r="3839" spans="1:10" ht="14.25" customHeight="1" x14ac:dyDescent="0.25">
      <c r="A3839" s="21">
        <v>36029</v>
      </c>
      <c r="B3839" s="21"/>
      <c r="C3839">
        <v>732.2</v>
      </c>
      <c r="D3839">
        <v>5.2</v>
      </c>
      <c r="E3839" s="1">
        <v>1204</v>
      </c>
      <c r="F3839">
        <v>954</v>
      </c>
      <c r="G3839">
        <v>70</v>
      </c>
      <c r="H3839">
        <v>377</v>
      </c>
      <c r="I3839">
        <v>1.95</v>
      </c>
      <c r="J3839" s="1">
        <v>50926</v>
      </c>
    </row>
    <row r="3840" spans="1:10" ht="14.25" customHeight="1" x14ac:dyDescent="0.25">
      <c r="A3840" s="21">
        <v>36029</v>
      </c>
      <c r="B3840" s="21"/>
      <c r="C3840">
        <v>200.2</v>
      </c>
      <c r="D3840">
        <v>5.2</v>
      </c>
      <c r="E3840">
        <v>665</v>
      </c>
      <c r="F3840">
        <v>386</v>
      </c>
      <c r="G3840">
        <v>30</v>
      </c>
      <c r="H3840">
        <v>386</v>
      </c>
      <c r="I3840">
        <v>1.64</v>
      </c>
      <c r="J3840" s="1">
        <v>15135</v>
      </c>
    </row>
    <row r="3841" spans="1:10" ht="14.25" customHeight="1" x14ac:dyDescent="0.25">
      <c r="A3841" s="21">
        <v>36029</v>
      </c>
      <c r="B3841" s="21"/>
      <c r="C3841">
        <v>8.5</v>
      </c>
      <c r="D3841">
        <v>3.6</v>
      </c>
      <c r="E3841">
        <v>83</v>
      </c>
      <c r="F3841">
        <v>23</v>
      </c>
      <c r="H3841">
        <v>23</v>
      </c>
      <c r="I3841">
        <v>1.03</v>
      </c>
      <c r="J3841">
        <v>853</v>
      </c>
    </row>
    <row r="3842" spans="1:10" ht="14.25" customHeight="1" x14ac:dyDescent="0.25">
      <c r="A3842" s="21">
        <v>36029</v>
      </c>
      <c r="B3842" s="21"/>
      <c r="C3842">
        <v>85.9</v>
      </c>
      <c r="D3842">
        <v>3.9</v>
      </c>
      <c r="E3842">
        <v>158</v>
      </c>
      <c r="F3842">
        <v>164</v>
      </c>
      <c r="G3842">
        <v>16</v>
      </c>
      <c r="H3842">
        <v>164</v>
      </c>
      <c r="I3842">
        <v>1.66</v>
      </c>
      <c r="J3842" s="1">
        <v>7966</v>
      </c>
    </row>
    <row r="3843" spans="1:10" ht="14.25" customHeight="1" x14ac:dyDescent="0.25">
      <c r="A3843" s="21">
        <v>36029</v>
      </c>
      <c r="B3843" s="21"/>
      <c r="C3843">
        <v>239.1</v>
      </c>
      <c r="D3843">
        <v>4.9000000000000004</v>
      </c>
      <c r="E3843">
        <v>425</v>
      </c>
      <c r="F3843">
        <v>364</v>
      </c>
      <c r="G3843">
        <v>28</v>
      </c>
      <c r="H3843">
        <v>364</v>
      </c>
      <c r="I3843">
        <v>1.99</v>
      </c>
      <c r="J3843" s="1">
        <v>18591</v>
      </c>
    </row>
    <row r="3844" spans="1:10" ht="14.25" customHeight="1" x14ac:dyDescent="0.25">
      <c r="A3844" s="21">
        <v>36029</v>
      </c>
      <c r="B3844" s="21"/>
      <c r="C3844">
        <v>280.7</v>
      </c>
      <c r="D3844">
        <v>6.1</v>
      </c>
      <c r="E3844">
        <v>421</v>
      </c>
      <c r="F3844">
        <v>340</v>
      </c>
      <c r="G3844">
        <v>30</v>
      </c>
      <c r="H3844">
        <v>340</v>
      </c>
      <c r="I3844">
        <v>1.8</v>
      </c>
      <c r="J3844" s="1">
        <v>16670</v>
      </c>
    </row>
    <row r="3845" spans="1:10" ht="14.25" customHeight="1" x14ac:dyDescent="0.25">
      <c r="A3845" s="21">
        <v>36029</v>
      </c>
      <c r="B3845" s="21"/>
      <c r="E3845">
        <v>4</v>
      </c>
      <c r="H3845">
        <v>123</v>
      </c>
    </row>
    <row r="3846" spans="1:10" ht="14.25" customHeight="1" x14ac:dyDescent="0.25">
      <c r="A3846" s="21">
        <v>36029</v>
      </c>
      <c r="B3846" s="21"/>
    </row>
    <row r="3847" spans="1:10" ht="14.25" customHeight="1" x14ac:dyDescent="0.25">
      <c r="A3847" s="21">
        <v>36029</v>
      </c>
      <c r="B3847" s="21"/>
      <c r="E3847">
        <v>31</v>
      </c>
      <c r="H3847">
        <v>265</v>
      </c>
    </row>
    <row r="3848" spans="1:10" ht="14.25" customHeight="1" x14ac:dyDescent="0.25">
      <c r="A3848" s="21">
        <v>36031</v>
      </c>
      <c r="B3848" s="21"/>
    </row>
    <row r="3849" spans="1:10" ht="14.25" customHeight="1" x14ac:dyDescent="0.25">
      <c r="A3849" s="21">
        <v>36033</v>
      </c>
      <c r="B3849" s="21"/>
      <c r="C3849">
        <v>20.7</v>
      </c>
      <c r="D3849">
        <v>3.9</v>
      </c>
      <c r="E3849">
        <v>133</v>
      </c>
      <c r="F3849">
        <v>83</v>
      </c>
      <c r="G3849">
        <v>8</v>
      </c>
      <c r="H3849">
        <v>83</v>
      </c>
      <c r="I3849">
        <v>1.62</v>
      </c>
      <c r="J3849" s="1">
        <v>2001</v>
      </c>
    </row>
    <row r="3850" spans="1:10" ht="14.25" customHeight="1" x14ac:dyDescent="0.25">
      <c r="A3850" s="21">
        <v>36033</v>
      </c>
      <c r="B3850" s="21"/>
      <c r="C3850">
        <v>14.5</v>
      </c>
      <c r="D3850">
        <v>3.5</v>
      </c>
      <c r="E3850">
        <v>89</v>
      </c>
      <c r="F3850">
        <v>43</v>
      </c>
      <c r="G3850">
        <v>4</v>
      </c>
      <c r="H3850">
        <v>43</v>
      </c>
      <c r="I3850">
        <v>1.3</v>
      </c>
      <c r="J3850" s="1">
        <v>1655</v>
      </c>
    </row>
    <row r="3851" spans="1:10" ht="14.25" customHeight="1" x14ac:dyDescent="0.25">
      <c r="A3851" s="21">
        <v>36035</v>
      </c>
      <c r="B3851" s="21"/>
      <c r="C3851">
        <v>21.1</v>
      </c>
      <c r="D3851">
        <v>3.5</v>
      </c>
      <c r="E3851">
        <v>115</v>
      </c>
      <c r="F3851">
        <v>58</v>
      </c>
      <c r="G3851">
        <v>8</v>
      </c>
      <c r="H3851">
        <v>58</v>
      </c>
      <c r="I3851">
        <v>1.4</v>
      </c>
      <c r="J3851" s="1">
        <v>2407</v>
      </c>
    </row>
    <row r="3852" spans="1:10" ht="14.25" customHeight="1" x14ac:dyDescent="0.25">
      <c r="A3852" s="21">
        <v>36037</v>
      </c>
      <c r="B3852" s="21"/>
      <c r="C3852">
        <v>49.7</v>
      </c>
      <c r="D3852">
        <v>4.4000000000000004</v>
      </c>
      <c r="E3852">
        <v>213</v>
      </c>
      <c r="F3852">
        <v>133</v>
      </c>
      <c r="G3852">
        <v>10</v>
      </c>
      <c r="H3852">
        <v>131</v>
      </c>
      <c r="I3852">
        <v>1.36</v>
      </c>
      <c r="J3852" s="1">
        <v>4362</v>
      </c>
    </row>
    <row r="3853" spans="1:10" ht="14.25" customHeight="1" x14ac:dyDescent="0.25">
      <c r="A3853" s="21">
        <v>36045</v>
      </c>
      <c r="B3853" s="21"/>
      <c r="C3853">
        <v>171.4</v>
      </c>
      <c r="D3853">
        <v>5.3</v>
      </c>
      <c r="E3853">
        <v>411</v>
      </c>
      <c r="F3853">
        <v>238</v>
      </c>
      <c r="G3853">
        <v>10</v>
      </c>
      <c r="H3853">
        <v>238</v>
      </c>
      <c r="I3853">
        <v>1.42</v>
      </c>
      <c r="J3853" s="1">
        <v>7160</v>
      </c>
    </row>
    <row r="3854" spans="1:10" ht="14.25" customHeight="1" x14ac:dyDescent="0.25">
      <c r="A3854" s="21">
        <v>36047</v>
      </c>
      <c r="B3854" s="21"/>
      <c r="C3854">
        <v>443</v>
      </c>
      <c r="D3854">
        <v>5.3</v>
      </c>
      <c r="E3854">
        <v>657</v>
      </c>
      <c r="F3854">
        <v>516</v>
      </c>
      <c r="G3854">
        <v>38</v>
      </c>
      <c r="H3854">
        <v>516</v>
      </c>
      <c r="I3854">
        <v>1.73</v>
      </c>
      <c r="J3854" s="1">
        <v>32433</v>
      </c>
    </row>
    <row r="3855" spans="1:10" ht="14.25" customHeight="1" x14ac:dyDescent="0.25">
      <c r="A3855" s="21">
        <v>36047</v>
      </c>
      <c r="B3855" s="21"/>
      <c r="C3855">
        <v>181.3</v>
      </c>
      <c r="D3855">
        <v>5.9</v>
      </c>
      <c r="E3855">
        <v>392</v>
      </c>
      <c r="F3855">
        <v>288</v>
      </c>
      <c r="G3855">
        <v>29</v>
      </c>
      <c r="H3855">
        <v>288</v>
      </c>
      <c r="I3855">
        <v>1.9</v>
      </c>
      <c r="J3855" s="1">
        <v>12154</v>
      </c>
    </row>
    <row r="3856" spans="1:10" ht="14.25" customHeight="1" x14ac:dyDescent="0.25">
      <c r="A3856" s="21">
        <v>36047</v>
      </c>
      <c r="B3856" s="21"/>
      <c r="C3856">
        <v>279.7</v>
      </c>
      <c r="D3856">
        <v>5.0999999999999996</v>
      </c>
      <c r="E3856">
        <v>705</v>
      </c>
      <c r="F3856">
        <v>323</v>
      </c>
      <c r="G3856">
        <v>8</v>
      </c>
      <c r="H3856">
        <v>323</v>
      </c>
      <c r="J3856" s="1">
        <v>21778</v>
      </c>
    </row>
    <row r="3857" spans="1:10" ht="14.25" customHeight="1" x14ac:dyDescent="0.25">
      <c r="A3857" s="21">
        <v>36047</v>
      </c>
      <c r="B3857" s="21"/>
      <c r="C3857">
        <v>182.3</v>
      </c>
      <c r="D3857">
        <v>6.5</v>
      </c>
      <c r="E3857">
        <v>367</v>
      </c>
      <c r="F3857">
        <v>305</v>
      </c>
      <c r="G3857">
        <v>19</v>
      </c>
      <c r="H3857">
        <v>305</v>
      </c>
      <c r="I3857">
        <v>1.7</v>
      </c>
      <c r="J3857" s="1">
        <v>10599</v>
      </c>
    </row>
    <row r="3858" spans="1:10" ht="14.25" customHeight="1" x14ac:dyDescent="0.25">
      <c r="A3858" s="21">
        <v>36047</v>
      </c>
      <c r="B3858" s="21"/>
      <c r="C3858">
        <v>155.19999999999999</v>
      </c>
      <c r="D3858">
        <v>4.5</v>
      </c>
      <c r="E3858">
        <v>434</v>
      </c>
      <c r="F3858">
        <v>257</v>
      </c>
      <c r="G3858">
        <v>16</v>
      </c>
      <c r="H3858">
        <v>257</v>
      </c>
      <c r="I3858">
        <v>1.6</v>
      </c>
      <c r="J3858" s="1">
        <v>12936</v>
      </c>
    </row>
    <row r="3859" spans="1:10" ht="14.25" customHeight="1" x14ac:dyDescent="0.25">
      <c r="A3859" s="21">
        <v>36047</v>
      </c>
      <c r="B3859" s="21"/>
      <c r="C3859">
        <v>567.5</v>
      </c>
      <c r="D3859">
        <v>5.6</v>
      </c>
      <c r="E3859" s="1">
        <v>1167</v>
      </c>
      <c r="F3859">
        <v>641</v>
      </c>
      <c r="G3859">
        <v>18</v>
      </c>
      <c r="H3859">
        <v>641</v>
      </c>
      <c r="I3859">
        <v>2.02</v>
      </c>
      <c r="J3859" s="1">
        <v>34994</v>
      </c>
    </row>
    <row r="3860" spans="1:10" ht="14.25" customHeight="1" x14ac:dyDescent="0.25">
      <c r="A3860" s="21">
        <v>36047</v>
      </c>
      <c r="B3860" s="21"/>
      <c r="C3860">
        <v>233.3</v>
      </c>
      <c r="D3860">
        <v>6.6</v>
      </c>
      <c r="E3860">
        <v>347</v>
      </c>
      <c r="F3860">
        <v>292</v>
      </c>
      <c r="G3860">
        <v>22</v>
      </c>
      <c r="H3860">
        <v>292</v>
      </c>
      <c r="I3860">
        <v>1.53</v>
      </c>
      <c r="J3860" s="1">
        <v>13092</v>
      </c>
    </row>
    <row r="3861" spans="1:10" ht="14.25" customHeight="1" x14ac:dyDescent="0.25">
      <c r="A3861" s="21">
        <v>36047</v>
      </c>
      <c r="B3861" s="21"/>
      <c r="C3861">
        <v>116.2</v>
      </c>
      <c r="D3861">
        <v>6.4</v>
      </c>
      <c r="E3861">
        <v>199</v>
      </c>
      <c r="F3861">
        <v>161</v>
      </c>
      <c r="G3861">
        <v>10</v>
      </c>
      <c r="H3861">
        <v>161</v>
      </c>
      <c r="I3861">
        <v>1.67</v>
      </c>
      <c r="J3861" s="1">
        <v>6618</v>
      </c>
    </row>
    <row r="3862" spans="1:10" ht="14.25" customHeight="1" x14ac:dyDescent="0.25">
      <c r="A3862" s="21">
        <v>36047</v>
      </c>
      <c r="B3862" s="21"/>
      <c r="C3862">
        <v>265.89999999999998</v>
      </c>
      <c r="D3862">
        <v>6.3</v>
      </c>
      <c r="E3862">
        <v>418</v>
      </c>
      <c r="F3862">
        <v>406</v>
      </c>
      <c r="G3862">
        <v>32</v>
      </c>
      <c r="H3862">
        <v>406</v>
      </c>
      <c r="I3862">
        <v>1.48</v>
      </c>
      <c r="J3862" s="1">
        <v>16077</v>
      </c>
    </row>
    <row r="3863" spans="1:10" ht="14.25" customHeight="1" x14ac:dyDescent="0.25">
      <c r="A3863" s="21">
        <v>36047</v>
      </c>
      <c r="B3863" s="21"/>
      <c r="C3863">
        <v>197.5</v>
      </c>
      <c r="D3863">
        <v>4.5999999999999996</v>
      </c>
      <c r="J3863" s="1">
        <v>16350</v>
      </c>
    </row>
    <row r="3864" spans="1:10" ht="14.25" customHeight="1" x14ac:dyDescent="0.25">
      <c r="A3864" s="21">
        <v>36047</v>
      </c>
      <c r="B3864" s="21"/>
      <c r="C3864">
        <v>219.6</v>
      </c>
      <c r="D3864">
        <v>5.8</v>
      </c>
      <c r="E3864">
        <v>381</v>
      </c>
      <c r="F3864">
        <v>272</v>
      </c>
      <c r="G3864">
        <v>12</v>
      </c>
      <c r="H3864">
        <v>272</v>
      </c>
      <c r="I3864">
        <v>1.79</v>
      </c>
      <c r="J3864" s="1">
        <v>14786</v>
      </c>
    </row>
    <row r="3865" spans="1:10" ht="14.25" customHeight="1" x14ac:dyDescent="0.25">
      <c r="A3865" s="21">
        <v>36047</v>
      </c>
      <c r="B3865" s="21"/>
      <c r="C3865">
        <v>97.4</v>
      </c>
      <c r="D3865">
        <v>4.7</v>
      </c>
      <c r="E3865">
        <v>128</v>
      </c>
      <c r="F3865">
        <v>134</v>
      </c>
      <c r="G3865">
        <v>7</v>
      </c>
      <c r="H3865">
        <v>134</v>
      </c>
      <c r="I3865">
        <v>1.33</v>
      </c>
      <c r="J3865" s="1">
        <v>7529</v>
      </c>
    </row>
    <row r="3866" spans="1:10" ht="14.25" customHeight="1" x14ac:dyDescent="0.25">
      <c r="A3866" s="21">
        <v>36047</v>
      </c>
      <c r="B3866" s="21"/>
      <c r="C3866">
        <v>131.80000000000001</v>
      </c>
      <c r="D3866">
        <v>5.4</v>
      </c>
      <c r="E3866">
        <v>291</v>
      </c>
      <c r="F3866">
        <v>238</v>
      </c>
      <c r="G3866">
        <v>24</v>
      </c>
      <c r="H3866">
        <v>238</v>
      </c>
      <c r="I3866">
        <v>1.44</v>
      </c>
      <c r="J3866" s="1">
        <v>9091</v>
      </c>
    </row>
    <row r="3867" spans="1:10" ht="14.25" customHeight="1" x14ac:dyDescent="0.25">
      <c r="A3867" s="21">
        <v>36047</v>
      </c>
      <c r="B3867" s="21"/>
      <c r="C3867">
        <v>107.6</v>
      </c>
      <c r="D3867">
        <v>5.6</v>
      </c>
      <c r="E3867">
        <v>184</v>
      </c>
      <c r="F3867">
        <v>153</v>
      </c>
      <c r="G3867">
        <v>13</v>
      </c>
      <c r="H3867">
        <v>153</v>
      </c>
      <c r="I3867">
        <v>1.6</v>
      </c>
      <c r="J3867" s="1">
        <v>7073</v>
      </c>
    </row>
    <row r="3868" spans="1:10" ht="14.25" customHeight="1" x14ac:dyDescent="0.25">
      <c r="A3868" s="21">
        <v>36047</v>
      </c>
      <c r="B3868" s="21"/>
      <c r="C3868">
        <v>19.899999999999999</v>
      </c>
      <c r="D3868">
        <v>7.1</v>
      </c>
      <c r="J3868" s="1">
        <v>2431</v>
      </c>
    </row>
    <row r="3869" spans="1:10" ht="14.25" customHeight="1" x14ac:dyDescent="0.25">
      <c r="A3869" s="21">
        <v>36047</v>
      </c>
      <c r="B3869" s="21"/>
      <c r="E3869">
        <v>4</v>
      </c>
      <c r="H3869">
        <v>212</v>
      </c>
    </row>
    <row r="3870" spans="1:10" ht="14.25" customHeight="1" x14ac:dyDescent="0.25">
      <c r="A3870" s="21">
        <v>36047</v>
      </c>
      <c r="B3870" s="21"/>
    </row>
    <row r="3871" spans="1:10" ht="14.25" customHeight="1" x14ac:dyDescent="0.25">
      <c r="A3871" s="21">
        <v>36051</v>
      </c>
      <c r="B3871" s="21"/>
      <c r="C3871">
        <v>20.6</v>
      </c>
      <c r="D3871">
        <v>3.5</v>
      </c>
      <c r="E3871">
        <v>160</v>
      </c>
      <c r="F3871">
        <v>67</v>
      </c>
      <c r="H3871">
        <v>67</v>
      </c>
      <c r="I3871">
        <v>1.29</v>
      </c>
      <c r="J3871" s="1">
        <v>2351</v>
      </c>
    </row>
    <row r="3872" spans="1:10" ht="14.25" customHeight="1" x14ac:dyDescent="0.25">
      <c r="A3872" s="21">
        <v>36053</v>
      </c>
      <c r="B3872" s="21"/>
      <c r="C3872">
        <v>24.4</v>
      </c>
      <c r="D3872">
        <v>4</v>
      </c>
      <c r="E3872">
        <v>198</v>
      </c>
      <c r="F3872">
        <v>101</v>
      </c>
      <c r="G3872">
        <v>6</v>
      </c>
      <c r="H3872">
        <v>101</v>
      </c>
      <c r="I3872">
        <v>1.39</v>
      </c>
      <c r="J3872" s="1">
        <v>2520</v>
      </c>
    </row>
    <row r="3873" spans="1:10" ht="14.25" customHeight="1" x14ac:dyDescent="0.25">
      <c r="A3873" s="21">
        <v>36055</v>
      </c>
      <c r="B3873" s="21"/>
      <c r="C3873">
        <v>398</v>
      </c>
      <c r="D3873">
        <v>5</v>
      </c>
      <c r="E3873">
        <v>844</v>
      </c>
      <c r="F3873">
        <v>470</v>
      </c>
      <c r="G3873">
        <v>16</v>
      </c>
      <c r="H3873">
        <v>470</v>
      </c>
      <c r="I3873">
        <v>1.95</v>
      </c>
      <c r="J3873" s="1">
        <v>30137</v>
      </c>
    </row>
    <row r="3874" spans="1:10" ht="14.25" customHeight="1" x14ac:dyDescent="0.25">
      <c r="A3874" s="21">
        <v>36055</v>
      </c>
      <c r="B3874" s="21"/>
      <c r="C3874">
        <v>218.7</v>
      </c>
      <c r="D3874">
        <v>5.3</v>
      </c>
      <c r="E3874">
        <v>355</v>
      </c>
      <c r="F3874">
        <v>235</v>
      </c>
      <c r="G3874">
        <v>14</v>
      </c>
      <c r="H3874">
        <v>235</v>
      </c>
      <c r="I3874">
        <v>1.58</v>
      </c>
      <c r="J3874" s="1">
        <v>16725</v>
      </c>
    </row>
    <row r="3875" spans="1:10" ht="14.25" customHeight="1" x14ac:dyDescent="0.25">
      <c r="A3875" s="21">
        <v>36055</v>
      </c>
      <c r="B3875" s="21"/>
      <c r="C3875">
        <v>715.6</v>
      </c>
      <c r="D3875">
        <v>7</v>
      </c>
      <c r="E3875" s="1">
        <v>2361</v>
      </c>
      <c r="F3875">
        <v>739</v>
      </c>
      <c r="G3875">
        <v>110</v>
      </c>
      <c r="H3875">
        <v>739</v>
      </c>
      <c r="I3875">
        <v>1.97</v>
      </c>
      <c r="J3875" s="1">
        <v>38002</v>
      </c>
    </row>
    <row r="3876" spans="1:10" ht="14.25" customHeight="1" x14ac:dyDescent="0.25">
      <c r="A3876" s="21">
        <v>36055</v>
      </c>
      <c r="B3876" s="21"/>
      <c r="C3876">
        <v>262.39999999999998</v>
      </c>
      <c r="D3876">
        <v>5.6</v>
      </c>
      <c r="E3876">
        <v>704</v>
      </c>
      <c r="F3876">
        <v>283</v>
      </c>
      <c r="G3876">
        <v>14</v>
      </c>
      <c r="H3876">
        <v>283</v>
      </c>
      <c r="I3876">
        <v>1.63</v>
      </c>
      <c r="J3876" s="1">
        <v>17663</v>
      </c>
    </row>
    <row r="3877" spans="1:10" ht="14.25" customHeight="1" x14ac:dyDescent="0.25">
      <c r="A3877" s="21">
        <v>36055</v>
      </c>
      <c r="B3877" s="21"/>
      <c r="C3877">
        <v>11.9</v>
      </c>
      <c r="D3877">
        <v>5.0999999999999996</v>
      </c>
      <c r="J3877">
        <v>857</v>
      </c>
    </row>
    <row r="3878" spans="1:10" ht="14.25" customHeight="1" x14ac:dyDescent="0.25">
      <c r="A3878" s="21">
        <v>36055</v>
      </c>
      <c r="B3878" s="21"/>
      <c r="E3878">
        <v>10</v>
      </c>
      <c r="F3878">
        <v>5</v>
      </c>
      <c r="H3878">
        <v>5</v>
      </c>
    </row>
    <row r="3879" spans="1:10" ht="14.25" customHeight="1" x14ac:dyDescent="0.25">
      <c r="A3879" s="21">
        <v>36057</v>
      </c>
      <c r="B3879" s="21"/>
    </row>
    <row r="3880" spans="1:10" ht="14.25" customHeight="1" x14ac:dyDescent="0.25">
      <c r="A3880" s="21">
        <v>36057</v>
      </c>
      <c r="B3880" s="21"/>
      <c r="C3880">
        <v>62.1</v>
      </c>
      <c r="D3880">
        <v>5.2</v>
      </c>
      <c r="E3880">
        <v>211</v>
      </c>
      <c r="F3880">
        <v>100</v>
      </c>
      <c r="G3880">
        <v>8</v>
      </c>
      <c r="H3880">
        <v>100</v>
      </c>
      <c r="I3880">
        <v>1.38</v>
      </c>
      <c r="J3880" s="1">
        <v>4513</v>
      </c>
    </row>
    <row r="3881" spans="1:10" ht="14.25" customHeight="1" x14ac:dyDescent="0.25">
      <c r="A3881" s="21">
        <v>36059</v>
      </c>
      <c r="B3881" s="21"/>
      <c r="C3881">
        <v>739.9</v>
      </c>
      <c r="D3881">
        <v>5.9</v>
      </c>
      <c r="E3881" s="1">
        <v>3057</v>
      </c>
      <c r="F3881">
        <v>764</v>
      </c>
      <c r="G3881">
        <v>47</v>
      </c>
      <c r="H3881">
        <v>764</v>
      </c>
      <c r="I3881">
        <v>1.95</v>
      </c>
      <c r="J3881" s="1">
        <v>48079</v>
      </c>
    </row>
    <row r="3882" spans="1:10" ht="14.25" customHeight="1" x14ac:dyDescent="0.25">
      <c r="A3882" s="21">
        <v>36059</v>
      </c>
      <c r="B3882" s="21"/>
      <c r="C3882">
        <v>452</v>
      </c>
      <c r="D3882">
        <v>4.9000000000000004</v>
      </c>
      <c r="E3882">
        <v>840</v>
      </c>
      <c r="F3882">
        <v>511</v>
      </c>
      <c r="G3882">
        <v>36</v>
      </c>
      <c r="H3882">
        <v>511</v>
      </c>
      <c r="I3882">
        <v>2.0099999999999998</v>
      </c>
      <c r="J3882" s="1">
        <v>35122</v>
      </c>
    </row>
    <row r="3883" spans="1:10" ht="14.25" customHeight="1" x14ac:dyDescent="0.25">
      <c r="A3883" s="21">
        <v>36059</v>
      </c>
      <c r="B3883" s="21"/>
    </row>
    <row r="3884" spans="1:10" ht="14.25" customHeight="1" x14ac:dyDescent="0.25">
      <c r="A3884" s="21">
        <v>36059</v>
      </c>
      <c r="B3884" s="21"/>
      <c r="C3884">
        <v>278.39999999999998</v>
      </c>
      <c r="D3884">
        <v>5.6</v>
      </c>
      <c r="E3884">
        <v>620</v>
      </c>
      <c r="F3884">
        <v>351</v>
      </c>
      <c r="G3884">
        <v>10</v>
      </c>
      <c r="H3884">
        <v>351</v>
      </c>
      <c r="I3884">
        <v>1.67</v>
      </c>
      <c r="J3884" s="1">
        <v>18713</v>
      </c>
    </row>
    <row r="3885" spans="1:10" ht="14.25" customHeight="1" x14ac:dyDescent="0.25">
      <c r="A3885" s="21">
        <v>36059</v>
      </c>
      <c r="B3885" s="21"/>
      <c r="C3885">
        <v>944.9</v>
      </c>
      <c r="D3885">
        <v>5.0999999999999996</v>
      </c>
      <c r="E3885" s="1">
        <v>1598</v>
      </c>
      <c r="F3885" s="1">
        <v>1193</v>
      </c>
      <c r="G3885">
        <v>53</v>
      </c>
      <c r="H3885">
        <v>524</v>
      </c>
      <c r="I3885">
        <v>1.57</v>
      </c>
      <c r="J3885" s="1">
        <v>71299</v>
      </c>
    </row>
    <row r="3886" spans="1:10" ht="14.25" customHeight="1" x14ac:dyDescent="0.25">
      <c r="A3886" s="21">
        <v>36059</v>
      </c>
      <c r="B3886" s="21"/>
      <c r="C3886">
        <v>39.200000000000003</v>
      </c>
      <c r="D3886">
        <v>4.2</v>
      </c>
      <c r="E3886">
        <v>194</v>
      </c>
      <c r="F3886">
        <v>54</v>
      </c>
      <c r="G3886">
        <v>10</v>
      </c>
      <c r="H3886">
        <v>54</v>
      </c>
      <c r="I3886">
        <v>1.35</v>
      </c>
      <c r="J3886" s="1">
        <v>3192</v>
      </c>
    </row>
    <row r="3887" spans="1:10" ht="14.25" customHeight="1" x14ac:dyDescent="0.25">
      <c r="A3887" s="21">
        <v>36059</v>
      </c>
      <c r="B3887" s="21"/>
      <c r="C3887">
        <v>266.3</v>
      </c>
      <c r="D3887">
        <v>5.2</v>
      </c>
      <c r="E3887">
        <v>600</v>
      </c>
      <c r="F3887">
        <v>364</v>
      </c>
      <c r="G3887">
        <v>37</v>
      </c>
      <c r="H3887">
        <v>364</v>
      </c>
      <c r="I3887">
        <v>2.17</v>
      </c>
      <c r="J3887" s="1">
        <v>18518</v>
      </c>
    </row>
    <row r="3888" spans="1:10" ht="14.25" customHeight="1" x14ac:dyDescent="0.25">
      <c r="A3888" s="21">
        <v>36059</v>
      </c>
      <c r="B3888" s="21"/>
      <c r="C3888">
        <v>112.1</v>
      </c>
      <c r="D3888">
        <v>4.8</v>
      </c>
      <c r="E3888">
        <v>223</v>
      </c>
      <c r="F3888">
        <v>156</v>
      </c>
      <c r="G3888">
        <v>19</v>
      </c>
      <c r="H3888">
        <v>156</v>
      </c>
      <c r="I3888">
        <v>1.42</v>
      </c>
      <c r="J3888" s="1">
        <v>8179</v>
      </c>
    </row>
    <row r="3889" spans="1:10" ht="14.25" customHeight="1" x14ac:dyDescent="0.25">
      <c r="A3889" s="21">
        <v>36059</v>
      </c>
      <c r="B3889" s="21"/>
      <c r="C3889">
        <v>81.400000000000006</v>
      </c>
      <c r="D3889">
        <v>4.8</v>
      </c>
      <c r="E3889">
        <v>214</v>
      </c>
      <c r="F3889">
        <v>203</v>
      </c>
      <c r="G3889">
        <v>8</v>
      </c>
      <c r="H3889">
        <v>203</v>
      </c>
      <c r="I3889">
        <v>1.37</v>
      </c>
      <c r="J3889" s="1">
        <v>6152</v>
      </c>
    </row>
    <row r="3890" spans="1:10" ht="14.25" customHeight="1" x14ac:dyDescent="0.25">
      <c r="A3890" s="21">
        <v>36059</v>
      </c>
      <c r="B3890" s="21"/>
      <c r="C3890">
        <v>124.3</v>
      </c>
      <c r="D3890">
        <v>5.2</v>
      </c>
      <c r="E3890">
        <v>348</v>
      </c>
      <c r="F3890">
        <v>299</v>
      </c>
      <c r="G3890">
        <v>18</v>
      </c>
      <c r="H3890">
        <v>299</v>
      </c>
      <c r="I3890">
        <v>1.33</v>
      </c>
      <c r="J3890" s="1">
        <v>9100</v>
      </c>
    </row>
    <row r="3891" spans="1:10" ht="14.25" customHeight="1" x14ac:dyDescent="0.25">
      <c r="A3891" s="21">
        <v>36059</v>
      </c>
      <c r="B3891" s="21"/>
      <c r="C3891">
        <v>216.5</v>
      </c>
      <c r="D3891">
        <v>4.8</v>
      </c>
      <c r="E3891">
        <v>387</v>
      </c>
      <c r="F3891">
        <v>372</v>
      </c>
      <c r="G3891">
        <v>33</v>
      </c>
      <c r="H3891">
        <v>372</v>
      </c>
      <c r="I3891">
        <v>1.34</v>
      </c>
      <c r="J3891" s="1">
        <v>17113</v>
      </c>
    </row>
    <row r="3892" spans="1:10" ht="14.25" customHeight="1" x14ac:dyDescent="0.25">
      <c r="A3892" s="21">
        <v>36059</v>
      </c>
      <c r="B3892" s="21"/>
      <c r="E3892">
        <v>10</v>
      </c>
      <c r="H3892">
        <v>284</v>
      </c>
    </row>
    <row r="3893" spans="1:10" ht="14.25" customHeight="1" x14ac:dyDescent="0.25">
      <c r="A3893" s="21">
        <v>36059</v>
      </c>
      <c r="B3893" s="21"/>
      <c r="H3893">
        <v>103</v>
      </c>
    </row>
    <row r="3894" spans="1:10" ht="14.25" customHeight="1" x14ac:dyDescent="0.25">
      <c r="A3894" s="21">
        <v>36059</v>
      </c>
      <c r="B3894" s="21"/>
    </row>
    <row r="3895" spans="1:10" ht="14.25" customHeight="1" x14ac:dyDescent="0.25">
      <c r="A3895" s="21">
        <v>36061</v>
      </c>
      <c r="B3895" s="21"/>
      <c r="C3895">
        <v>65.2</v>
      </c>
      <c r="D3895">
        <v>4.2</v>
      </c>
      <c r="J3895" s="1">
        <v>5741</v>
      </c>
    </row>
    <row r="3896" spans="1:10" ht="14.25" customHeight="1" x14ac:dyDescent="0.25">
      <c r="A3896" s="21">
        <v>36061</v>
      </c>
      <c r="B3896" s="21"/>
      <c r="C3896">
        <v>923.1</v>
      </c>
      <c r="D3896">
        <v>6.5</v>
      </c>
      <c r="E3896" s="1">
        <v>2636</v>
      </c>
      <c r="F3896" s="1">
        <v>1067</v>
      </c>
      <c r="G3896">
        <v>75</v>
      </c>
      <c r="H3896" s="1">
        <v>1067</v>
      </c>
      <c r="I3896">
        <v>2.4</v>
      </c>
      <c r="J3896" s="1">
        <v>55420</v>
      </c>
    </row>
    <row r="3897" spans="1:10" ht="14.25" customHeight="1" x14ac:dyDescent="0.25">
      <c r="A3897" s="21">
        <v>36061</v>
      </c>
      <c r="B3897" s="21"/>
      <c r="C3897">
        <v>181.1</v>
      </c>
      <c r="D3897">
        <v>6.3</v>
      </c>
      <c r="E3897">
        <v>282</v>
      </c>
      <c r="F3897">
        <v>231</v>
      </c>
      <c r="G3897">
        <v>17</v>
      </c>
      <c r="H3897">
        <v>231</v>
      </c>
      <c r="I3897">
        <v>1.46</v>
      </c>
      <c r="J3897" s="1">
        <v>9651</v>
      </c>
    </row>
    <row r="3898" spans="1:10" ht="14.25" customHeight="1" x14ac:dyDescent="0.25">
      <c r="A3898" s="21">
        <v>36061</v>
      </c>
      <c r="B3898" s="21"/>
      <c r="C3898">
        <v>266.3</v>
      </c>
      <c r="D3898">
        <v>9.4</v>
      </c>
      <c r="J3898" s="1">
        <v>4377</v>
      </c>
    </row>
    <row r="3899" spans="1:10" ht="14.25" customHeight="1" x14ac:dyDescent="0.25">
      <c r="A3899" s="21">
        <v>36061</v>
      </c>
      <c r="B3899" s="21"/>
      <c r="C3899">
        <v>129.80000000000001</v>
      </c>
      <c r="D3899">
        <v>3</v>
      </c>
      <c r="E3899">
        <v>584</v>
      </c>
      <c r="F3899">
        <v>215</v>
      </c>
      <c r="H3899">
        <v>215</v>
      </c>
      <c r="I3899">
        <v>2.5099999999999998</v>
      </c>
      <c r="J3899" s="1">
        <v>15772</v>
      </c>
    </row>
    <row r="3900" spans="1:10" ht="14.25" customHeight="1" x14ac:dyDescent="0.25">
      <c r="A3900" s="21">
        <v>36061</v>
      </c>
      <c r="B3900" s="21"/>
      <c r="C3900">
        <v>82.5</v>
      </c>
      <c r="D3900">
        <v>5.3</v>
      </c>
      <c r="E3900">
        <v>254</v>
      </c>
      <c r="F3900">
        <v>196</v>
      </c>
      <c r="G3900">
        <v>24</v>
      </c>
      <c r="H3900">
        <v>196</v>
      </c>
      <c r="I3900">
        <v>1.37</v>
      </c>
      <c r="J3900" s="1">
        <v>5600</v>
      </c>
    </row>
    <row r="3901" spans="1:10" ht="14.25" customHeight="1" x14ac:dyDescent="0.25">
      <c r="A3901" s="21">
        <v>36061</v>
      </c>
      <c r="B3901" s="21"/>
      <c r="C3901" s="2">
        <v>1160.4000000000001</v>
      </c>
      <c r="D3901">
        <v>4.8</v>
      </c>
      <c r="E3901" s="1">
        <v>3355</v>
      </c>
      <c r="F3901" s="1">
        <v>1468</v>
      </c>
      <c r="G3901">
        <v>212</v>
      </c>
      <c r="H3901">
        <v>725</v>
      </c>
      <c r="I3901">
        <v>2.09</v>
      </c>
      <c r="J3901" s="1">
        <v>65273</v>
      </c>
    </row>
    <row r="3902" spans="1:10" ht="14.25" customHeight="1" x14ac:dyDescent="0.25">
      <c r="A3902" s="21">
        <v>36061</v>
      </c>
      <c r="B3902" s="21"/>
      <c r="C3902">
        <v>366.3</v>
      </c>
      <c r="D3902">
        <v>6.5</v>
      </c>
      <c r="E3902">
        <v>555</v>
      </c>
      <c r="F3902">
        <v>527</v>
      </c>
      <c r="G3902">
        <v>45</v>
      </c>
      <c r="H3902">
        <v>527</v>
      </c>
      <c r="I3902">
        <v>1.53</v>
      </c>
      <c r="J3902" s="1">
        <v>18999</v>
      </c>
    </row>
    <row r="3903" spans="1:10" ht="14.25" customHeight="1" x14ac:dyDescent="0.25">
      <c r="A3903" s="21">
        <v>36061</v>
      </c>
      <c r="B3903" s="21"/>
      <c r="C3903">
        <v>379.4</v>
      </c>
      <c r="D3903">
        <v>5.9</v>
      </c>
      <c r="E3903" s="1">
        <v>1069</v>
      </c>
      <c r="F3903">
        <v>485</v>
      </c>
      <c r="G3903">
        <v>28</v>
      </c>
      <c r="H3903">
        <v>485</v>
      </c>
      <c r="I3903">
        <v>1.62</v>
      </c>
      <c r="J3903" s="1">
        <v>23603</v>
      </c>
    </row>
    <row r="3904" spans="1:10" ht="14.25" customHeight="1" x14ac:dyDescent="0.25">
      <c r="A3904" s="21">
        <v>36061</v>
      </c>
      <c r="B3904" s="21"/>
      <c r="C3904">
        <v>478.3</v>
      </c>
      <c r="D3904">
        <v>7.1</v>
      </c>
      <c r="E3904" s="1">
        <v>1738</v>
      </c>
      <c r="F3904">
        <v>498</v>
      </c>
      <c r="G3904">
        <v>25</v>
      </c>
      <c r="H3904">
        <v>498</v>
      </c>
      <c r="I3904">
        <v>2.04</v>
      </c>
      <c r="J3904" s="1">
        <v>24139</v>
      </c>
    </row>
    <row r="3905" spans="1:10" ht="14.25" customHeight="1" x14ac:dyDescent="0.25">
      <c r="A3905" s="21">
        <v>36061</v>
      </c>
      <c r="B3905" s="21"/>
      <c r="C3905">
        <v>301.10000000000002</v>
      </c>
      <c r="D3905">
        <v>4.2</v>
      </c>
      <c r="E3905">
        <v>977</v>
      </c>
      <c r="F3905">
        <v>422</v>
      </c>
      <c r="G3905">
        <v>24</v>
      </c>
      <c r="H3905">
        <v>422</v>
      </c>
      <c r="I3905">
        <v>1.96</v>
      </c>
      <c r="J3905" s="1">
        <v>27874</v>
      </c>
    </row>
    <row r="3906" spans="1:10" ht="14.25" customHeight="1" x14ac:dyDescent="0.25">
      <c r="A3906" s="21">
        <v>36061</v>
      </c>
      <c r="B3906" s="21"/>
      <c r="C3906">
        <v>2.2999999999999998</v>
      </c>
      <c r="D3906">
        <v>2.6</v>
      </c>
      <c r="E3906">
        <v>377</v>
      </c>
      <c r="F3906">
        <v>16</v>
      </c>
      <c r="H3906">
        <v>16</v>
      </c>
      <c r="I3906">
        <v>1.96</v>
      </c>
      <c r="J3906">
        <v>322</v>
      </c>
    </row>
    <row r="3907" spans="1:10" ht="14.25" customHeight="1" x14ac:dyDescent="0.25">
      <c r="A3907" s="21">
        <v>36061</v>
      </c>
      <c r="B3907" s="21"/>
      <c r="C3907">
        <v>453.1</v>
      </c>
      <c r="D3907">
        <v>5.5</v>
      </c>
      <c r="E3907">
        <v>746</v>
      </c>
      <c r="F3907">
        <v>633</v>
      </c>
      <c r="G3907">
        <v>57</v>
      </c>
      <c r="H3907">
        <v>485</v>
      </c>
      <c r="I3907">
        <v>1.87</v>
      </c>
      <c r="J3907" s="1">
        <v>32314</v>
      </c>
    </row>
    <row r="3908" spans="1:10" ht="14.25" customHeight="1" x14ac:dyDescent="0.25">
      <c r="A3908" s="21">
        <v>36061</v>
      </c>
      <c r="B3908" s="21"/>
      <c r="C3908">
        <v>110.6</v>
      </c>
      <c r="D3908">
        <v>5.3</v>
      </c>
      <c r="E3908">
        <v>143</v>
      </c>
      <c r="F3908">
        <v>132</v>
      </c>
      <c r="G3908">
        <v>20</v>
      </c>
      <c r="H3908">
        <v>132</v>
      </c>
      <c r="J3908" s="1">
        <v>8679</v>
      </c>
    </row>
    <row r="3909" spans="1:10" ht="14.25" customHeight="1" x14ac:dyDescent="0.25">
      <c r="A3909" s="21">
        <v>36061</v>
      </c>
      <c r="B3909" s="21"/>
      <c r="C3909">
        <v>19.100000000000001</v>
      </c>
      <c r="D3909">
        <v>8.1999999999999993</v>
      </c>
      <c r="J3909">
        <v>846</v>
      </c>
    </row>
    <row r="3910" spans="1:10" ht="14.25" customHeight="1" x14ac:dyDescent="0.25">
      <c r="A3910" s="21">
        <v>36061</v>
      </c>
      <c r="B3910" s="21"/>
    </row>
    <row r="3911" spans="1:10" ht="14.25" customHeight="1" x14ac:dyDescent="0.25">
      <c r="A3911" s="21">
        <v>36061</v>
      </c>
      <c r="B3911" s="21"/>
    </row>
    <row r="3912" spans="1:10" ht="14.25" customHeight="1" x14ac:dyDescent="0.25">
      <c r="A3912" s="21">
        <v>36061</v>
      </c>
      <c r="B3912" s="21"/>
    </row>
    <row r="3913" spans="1:10" ht="14.25" customHeight="1" x14ac:dyDescent="0.25">
      <c r="A3913" s="21">
        <v>36061</v>
      </c>
      <c r="B3913" s="21"/>
      <c r="C3913">
        <v>55.3</v>
      </c>
      <c r="D3913" s="2">
        <v>6853.7</v>
      </c>
      <c r="F3913">
        <v>56</v>
      </c>
      <c r="H3913">
        <v>56</v>
      </c>
      <c r="J3913">
        <v>3</v>
      </c>
    </row>
    <row r="3914" spans="1:10" ht="14.25" customHeight="1" x14ac:dyDescent="0.25">
      <c r="A3914" s="21">
        <v>36061</v>
      </c>
      <c r="B3914" s="21"/>
      <c r="H3914">
        <v>738</v>
      </c>
    </row>
    <row r="3915" spans="1:10" ht="14.25" customHeight="1" x14ac:dyDescent="0.25">
      <c r="A3915" s="21">
        <v>36061</v>
      </c>
      <c r="B3915" s="21"/>
      <c r="C3915" s="2">
        <v>1854.9</v>
      </c>
      <c r="D3915">
        <v>6.3</v>
      </c>
      <c r="E3915" s="1">
        <v>4550</v>
      </c>
      <c r="F3915" s="1">
        <v>2272</v>
      </c>
      <c r="G3915">
        <v>198</v>
      </c>
      <c r="H3915">
        <v>862</v>
      </c>
      <c r="I3915">
        <v>2.14</v>
      </c>
      <c r="J3915" s="1">
        <v>111301</v>
      </c>
    </row>
    <row r="3916" spans="1:10" ht="14.25" customHeight="1" x14ac:dyDescent="0.25">
      <c r="A3916" s="21">
        <v>36061</v>
      </c>
      <c r="B3916" s="21"/>
      <c r="E3916">
        <v>9</v>
      </c>
      <c r="H3916">
        <v>505</v>
      </c>
    </row>
    <row r="3917" spans="1:10" ht="14.25" customHeight="1" x14ac:dyDescent="0.25">
      <c r="A3917" s="21">
        <v>36061</v>
      </c>
      <c r="B3917" s="21"/>
      <c r="H3917">
        <v>196</v>
      </c>
    </row>
    <row r="3918" spans="1:10" ht="14.25" customHeight="1" x14ac:dyDescent="0.25">
      <c r="A3918" s="21">
        <v>36061</v>
      </c>
      <c r="B3918" s="21"/>
      <c r="E3918">
        <v>3</v>
      </c>
      <c r="H3918">
        <v>190</v>
      </c>
    </row>
    <row r="3919" spans="1:10" ht="14.25" customHeight="1" x14ac:dyDescent="0.25">
      <c r="A3919" s="21">
        <v>36061</v>
      </c>
      <c r="B3919" s="21"/>
      <c r="H3919">
        <v>306</v>
      </c>
    </row>
    <row r="3920" spans="1:10" ht="14.25" customHeight="1" x14ac:dyDescent="0.25">
      <c r="A3920" s="21">
        <v>36061</v>
      </c>
      <c r="B3920" s="21"/>
    </row>
    <row r="3921" spans="1:10" ht="14.25" customHeight="1" x14ac:dyDescent="0.25">
      <c r="A3921" s="21">
        <v>36061</v>
      </c>
      <c r="B3921" s="21"/>
    </row>
    <row r="3922" spans="1:10" ht="14.25" customHeight="1" x14ac:dyDescent="0.25">
      <c r="A3922" s="21">
        <v>36061</v>
      </c>
      <c r="B3922" s="21"/>
    </row>
    <row r="3923" spans="1:10" ht="14.25" customHeight="1" x14ac:dyDescent="0.25">
      <c r="A3923" s="21">
        <v>36063</v>
      </c>
      <c r="B3923" s="21"/>
      <c r="C3923">
        <v>56.9</v>
      </c>
      <c r="D3923">
        <v>4.8</v>
      </c>
      <c r="E3923">
        <v>212</v>
      </c>
      <c r="F3923">
        <v>133</v>
      </c>
      <c r="G3923">
        <v>12</v>
      </c>
      <c r="H3923">
        <v>133</v>
      </c>
      <c r="I3923">
        <v>1.34</v>
      </c>
      <c r="J3923" s="1">
        <v>4578</v>
      </c>
    </row>
    <row r="3924" spans="1:10" ht="14.25" customHeight="1" x14ac:dyDescent="0.25">
      <c r="A3924" s="21">
        <v>36063</v>
      </c>
      <c r="B3924" s="21"/>
      <c r="C3924">
        <v>73.5</v>
      </c>
      <c r="D3924">
        <v>6.8</v>
      </c>
      <c r="E3924">
        <v>176</v>
      </c>
      <c r="F3924">
        <v>135</v>
      </c>
      <c r="G3924">
        <v>8</v>
      </c>
      <c r="H3924">
        <v>135</v>
      </c>
      <c r="I3924">
        <v>1.23</v>
      </c>
      <c r="J3924" s="1">
        <v>4071</v>
      </c>
    </row>
    <row r="3925" spans="1:10" ht="14.25" customHeight="1" x14ac:dyDescent="0.25">
      <c r="A3925" s="21">
        <v>36063</v>
      </c>
      <c r="B3925" s="21"/>
      <c r="C3925">
        <v>85.7</v>
      </c>
      <c r="D3925">
        <v>6.6</v>
      </c>
      <c r="E3925">
        <v>148</v>
      </c>
      <c r="F3925">
        <v>175</v>
      </c>
      <c r="G3925">
        <v>12</v>
      </c>
      <c r="H3925">
        <v>175</v>
      </c>
      <c r="I3925">
        <v>1.48</v>
      </c>
      <c r="J3925" s="1">
        <v>4820</v>
      </c>
    </row>
    <row r="3926" spans="1:10" ht="14.25" customHeight="1" x14ac:dyDescent="0.25">
      <c r="A3926" s="21">
        <v>36063</v>
      </c>
      <c r="B3926" s="21"/>
    </row>
    <row r="3927" spans="1:10" ht="14.25" customHeight="1" x14ac:dyDescent="0.25">
      <c r="A3927" s="21">
        <v>36063</v>
      </c>
      <c r="B3927" s="21"/>
    </row>
    <row r="3928" spans="1:10" ht="14.25" customHeight="1" x14ac:dyDescent="0.25">
      <c r="A3928" s="21">
        <v>36065</v>
      </c>
      <c r="B3928" s="21"/>
      <c r="C3928">
        <v>29.8</v>
      </c>
      <c r="D3928">
        <v>4.0999999999999996</v>
      </c>
      <c r="E3928">
        <v>161</v>
      </c>
      <c r="F3928">
        <v>79</v>
      </c>
      <c r="G3928">
        <v>10</v>
      </c>
      <c r="H3928">
        <v>79</v>
      </c>
      <c r="I3928">
        <v>1.3</v>
      </c>
      <c r="J3928" s="1">
        <v>2879</v>
      </c>
    </row>
    <row r="3929" spans="1:10" ht="14.25" customHeight="1" x14ac:dyDescent="0.25">
      <c r="A3929" s="21">
        <v>36065</v>
      </c>
      <c r="B3929" s="21"/>
      <c r="C3929">
        <v>130.30000000000001</v>
      </c>
      <c r="D3929">
        <v>5.0999999999999996</v>
      </c>
      <c r="E3929">
        <v>247</v>
      </c>
      <c r="F3929">
        <v>177</v>
      </c>
      <c r="G3929">
        <v>16</v>
      </c>
      <c r="H3929">
        <v>177</v>
      </c>
      <c r="I3929">
        <v>1.69</v>
      </c>
      <c r="J3929" s="1">
        <v>9298</v>
      </c>
    </row>
    <row r="3930" spans="1:10" ht="14.25" customHeight="1" x14ac:dyDescent="0.25">
      <c r="A3930" s="21">
        <v>36065</v>
      </c>
      <c r="B3930" s="21"/>
      <c r="C3930">
        <v>151.6</v>
      </c>
      <c r="D3930">
        <v>4.9000000000000004</v>
      </c>
      <c r="E3930">
        <v>323</v>
      </c>
      <c r="F3930">
        <v>231</v>
      </c>
      <c r="H3930">
        <v>231</v>
      </c>
      <c r="I3930">
        <v>1.46</v>
      </c>
      <c r="J3930" s="1">
        <v>12306</v>
      </c>
    </row>
    <row r="3931" spans="1:10" ht="14.25" customHeight="1" x14ac:dyDescent="0.25">
      <c r="A3931" s="21">
        <v>36065</v>
      </c>
      <c r="B3931" s="21"/>
      <c r="E3931">
        <v>3</v>
      </c>
      <c r="H3931">
        <v>166</v>
      </c>
    </row>
    <row r="3932" spans="1:10" ht="14.25" customHeight="1" x14ac:dyDescent="0.25">
      <c r="A3932" s="21">
        <v>36065</v>
      </c>
      <c r="B3932" s="21"/>
    </row>
    <row r="3933" spans="1:10" ht="14.25" customHeight="1" x14ac:dyDescent="0.25">
      <c r="A3933" s="21">
        <v>36067</v>
      </c>
      <c r="B3933" s="21"/>
      <c r="E3933">
        <v>3</v>
      </c>
      <c r="H3933">
        <v>306</v>
      </c>
    </row>
    <row r="3934" spans="1:10" ht="14.25" customHeight="1" x14ac:dyDescent="0.25">
      <c r="A3934" s="21">
        <v>36067</v>
      </c>
      <c r="B3934" s="21"/>
      <c r="C3934">
        <v>311</v>
      </c>
      <c r="D3934">
        <v>4.5999999999999996</v>
      </c>
      <c r="E3934">
        <v>498</v>
      </c>
      <c r="F3934">
        <v>435</v>
      </c>
      <c r="G3934">
        <v>24</v>
      </c>
      <c r="H3934">
        <v>435</v>
      </c>
      <c r="I3934">
        <v>1.97</v>
      </c>
      <c r="J3934" s="1">
        <v>25614</v>
      </c>
    </row>
    <row r="3935" spans="1:10" ht="14.25" customHeight="1" x14ac:dyDescent="0.25">
      <c r="A3935" s="21">
        <v>36067</v>
      </c>
      <c r="B3935" s="21"/>
      <c r="C3935">
        <v>524</v>
      </c>
      <c r="D3935">
        <v>5.2</v>
      </c>
      <c r="E3935">
        <v>993</v>
      </c>
      <c r="F3935">
        <v>641</v>
      </c>
      <c r="G3935">
        <v>65</v>
      </c>
      <c r="H3935">
        <v>641</v>
      </c>
      <c r="I3935">
        <v>1.77</v>
      </c>
      <c r="J3935" s="1">
        <v>31023</v>
      </c>
    </row>
    <row r="3936" spans="1:10" ht="14.25" customHeight="1" x14ac:dyDescent="0.25">
      <c r="A3936" s="21">
        <v>36067</v>
      </c>
      <c r="B3936" s="21"/>
      <c r="C3936">
        <v>294.2</v>
      </c>
      <c r="D3936">
        <v>6</v>
      </c>
      <c r="E3936">
        <v>410</v>
      </c>
      <c r="F3936">
        <v>502</v>
      </c>
      <c r="G3936">
        <v>29</v>
      </c>
      <c r="H3936">
        <v>502</v>
      </c>
      <c r="I3936">
        <v>1.64</v>
      </c>
      <c r="J3936" s="1">
        <v>19181</v>
      </c>
    </row>
    <row r="3937" spans="1:10" ht="14.25" customHeight="1" x14ac:dyDescent="0.25">
      <c r="A3937" s="21">
        <v>36069</v>
      </c>
      <c r="B3937" s="21"/>
      <c r="C3937">
        <v>39.200000000000003</v>
      </c>
      <c r="D3937">
        <v>7.4</v>
      </c>
      <c r="E3937">
        <v>61</v>
      </c>
      <c r="F3937">
        <v>77</v>
      </c>
      <c r="G3937">
        <v>6</v>
      </c>
      <c r="H3937">
        <v>77</v>
      </c>
      <c r="I3937">
        <v>1.23</v>
      </c>
      <c r="J3937" s="1">
        <v>1938</v>
      </c>
    </row>
    <row r="3938" spans="1:10" ht="14.25" customHeight="1" x14ac:dyDescent="0.25">
      <c r="A3938" s="21">
        <v>36069</v>
      </c>
      <c r="B3938" s="21"/>
      <c r="C3938">
        <v>53.8</v>
      </c>
      <c r="D3938">
        <v>4.5999999999999996</v>
      </c>
      <c r="E3938">
        <v>256</v>
      </c>
      <c r="F3938">
        <v>113</v>
      </c>
      <c r="G3938">
        <v>7</v>
      </c>
      <c r="H3938">
        <v>113</v>
      </c>
      <c r="I3938">
        <v>1.48</v>
      </c>
      <c r="J3938" s="1">
        <v>4613</v>
      </c>
    </row>
    <row r="3939" spans="1:10" ht="14.25" customHeight="1" x14ac:dyDescent="0.25">
      <c r="A3939" s="21">
        <v>36069</v>
      </c>
      <c r="B3939" s="21"/>
      <c r="C3939">
        <v>42</v>
      </c>
      <c r="D3939">
        <v>4.2</v>
      </c>
      <c r="E3939">
        <v>156</v>
      </c>
      <c r="F3939">
        <v>117</v>
      </c>
      <c r="G3939">
        <v>14</v>
      </c>
      <c r="H3939">
        <v>117</v>
      </c>
      <c r="I3939">
        <v>1.44</v>
      </c>
      <c r="J3939" s="1">
        <v>3607</v>
      </c>
    </row>
    <row r="3940" spans="1:10" ht="14.25" customHeight="1" x14ac:dyDescent="0.25">
      <c r="A3940" s="21">
        <v>36071</v>
      </c>
      <c r="B3940" s="21"/>
      <c r="C3940">
        <v>38.4</v>
      </c>
      <c r="D3940">
        <v>4.9000000000000004</v>
      </c>
      <c r="E3940">
        <v>93</v>
      </c>
      <c r="F3940">
        <v>98</v>
      </c>
      <c r="G3940">
        <v>10</v>
      </c>
      <c r="H3940">
        <v>98</v>
      </c>
      <c r="I3940">
        <v>1.28</v>
      </c>
      <c r="J3940" s="1">
        <v>2868</v>
      </c>
    </row>
    <row r="3941" spans="1:10" ht="14.25" customHeight="1" x14ac:dyDescent="0.25">
      <c r="A3941" s="21">
        <v>36071</v>
      </c>
      <c r="B3941" s="21"/>
      <c r="C3941">
        <v>258.8</v>
      </c>
      <c r="D3941">
        <v>4.7</v>
      </c>
      <c r="E3941">
        <v>620</v>
      </c>
      <c r="F3941">
        <v>329</v>
      </c>
      <c r="G3941">
        <v>40</v>
      </c>
      <c r="H3941">
        <v>329</v>
      </c>
      <c r="I3941">
        <v>1.51</v>
      </c>
      <c r="J3941" s="1">
        <v>21181</v>
      </c>
    </row>
    <row r="3942" spans="1:10" ht="14.25" customHeight="1" x14ac:dyDescent="0.25">
      <c r="A3942" s="21">
        <v>36071</v>
      </c>
      <c r="B3942" s="21"/>
      <c r="C3942">
        <v>126.3</v>
      </c>
      <c r="D3942">
        <v>4.7</v>
      </c>
      <c r="E3942">
        <v>327</v>
      </c>
      <c r="F3942">
        <v>193</v>
      </c>
      <c r="G3942">
        <v>18</v>
      </c>
      <c r="H3942">
        <v>193</v>
      </c>
      <c r="I3942">
        <v>1.53</v>
      </c>
      <c r="J3942" s="1">
        <v>10231</v>
      </c>
    </row>
    <row r="3943" spans="1:10" ht="14.25" customHeight="1" x14ac:dyDescent="0.25">
      <c r="A3943" s="21">
        <v>36071</v>
      </c>
      <c r="B3943" s="21"/>
      <c r="C3943">
        <v>18.899999999999999</v>
      </c>
      <c r="D3943">
        <v>3.9</v>
      </c>
      <c r="E3943">
        <v>93</v>
      </c>
      <c r="F3943">
        <v>60</v>
      </c>
      <c r="G3943">
        <v>8</v>
      </c>
      <c r="H3943">
        <v>60</v>
      </c>
      <c r="I3943">
        <v>1.48</v>
      </c>
      <c r="J3943" s="1">
        <v>1975</v>
      </c>
    </row>
    <row r="3944" spans="1:10" ht="14.25" customHeight="1" x14ac:dyDescent="0.25">
      <c r="A3944" s="21">
        <v>36075</v>
      </c>
      <c r="B3944" s="21"/>
      <c r="C3944">
        <v>35.200000000000003</v>
      </c>
      <c r="D3944">
        <v>4.2</v>
      </c>
      <c r="E3944">
        <v>493</v>
      </c>
      <c r="F3944">
        <v>132</v>
      </c>
      <c r="G3944">
        <v>8</v>
      </c>
      <c r="H3944">
        <v>132</v>
      </c>
      <c r="I3944">
        <v>1.4</v>
      </c>
      <c r="J3944" s="1">
        <v>3358</v>
      </c>
    </row>
    <row r="3945" spans="1:10" ht="14.25" customHeight="1" x14ac:dyDescent="0.25">
      <c r="A3945" s="21">
        <v>36075</v>
      </c>
      <c r="B3945" s="21"/>
      <c r="C3945">
        <v>15.4</v>
      </c>
      <c r="D3945">
        <v>5.4</v>
      </c>
      <c r="J3945" s="1">
        <v>1041</v>
      </c>
    </row>
    <row r="3946" spans="1:10" ht="14.25" customHeight="1" x14ac:dyDescent="0.25">
      <c r="A3946" s="21">
        <v>36077</v>
      </c>
      <c r="B3946" s="21"/>
      <c r="C3946">
        <v>22.5</v>
      </c>
      <c r="D3946">
        <v>3.8</v>
      </c>
      <c r="E3946">
        <v>119</v>
      </c>
      <c r="F3946">
        <v>60</v>
      </c>
      <c r="H3946">
        <v>60</v>
      </c>
      <c r="I3946">
        <v>1.1599999999999999</v>
      </c>
      <c r="J3946" s="1">
        <v>2168</v>
      </c>
    </row>
    <row r="3947" spans="1:10" ht="14.25" customHeight="1" x14ac:dyDescent="0.25">
      <c r="A3947" s="21">
        <v>36077</v>
      </c>
      <c r="B3947" s="21"/>
      <c r="C3947">
        <v>114.9</v>
      </c>
      <c r="D3947">
        <v>5</v>
      </c>
      <c r="E3947">
        <v>492</v>
      </c>
      <c r="F3947">
        <v>160</v>
      </c>
      <c r="G3947">
        <v>14</v>
      </c>
      <c r="H3947">
        <v>160</v>
      </c>
      <c r="I3947">
        <v>1.77</v>
      </c>
      <c r="J3947" s="1">
        <v>8910</v>
      </c>
    </row>
    <row r="3948" spans="1:10" ht="14.25" customHeight="1" x14ac:dyDescent="0.25">
      <c r="A3948" s="21">
        <v>36079</v>
      </c>
      <c r="B3948" s="21"/>
      <c r="C3948">
        <v>45.5</v>
      </c>
      <c r="D3948">
        <v>3.6</v>
      </c>
      <c r="E3948">
        <v>196</v>
      </c>
      <c r="F3948">
        <v>120</v>
      </c>
      <c r="G3948">
        <v>10</v>
      </c>
      <c r="H3948">
        <v>120</v>
      </c>
      <c r="I3948">
        <v>1.56</v>
      </c>
      <c r="J3948" s="1">
        <v>4901</v>
      </c>
    </row>
    <row r="3949" spans="1:10" ht="14.25" customHeight="1" x14ac:dyDescent="0.25">
      <c r="A3949" s="21">
        <v>36081</v>
      </c>
      <c r="B3949" s="21"/>
      <c r="E3949">
        <v>21</v>
      </c>
      <c r="H3949">
        <v>312</v>
      </c>
    </row>
    <row r="3950" spans="1:10" ht="14.25" customHeight="1" x14ac:dyDescent="0.25">
      <c r="A3950" s="21">
        <v>36081</v>
      </c>
      <c r="B3950" s="21"/>
      <c r="C3950">
        <v>169.2</v>
      </c>
      <c r="D3950">
        <v>5</v>
      </c>
      <c r="E3950">
        <v>223</v>
      </c>
      <c r="F3950">
        <v>275</v>
      </c>
      <c r="H3950">
        <v>275</v>
      </c>
      <c r="I3950">
        <v>1.48</v>
      </c>
      <c r="J3950" s="1">
        <v>13402</v>
      </c>
    </row>
    <row r="3951" spans="1:10" ht="14.25" customHeight="1" x14ac:dyDescent="0.25">
      <c r="A3951" s="21">
        <v>36081</v>
      </c>
      <c r="B3951" s="21"/>
      <c r="C3951">
        <v>157.19999999999999</v>
      </c>
      <c r="D3951">
        <v>5</v>
      </c>
      <c r="E3951">
        <v>253</v>
      </c>
      <c r="F3951">
        <v>200</v>
      </c>
      <c r="G3951">
        <v>16</v>
      </c>
      <c r="H3951">
        <v>200</v>
      </c>
      <c r="I3951">
        <v>1.45</v>
      </c>
      <c r="J3951" s="1">
        <v>11885</v>
      </c>
    </row>
    <row r="3952" spans="1:10" ht="14.25" customHeight="1" x14ac:dyDescent="0.25">
      <c r="A3952" s="21">
        <v>36081</v>
      </c>
      <c r="B3952" s="21"/>
      <c r="C3952">
        <v>288.89999999999998</v>
      </c>
      <c r="D3952">
        <v>6.1</v>
      </c>
      <c r="E3952">
        <v>392</v>
      </c>
      <c r="F3952">
        <v>358</v>
      </c>
      <c r="G3952">
        <v>20</v>
      </c>
      <c r="H3952">
        <v>358</v>
      </c>
      <c r="I3952">
        <v>1.51</v>
      </c>
      <c r="J3952" s="1">
        <v>17680</v>
      </c>
    </row>
    <row r="3953" spans="1:10" ht="14.25" customHeight="1" x14ac:dyDescent="0.25">
      <c r="A3953" s="21">
        <v>36081</v>
      </c>
      <c r="B3953" s="21"/>
      <c r="C3953">
        <v>422.3</v>
      </c>
      <c r="D3953">
        <v>5.2</v>
      </c>
      <c r="E3953" s="1">
        <v>1123</v>
      </c>
      <c r="F3953">
        <v>476</v>
      </c>
      <c r="G3953">
        <v>29</v>
      </c>
      <c r="H3953">
        <v>476</v>
      </c>
      <c r="I3953">
        <v>1.69</v>
      </c>
      <c r="J3953" s="1">
        <v>31315</v>
      </c>
    </row>
    <row r="3954" spans="1:10" ht="14.25" customHeight="1" x14ac:dyDescent="0.25">
      <c r="A3954" s="21">
        <v>36081</v>
      </c>
      <c r="B3954" s="21"/>
      <c r="C3954">
        <v>197.9</v>
      </c>
      <c r="D3954">
        <v>5</v>
      </c>
      <c r="E3954">
        <v>433</v>
      </c>
      <c r="F3954">
        <v>285</v>
      </c>
      <c r="G3954">
        <v>19</v>
      </c>
      <c r="H3954">
        <v>285</v>
      </c>
      <c r="I3954">
        <v>1.58</v>
      </c>
      <c r="J3954" s="1">
        <v>15321</v>
      </c>
    </row>
    <row r="3955" spans="1:10" ht="14.25" customHeight="1" x14ac:dyDescent="0.25">
      <c r="A3955" s="21">
        <v>36081</v>
      </c>
      <c r="B3955" s="21"/>
      <c r="C3955">
        <v>33.5</v>
      </c>
      <c r="D3955">
        <v>4.8</v>
      </c>
      <c r="J3955" s="1">
        <v>2555</v>
      </c>
    </row>
    <row r="3956" spans="1:10" ht="14.25" customHeight="1" x14ac:dyDescent="0.25">
      <c r="A3956" s="21">
        <v>36081</v>
      </c>
      <c r="B3956" s="21"/>
      <c r="C3956">
        <v>121.1</v>
      </c>
      <c r="D3956">
        <v>6.8</v>
      </c>
      <c r="E3956">
        <v>289</v>
      </c>
      <c r="F3956">
        <v>166</v>
      </c>
      <c r="G3956">
        <v>8</v>
      </c>
      <c r="H3956">
        <v>166</v>
      </c>
      <c r="I3956">
        <v>1.68</v>
      </c>
      <c r="J3956" s="1">
        <v>6813</v>
      </c>
    </row>
    <row r="3957" spans="1:10" ht="14.25" customHeight="1" x14ac:dyDescent="0.25">
      <c r="A3957" s="21">
        <v>36081</v>
      </c>
      <c r="B3957" s="21"/>
      <c r="C3957">
        <v>62.9</v>
      </c>
      <c r="D3957">
        <v>5.8</v>
      </c>
      <c r="J3957" s="1">
        <v>3975</v>
      </c>
    </row>
    <row r="3958" spans="1:10" ht="14.25" customHeight="1" x14ac:dyDescent="0.25">
      <c r="A3958" s="21">
        <v>36081</v>
      </c>
      <c r="B3958" s="21"/>
      <c r="E3958">
        <v>40</v>
      </c>
      <c r="H3958">
        <v>228</v>
      </c>
    </row>
    <row r="3959" spans="1:10" ht="14.25" customHeight="1" x14ac:dyDescent="0.25">
      <c r="A3959" s="21">
        <v>36081</v>
      </c>
      <c r="B3959" s="21"/>
      <c r="E3959">
        <v>29</v>
      </c>
      <c r="H3959">
        <v>235</v>
      </c>
    </row>
    <row r="3960" spans="1:10" ht="14.25" customHeight="1" x14ac:dyDescent="0.25">
      <c r="A3960" s="21">
        <v>36081</v>
      </c>
      <c r="B3960" s="21"/>
    </row>
    <row r="3961" spans="1:10" ht="14.25" customHeight="1" x14ac:dyDescent="0.25">
      <c r="A3961" s="21">
        <v>36081</v>
      </c>
      <c r="B3961" s="21"/>
    </row>
    <row r="3962" spans="1:10" ht="14.25" customHeight="1" x14ac:dyDescent="0.25">
      <c r="A3962" s="21">
        <v>36083</v>
      </c>
      <c r="B3962" s="21"/>
      <c r="C3962">
        <v>17</v>
      </c>
      <c r="D3962">
        <v>13.7</v>
      </c>
      <c r="E3962">
        <v>47</v>
      </c>
      <c r="F3962">
        <v>20</v>
      </c>
      <c r="H3962">
        <v>20</v>
      </c>
      <c r="I3962">
        <v>1.18</v>
      </c>
      <c r="J3962">
        <v>454</v>
      </c>
    </row>
    <row r="3963" spans="1:10" ht="14.25" customHeight="1" x14ac:dyDescent="0.25">
      <c r="A3963" s="21">
        <v>36083</v>
      </c>
      <c r="B3963" s="21"/>
      <c r="C3963">
        <v>139.80000000000001</v>
      </c>
      <c r="D3963">
        <v>5.2</v>
      </c>
      <c r="E3963">
        <v>485</v>
      </c>
      <c r="F3963">
        <v>237</v>
      </c>
      <c r="G3963">
        <v>24</v>
      </c>
      <c r="H3963">
        <v>237</v>
      </c>
      <c r="I3963">
        <v>1.52</v>
      </c>
      <c r="J3963" s="1">
        <v>8882</v>
      </c>
    </row>
    <row r="3964" spans="1:10" ht="14.25" customHeight="1" x14ac:dyDescent="0.25">
      <c r="A3964" s="21">
        <v>36083</v>
      </c>
      <c r="B3964" s="21"/>
      <c r="E3964">
        <v>2</v>
      </c>
      <c r="I3964">
        <v>0.69</v>
      </c>
    </row>
    <row r="3965" spans="1:10" ht="14.25" customHeight="1" x14ac:dyDescent="0.25">
      <c r="A3965" s="21">
        <v>36085</v>
      </c>
      <c r="B3965" s="21"/>
      <c r="C3965">
        <v>507.2</v>
      </c>
      <c r="D3965">
        <v>5.2</v>
      </c>
      <c r="E3965" s="1">
        <v>1104</v>
      </c>
      <c r="F3965">
        <v>543</v>
      </c>
      <c r="G3965">
        <v>44</v>
      </c>
      <c r="H3965">
        <v>543</v>
      </c>
      <c r="I3965">
        <v>1.59</v>
      </c>
      <c r="J3965" s="1">
        <v>36635</v>
      </c>
    </row>
    <row r="3966" spans="1:10" ht="14.25" customHeight="1" x14ac:dyDescent="0.25">
      <c r="A3966" s="21">
        <v>36085</v>
      </c>
      <c r="B3966" s="21"/>
      <c r="C3966">
        <v>159.80000000000001</v>
      </c>
      <c r="D3966">
        <v>5.3</v>
      </c>
      <c r="E3966">
        <v>336</v>
      </c>
      <c r="F3966">
        <v>260</v>
      </c>
      <c r="G3966">
        <v>18</v>
      </c>
      <c r="H3966">
        <v>260</v>
      </c>
      <c r="I3966">
        <v>1.81</v>
      </c>
      <c r="J3966" s="1">
        <v>11943</v>
      </c>
    </row>
    <row r="3967" spans="1:10" ht="14.25" customHeight="1" x14ac:dyDescent="0.25">
      <c r="A3967" s="21">
        <v>36085</v>
      </c>
      <c r="B3967" s="21"/>
      <c r="E3967">
        <v>13</v>
      </c>
      <c r="H3967">
        <v>194</v>
      </c>
    </row>
    <row r="3968" spans="1:10" ht="14.25" customHeight="1" x14ac:dyDescent="0.25">
      <c r="A3968" s="21">
        <v>36085</v>
      </c>
      <c r="B3968" s="21"/>
    </row>
    <row r="3969" spans="1:10" ht="14.25" customHeight="1" x14ac:dyDescent="0.25">
      <c r="A3969" s="21">
        <v>36085</v>
      </c>
      <c r="B3969" s="21"/>
    </row>
    <row r="3970" spans="1:10" ht="14.25" customHeight="1" x14ac:dyDescent="0.25">
      <c r="A3970" s="21">
        <v>36087</v>
      </c>
      <c r="B3970" s="21"/>
      <c r="C3970">
        <v>173.8</v>
      </c>
      <c r="D3970">
        <v>4.7</v>
      </c>
      <c r="E3970">
        <v>418</v>
      </c>
      <c r="F3970">
        <v>286</v>
      </c>
      <c r="H3970">
        <v>286</v>
      </c>
      <c r="I3970">
        <v>1.73</v>
      </c>
      <c r="J3970" s="1">
        <v>14833</v>
      </c>
    </row>
    <row r="3971" spans="1:10" ht="14.25" customHeight="1" x14ac:dyDescent="0.25">
      <c r="A3971" s="21">
        <v>36087</v>
      </c>
      <c r="B3971" s="21"/>
      <c r="C3971">
        <v>148.80000000000001</v>
      </c>
      <c r="D3971">
        <v>5.5</v>
      </c>
      <c r="E3971">
        <v>467</v>
      </c>
      <c r="F3971">
        <v>209</v>
      </c>
      <c r="H3971">
        <v>209</v>
      </c>
      <c r="I3971">
        <v>1.55</v>
      </c>
      <c r="J3971" s="1">
        <v>10413</v>
      </c>
    </row>
    <row r="3972" spans="1:10" ht="14.25" customHeight="1" x14ac:dyDescent="0.25">
      <c r="A3972" s="21">
        <v>36087</v>
      </c>
      <c r="B3972" s="21"/>
      <c r="E3972">
        <v>78</v>
      </c>
      <c r="I3972">
        <v>1.1399999999999999</v>
      </c>
    </row>
    <row r="3973" spans="1:10" ht="14.25" customHeight="1" x14ac:dyDescent="0.25">
      <c r="A3973" s="21">
        <v>36089</v>
      </c>
      <c r="B3973" s="21"/>
      <c r="C3973">
        <v>63.2</v>
      </c>
      <c r="D3973">
        <v>5.2</v>
      </c>
      <c r="E3973">
        <v>216</v>
      </c>
      <c r="F3973">
        <v>94</v>
      </c>
      <c r="G3973">
        <v>6</v>
      </c>
      <c r="H3973">
        <v>94</v>
      </c>
      <c r="I3973">
        <v>1.36</v>
      </c>
      <c r="J3973" s="1">
        <v>4614</v>
      </c>
    </row>
    <row r="3974" spans="1:10" ht="14.25" customHeight="1" x14ac:dyDescent="0.25">
      <c r="A3974" s="21">
        <v>36089</v>
      </c>
      <c r="B3974" s="21"/>
      <c r="C3974">
        <v>16.600000000000001</v>
      </c>
      <c r="D3974">
        <v>4.0999999999999996</v>
      </c>
      <c r="E3974">
        <v>68</v>
      </c>
      <c r="F3974">
        <v>50</v>
      </c>
      <c r="G3974">
        <v>4</v>
      </c>
      <c r="H3974">
        <v>50</v>
      </c>
      <c r="I3974">
        <v>1.3</v>
      </c>
      <c r="J3974" s="1">
        <v>1573</v>
      </c>
    </row>
    <row r="3975" spans="1:10" ht="14.25" customHeight="1" x14ac:dyDescent="0.25">
      <c r="A3975" s="21">
        <v>36089</v>
      </c>
      <c r="B3975" s="21"/>
      <c r="C3975">
        <v>30.4</v>
      </c>
      <c r="D3975">
        <v>5.7</v>
      </c>
      <c r="E3975">
        <v>104</v>
      </c>
      <c r="F3975">
        <v>87</v>
      </c>
      <c r="G3975">
        <v>10</v>
      </c>
      <c r="H3975">
        <v>87</v>
      </c>
      <c r="I3975">
        <v>1.29</v>
      </c>
      <c r="J3975" s="1">
        <v>2046</v>
      </c>
    </row>
    <row r="3976" spans="1:10" ht="14.25" customHeight="1" x14ac:dyDescent="0.25">
      <c r="A3976" s="21">
        <v>36091</v>
      </c>
      <c r="B3976" s="21"/>
      <c r="C3976">
        <v>138.1</v>
      </c>
      <c r="D3976">
        <v>5.0999999999999996</v>
      </c>
      <c r="E3976">
        <v>457</v>
      </c>
      <c r="F3976">
        <v>171</v>
      </c>
      <c r="H3976">
        <v>171</v>
      </c>
      <c r="I3976">
        <v>1.54</v>
      </c>
      <c r="J3976" s="1">
        <v>10276</v>
      </c>
    </row>
    <row r="3977" spans="1:10" ht="14.25" customHeight="1" x14ac:dyDescent="0.25">
      <c r="A3977" s="21">
        <v>36093</v>
      </c>
      <c r="B3977" s="21"/>
      <c r="C3977">
        <v>237.7</v>
      </c>
      <c r="D3977">
        <v>5.5</v>
      </c>
      <c r="E3977">
        <v>509</v>
      </c>
      <c r="F3977">
        <v>334</v>
      </c>
      <c r="G3977">
        <v>36</v>
      </c>
      <c r="H3977">
        <v>334</v>
      </c>
      <c r="I3977">
        <v>1.73</v>
      </c>
      <c r="J3977" s="1">
        <v>16882</v>
      </c>
    </row>
    <row r="3978" spans="1:10" ht="14.25" customHeight="1" x14ac:dyDescent="0.25">
      <c r="A3978" s="21">
        <v>36093</v>
      </c>
      <c r="B3978" s="21"/>
      <c r="C3978">
        <v>10.5</v>
      </c>
      <c r="D3978">
        <v>8.5</v>
      </c>
      <c r="E3978">
        <v>52</v>
      </c>
      <c r="F3978">
        <v>17</v>
      </c>
      <c r="H3978">
        <v>17</v>
      </c>
      <c r="I3978">
        <v>1.1499999999999999</v>
      </c>
      <c r="J3978">
        <v>450</v>
      </c>
    </row>
    <row r="3979" spans="1:10" ht="14.25" customHeight="1" x14ac:dyDescent="0.25">
      <c r="A3979" s="21">
        <v>36093</v>
      </c>
      <c r="B3979" s="21"/>
      <c r="C3979">
        <v>71.7</v>
      </c>
      <c r="D3979">
        <v>5.9</v>
      </c>
      <c r="J3979" s="1">
        <v>4712</v>
      </c>
    </row>
    <row r="3980" spans="1:10" ht="14.25" customHeight="1" x14ac:dyDescent="0.25">
      <c r="A3980" s="21">
        <v>36093</v>
      </c>
      <c r="B3980" s="21"/>
      <c r="E3980">
        <v>2</v>
      </c>
    </row>
    <row r="3981" spans="1:10" ht="14.25" customHeight="1" x14ac:dyDescent="0.25">
      <c r="A3981" s="21">
        <v>36101</v>
      </c>
      <c r="B3981" s="21"/>
      <c r="C3981">
        <v>1.7</v>
      </c>
      <c r="D3981">
        <v>2.5</v>
      </c>
      <c r="E3981">
        <v>19</v>
      </c>
      <c r="F3981">
        <v>15</v>
      </c>
      <c r="H3981">
        <v>15</v>
      </c>
      <c r="I3981">
        <v>1.08</v>
      </c>
      <c r="J3981">
        <v>250</v>
      </c>
    </row>
    <row r="3982" spans="1:10" ht="14.25" customHeight="1" x14ac:dyDescent="0.25">
      <c r="A3982" s="21">
        <v>36101</v>
      </c>
      <c r="B3982" s="21"/>
      <c r="C3982">
        <v>7.8</v>
      </c>
      <c r="D3982">
        <v>3.4</v>
      </c>
      <c r="E3982">
        <v>91</v>
      </c>
      <c r="F3982">
        <v>15</v>
      </c>
      <c r="H3982">
        <v>15</v>
      </c>
      <c r="I3982">
        <v>1.23</v>
      </c>
      <c r="J3982">
        <v>848</v>
      </c>
    </row>
    <row r="3983" spans="1:10" ht="14.25" customHeight="1" x14ac:dyDescent="0.25">
      <c r="A3983" s="21">
        <v>36101</v>
      </c>
      <c r="B3983" s="21"/>
      <c r="C3983">
        <v>39.1</v>
      </c>
      <c r="D3983">
        <v>3.4</v>
      </c>
      <c r="E3983">
        <v>229</v>
      </c>
      <c r="F3983">
        <v>65</v>
      </c>
      <c r="G3983">
        <v>8</v>
      </c>
      <c r="H3983">
        <v>65</v>
      </c>
      <c r="I3983">
        <v>1.36</v>
      </c>
      <c r="J3983" s="1">
        <v>4474</v>
      </c>
    </row>
    <row r="3984" spans="1:10" ht="14.25" customHeight="1" x14ac:dyDescent="0.25">
      <c r="A3984" s="21">
        <v>36103</v>
      </c>
      <c r="B3984" s="21"/>
      <c r="C3984">
        <v>333.5</v>
      </c>
      <c r="D3984">
        <v>5.2</v>
      </c>
      <c r="E3984">
        <v>778</v>
      </c>
      <c r="F3984">
        <v>437</v>
      </c>
      <c r="G3984">
        <v>44</v>
      </c>
      <c r="H3984">
        <v>437</v>
      </c>
      <c r="I3984">
        <v>1.73</v>
      </c>
      <c r="J3984" s="1">
        <v>24474</v>
      </c>
    </row>
    <row r="3985" spans="1:10" ht="14.25" customHeight="1" x14ac:dyDescent="0.25">
      <c r="A3985" s="21">
        <v>36103</v>
      </c>
      <c r="B3985" s="21"/>
      <c r="C3985">
        <v>43.9</v>
      </c>
      <c r="D3985">
        <v>4.0999999999999996</v>
      </c>
      <c r="E3985">
        <v>206</v>
      </c>
      <c r="F3985">
        <v>94</v>
      </c>
      <c r="G3985">
        <v>8</v>
      </c>
      <c r="H3985">
        <v>94</v>
      </c>
      <c r="J3985" s="1">
        <v>4327</v>
      </c>
    </row>
    <row r="3986" spans="1:10" ht="14.25" customHeight="1" x14ac:dyDescent="0.25">
      <c r="A3986" s="21">
        <v>36103</v>
      </c>
      <c r="B3986" s="21"/>
      <c r="C3986">
        <v>129.1</v>
      </c>
      <c r="D3986">
        <v>5.4</v>
      </c>
      <c r="E3986">
        <v>269</v>
      </c>
      <c r="F3986">
        <v>167</v>
      </c>
      <c r="G3986">
        <v>16</v>
      </c>
      <c r="H3986">
        <v>167</v>
      </c>
      <c r="I3986">
        <v>1.43</v>
      </c>
      <c r="J3986" s="1">
        <v>9315</v>
      </c>
    </row>
    <row r="3987" spans="1:10" ht="14.25" customHeight="1" x14ac:dyDescent="0.25">
      <c r="A3987" s="21">
        <v>36103</v>
      </c>
      <c r="B3987" s="21"/>
      <c r="C3987">
        <v>181.7</v>
      </c>
      <c r="D3987">
        <v>5.6</v>
      </c>
      <c r="E3987">
        <v>555</v>
      </c>
      <c r="F3987">
        <v>195</v>
      </c>
      <c r="G3987">
        <v>12</v>
      </c>
      <c r="H3987">
        <v>195</v>
      </c>
      <c r="I3987">
        <v>1.41</v>
      </c>
      <c r="J3987" s="1">
        <v>10472</v>
      </c>
    </row>
    <row r="3988" spans="1:10" ht="14.25" customHeight="1" x14ac:dyDescent="0.25">
      <c r="A3988" s="21">
        <v>36103</v>
      </c>
      <c r="B3988" s="21"/>
      <c r="C3988">
        <v>191.7</v>
      </c>
      <c r="D3988">
        <v>6</v>
      </c>
      <c r="E3988">
        <v>334</v>
      </c>
      <c r="F3988">
        <v>215</v>
      </c>
      <c r="G3988">
        <v>10</v>
      </c>
      <c r="H3988">
        <v>215</v>
      </c>
      <c r="I3988">
        <v>1.61</v>
      </c>
      <c r="J3988" s="1">
        <v>11756</v>
      </c>
    </row>
    <row r="3989" spans="1:10" ht="14.25" customHeight="1" x14ac:dyDescent="0.25">
      <c r="A3989" s="21">
        <v>36103</v>
      </c>
      <c r="B3989" s="21"/>
      <c r="C3989">
        <v>98.1</v>
      </c>
      <c r="D3989">
        <v>4.3</v>
      </c>
      <c r="E3989">
        <v>234</v>
      </c>
      <c r="F3989">
        <v>124</v>
      </c>
      <c r="G3989">
        <v>10</v>
      </c>
      <c r="H3989">
        <v>124</v>
      </c>
      <c r="I3989">
        <v>1.46</v>
      </c>
      <c r="J3989" s="1">
        <v>8541</v>
      </c>
    </row>
    <row r="3990" spans="1:10" ht="14.25" customHeight="1" x14ac:dyDescent="0.25">
      <c r="A3990" s="21">
        <v>36103</v>
      </c>
      <c r="B3990" s="21"/>
      <c r="C3990">
        <v>33.4</v>
      </c>
      <c r="D3990">
        <v>5.9</v>
      </c>
      <c r="E3990">
        <v>50</v>
      </c>
      <c r="F3990">
        <v>67</v>
      </c>
      <c r="G3990">
        <v>6</v>
      </c>
      <c r="H3990">
        <v>67</v>
      </c>
      <c r="I3990">
        <v>1.1399999999999999</v>
      </c>
      <c r="J3990" s="1">
        <v>2058</v>
      </c>
    </row>
    <row r="3991" spans="1:10" ht="14.25" customHeight="1" x14ac:dyDescent="0.25">
      <c r="A3991" s="21">
        <v>36103</v>
      </c>
      <c r="B3991" s="21"/>
      <c r="C3991">
        <v>170.6</v>
      </c>
      <c r="D3991">
        <v>4.4000000000000004</v>
      </c>
      <c r="E3991">
        <v>356</v>
      </c>
      <c r="F3991">
        <v>259</v>
      </c>
      <c r="G3991">
        <v>26</v>
      </c>
      <c r="H3991">
        <v>259</v>
      </c>
      <c r="I3991">
        <v>1.58</v>
      </c>
      <c r="J3991" s="1">
        <v>15261</v>
      </c>
    </row>
    <row r="3992" spans="1:10" ht="14.25" customHeight="1" x14ac:dyDescent="0.25">
      <c r="A3992" s="21">
        <v>36103</v>
      </c>
      <c r="B3992" s="21"/>
      <c r="C3992">
        <v>242.1</v>
      </c>
      <c r="D3992">
        <v>4.5999999999999996</v>
      </c>
      <c r="E3992">
        <v>509</v>
      </c>
      <c r="F3992">
        <v>278</v>
      </c>
      <c r="G3992">
        <v>36</v>
      </c>
      <c r="H3992">
        <v>278</v>
      </c>
      <c r="I3992">
        <v>1.78</v>
      </c>
      <c r="J3992" s="1">
        <v>21093</v>
      </c>
    </row>
    <row r="3993" spans="1:10" ht="14.25" customHeight="1" x14ac:dyDescent="0.25">
      <c r="A3993" s="21">
        <v>36103</v>
      </c>
      <c r="B3993" s="21"/>
      <c r="C3993">
        <v>134.30000000000001</v>
      </c>
      <c r="D3993">
        <v>4.8</v>
      </c>
      <c r="E3993">
        <v>269</v>
      </c>
      <c r="F3993">
        <v>254</v>
      </c>
      <c r="G3993">
        <v>12</v>
      </c>
      <c r="H3993">
        <v>254</v>
      </c>
      <c r="I3993">
        <v>1.39</v>
      </c>
      <c r="J3993" s="1">
        <v>10527</v>
      </c>
    </row>
    <row r="3994" spans="1:10" ht="14.25" customHeight="1" x14ac:dyDescent="0.25">
      <c r="A3994" s="21">
        <v>36103</v>
      </c>
      <c r="B3994" s="21"/>
      <c r="C3994">
        <v>541.5</v>
      </c>
      <c r="D3994">
        <v>5.8</v>
      </c>
      <c r="E3994" s="1">
        <v>1363</v>
      </c>
      <c r="F3994">
        <v>657</v>
      </c>
      <c r="G3994">
        <v>70</v>
      </c>
      <c r="H3994">
        <v>657</v>
      </c>
      <c r="I3994">
        <v>1.86</v>
      </c>
      <c r="J3994" s="1">
        <v>35811</v>
      </c>
    </row>
    <row r="3995" spans="1:10" ht="14.25" customHeight="1" x14ac:dyDescent="0.25">
      <c r="A3995" s="21">
        <v>36103</v>
      </c>
      <c r="B3995" s="21"/>
    </row>
    <row r="3996" spans="1:10" ht="14.25" customHeight="1" x14ac:dyDescent="0.25">
      <c r="A3996" s="21">
        <v>36105</v>
      </c>
      <c r="B3996" s="21"/>
      <c r="C3996">
        <v>41</v>
      </c>
      <c r="D3996">
        <v>4.7</v>
      </c>
      <c r="E3996">
        <v>183</v>
      </c>
      <c r="F3996">
        <v>84</v>
      </c>
      <c r="H3996">
        <v>84</v>
      </c>
      <c r="I3996">
        <v>1.36</v>
      </c>
      <c r="J3996" s="1">
        <v>3485</v>
      </c>
    </row>
    <row r="3997" spans="1:10" ht="14.25" customHeight="1" x14ac:dyDescent="0.25">
      <c r="A3997" s="21">
        <v>36109</v>
      </c>
      <c r="B3997" s="21"/>
      <c r="C3997">
        <v>71.400000000000006</v>
      </c>
      <c r="D3997">
        <v>4.5999999999999996</v>
      </c>
      <c r="E3997">
        <v>389</v>
      </c>
      <c r="F3997">
        <v>163</v>
      </c>
      <c r="G3997">
        <v>16</v>
      </c>
      <c r="H3997">
        <v>163</v>
      </c>
      <c r="I3997">
        <v>1.48</v>
      </c>
      <c r="J3997" s="1">
        <v>6257</v>
      </c>
    </row>
    <row r="3998" spans="1:10" ht="14.25" customHeight="1" x14ac:dyDescent="0.25">
      <c r="A3998" s="21">
        <v>36111</v>
      </c>
      <c r="B3998" s="21"/>
      <c r="C3998">
        <v>21.3</v>
      </c>
      <c r="D3998">
        <v>4.5999999999999996</v>
      </c>
      <c r="E3998">
        <v>65</v>
      </c>
      <c r="F3998">
        <v>45</v>
      </c>
      <c r="G3998">
        <v>5</v>
      </c>
      <c r="H3998">
        <v>45</v>
      </c>
      <c r="I3998">
        <v>1.35</v>
      </c>
      <c r="J3998" s="1">
        <v>1676</v>
      </c>
    </row>
    <row r="3999" spans="1:10" ht="14.25" customHeight="1" x14ac:dyDescent="0.25">
      <c r="A3999" s="21">
        <v>36111</v>
      </c>
      <c r="B3999" s="21"/>
      <c r="C3999">
        <v>71.099999999999994</v>
      </c>
      <c r="D3999">
        <v>4.7</v>
      </c>
      <c r="E3999">
        <v>143</v>
      </c>
      <c r="F3999">
        <v>149</v>
      </c>
      <c r="G3999">
        <v>20</v>
      </c>
      <c r="H3999">
        <v>149</v>
      </c>
      <c r="I3999">
        <v>1.3</v>
      </c>
      <c r="J3999" s="1">
        <v>5625</v>
      </c>
    </row>
    <row r="4000" spans="1:10" ht="14.25" customHeight="1" x14ac:dyDescent="0.25">
      <c r="A4000" s="21">
        <v>36113</v>
      </c>
      <c r="B4000" s="21"/>
      <c r="C4000">
        <v>132.69999999999999</v>
      </c>
      <c r="D4000">
        <v>4.5999999999999996</v>
      </c>
      <c r="E4000">
        <v>565</v>
      </c>
      <c r="F4000">
        <v>361</v>
      </c>
      <c r="G4000">
        <v>24</v>
      </c>
      <c r="H4000">
        <v>361</v>
      </c>
      <c r="I4000">
        <v>1.48</v>
      </c>
      <c r="J4000" s="1">
        <v>11172</v>
      </c>
    </row>
    <row r="4001" spans="1:10" ht="14.25" customHeight="1" x14ac:dyDescent="0.25">
      <c r="A4001" s="21">
        <v>36117</v>
      </c>
      <c r="B4001" s="21"/>
      <c r="C4001">
        <v>50.4</v>
      </c>
      <c r="D4001">
        <v>3.8</v>
      </c>
      <c r="E4001">
        <v>72</v>
      </c>
      <c r="F4001">
        <v>101</v>
      </c>
      <c r="G4001">
        <v>8</v>
      </c>
      <c r="H4001">
        <v>101</v>
      </c>
      <c r="I4001">
        <v>1.39</v>
      </c>
      <c r="J4001" s="1">
        <v>5139</v>
      </c>
    </row>
    <row r="4002" spans="1:10" ht="14.25" customHeight="1" x14ac:dyDescent="0.25">
      <c r="A4002" s="21">
        <v>36119</v>
      </c>
      <c r="B4002" s="21"/>
      <c r="C4002">
        <v>80.400000000000006</v>
      </c>
      <c r="D4002">
        <v>7</v>
      </c>
      <c r="E4002">
        <v>170</v>
      </c>
      <c r="F4002">
        <v>122</v>
      </c>
      <c r="H4002">
        <v>122</v>
      </c>
      <c r="I4002">
        <v>1.38</v>
      </c>
      <c r="J4002" s="1">
        <v>4216</v>
      </c>
    </row>
    <row r="4003" spans="1:10" ht="14.25" customHeight="1" x14ac:dyDescent="0.25">
      <c r="A4003" s="21">
        <v>36119</v>
      </c>
      <c r="B4003" s="21"/>
      <c r="C4003">
        <v>80.5</v>
      </c>
      <c r="D4003">
        <v>4.9000000000000004</v>
      </c>
      <c r="E4003">
        <v>177</v>
      </c>
      <c r="F4003">
        <v>151</v>
      </c>
      <c r="G4003">
        <v>12</v>
      </c>
      <c r="H4003">
        <v>151</v>
      </c>
      <c r="I4003">
        <v>1.5</v>
      </c>
      <c r="J4003" s="1">
        <v>6448</v>
      </c>
    </row>
    <row r="4004" spans="1:10" ht="14.25" customHeight="1" x14ac:dyDescent="0.25">
      <c r="A4004" s="21">
        <v>36119</v>
      </c>
      <c r="B4004" s="21"/>
      <c r="C4004">
        <v>248.7</v>
      </c>
      <c r="D4004">
        <v>5.5</v>
      </c>
      <c r="E4004">
        <v>420</v>
      </c>
      <c r="F4004">
        <v>321</v>
      </c>
      <c r="G4004">
        <v>16</v>
      </c>
      <c r="H4004">
        <v>321</v>
      </c>
      <c r="I4004">
        <v>1.49</v>
      </c>
      <c r="J4004" s="1">
        <v>17069</v>
      </c>
    </row>
    <row r="4005" spans="1:10" ht="14.25" customHeight="1" x14ac:dyDescent="0.25">
      <c r="A4005" s="21">
        <v>36119</v>
      </c>
      <c r="B4005" s="21"/>
      <c r="C4005">
        <v>218.1</v>
      </c>
      <c r="D4005">
        <v>4.5999999999999996</v>
      </c>
      <c r="E4005" s="1">
        <v>1311</v>
      </c>
      <c r="F4005">
        <v>292</v>
      </c>
      <c r="G4005">
        <v>8</v>
      </c>
      <c r="H4005">
        <v>292</v>
      </c>
      <c r="I4005">
        <v>1.52</v>
      </c>
      <c r="J4005" s="1">
        <v>18845</v>
      </c>
    </row>
    <row r="4006" spans="1:10" ht="14.25" customHeight="1" x14ac:dyDescent="0.25">
      <c r="A4006" s="21">
        <v>36119</v>
      </c>
      <c r="B4006" s="21"/>
      <c r="C4006">
        <v>531.6</v>
      </c>
      <c r="D4006">
        <v>8.4</v>
      </c>
      <c r="E4006">
        <v>653</v>
      </c>
      <c r="F4006">
        <v>708</v>
      </c>
      <c r="G4006">
        <v>66</v>
      </c>
      <c r="H4006">
        <v>383</v>
      </c>
      <c r="I4006">
        <v>2.19</v>
      </c>
      <c r="J4006" s="1">
        <v>23283</v>
      </c>
    </row>
    <row r="4007" spans="1:10" ht="14.25" customHeight="1" x14ac:dyDescent="0.25">
      <c r="A4007" s="21">
        <v>36119</v>
      </c>
      <c r="B4007" s="21"/>
      <c r="C4007">
        <v>88.5</v>
      </c>
      <c r="D4007">
        <v>4.4000000000000004</v>
      </c>
      <c r="E4007">
        <v>289</v>
      </c>
      <c r="F4007">
        <v>128</v>
      </c>
      <c r="G4007">
        <v>10</v>
      </c>
      <c r="H4007">
        <v>128</v>
      </c>
      <c r="I4007">
        <v>1.47</v>
      </c>
      <c r="J4007" s="1">
        <v>7827</v>
      </c>
    </row>
    <row r="4008" spans="1:10" ht="14.25" customHeight="1" x14ac:dyDescent="0.25">
      <c r="A4008" s="21">
        <v>36119</v>
      </c>
      <c r="B4008" s="21"/>
      <c r="C4008">
        <v>104.9</v>
      </c>
      <c r="D4008">
        <v>6</v>
      </c>
      <c r="E4008">
        <v>401</v>
      </c>
      <c r="F4008">
        <v>180</v>
      </c>
      <c r="G4008">
        <v>12</v>
      </c>
      <c r="H4008">
        <v>180</v>
      </c>
      <c r="I4008">
        <v>1.52</v>
      </c>
      <c r="J4008" s="1">
        <v>6388</v>
      </c>
    </row>
    <row r="4009" spans="1:10" ht="14.25" customHeight="1" x14ac:dyDescent="0.25">
      <c r="A4009" s="21">
        <v>36119</v>
      </c>
      <c r="B4009" s="21"/>
      <c r="C4009">
        <v>151.5</v>
      </c>
      <c r="D4009">
        <v>5.0999999999999996</v>
      </c>
      <c r="E4009">
        <v>59</v>
      </c>
      <c r="F4009">
        <v>208</v>
      </c>
      <c r="G4009">
        <v>18</v>
      </c>
      <c r="H4009">
        <v>208</v>
      </c>
      <c r="I4009">
        <v>1.5</v>
      </c>
      <c r="J4009" s="1">
        <v>11268</v>
      </c>
    </row>
    <row r="4010" spans="1:10" ht="14.25" customHeight="1" x14ac:dyDescent="0.25">
      <c r="A4010" s="21">
        <v>36119</v>
      </c>
      <c r="B4010" s="21"/>
      <c r="C4010">
        <v>38.5</v>
      </c>
      <c r="D4010">
        <v>4.5999999999999996</v>
      </c>
      <c r="E4010">
        <v>86</v>
      </c>
      <c r="F4010">
        <v>63</v>
      </c>
      <c r="H4010">
        <v>63</v>
      </c>
      <c r="I4010">
        <v>1.4</v>
      </c>
      <c r="J4010" s="1">
        <v>3038</v>
      </c>
    </row>
    <row r="4011" spans="1:10" ht="14.25" customHeight="1" x14ac:dyDescent="0.25">
      <c r="A4011" s="21">
        <v>36119</v>
      </c>
      <c r="B4011" s="21"/>
      <c r="C4011">
        <v>87.7</v>
      </c>
      <c r="D4011">
        <v>4.2</v>
      </c>
      <c r="E4011">
        <v>495</v>
      </c>
      <c r="F4011">
        <v>168</v>
      </c>
      <c r="G4011">
        <v>16</v>
      </c>
      <c r="H4011">
        <v>168</v>
      </c>
      <c r="I4011">
        <v>1.59</v>
      </c>
      <c r="J4011" s="1">
        <v>8581</v>
      </c>
    </row>
    <row r="4012" spans="1:10" ht="14.25" customHeight="1" x14ac:dyDescent="0.25">
      <c r="A4012" s="21">
        <v>36119</v>
      </c>
      <c r="B4012" s="21"/>
      <c r="E4012">
        <v>4</v>
      </c>
    </row>
    <row r="4013" spans="1:10" ht="14.25" customHeight="1" x14ac:dyDescent="0.25">
      <c r="A4013" s="21">
        <v>36119</v>
      </c>
      <c r="B4013" s="21"/>
      <c r="H4013">
        <v>141</v>
      </c>
    </row>
    <row r="4014" spans="1:10" ht="14.25" customHeight="1" x14ac:dyDescent="0.25">
      <c r="A4014" s="21">
        <v>36119</v>
      </c>
      <c r="B4014" s="21"/>
      <c r="H4014">
        <v>136</v>
      </c>
    </row>
    <row r="4015" spans="1:10" ht="14.25" customHeight="1" x14ac:dyDescent="0.25">
      <c r="A4015" s="21">
        <v>36121</v>
      </c>
      <c r="B4015" s="21"/>
      <c r="C4015">
        <v>15.4</v>
      </c>
      <c r="D4015">
        <v>4</v>
      </c>
      <c r="E4015">
        <v>110</v>
      </c>
      <c r="F4015">
        <v>50</v>
      </c>
      <c r="G4015">
        <v>5</v>
      </c>
      <c r="H4015">
        <v>50</v>
      </c>
      <c r="I4015">
        <v>1.2</v>
      </c>
      <c r="J4015" s="1">
        <v>1455</v>
      </c>
    </row>
    <row r="4016" spans="1:10" ht="14.25" customHeight="1" x14ac:dyDescent="0.25">
      <c r="A4016" s="21">
        <v>37001</v>
      </c>
      <c r="B4016" s="21"/>
      <c r="C4016">
        <v>101</v>
      </c>
      <c r="D4016">
        <v>3.6</v>
      </c>
      <c r="E4016">
        <v>532</v>
      </c>
      <c r="F4016">
        <v>176</v>
      </c>
      <c r="G4016">
        <v>20</v>
      </c>
      <c r="H4016">
        <v>176</v>
      </c>
      <c r="I4016">
        <v>1.54</v>
      </c>
      <c r="J4016" s="1">
        <v>10818</v>
      </c>
    </row>
    <row r="4017" spans="1:10" ht="14.25" customHeight="1" x14ac:dyDescent="0.25">
      <c r="A4017" s="21">
        <v>37007</v>
      </c>
      <c r="B4017" s="21"/>
      <c r="C4017">
        <v>2.1</v>
      </c>
      <c r="D4017">
        <v>2.2000000000000002</v>
      </c>
      <c r="E4017">
        <v>19</v>
      </c>
      <c r="F4017">
        <v>15</v>
      </c>
      <c r="H4017">
        <v>15</v>
      </c>
      <c r="I4017">
        <v>1.1100000000000001</v>
      </c>
      <c r="J4017">
        <v>341</v>
      </c>
    </row>
    <row r="4018" spans="1:10" ht="14.25" customHeight="1" x14ac:dyDescent="0.25">
      <c r="A4018" s="21">
        <v>37013</v>
      </c>
      <c r="B4018" s="21"/>
      <c r="C4018">
        <v>36.299999999999997</v>
      </c>
      <c r="D4018">
        <v>4.7</v>
      </c>
      <c r="E4018">
        <v>130</v>
      </c>
      <c r="F4018">
        <v>72</v>
      </c>
      <c r="G4018">
        <v>8</v>
      </c>
      <c r="H4018">
        <v>72</v>
      </c>
      <c r="I4018">
        <v>1.43</v>
      </c>
      <c r="J4018" s="1">
        <v>2944</v>
      </c>
    </row>
    <row r="4019" spans="1:10" ht="14.25" customHeight="1" x14ac:dyDescent="0.25">
      <c r="A4019" s="21">
        <v>37019</v>
      </c>
      <c r="B4019" s="21"/>
      <c r="C4019">
        <v>39.5</v>
      </c>
      <c r="D4019">
        <v>3.7</v>
      </c>
      <c r="E4019">
        <v>168</v>
      </c>
      <c r="F4019">
        <v>61</v>
      </c>
      <c r="G4019">
        <v>19</v>
      </c>
      <c r="H4019">
        <v>61</v>
      </c>
      <c r="I4019">
        <v>1.4</v>
      </c>
      <c r="J4019" s="1">
        <v>4202</v>
      </c>
    </row>
    <row r="4020" spans="1:10" ht="14.25" customHeight="1" x14ac:dyDescent="0.25">
      <c r="A4020" s="21">
        <v>37021</v>
      </c>
      <c r="B4020" s="21"/>
      <c r="C4020">
        <v>570.6</v>
      </c>
      <c r="D4020">
        <v>6.8</v>
      </c>
      <c r="E4020" s="1">
        <v>1404</v>
      </c>
      <c r="F4020">
        <v>679</v>
      </c>
      <c r="G4020">
        <v>146</v>
      </c>
      <c r="H4020">
        <v>679</v>
      </c>
      <c r="I4020">
        <v>2.04</v>
      </c>
      <c r="J4020" s="1">
        <v>31570</v>
      </c>
    </row>
    <row r="4021" spans="1:10" ht="14.25" customHeight="1" x14ac:dyDescent="0.25">
      <c r="A4021" s="21">
        <v>37021</v>
      </c>
      <c r="B4021" s="21"/>
      <c r="H4021">
        <v>763</v>
      </c>
    </row>
    <row r="4022" spans="1:10" ht="14.25" customHeight="1" x14ac:dyDescent="0.25">
      <c r="A4022" s="21">
        <v>37023</v>
      </c>
      <c r="B4022" s="21"/>
      <c r="C4022">
        <v>75.5</v>
      </c>
      <c r="D4022">
        <v>4.0999999999999996</v>
      </c>
      <c r="E4022">
        <v>249</v>
      </c>
      <c r="F4022">
        <v>156</v>
      </c>
      <c r="G4022">
        <v>16</v>
      </c>
      <c r="H4022">
        <v>156</v>
      </c>
      <c r="I4022">
        <v>1.47</v>
      </c>
      <c r="J4022" s="1">
        <v>6994</v>
      </c>
    </row>
    <row r="4023" spans="1:10" ht="14.25" customHeight="1" x14ac:dyDescent="0.25">
      <c r="A4023" s="21">
        <v>37023</v>
      </c>
      <c r="B4023" s="21"/>
      <c r="C4023">
        <v>22.1</v>
      </c>
      <c r="D4023">
        <v>3.9</v>
      </c>
      <c r="J4023" s="1">
        <v>2077</v>
      </c>
    </row>
    <row r="4024" spans="1:10" ht="14.25" customHeight="1" x14ac:dyDescent="0.25">
      <c r="A4024" s="21">
        <v>37025</v>
      </c>
      <c r="B4024" s="21"/>
      <c r="C4024">
        <v>288.60000000000002</v>
      </c>
      <c r="D4024">
        <v>4.3</v>
      </c>
      <c r="E4024">
        <v>536</v>
      </c>
      <c r="F4024">
        <v>447</v>
      </c>
      <c r="G4024">
        <v>15</v>
      </c>
      <c r="H4024">
        <v>447</v>
      </c>
      <c r="I4024">
        <v>1.73</v>
      </c>
      <c r="J4024" s="1">
        <v>25750</v>
      </c>
    </row>
    <row r="4025" spans="1:10" ht="14.25" customHeight="1" x14ac:dyDescent="0.25">
      <c r="A4025" s="21">
        <v>37027</v>
      </c>
      <c r="B4025" s="21"/>
      <c r="C4025">
        <v>53.6</v>
      </c>
      <c r="D4025">
        <v>4.7</v>
      </c>
      <c r="E4025">
        <v>160</v>
      </c>
      <c r="F4025">
        <v>110</v>
      </c>
      <c r="G4025">
        <v>12</v>
      </c>
      <c r="H4025">
        <v>110</v>
      </c>
      <c r="I4025">
        <v>1.69</v>
      </c>
      <c r="J4025" s="1">
        <v>4338</v>
      </c>
    </row>
    <row r="4026" spans="1:10" ht="14.25" customHeight="1" x14ac:dyDescent="0.25">
      <c r="A4026" s="21">
        <v>37031</v>
      </c>
      <c r="B4026" s="21"/>
      <c r="C4026">
        <v>65.400000000000006</v>
      </c>
      <c r="D4026">
        <v>4.3</v>
      </c>
      <c r="E4026">
        <v>276</v>
      </c>
      <c r="F4026">
        <v>99</v>
      </c>
      <c r="G4026">
        <v>8</v>
      </c>
      <c r="H4026">
        <v>99</v>
      </c>
      <c r="I4026">
        <v>1.5</v>
      </c>
      <c r="J4026" s="1">
        <v>5959</v>
      </c>
    </row>
    <row r="4027" spans="1:10" ht="14.25" customHeight="1" x14ac:dyDescent="0.25">
      <c r="A4027" s="21">
        <v>37035</v>
      </c>
      <c r="B4027" s="21"/>
      <c r="C4027">
        <v>81.3</v>
      </c>
      <c r="D4027">
        <v>3.2</v>
      </c>
      <c r="E4027">
        <v>361</v>
      </c>
      <c r="F4027">
        <v>200</v>
      </c>
      <c r="G4027">
        <v>28</v>
      </c>
      <c r="H4027">
        <v>200</v>
      </c>
      <c r="I4027">
        <v>1.65</v>
      </c>
      <c r="J4027" s="1">
        <v>11849</v>
      </c>
    </row>
    <row r="4028" spans="1:10" ht="14.25" customHeight="1" x14ac:dyDescent="0.25">
      <c r="A4028" s="21">
        <v>37035</v>
      </c>
      <c r="B4028" s="21"/>
      <c r="C4028">
        <v>84.7</v>
      </c>
      <c r="D4028">
        <v>4.3</v>
      </c>
      <c r="E4028">
        <v>239</v>
      </c>
      <c r="F4028">
        <v>226</v>
      </c>
      <c r="G4028">
        <v>24</v>
      </c>
      <c r="H4028">
        <v>226</v>
      </c>
      <c r="I4028">
        <v>1.66</v>
      </c>
      <c r="J4028" s="1">
        <v>7258</v>
      </c>
    </row>
    <row r="4029" spans="1:10" ht="14.25" customHeight="1" x14ac:dyDescent="0.25">
      <c r="A4029" s="21">
        <v>37045</v>
      </c>
      <c r="B4029" s="21"/>
      <c r="C4029">
        <v>91.3</v>
      </c>
      <c r="D4029">
        <v>4.0999999999999996</v>
      </c>
      <c r="E4029">
        <v>223</v>
      </c>
      <c r="F4029">
        <v>241</v>
      </c>
      <c r="G4029">
        <v>51</v>
      </c>
      <c r="H4029">
        <v>241</v>
      </c>
      <c r="I4029">
        <v>1.49</v>
      </c>
      <c r="J4029" s="1">
        <v>8653</v>
      </c>
    </row>
    <row r="4030" spans="1:10" ht="14.25" customHeight="1" x14ac:dyDescent="0.25">
      <c r="A4030" s="21">
        <v>37045</v>
      </c>
      <c r="B4030" s="21"/>
      <c r="C4030">
        <v>19.8</v>
      </c>
      <c r="D4030">
        <v>4.2</v>
      </c>
      <c r="E4030">
        <v>13</v>
      </c>
      <c r="F4030">
        <v>51</v>
      </c>
      <c r="G4030">
        <v>6</v>
      </c>
      <c r="H4030">
        <v>51</v>
      </c>
      <c r="I4030">
        <v>1.17</v>
      </c>
      <c r="J4030" s="1">
        <v>1720</v>
      </c>
    </row>
    <row r="4031" spans="1:10" ht="14.25" customHeight="1" x14ac:dyDescent="0.25">
      <c r="A4031" s="21">
        <v>37047</v>
      </c>
      <c r="B4031" s="21"/>
      <c r="C4031">
        <v>49.6</v>
      </c>
      <c r="D4031">
        <v>4.2</v>
      </c>
      <c r="E4031">
        <v>102</v>
      </c>
      <c r="F4031">
        <v>154</v>
      </c>
      <c r="H4031">
        <v>154</v>
      </c>
      <c r="I4031">
        <v>1.47</v>
      </c>
      <c r="J4031" s="1">
        <v>4492</v>
      </c>
    </row>
    <row r="4032" spans="1:10" ht="14.25" customHeight="1" x14ac:dyDescent="0.25">
      <c r="A4032" s="21">
        <v>37049</v>
      </c>
      <c r="B4032" s="21"/>
      <c r="C4032">
        <v>178.3</v>
      </c>
      <c r="D4032">
        <v>4.9000000000000004</v>
      </c>
      <c r="E4032">
        <v>418</v>
      </c>
      <c r="F4032">
        <v>287</v>
      </c>
      <c r="G4032">
        <v>72</v>
      </c>
      <c r="H4032">
        <v>287</v>
      </c>
      <c r="I4032">
        <v>1.72</v>
      </c>
      <c r="J4032" s="1">
        <v>13714</v>
      </c>
    </row>
    <row r="4033" spans="1:10" ht="14.25" customHeight="1" x14ac:dyDescent="0.25">
      <c r="A4033" s="21">
        <v>37051</v>
      </c>
      <c r="B4033" s="21"/>
      <c r="C4033">
        <v>481.5</v>
      </c>
      <c r="D4033">
        <v>5.0999999999999996</v>
      </c>
      <c r="E4033">
        <v>749</v>
      </c>
      <c r="F4033">
        <v>575</v>
      </c>
      <c r="G4033">
        <v>48</v>
      </c>
      <c r="H4033">
        <v>490</v>
      </c>
      <c r="I4033">
        <v>1.58</v>
      </c>
      <c r="J4033" s="1">
        <v>35994</v>
      </c>
    </row>
    <row r="4034" spans="1:10" ht="14.25" customHeight="1" x14ac:dyDescent="0.25">
      <c r="A4034" s="21">
        <v>37057</v>
      </c>
      <c r="B4034" s="21"/>
      <c r="C4034">
        <v>31.5</v>
      </c>
      <c r="D4034">
        <v>3.2</v>
      </c>
      <c r="E4034">
        <v>144</v>
      </c>
      <c r="F4034">
        <v>80</v>
      </c>
      <c r="G4034">
        <v>16</v>
      </c>
      <c r="H4034">
        <v>80</v>
      </c>
      <c r="I4034">
        <v>1.54</v>
      </c>
      <c r="J4034" s="1">
        <v>3849</v>
      </c>
    </row>
    <row r="4035" spans="1:10" ht="14.25" customHeight="1" x14ac:dyDescent="0.25">
      <c r="A4035" s="21">
        <v>37057</v>
      </c>
      <c r="B4035" s="21"/>
      <c r="C4035">
        <v>34.299999999999997</v>
      </c>
      <c r="D4035">
        <v>3.7</v>
      </c>
      <c r="E4035">
        <v>107</v>
      </c>
      <c r="F4035">
        <v>74</v>
      </c>
      <c r="G4035">
        <v>13</v>
      </c>
      <c r="H4035">
        <v>74</v>
      </c>
      <c r="I4035">
        <v>1.29</v>
      </c>
      <c r="J4035" s="1">
        <v>3767</v>
      </c>
    </row>
    <row r="4036" spans="1:10" ht="14.25" customHeight="1" x14ac:dyDescent="0.25">
      <c r="A4036" s="21">
        <v>37059</v>
      </c>
      <c r="B4036" s="21"/>
      <c r="C4036">
        <v>10.3</v>
      </c>
      <c r="D4036">
        <v>2.2000000000000002</v>
      </c>
      <c r="I4036">
        <v>1.73</v>
      </c>
      <c r="J4036" s="1">
        <v>1694</v>
      </c>
    </row>
    <row r="4037" spans="1:10" ht="14.25" customHeight="1" x14ac:dyDescent="0.25">
      <c r="A4037" s="21">
        <v>37059</v>
      </c>
      <c r="B4037" s="21"/>
      <c r="E4037">
        <v>38</v>
      </c>
      <c r="H4037">
        <v>50</v>
      </c>
    </row>
    <row r="4038" spans="1:10" ht="14.25" customHeight="1" x14ac:dyDescent="0.25">
      <c r="A4038" s="21">
        <v>37061</v>
      </c>
      <c r="B4038" s="21"/>
      <c r="C4038">
        <v>27.2</v>
      </c>
      <c r="D4038">
        <v>4.2</v>
      </c>
      <c r="E4038">
        <v>79</v>
      </c>
      <c r="F4038">
        <v>49</v>
      </c>
      <c r="G4038">
        <v>9</v>
      </c>
      <c r="H4038">
        <v>49</v>
      </c>
      <c r="I4038">
        <v>1.38</v>
      </c>
      <c r="J4038" s="1">
        <v>2562</v>
      </c>
    </row>
    <row r="4039" spans="1:10" ht="14.25" customHeight="1" x14ac:dyDescent="0.25">
      <c r="A4039" s="21">
        <v>37063</v>
      </c>
      <c r="B4039" s="21"/>
      <c r="C4039">
        <v>176.9</v>
      </c>
      <c r="D4039">
        <v>4.5999999999999996</v>
      </c>
      <c r="E4039">
        <v>422</v>
      </c>
      <c r="F4039">
        <v>301</v>
      </c>
      <c r="G4039">
        <v>22</v>
      </c>
      <c r="H4039">
        <v>301</v>
      </c>
      <c r="I4039">
        <v>1.68</v>
      </c>
      <c r="J4039" s="1">
        <v>15952</v>
      </c>
    </row>
    <row r="4040" spans="1:10" ht="14.25" customHeight="1" x14ac:dyDescent="0.25">
      <c r="A4040" s="21">
        <v>37063</v>
      </c>
      <c r="B4040" s="21"/>
      <c r="C4040">
        <v>8.5</v>
      </c>
      <c r="D4040">
        <v>1.9</v>
      </c>
      <c r="E4040">
        <v>100</v>
      </c>
      <c r="F4040">
        <v>18</v>
      </c>
      <c r="H4040">
        <v>18</v>
      </c>
      <c r="I4040">
        <v>2.23</v>
      </c>
      <c r="J4040" s="1">
        <v>1621</v>
      </c>
    </row>
    <row r="4041" spans="1:10" ht="14.25" customHeight="1" x14ac:dyDescent="0.25">
      <c r="A4041" s="21">
        <v>37063</v>
      </c>
      <c r="B4041" s="21"/>
      <c r="C4041">
        <v>831.8</v>
      </c>
      <c r="D4041">
        <v>7.2</v>
      </c>
      <c r="E4041" s="1">
        <v>2236</v>
      </c>
      <c r="F4041">
        <v>959</v>
      </c>
      <c r="G4041">
        <v>48</v>
      </c>
      <c r="H4041">
        <v>959</v>
      </c>
      <c r="I4041">
        <v>2.35</v>
      </c>
      <c r="J4041" s="1">
        <v>43055</v>
      </c>
    </row>
    <row r="4042" spans="1:10" ht="14.25" customHeight="1" x14ac:dyDescent="0.25">
      <c r="A4042" s="21">
        <v>37063</v>
      </c>
      <c r="B4042" s="21"/>
    </row>
    <row r="4043" spans="1:10" ht="14.25" customHeight="1" x14ac:dyDescent="0.25">
      <c r="A4043" s="21">
        <v>37063</v>
      </c>
      <c r="B4043" s="21"/>
      <c r="E4043">
        <v>24</v>
      </c>
      <c r="H4043">
        <v>50</v>
      </c>
    </row>
    <row r="4044" spans="1:10" ht="14.25" customHeight="1" x14ac:dyDescent="0.25">
      <c r="A4044" s="21">
        <v>37065</v>
      </c>
      <c r="B4044" s="21"/>
      <c r="C4044">
        <v>36</v>
      </c>
      <c r="D4044">
        <v>4.4000000000000004</v>
      </c>
      <c r="E4044">
        <v>100</v>
      </c>
      <c r="F4044">
        <v>101</v>
      </c>
      <c r="G4044">
        <v>15</v>
      </c>
      <c r="H4044">
        <v>101</v>
      </c>
      <c r="I4044">
        <v>1.61</v>
      </c>
      <c r="J4044" s="1">
        <v>3259</v>
      </c>
    </row>
    <row r="4045" spans="1:10" ht="14.25" customHeight="1" x14ac:dyDescent="0.25">
      <c r="A4045" s="21">
        <v>37067</v>
      </c>
      <c r="B4045" s="21"/>
      <c r="C4045">
        <v>7.4</v>
      </c>
      <c r="D4045">
        <v>3</v>
      </c>
      <c r="E4045">
        <v>31</v>
      </c>
      <c r="F4045">
        <v>22</v>
      </c>
      <c r="G4045">
        <v>2</v>
      </c>
      <c r="H4045">
        <v>22</v>
      </c>
      <c r="I4045">
        <v>1.66</v>
      </c>
      <c r="J4045">
        <v>895</v>
      </c>
    </row>
    <row r="4046" spans="1:10" ht="14.25" customHeight="1" x14ac:dyDescent="0.25">
      <c r="A4046" s="21">
        <v>37067</v>
      </c>
      <c r="B4046" s="21"/>
      <c r="C4046">
        <v>639</v>
      </c>
      <c r="D4046">
        <v>6.4</v>
      </c>
      <c r="E4046" s="1">
        <v>1720</v>
      </c>
      <c r="F4046">
        <v>797</v>
      </c>
      <c r="G4046">
        <v>110</v>
      </c>
      <c r="H4046">
        <v>797</v>
      </c>
      <c r="I4046">
        <v>2.16</v>
      </c>
      <c r="J4046" s="1">
        <v>36712</v>
      </c>
    </row>
    <row r="4047" spans="1:10" ht="14.25" customHeight="1" x14ac:dyDescent="0.25">
      <c r="A4047" s="21">
        <v>37067</v>
      </c>
      <c r="B4047" s="21"/>
      <c r="C4047">
        <v>627.1</v>
      </c>
      <c r="D4047">
        <v>5.7</v>
      </c>
      <c r="E4047" s="1">
        <v>1409</v>
      </c>
      <c r="F4047">
        <v>889</v>
      </c>
      <c r="G4047">
        <v>68</v>
      </c>
      <c r="H4047">
        <v>889</v>
      </c>
      <c r="I4047">
        <v>1.83</v>
      </c>
      <c r="J4047" s="1">
        <v>42420</v>
      </c>
    </row>
    <row r="4048" spans="1:10" ht="14.25" customHeight="1" x14ac:dyDescent="0.25">
      <c r="A4048" s="21">
        <v>37067</v>
      </c>
      <c r="B4048" s="21"/>
      <c r="H4048">
        <v>50</v>
      </c>
    </row>
    <row r="4049" spans="1:10" ht="14.25" customHeight="1" x14ac:dyDescent="0.25">
      <c r="A4049" s="21">
        <v>37067</v>
      </c>
      <c r="B4049" s="21"/>
      <c r="E4049">
        <v>4</v>
      </c>
      <c r="H4049">
        <v>36</v>
      </c>
    </row>
    <row r="4050" spans="1:10" ht="14.25" customHeight="1" x14ac:dyDescent="0.25">
      <c r="A4050" s="21">
        <v>37069</v>
      </c>
      <c r="B4050" s="21"/>
      <c r="C4050">
        <v>1.6</v>
      </c>
      <c r="D4050">
        <v>3.2</v>
      </c>
      <c r="J4050">
        <v>177</v>
      </c>
    </row>
    <row r="4051" spans="1:10" ht="14.25" customHeight="1" x14ac:dyDescent="0.25">
      <c r="A4051" s="21">
        <v>37071</v>
      </c>
      <c r="B4051" s="21"/>
      <c r="C4051">
        <v>281.39999999999998</v>
      </c>
      <c r="D4051">
        <v>4.7</v>
      </c>
      <c r="E4051">
        <v>582</v>
      </c>
      <c r="F4051">
        <v>383</v>
      </c>
      <c r="G4051">
        <v>57</v>
      </c>
      <c r="H4051">
        <v>383</v>
      </c>
      <c r="I4051">
        <v>1.73</v>
      </c>
      <c r="J4051" s="1">
        <v>23028</v>
      </c>
    </row>
    <row r="4052" spans="1:10" ht="14.25" customHeight="1" x14ac:dyDescent="0.25">
      <c r="A4052" s="21">
        <v>37077</v>
      </c>
      <c r="B4052" s="21"/>
      <c r="C4052">
        <v>16.2</v>
      </c>
      <c r="D4052">
        <v>3.4</v>
      </c>
      <c r="E4052">
        <v>87</v>
      </c>
      <c r="F4052">
        <v>42</v>
      </c>
      <c r="G4052">
        <v>6</v>
      </c>
      <c r="H4052">
        <v>42</v>
      </c>
      <c r="I4052">
        <v>1.35</v>
      </c>
      <c r="J4052" s="1">
        <v>1857</v>
      </c>
    </row>
    <row r="4053" spans="1:10" ht="14.25" customHeight="1" x14ac:dyDescent="0.25">
      <c r="A4053" s="21">
        <v>37077</v>
      </c>
      <c r="B4053" s="21"/>
      <c r="H4053">
        <v>900</v>
      </c>
    </row>
    <row r="4054" spans="1:10" ht="14.25" customHeight="1" x14ac:dyDescent="0.25">
      <c r="A4054" s="21">
        <v>37081</v>
      </c>
      <c r="B4054" s="21"/>
      <c r="C4054">
        <v>518.70000000000005</v>
      </c>
      <c r="D4054">
        <v>4.5</v>
      </c>
      <c r="E4054" s="1">
        <v>1155</v>
      </c>
      <c r="F4054">
        <v>724</v>
      </c>
      <c r="G4054">
        <v>70</v>
      </c>
      <c r="H4054">
        <v>536</v>
      </c>
      <c r="I4054">
        <v>1.83</v>
      </c>
      <c r="J4054" s="1">
        <v>44883</v>
      </c>
    </row>
    <row r="4055" spans="1:10" ht="14.25" customHeight="1" x14ac:dyDescent="0.25">
      <c r="A4055" s="21">
        <v>37081</v>
      </c>
      <c r="B4055" s="21"/>
      <c r="C4055">
        <v>176.7</v>
      </c>
      <c r="D4055">
        <v>4.4000000000000004</v>
      </c>
      <c r="E4055">
        <v>403</v>
      </c>
      <c r="F4055">
        <v>288</v>
      </c>
      <c r="G4055">
        <v>24</v>
      </c>
      <c r="H4055">
        <v>288</v>
      </c>
      <c r="I4055">
        <v>1.59</v>
      </c>
      <c r="J4055" s="1">
        <v>15376</v>
      </c>
    </row>
    <row r="4056" spans="1:10" ht="14.25" customHeight="1" x14ac:dyDescent="0.25">
      <c r="A4056" s="21">
        <v>37081</v>
      </c>
      <c r="B4056" s="21"/>
      <c r="H4056">
        <v>134</v>
      </c>
    </row>
    <row r="4057" spans="1:10" ht="14.25" customHeight="1" x14ac:dyDescent="0.25">
      <c r="A4057" s="21">
        <v>37081</v>
      </c>
      <c r="B4057" s="21"/>
      <c r="H4057">
        <v>185</v>
      </c>
    </row>
    <row r="4058" spans="1:10" ht="14.25" customHeight="1" x14ac:dyDescent="0.25">
      <c r="A4058" s="21">
        <v>37083</v>
      </c>
      <c r="B4058" s="21"/>
      <c r="C4058">
        <v>50.9</v>
      </c>
      <c r="D4058">
        <v>4.5</v>
      </c>
      <c r="E4058">
        <v>137</v>
      </c>
      <c r="F4058">
        <v>106</v>
      </c>
      <c r="G4058">
        <v>16</v>
      </c>
      <c r="H4058">
        <v>106</v>
      </c>
      <c r="I4058">
        <v>1.45</v>
      </c>
      <c r="J4058" s="1">
        <v>4302</v>
      </c>
    </row>
    <row r="4059" spans="1:10" ht="14.25" customHeight="1" x14ac:dyDescent="0.25">
      <c r="A4059" s="21">
        <v>37085</v>
      </c>
      <c r="B4059" s="21"/>
      <c r="C4059">
        <v>43</v>
      </c>
      <c r="D4059">
        <v>3.4</v>
      </c>
      <c r="E4059">
        <v>123</v>
      </c>
      <c r="F4059">
        <v>126</v>
      </c>
      <c r="G4059">
        <v>14</v>
      </c>
      <c r="H4059">
        <v>126</v>
      </c>
      <c r="I4059">
        <v>1.29</v>
      </c>
      <c r="J4059" s="1">
        <v>5514</v>
      </c>
    </row>
    <row r="4060" spans="1:10" ht="14.25" customHeight="1" x14ac:dyDescent="0.25">
      <c r="A4060" s="21">
        <v>37085</v>
      </c>
      <c r="B4060" s="21"/>
      <c r="H4060">
        <v>101</v>
      </c>
    </row>
    <row r="4061" spans="1:10" ht="14.25" customHeight="1" x14ac:dyDescent="0.25">
      <c r="A4061" s="21">
        <v>37087</v>
      </c>
      <c r="B4061" s="21"/>
      <c r="C4061">
        <v>46</v>
      </c>
      <c r="D4061">
        <v>3.8</v>
      </c>
      <c r="E4061">
        <v>185</v>
      </c>
      <c r="F4061">
        <v>122</v>
      </c>
      <c r="G4061">
        <v>12</v>
      </c>
      <c r="H4061">
        <v>122</v>
      </c>
      <c r="I4061">
        <v>1.54</v>
      </c>
      <c r="J4061" s="1">
        <v>4556</v>
      </c>
    </row>
    <row r="4062" spans="1:10" ht="14.25" customHeight="1" x14ac:dyDescent="0.25">
      <c r="A4062" s="21">
        <v>37089</v>
      </c>
      <c r="B4062" s="21"/>
      <c r="C4062">
        <v>87.3</v>
      </c>
      <c r="D4062">
        <v>3.9</v>
      </c>
      <c r="E4062">
        <v>304</v>
      </c>
      <c r="F4062">
        <v>160</v>
      </c>
      <c r="G4062">
        <v>13</v>
      </c>
      <c r="H4062">
        <v>160</v>
      </c>
      <c r="I4062">
        <v>1.66</v>
      </c>
      <c r="J4062" s="1">
        <v>8421</v>
      </c>
    </row>
    <row r="4063" spans="1:10" ht="14.25" customHeight="1" x14ac:dyDescent="0.25">
      <c r="A4063" s="21">
        <v>37089</v>
      </c>
      <c r="B4063" s="21"/>
      <c r="C4063">
        <v>35</v>
      </c>
      <c r="D4063">
        <v>4.2</v>
      </c>
      <c r="E4063">
        <v>201</v>
      </c>
      <c r="F4063">
        <v>73</v>
      </c>
      <c r="G4063">
        <v>14</v>
      </c>
      <c r="H4063">
        <v>73</v>
      </c>
      <c r="I4063">
        <v>1.6</v>
      </c>
      <c r="J4063" s="1">
        <v>3375</v>
      </c>
    </row>
    <row r="4064" spans="1:10" ht="14.25" customHeight="1" x14ac:dyDescent="0.25">
      <c r="A4064" s="21">
        <v>37091</v>
      </c>
      <c r="B4064" s="21"/>
      <c r="C4064">
        <v>35.1</v>
      </c>
      <c r="D4064">
        <v>4.0999999999999996</v>
      </c>
      <c r="E4064">
        <v>79</v>
      </c>
      <c r="F4064">
        <v>70</v>
      </c>
      <c r="G4064">
        <v>10</v>
      </c>
      <c r="H4064">
        <v>70</v>
      </c>
      <c r="I4064">
        <v>1.38</v>
      </c>
      <c r="J4064" s="1">
        <v>3274</v>
      </c>
    </row>
    <row r="4065" spans="1:10" ht="14.25" customHeight="1" x14ac:dyDescent="0.25">
      <c r="A4065" s="21">
        <v>37093</v>
      </c>
      <c r="B4065" s="21"/>
      <c r="C4065">
        <v>11.2</v>
      </c>
      <c r="D4065">
        <v>2.7</v>
      </c>
      <c r="E4065">
        <v>32</v>
      </c>
      <c r="F4065">
        <v>41</v>
      </c>
      <c r="G4065">
        <v>4</v>
      </c>
      <c r="H4065">
        <v>41</v>
      </c>
      <c r="I4065">
        <v>1.44</v>
      </c>
      <c r="J4065" s="1">
        <v>1491</v>
      </c>
    </row>
    <row r="4066" spans="1:10" ht="14.25" customHeight="1" x14ac:dyDescent="0.25">
      <c r="A4066" s="21">
        <v>37093</v>
      </c>
      <c r="B4066" s="21"/>
    </row>
    <row r="4067" spans="1:10" ht="14.25" customHeight="1" x14ac:dyDescent="0.25">
      <c r="A4067" s="21">
        <v>37097</v>
      </c>
      <c r="B4067" s="21"/>
      <c r="C4067">
        <v>33.4</v>
      </c>
      <c r="D4067">
        <v>4.0999999999999996</v>
      </c>
      <c r="E4067">
        <v>64</v>
      </c>
      <c r="F4067">
        <v>132</v>
      </c>
      <c r="G4067">
        <v>8</v>
      </c>
      <c r="H4067">
        <v>132</v>
      </c>
      <c r="I4067">
        <v>1.34</v>
      </c>
      <c r="J4067" s="1">
        <v>3244</v>
      </c>
    </row>
    <row r="4068" spans="1:10" ht="14.25" customHeight="1" x14ac:dyDescent="0.25">
      <c r="A4068" s="21">
        <v>37097</v>
      </c>
      <c r="B4068" s="21"/>
      <c r="C4068">
        <v>37.5</v>
      </c>
      <c r="D4068">
        <v>2.9</v>
      </c>
      <c r="E4068">
        <v>179</v>
      </c>
      <c r="F4068">
        <v>123</v>
      </c>
      <c r="G4068">
        <v>12</v>
      </c>
      <c r="H4068">
        <v>123</v>
      </c>
      <c r="I4068">
        <v>1.76</v>
      </c>
      <c r="J4068" s="1">
        <v>5391</v>
      </c>
    </row>
    <row r="4069" spans="1:10" ht="14.25" customHeight="1" x14ac:dyDescent="0.25">
      <c r="A4069" s="21">
        <v>37097</v>
      </c>
      <c r="B4069" s="21"/>
      <c r="C4069">
        <v>92.5</v>
      </c>
      <c r="D4069">
        <v>4.5999999999999996</v>
      </c>
      <c r="E4069">
        <v>264</v>
      </c>
      <c r="F4069">
        <v>155</v>
      </c>
      <c r="G4069">
        <v>16</v>
      </c>
      <c r="H4069">
        <v>155</v>
      </c>
      <c r="I4069">
        <v>1.52</v>
      </c>
      <c r="J4069" s="1">
        <v>7574</v>
      </c>
    </row>
    <row r="4070" spans="1:10" ht="14.25" customHeight="1" x14ac:dyDescent="0.25">
      <c r="A4070" s="21">
        <v>37099</v>
      </c>
      <c r="B4070" s="21"/>
      <c r="C4070">
        <v>33.4</v>
      </c>
      <c r="D4070">
        <v>4</v>
      </c>
      <c r="E4070">
        <v>151</v>
      </c>
      <c r="F4070">
        <v>82</v>
      </c>
      <c r="G4070">
        <v>9</v>
      </c>
      <c r="H4070">
        <v>82</v>
      </c>
      <c r="I4070">
        <v>1.64</v>
      </c>
      <c r="J4070" s="1">
        <v>3310</v>
      </c>
    </row>
    <row r="4071" spans="1:10" ht="14.25" customHeight="1" x14ac:dyDescent="0.25">
      <c r="A4071" s="21">
        <v>37101</v>
      </c>
      <c r="B4071" s="21"/>
      <c r="C4071">
        <v>93.5</v>
      </c>
      <c r="D4071">
        <v>3.3</v>
      </c>
      <c r="E4071">
        <v>249</v>
      </c>
      <c r="F4071">
        <v>179</v>
      </c>
      <c r="G4071">
        <v>24</v>
      </c>
      <c r="H4071">
        <v>179</v>
      </c>
      <c r="I4071">
        <v>1.49</v>
      </c>
      <c r="J4071" s="1">
        <v>11459</v>
      </c>
    </row>
    <row r="4072" spans="1:10" ht="14.25" customHeight="1" x14ac:dyDescent="0.25">
      <c r="A4072" s="21">
        <v>37101</v>
      </c>
      <c r="B4072" s="21"/>
      <c r="H4072">
        <v>50</v>
      </c>
    </row>
    <row r="4073" spans="1:10" ht="14.25" customHeight="1" x14ac:dyDescent="0.25">
      <c r="A4073" s="21">
        <v>37105</v>
      </c>
      <c r="B4073" s="21"/>
      <c r="C4073">
        <v>38.9</v>
      </c>
      <c r="D4073">
        <v>3.2</v>
      </c>
      <c r="E4073">
        <v>150</v>
      </c>
      <c r="F4073">
        <v>127</v>
      </c>
      <c r="G4073">
        <v>8</v>
      </c>
      <c r="H4073">
        <v>127</v>
      </c>
      <c r="I4073">
        <v>1.35</v>
      </c>
      <c r="J4073" s="1">
        <v>4879</v>
      </c>
    </row>
    <row r="4074" spans="1:10" ht="14.25" customHeight="1" x14ac:dyDescent="0.25">
      <c r="A4074" s="21">
        <v>37107</v>
      </c>
      <c r="B4074" s="21"/>
      <c r="C4074">
        <v>487.1</v>
      </c>
      <c r="D4074">
        <v>4.5999999999999996</v>
      </c>
      <c r="E4074">
        <v>144</v>
      </c>
      <c r="F4074" s="1">
        <v>1086</v>
      </c>
      <c r="H4074" s="1">
        <v>1086</v>
      </c>
      <c r="I4074">
        <v>1.37</v>
      </c>
      <c r="J4074" s="1">
        <v>5520</v>
      </c>
    </row>
    <row r="4075" spans="1:10" ht="14.25" customHeight="1" x14ac:dyDescent="0.25">
      <c r="A4075" s="21">
        <v>37109</v>
      </c>
      <c r="B4075" s="21"/>
      <c r="C4075">
        <v>51.7</v>
      </c>
      <c r="D4075">
        <v>4.3</v>
      </c>
      <c r="E4075">
        <v>132</v>
      </c>
      <c r="F4075">
        <v>101</v>
      </c>
      <c r="G4075">
        <v>10</v>
      </c>
      <c r="H4075">
        <v>101</v>
      </c>
      <c r="I4075">
        <v>1.37</v>
      </c>
      <c r="J4075" s="1">
        <v>4571</v>
      </c>
    </row>
    <row r="4076" spans="1:10" ht="14.25" customHeight="1" x14ac:dyDescent="0.25">
      <c r="A4076" s="21">
        <v>37111</v>
      </c>
      <c r="B4076" s="21"/>
      <c r="C4076">
        <v>21.4</v>
      </c>
      <c r="D4076">
        <v>4.0999999999999996</v>
      </c>
      <c r="E4076">
        <v>93</v>
      </c>
      <c r="F4076">
        <v>49</v>
      </c>
      <c r="G4076">
        <v>9</v>
      </c>
      <c r="H4076">
        <v>49</v>
      </c>
      <c r="I4076">
        <v>1.31</v>
      </c>
      <c r="J4076" s="1">
        <v>2026</v>
      </c>
    </row>
    <row r="4077" spans="1:10" ht="14.25" customHeight="1" x14ac:dyDescent="0.25">
      <c r="A4077" s="21">
        <v>37117</v>
      </c>
      <c r="B4077" s="21"/>
      <c r="C4077">
        <v>10.9</v>
      </c>
      <c r="D4077">
        <v>3.8</v>
      </c>
      <c r="E4077">
        <v>44</v>
      </c>
      <c r="F4077">
        <v>43</v>
      </c>
      <c r="G4077">
        <v>6</v>
      </c>
      <c r="H4077">
        <v>43</v>
      </c>
      <c r="I4077">
        <v>1.22</v>
      </c>
      <c r="J4077" s="1">
        <v>1140</v>
      </c>
    </row>
    <row r="4078" spans="1:10" ht="14.25" customHeight="1" x14ac:dyDescent="0.25">
      <c r="A4078" s="21">
        <v>37119</v>
      </c>
      <c r="B4078" s="21"/>
      <c r="E4078">
        <v>3</v>
      </c>
      <c r="H4078">
        <v>80</v>
      </c>
    </row>
    <row r="4079" spans="1:10" ht="14.25" customHeight="1" x14ac:dyDescent="0.25">
      <c r="A4079" s="21">
        <v>37119</v>
      </c>
      <c r="B4079" s="21"/>
      <c r="C4079">
        <v>859.7</v>
      </c>
      <c r="D4079">
        <v>5.2</v>
      </c>
      <c r="E4079" s="1">
        <v>2649</v>
      </c>
      <c r="F4079" s="1">
        <v>1112</v>
      </c>
      <c r="G4079">
        <v>49</v>
      </c>
      <c r="H4079" s="1">
        <v>1112</v>
      </c>
      <c r="I4079">
        <v>2.2000000000000002</v>
      </c>
      <c r="J4079" s="1">
        <v>62650</v>
      </c>
    </row>
    <row r="4080" spans="1:10" ht="14.25" customHeight="1" x14ac:dyDescent="0.25">
      <c r="A4080" s="21">
        <v>37119</v>
      </c>
      <c r="B4080" s="21"/>
      <c r="E4080">
        <v>21</v>
      </c>
      <c r="H4080">
        <v>170</v>
      </c>
    </row>
    <row r="4081" spans="1:10" ht="14.25" customHeight="1" x14ac:dyDescent="0.25">
      <c r="A4081" s="21">
        <v>37119</v>
      </c>
      <c r="B4081" s="21"/>
      <c r="C4081">
        <v>72.599999999999994</v>
      </c>
      <c r="D4081">
        <v>4.2</v>
      </c>
      <c r="E4081">
        <v>138</v>
      </c>
      <c r="F4081">
        <v>100</v>
      </c>
      <c r="G4081">
        <v>8</v>
      </c>
      <c r="H4081">
        <v>100</v>
      </c>
      <c r="I4081">
        <v>1.52</v>
      </c>
      <c r="J4081" s="1">
        <v>6968</v>
      </c>
    </row>
    <row r="4082" spans="1:10" ht="14.25" customHeight="1" x14ac:dyDescent="0.25">
      <c r="A4082" s="21">
        <v>37119</v>
      </c>
      <c r="B4082" s="21"/>
      <c r="C4082">
        <v>101.9</v>
      </c>
      <c r="D4082">
        <v>4.0999999999999996</v>
      </c>
      <c r="E4082">
        <v>287</v>
      </c>
      <c r="F4082">
        <v>123</v>
      </c>
      <c r="G4082">
        <v>10</v>
      </c>
      <c r="H4082">
        <v>123</v>
      </c>
      <c r="I4082">
        <v>1.46</v>
      </c>
      <c r="J4082" s="1">
        <v>10279</v>
      </c>
    </row>
    <row r="4083" spans="1:10" ht="14.25" customHeight="1" x14ac:dyDescent="0.25">
      <c r="A4083" s="21">
        <v>37119</v>
      </c>
      <c r="B4083" s="21"/>
      <c r="C4083">
        <v>66.7</v>
      </c>
      <c r="D4083">
        <v>3.1</v>
      </c>
      <c r="E4083">
        <v>431</v>
      </c>
      <c r="F4083">
        <v>93</v>
      </c>
      <c r="G4083">
        <v>6</v>
      </c>
      <c r="H4083">
        <v>93</v>
      </c>
      <c r="I4083">
        <v>1.43</v>
      </c>
      <c r="J4083" s="1">
        <v>9010</v>
      </c>
    </row>
    <row r="4084" spans="1:10" ht="14.25" customHeight="1" x14ac:dyDescent="0.25">
      <c r="A4084" s="21">
        <v>37119</v>
      </c>
      <c r="B4084" s="21"/>
      <c r="C4084">
        <v>356.5</v>
      </c>
      <c r="D4084">
        <v>5.2</v>
      </c>
      <c r="E4084" s="1">
        <v>1091</v>
      </c>
      <c r="F4084">
        <v>535</v>
      </c>
      <c r="G4084">
        <v>34</v>
      </c>
      <c r="H4084">
        <v>535</v>
      </c>
      <c r="I4084">
        <v>2.1</v>
      </c>
      <c r="J4084" s="1">
        <v>27191</v>
      </c>
    </row>
    <row r="4085" spans="1:10" ht="14.25" customHeight="1" x14ac:dyDescent="0.25">
      <c r="A4085" s="21">
        <v>37119</v>
      </c>
      <c r="B4085" s="21"/>
      <c r="C4085">
        <v>207.1</v>
      </c>
      <c r="D4085">
        <v>4.2</v>
      </c>
      <c r="E4085">
        <v>290</v>
      </c>
      <c r="F4085">
        <v>221</v>
      </c>
      <c r="G4085">
        <v>30</v>
      </c>
      <c r="H4085">
        <v>154</v>
      </c>
      <c r="I4085">
        <v>1.63</v>
      </c>
      <c r="J4085" s="1">
        <v>16914</v>
      </c>
    </row>
    <row r="4086" spans="1:10" ht="14.25" customHeight="1" x14ac:dyDescent="0.25">
      <c r="A4086" s="21">
        <v>37119</v>
      </c>
      <c r="B4086" s="21"/>
      <c r="C4086">
        <v>11.8</v>
      </c>
      <c r="D4086">
        <v>3.3</v>
      </c>
      <c r="E4086">
        <v>51</v>
      </c>
      <c r="F4086">
        <v>28</v>
      </c>
      <c r="G4086">
        <v>4</v>
      </c>
      <c r="H4086">
        <v>28</v>
      </c>
      <c r="I4086">
        <v>1.27</v>
      </c>
      <c r="J4086" s="1">
        <v>1428</v>
      </c>
    </row>
    <row r="4087" spans="1:10" ht="14.25" customHeight="1" x14ac:dyDescent="0.25">
      <c r="A4087" s="21">
        <v>37125</v>
      </c>
      <c r="B4087" s="21"/>
      <c r="C4087">
        <v>277</v>
      </c>
      <c r="D4087">
        <v>4.3</v>
      </c>
      <c r="E4087">
        <v>739</v>
      </c>
      <c r="F4087">
        <v>412</v>
      </c>
      <c r="H4087">
        <v>412</v>
      </c>
      <c r="I4087">
        <v>1.81</v>
      </c>
      <c r="J4087" s="1">
        <v>24349</v>
      </c>
    </row>
    <row r="4088" spans="1:10" ht="14.25" customHeight="1" x14ac:dyDescent="0.25">
      <c r="A4088" s="21">
        <v>37127</v>
      </c>
      <c r="B4088" s="21"/>
      <c r="C4088">
        <v>141</v>
      </c>
      <c r="D4088">
        <v>4.5</v>
      </c>
      <c r="E4088">
        <v>297</v>
      </c>
      <c r="F4088">
        <v>322</v>
      </c>
      <c r="G4088">
        <v>21</v>
      </c>
      <c r="H4088">
        <v>322</v>
      </c>
      <c r="I4088">
        <v>1.52</v>
      </c>
      <c r="J4088" s="1">
        <v>11870</v>
      </c>
    </row>
    <row r="4089" spans="1:10" ht="14.25" customHeight="1" x14ac:dyDescent="0.25">
      <c r="A4089" s="21">
        <v>37129</v>
      </c>
      <c r="B4089" s="21"/>
      <c r="C4089">
        <v>505.7</v>
      </c>
      <c r="D4089">
        <v>5.4</v>
      </c>
      <c r="E4089" s="1">
        <v>1034</v>
      </c>
      <c r="F4089">
        <v>677</v>
      </c>
      <c r="G4089">
        <v>36</v>
      </c>
      <c r="H4089">
        <v>677</v>
      </c>
      <c r="I4089">
        <v>1.85</v>
      </c>
      <c r="J4089" s="1">
        <v>35953</v>
      </c>
    </row>
    <row r="4090" spans="1:10" ht="14.25" customHeight="1" x14ac:dyDescent="0.25">
      <c r="A4090" s="21">
        <v>37129</v>
      </c>
      <c r="B4090" s="21"/>
      <c r="C4090">
        <v>48.8</v>
      </c>
      <c r="D4090">
        <v>14.7</v>
      </c>
      <c r="E4090">
        <v>1</v>
      </c>
      <c r="F4090">
        <v>92</v>
      </c>
      <c r="H4090">
        <v>92</v>
      </c>
      <c r="I4090">
        <v>0.78</v>
      </c>
      <c r="J4090" s="1">
        <v>1207</v>
      </c>
    </row>
    <row r="4091" spans="1:10" ht="14.25" customHeight="1" x14ac:dyDescent="0.25">
      <c r="A4091" s="21">
        <v>37129</v>
      </c>
      <c r="B4091" s="21"/>
      <c r="H4091">
        <v>68</v>
      </c>
    </row>
    <row r="4092" spans="1:10" ht="14.25" customHeight="1" x14ac:dyDescent="0.25">
      <c r="A4092" s="21">
        <v>37133</v>
      </c>
      <c r="B4092" s="21"/>
      <c r="C4092">
        <v>74.2</v>
      </c>
      <c r="D4092">
        <v>4</v>
      </c>
      <c r="E4092">
        <v>263</v>
      </c>
      <c r="F4092">
        <v>162</v>
      </c>
      <c r="G4092">
        <v>14</v>
      </c>
      <c r="H4092">
        <v>162</v>
      </c>
      <c r="I4092">
        <v>1.43</v>
      </c>
      <c r="J4092" s="1">
        <v>7706</v>
      </c>
    </row>
    <row r="4093" spans="1:10" ht="14.25" customHeight="1" x14ac:dyDescent="0.25">
      <c r="A4093" s="21">
        <v>37135</v>
      </c>
      <c r="B4093" s="21"/>
      <c r="C4093">
        <v>676.6</v>
      </c>
      <c r="D4093">
        <v>6.8</v>
      </c>
      <c r="E4093" s="1">
        <v>1696</v>
      </c>
      <c r="F4093">
        <v>803</v>
      </c>
      <c r="H4093">
        <v>803</v>
      </c>
      <c r="I4093">
        <v>2.19</v>
      </c>
      <c r="J4093" s="1">
        <v>37342</v>
      </c>
    </row>
    <row r="4094" spans="1:10" ht="14.25" customHeight="1" x14ac:dyDescent="0.25">
      <c r="A4094" s="21">
        <v>37135</v>
      </c>
      <c r="B4094" s="21"/>
    </row>
    <row r="4095" spans="1:10" ht="14.25" customHeight="1" x14ac:dyDescent="0.25">
      <c r="A4095" s="21">
        <v>37135</v>
      </c>
      <c r="B4095" s="21"/>
      <c r="H4095">
        <v>50</v>
      </c>
    </row>
    <row r="4096" spans="1:10" ht="14.25" customHeight="1" x14ac:dyDescent="0.25">
      <c r="A4096" s="21">
        <v>37135</v>
      </c>
      <c r="B4096" s="21"/>
    </row>
    <row r="4097" spans="1:10" ht="14.25" customHeight="1" x14ac:dyDescent="0.25">
      <c r="A4097" s="21">
        <v>37135</v>
      </c>
      <c r="B4097" s="21"/>
      <c r="E4097">
        <v>3</v>
      </c>
      <c r="H4097">
        <v>83</v>
      </c>
    </row>
    <row r="4098" spans="1:10" ht="14.25" customHeight="1" x14ac:dyDescent="0.25">
      <c r="A4098" s="21">
        <v>37139</v>
      </c>
      <c r="B4098" s="21"/>
      <c r="C4098">
        <v>53.6</v>
      </c>
      <c r="D4098">
        <v>4.2</v>
      </c>
      <c r="E4098">
        <v>176</v>
      </c>
      <c r="F4098">
        <v>91</v>
      </c>
      <c r="G4098">
        <v>10</v>
      </c>
      <c r="H4098">
        <v>91</v>
      </c>
      <c r="I4098">
        <v>1.42</v>
      </c>
      <c r="J4098" s="1">
        <v>4818</v>
      </c>
    </row>
    <row r="4099" spans="1:10" ht="14.25" customHeight="1" x14ac:dyDescent="0.25">
      <c r="A4099" s="21">
        <v>37145</v>
      </c>
      <c r="B4099" s="21"/>
      <c r="C4099">
        <v>9.3000000000000007</v>
      </c>
      <c r="D4099">
        <v>3.4</v>
      </c>
      <c r="E4099">
        <v>79</v>
      </c>
      <c r="F4099">
        <v>38</v>
      </c>
      <c r="G4099">
        <v>6</v>
      </c>
      <c r="H4099">
        <v>38</v>
      </c>
      <c r="I4099">
        <v>1.27</v>
      </c>
      <c r="J4099">
        <v>986</v>
      </c>
    </row>
    <row r="4100" spans="1:10" ht="14.25" customHeight="1" x14ac:dyDescent="0.25">
      <c r="A4100" s="21">
        <v>37147</v>
      </c>
      <c r="B4100" s="21"/>
      <c r="C4100">
        <v>673.5</v>
      </c>
      <c r="D4100">
        <v>6.2</v>
      </c>
      <c r="E4100" s="1">
        <v>1073</v>
      </c>
      <c r="F4100">
        <v>847</v>
      </c>
      <c r="G4100">
        <v>71</v>
      </c>
      <c r="H4100">
        <v>847</v>
      </c>
      <c r="I4100">
        <v>2</v>
      </c>
      <c r="J4100" s="1">
        <v>40664</v>
      </c>
    </row>
    <row r="4101" spans="1:10" ht="14.25" customHeight="1" x14ac:dyDescent="0.25">
      <c r="A4101" s="21">
        <v>37147</v>
      </c>
      <c r="B4101" s="21"/>
      <c r="C4101">
        <v>34.700000000000003</v>
      </c>
      <c r="D4101">
        <v>11.6</v>
      </c>
      <c r="E4101">
        <v>3</v>
      </c>
      <c r="F4101">
        <v>66</v>
      </c>
      <c r="H4101">
        <v>66</v>
      </c>
      <c r="J4101" s="1">
        <v>1089</v>
      </c>
    </row>
    <row r="4102" spans="1:10" ht="14.25" customHeight="1" x14ac:dyDescent="0.25">
      <c r="A4102" s="21">
        <v>37151</v>
      </c>
      <c r="B4102" s="21"/>
      <c r="C4102">
        <v>36.299999999999997</v>
      </c>
      <c r="D4102">
        <v>2.7</v>
      </c>
      <c r="E4102">
        <v>151</v>
      </c>
      <c r="F4102">
        <v>145</v>
      </c>
      <c r="G4102">
        <v>12</v>
      </c>
      <c r="H4102">
        <v>145</v>
      </c>
      <c r="I4102">
        <v>1.43</v>
      </c>
      <c r="J4102" s="1">
        <v>5384</v>
      </c>
    </row>
    <row r="4103" spans="1:10" ht="14.25" customHeight="1" x14ac:dyDescent="0.25">
      <c r="A4103" s="21">
        <v>37153</v>
      </c>
      <c r="B4103" s="21"/>
      <c r="C4103">
        <v>7.2</v>
      </c>
      <c r="D4103">
        <v>1.6</v>
      </c>
      <c r="J4103" s="1">
        <v>1604</v>
      </c>
    </row>
    <row r="4104" spans="1:10" ht="14.25" customHeight="1" x14ac:dyDescent="0.25">
      <c r="A4104" s="21">
        <v>37153</v>
      </c>
      <c r="B4104" s="21"/>
      <c r="H4104">
        <v>99</v>
      </c>
    </row>
    <row r="4105" spans="1:10" ht="14.25" customHeight="1" x14ac:dyDescent="0.25">
      <c r="A4105" s="21">
        <v>37155</v>
      </c>
      <c r="B4105" s="21"/>
      <c r="C4105">
        <v>147.9</v>
      </c>
      <c r="D4105">
        <v>4.5</v>
      </c>
      <c r="E4105">
        <v>354</v>
      </c>
      <c r="F4105">
        <v>246</v>
      </c>
      <c r="G4105">
        <v>30</v>
      </c>
      <c r="H4105">
        <v>246</v>
      </c>
      <c r="I4105">
        <v>1.48</v>
      </c>
      <c r="J4105" s="1">
        <v>12747</v>
      </c>
    </row>
    <row r="4106" spans="1:10" ht="14.25" customHeight="1" x14ac:dyDescent="0.25">
      <c r="A4106" s="21">
        <v>37157</v>
      </c>
      <c r="B4106" s="21"/>
      <c r="C4106">
        <v>27.4</v>
      </c>
      <c r="D4106">
        <v>3.4</v>
      </c>
      <c r="E4106">
        <v>75</v>
      </c>
      <c r="F4106">
        <v>108</v>
      </c>
      <c r="G4106">
        <v>9</v>
      </c>
      <c r="H4106">
        <v>108</v>
      </c>
      <c r="I4106">
        <v>1.28</v>
      </c>
      <c r="J4106" s="1">
        <v>3207</v>
      </c>
    </row>
    <row r="4107" spans="1:10" ht="14.25" customHeight="1" x14ac:dyDescent="0.25">
      <c r="A4107" s="21">
        <v>37157</v>
      </c>
      <c r="B4107" s="21"/>
      <c r="H4107">
        <v>110</v>
      </c>
    </row>
    <row r="4108" spans="1:10" ht="14.25" customHeight="1" x14ac:dyDescent="0.25">
      <c r="A4108" s="21">
        <v>37159</v>
      </c>
      <c r="B4108" s="21"/>
      <c r="C4108">
        <v>117.8</v>
      </c>
      <c r="D4108">
        <v>4.5</v>
      </c>
      <c r="E4108">
        <v>268</v>
      </c>
      <c r="F4108">
        <v>169</v>
      </c>
      <c r="G4108">
        <v>20</v>
      </c>
      <c r="H4108">
        <v>169</v>
      </c>
      <c r="I4108">
        <v>1.45</v>
      </c>
      <c r="J4108" s="1">
        <v>9946</v>
      </c>
    </row>
    <row r="4109" spans="1:10" ht="14.25" customHeight="1" x14ac:dyDescent="0.25">
      <c r="A4109" s="21">
        <v>37161</v>
      </c>
      <c r="B4109" s="21"/>
      <c r="C4109">
        <v>27.7</v>
      </c>
      <c r="D4109">
        <v>3.5</v>
      </c>
      <c r="E4109">
        <v>105</v>
      </c>
      <c r="F4109">
        <v>111</v>
      </c>
      <c r="G4109">
        <v>18</v>
      </c>
      <c r="H4109">
        <v>111</v>
      </c>
      <c r="I4109">
        <v>1.5</v>
      </c>
      <c r="J4109" s="1">
        <v>3170</v>
      </c>
    </row>
    <row r="4110" spans="1:10" ht="14.25" customHeight="1" x14ac:dyDescent="0.25">
      <c r="A4110" s="21">
        <v>37163</v>
      </c>
      <c r="B4110" s="21"/>
      <c r="C4110">
        <v>23.8</v>
      </c>
      <c r="D4110">
        <v>3.3</v>
      </c>
      <c r="E4110">
        <v>103</v>
      </c>
      <c r="F4110">
        <v>59</v>
      </c>
      <c r="G4110">
        <v>8</v>
      </c>
      <c r="H4110">
        <v>59</v>
      </c>
      <c r="I4110">
        <v>1.32</v>
      </c>
      <c r="J4110" s="1">
        <v>2808</v>
      </c>
    </row>
    <row r="4111" spans="1:10" ht="14.25" customHeight="1" x14ac:dyDescent="0.25">
      <c r="A4111" s="21">
        <v>37165</v>
      </c>
      <c r="B4111" s="21"/>
      <c r="C4111">
        <v>53.5</v>
      </c>
      <c r="D4111">
        <v>3.8</v>
      </c>
      <c r="E4111">
        <v>172</v>
      </c>
      <c r="F4111">
        <v>97</v>
      </c>
      <c r="G4111">
        <v>8</v>
      </c>
      <c r="H4111">
        <v>97</v>
      </c>
      <c r="I4111">
        <v>1.51</v>
      </c>
      <c r="J4111" s="1">
        <v>5673</v>
      </c>
    </row>
    <row r="4112" spans="1:10" ht="14.25" customHeight="1" x14ac:dyDescent="0.25">
      <c r="A4112" s="21">
        <v>37167</v>
      </c>
      <c r="B4112" s="21"/>
      <c r="C4112">
        <v>31.1</v>
      </c>
      <c r="D4112">
        <v>3.7</v>
      </c>
      <c r="E4112">
        <v>106</v>
      </c>
      <c r="F4112">
        <v>97</v>
      </c>
      <c r="G4112">
        <v>10</v>
      </c>
      <c r="H4112">
        <v>97</v>
      </c>
      <c r="I4112">
        <v>1.35</v>
      </c>
      <c r="J4112" s="1">
        <v>3313</v>
      </c>
    </row>
    <row r="4113" spans="1:10" ht="14.25" customHeight="1" x14ac:dyDescent="0.25">
      <c r="A4113" s="21">
        <v>37171</v>
      </c>
      <c r="B4113" s="21"/>
      <c r="C4113">
        <v>33.5</v>
      </c>
      <c r="D4113">
        <v>3.5</v>
      </c>
      <c r="E4113">
        <v>150</v>
      </c>
      <c r="F4113">
        <v>81</v>
      </c>
      <c r="H4113">
        <v>81</v>
      </c>
      <c r="I4113">
        <v>1.33</v>
      </c>
      <c r="J4113" s="1">
        <v>3729</v>
      </c>
    </row>
    <row r="4114" spans="1:10" ht="14.25" customHeight="1" x14ac:dyDescent="0.25">
      <c r="A4114" s="21">
        <v>37171</v>
      </c>
      <c r="B4114" s="21"/>
      <c r="C4114">
        <v>37.5</v>
      </c>
      <c r="D4114">
        <v>4.0999999999999996</v>
      </c>
      <c r="E4114">
        <v>102</v>
      </c>
      <c r="F4114">
        <v>100</v>
      </c>
      <c r="G4114">
        <v>10</v>
      </c>
      <c r="H4114">
        <v>100</v>
      </c>
      <c r="I4114">
        <v>1.27</v>
      </c>
      <c r="J4114" s="1">
        <v>3476</v>
      </c>
    </row>
    <row r="4115" spans="1:10" ht="14.25" customHeight="1" x14ac:dyDescent="0.25">
      <c r="A4115" s="21">
        <v>37173</v>
      </c>
      <c r="B4115" s="21"/>
      <c r="C4115">
        <v>4.9000000000000004</v>
      </c>
      <c r="D4115">
        <v>2.2000000000000002</v>
      </c>
      <c r="E4115">
        <v>58</v>
      </c>
      <c r="F4115">
        <v>20</v>
      </c>
      <c r="H4115">
        <v>20</v>
      </c>
      <c r="I4115">
        <v>0.94</v>
      </c>
      <c r="J4115">
        <v>821</v>
      </c>
    </row>
    <row r="4116" spans="1:10" ht="14.25" customHeight="1" x14ac:dyDescent="0.25">
      <c r="A4116" s="21">
        <v>37179</v>
      </c>
      <c r="B4116" s="21"/>
      <c r="C4116">
        <v>92.3</v>
      </c>
      <c r="D4116">
        <v>3.9</v>
      </c>
      <c r="E4116">
        <v>168</v>
      </c>
      <c r="F4116">
        <v>182</v>
      </c>
      <c r="G4116">
        <v>14</v>
      </c>
      <c r="H4116">
        <v>182</v>
      </c>
      <c r="I4116">
        <v>1.49</v>
      </c>
      <c r="J4116" s="1">
        <v>8954</v>
      </c>
    </row>
    <row r="4117" spans="1:10" ht="14.25" customHeight="1" x14ac:dyDescent="0.25">
      <c r="A4117" s="21">
        <v>37179</v>
      </c>
      <c r="B4117" s="21"/>
    </row>
    <row r="4118" spans="1:10" ht="14.25" customHeight="1" x14ac:dyDescent="0.25">
      <c r="A4118" s="21">
        <v>37181</v>
      </c>
      <c r="B4118" s="21"/>
      <c r="C4118">
        <v>47</v>
      </c>
      <c r="D4118">
        <v>4.0999999999999996</v>
      </c>
      <c r="E4118">
        <v>147</v>
      </c>
      <c r="F4118">
        <v>91</v>
      </c>
      <c r="G4118">
        <v>20</v>
      </c>
      <c r="H4118">
        <v>91</v>
      </c>
      <c r="I4118">
        <v>1.4</v>
      </c>
      <c r="J4118" s="1">
        <v>4446</v>
      </c>
    </row>
    <row r="4119" spans="1:10" ht="14.25" customHeight="1" x14ac:dyDescent="0.25">
      <c r="A4119" s="21">
        <v>37183</v>
      </c>
      <c r="B4119" s="21"/>
      <c r="C4119">
        <v>309.2</v>
      </c>
      <c r="D4119">
        <v>4.3</v>
      </c>
      <c r="E4119" s="1">
        <v>1198</v>
      </c>
      <c r="F4119">
        <v>439</v>
      </c>
      <c r="G4119">
        <v>51</v>
      </c>
      <c r="H4119">
        <v>439</v>
      </c>
      <c r="I4119">
        <v>1.96</v>
      </c>
      <c r="J4119" s="1">
        <v>28737</v>
      </c>
    </row>
    <row r="4120" spans="1:10" ht="14.25" customHeight="1" x14ac:dyDescent="0.25">
      <c r="A4120" s="21">
        <v>37183</v>
      </c>
      <c r="B4120" s="21"/>
      <c r="C4120">
        <v>137.30000000000001</v>
      </c>
      <c r="D4120">
        <v>4.3</v>
      </c>
      <c r="E4120">
        <v>317</v>
      </c>
      <c r="F4120">
        <v>196</v>
      </c>
      <c r="G4120">
        <v>12</v>
      </c>
      <c r="H4120">
        <v>196</v>
      </c>
      <c r="I4120">
        <v>1.49</v>
      </c>
      <c r="J4120" s="1">
        <v>12844</v>
      </c>
    </row>
    <row r="4121" spans="1:10" ht="14.25" customHeight="1" x14ac:dyDescent="0.25">
      <c r="A4121" s="21">
        <v>37183</v>
      </c>
      <c r="B4121" s="21"/>
      <c r="C4121">
        <v>133.4</v>
      </c>
      <c r="D4121">
        <v>5.0999999999999996</v>
      </c>
      <c r="E4121">
        <v>555</v>
      </c>
      <c r="F4121">
        <v>175</v>
      </c>
      <c r="G4121">
        <v>42</v>
      </c>
      <c r="H4121">
        <v>175</v>
      </c>
      <c r="I4121">
        <v>1.99</v>
      </c>
      <c r="J4121" s="1">
        <v>9605</v>
      </c>
    </row>
    <row r="4122" spans="1:10" ht="14.25" customHeight="1" x14ac:dyDescent="0.25">
      <c r="A4122" s="21">
        <v>37183</v>
      </c>
      <c r="B4122" s="21"/>
      <c r="C4122">
        <v>454.5</v>
      </c>
      <c r="D4122">
        <v>5.3</v>
      </c>
      <c r="E4122">
        <v>997</v>
      </c>
      <c r="F4122">
        <v>596</v>
      </c>
      <c r="G4122">
        <v>12</v>
      </c>
      <c r="H4122">
        <v>596</v>
      </c>
      <c r="I4122">
        <v>1.87</v>
      </c>
      <c r="J4122" s="1">
        <v>33669</v>
      </c>
    </row>
    <row r="4123" spans="1:10" ht="14.25" customHeight="1" x14ac:dyDescent="0.25">
      <c r="A4123" s="21">
        <v>37183</v>
      </c>
      <c r="B4123" s="21"/>
      <c r="H4123">
        <v>216</v>
      </c>
    </row>
    <row r="4124" spans="1:10" ht="14.25" customHeight="1" x14ac:dyDescent="0.25">
      <c r="A4124" s="21">
        <v>37183</v>
      </c>
      <c r="B4124" s="21"/>
      <c r="H4124">
        <v>61</v>
      </c>
    </row>
    <row r="4125" spans="1:10" ht="14.25" customHeight="1" x14ac:dyDescent="0.25">
      <c r="A4125" s="21">
        <v>37183</v>
      </c>
      <c r="B4125" s="21"/>
    </row>
    <row r="4126" spans="1:10" ht="14.25" customHeight="1" x14ac:dyDescent="0.25">
      <c r="A4126" s="21">
        <v>37183</v>
      </c>
      <c r="B4126" s="21"/>
      <c r="E4126">
        <v>24</v>
      </c>
      <c r="H4126">
        <v>286</v>
      </c>
    </row>
    <row r="4127" spans="1:10" ht="14.25" customHeight="1" x14ac:dyDescent="0.25">
      <c r="A4127" s="21">
        <v>37189</v>
      </c>
      <c r="B4127" s="21"/>
      <c r="C4127">
        <v>38.700000000000003</v>
      </c>
      <c r="D4127">
        <v>3.5</v>
      </c>
      <c r="E4127">
        <v>178</v>
      </c>
      <c r="F4127">
        <v>95</v>
      </c>
      <c r="G4127">
        <v>10</v>
      </c>
      <c r="H4127">
        <v>95</v>
      </c>
      <c r="I4127">
        <v>1.59</v>
      </c>
      <c r="J4127" s="1">
        <v>4318</v>
      </c>
    </row>
    <row r="4128" spans="1:10" ht="14.25" customHeight="1" x14ac:dyDescent="0.25">
      <c r="A4128" s="21">
        <v>37191</v>
      </c>
      <c r="B4128" s="21"/>
      <c r="C4128">
        <v>128.80000000000001</v>
      </c>
      <c r="D4128">
        <v>4.8</v>
      </c>
      <c r="E4128">
        <v>297</v>
      </c>
      <c r="F4128">
        <v>261</v>
      </c>
      <c r="G4128">
        <v>16</v>
      </c>
      <c r="H4128">
        <v>261</v>
      </c>
      <c r="I4128">
        <v>1.61</v>
      </c>
      <c r="J4128" s="1">
        <v>10306</v>
      </c>
    </row>
    <row r="4129" spans="1:10" ht="14.25" customHeight="1" x14ac:dyDescent="0.25">
      <c r="A4129" s="21">
        <v>37193</v>
      </c>
      <c r="B4129" s="21"/>
      <c r="C4129">
        <v>30.7</v>
      </c>
      <c r="D4129">
        <v>3.3</v>
      </c>
      <c r="E4129">
        <v>99</v>
      </c>
      <c r="F4129">
        <v>93</v>
      </c>
      <c r="G4129">
        <v>8</v>
      </c>
      <c r="H4129">
        <v>93</v>
      </c>
      <c r="I4129">
        <v>1.33</v>
      </c>
      <c r="J4129" s="1">
        <v>3609</v>
      </c>
    </row>
    <row r="4130" spans="1:10" ht="14.25" customHeight="1" x14ac:dyDescent="0.25">
      <c r="A4130" s="21">
        <v>37195</v>
      </c>
      <c r="B4130" s="21"/>
      <c r="C4130">
        <v>69.400000000000006</v>
      </c>
      <c r="D4130">
        <v>4</v>
      </c>
      <c r="E4130">
        <v>207</v>
      </c>
      <c r="F4130">
        <v>270</v>
      </c>
      <c r="G4130">
        <v>14</v>
      </c>
      <c r="H4130">
        <v>270</v>
      </c>
      <c r="I4130">
        <v>1.47</v>
      </c>
      <c r="J4130" s="1">
        <v>6650</v>
      </c>
    </row>
    <row r="4131" spans="1:10" ht="14.25" customHeight="1" x14ac:dyDescent="0.25">
      <c r="A4131" s="21">
        <v>38015</v>
      </c>
      <c r="B4131" s="21"/>
      <c r="C4131">
        <v>122.6</v>
      </c>
      <c r="D4131">
        <v>4.5999999999999996</v>
      </c>
      <c r="E4131">
        <v>383</v>
      </c>
      <c r="F4131">
        <v>205</v>
      </c>
      <c r="G4131">
        <v>13</v>
      </c>
      <c r="H4131">
        <v>205</v>
      </c>
      <c r="I4131">
        <v>1.85</v>
      </c>
      <c r="J4131" s="1">
        <v>10227</v>
      </c>
    </row>
    <row r="4132" spans="1:10" ht="14.25" customHeight="1" x14ac:dyDescent="0.25">
      <c r="A4132" s="21">
        <v>38015</v>
      </c>
      <c r="B4132" s="21"/>
      <c r="C4132">
        <v>92.6</v>
      </c>
      <c r="D4132">
        <v>4.5999999999999996</v>
      </c>
      <c r="E4132">
        <v>313</v>
      </c>
      <c r="F4132">
        <v>181</v>
      </c>
      <c r="G4132">
        <v>39</v>
      </c>
      <c r="H4132">
        <v>181</v>
      </c>
      <c r="I4132">
        <v>1.98</v>
      </c>
      <c r="J4132" s="1">
        <v>7677</v>
      </c>
    </row>
    <row r="4133" spans="1:10" ht="14.25" customHeight="1" x14ac:dyDescent="0.25">
      <c r="A4133" s="21">
        <v>38017</v>
      </c>
      <c r="B4133" s="21"/>
      <c r="C4133">
        <v>87.9</v>
      </c>
      <c r="D4133">
        <v>4.2</v>
      </c>
      <c r="E4133">
        <v>390</v>
      </c>
      <c r="F4133">
        <v>133</v>
      </c>
      <c r="G4133">
        <v>44</v>
      </c>
      <c r="H4133">
        <v>133</v>
      </c>
      <c r="I4133">
        <v>1.82</v>
      </c>
      <c r="J4133" s="1">
        <v>8364</v>
      </c>
    </row>
    <row r="4134" spans="1:10" ht="14.25" customHeight="1" x14ac:dyDescent="0.25">
      <c r="A4134" s="21">
        <v>38017</v>
      </c>
      <c r="B4134" s="21"/>
      <c r="C4134">
        <v>341.9</v>
      </c>
      <c r="D4134">
        <v>5</v>
      </c>
      <c r="E4134">
        <v>892</v>
      </c>
      <c r="F4134">
        <v>468</v>
      </c>
      <c r="G4134">
        <v>67</v>
      </c>
      <c r="H4134">
        <v>468</v>
      </c>
      <c r="I4134">
        <v>2.06</v>
      </c>
      <c r="J4134" s="1">
        <v>24539</v>
      </c>
    </row>
    <row r="4135" spans="1:10" ht="14.25" customHeight="1" x14ac:dyDescent="0.25">
      <c r="A4135" s="21">
        <v>38017</v>
      </c>
      <c r="B4135" s="21"/>
      <c r="H4135">
        <v>55</v>
      </c>
    </row>
    <row r="4136" spans="1:10" ht="14.25" customHeight="1" x14ac:dyDescent="0.25">
      <c r="A4136" s="21">
        <v>38017</v>
      </c>
      <c r="B4136" s="21"/>
    </row>
    <row r="4137" spans="1:10" ht="14.25" customHeight="1" x14ac:dyDescent="0.25">
      <c r="A4137" s="21">
        <v>38017</v>
      </c>
      <c r="B4137" s="21"/>
      <c r="E4137">
        <v>140</v>
      </c>
    </row>
    <row r="4138" spans="1:10" ht="14.25" customHeight="1" x14ac:dyDescent="0.25">
      <c r="A4138" s="21">
        <v>38035</v>
      </c>
      <c r="B4138" s="21"/>
      <c r="C4138">
        <v>134.4</v>
      </c>
      <c r="D4138">
        <v>4.3</v>
      </c>
      <c r="E4138">
        <v>505</v>
      </c>
      <c r="F4138">
        <v>271</v>
      </c>
      <c r="G4138">
        <v>16</v>
      </c>
      <c r="H4138">
        <v>257</v>
      </c>
      <c r="I4138">
        <v>1.84</v>
      </c>
      <c r="J4138" s="1">
        <v>12901</v>
      </c>
    </row>
    <row r="4139" spans="1:10" ht="14.25" customHeight="1" x14ac:dyDescent="0.25">
      <c r="A4139" s="21">
        <v>38035</v>
      </c>
      <c r="B4139" s="21"/>
    </row>
    <row r="4140" spans="1:10" ht="14.25" customHeight="1" x14ac:dyDescent="0.25">
      <c r="A4140" s="21">
        <v>38079</v>
      </c>
      <c r="B4140" s="21"/>
      <c r="C4140">
        <v>6.5</v>
      </c>
      <c r="D4140">
        <v>4.5</v>
      </c>
      <c r="E4140">
        <v>42</v>
      </c>
      <c r="F4140">
        <v>27</v>
      </c>
      <c r="H4140">
        <v>27</v>
      </c>
      <c r="I4140">
        <v>0.95</v>
      </c>
      <c r="J4140">
        <v>530</v>
      </c>
    </row>
    <row r="4141" spans="1:10" ht="14.25" customHeight="1" x14ac:dyDescent="0.25">
      <c r="A4141" s="21">
        <v>38085</v>
      </c>
      <c r="B4141" s="21"/>
      <c r="C4141">
        <v>0.5</v>
      </c>
      <c r="D4141">
        <v>3.7</v>
      </c>
      <c r="E4141">
        <v>14</v>
      </c>
      <c r="F4141">
        <v>12</v>
      </c>
      <c r="H4141">
        <v>12</v>
      </c>
      <c r="J4141">
        <v>50</v>
      </c>
    </row>
    <row r="4142" spans="1:10" ht="14.25" customHeight="1" x14ac:dyDescent="0.25">
      <c r="A4142" s="21">
        <v>38101</v>
      </c>
      <c r="B4142" s="21"/>
      <c r="C4142">
        <v>84.6</v>
      </c>
      <c r="D4142">
        <v>4.7</v>
      </c>
      <c r="E4142">
        <v>355</v>
      </c>
      <c r="F4142">
        <v>152</v>
      </c>
      <c r="G4142">
        <v>19</v>
      </c>
      <c r="H4142">
        <v>165</v>
      </c>
      <c r="I4142">
        <v>1.8</v>
      </c>
      <c r="J4142" s="1">
        <v>7128</v>
      </c>
    </row>
    <row r="4143" spans="1:10" ht="14.25" customHeight="1" x14ac:dyDescent="0.25">
      <c r="A4143" s="21">
        <v>38101</v>
      </c>
      <c r="B4143" s="21"/>
      <c r="E4143">
        <v>1</v>
      </c>
      <c r="H4143">
        <v>251</v>
      </c>
    </row>
    <row r="4144" spans="1:10" ht="14.25" customHeight="1" x14ac:dyDescent="0.25">
      <c r="A4144" s="21">
        <v>38101</v>
      </c>
      <c r="B4144" s="21"/>
    </row>
    <row r="4145" spans="1:10" ht="14.25" customHeight="1" x14ac:dyDescent="0.25">
      <c r="A4145" s="21">
        <v>39003</v>
      </c>
      <c r="B4145" s="21"/>
      <c r="C4145">
        <v>56.3</v>
      </c>
      <c r="D4145">
        <v>3.9</v>
      </c>
      <c r="E4145">
        <v>193</v>
      </c>
      <c r="F4145">
        <v>95</v>
      </c>
      <c r="G4145">
        <v>16</v>
      </c>
      <c r="H4145">
        <v>95</v>
      </c>
      <c r="I4145">
        <v>1.74</v>
      </c>
      <c r="J4145" s="1">
        <v>5640</v>
      </c>
    </row>
    <row r="4146" spans="1:10" ht="14.25" customHeight="1" x14ac:dyDescent="0.25">
      <c r="A4146" s="21">
        <v>39003</v>
      </c>
      <c r="B4146" s="21"/>
      <c r="C4146">
        <v>181.5</v>
      </c>
      <c r="D4146">
        <v>4.0999999999999996</v>
      </c>
      <c r="E4146">
        <v>398</v>
      </c>
      <c r="F4146">
        <v>311</v>
      </c>
      <c r="G4146">
        <v>18</v>
      </c>
      <c r="H4146">
        <v>311</v>
      </c>
      <c r="I4146">
        <v>1.78</v>
      </c>
      <c r="J4146" s="1">
        <v>17155</v>
      </c>
    </row>
    <row r="4147" spans="1:10" ht="14.25" customHeight="1" x14ac:dyDescent="0.25">
      <c r="A4147" s="21">
        <v>39003</v>
      </c>
      <c r="B4147" s="21"/>
      <c r="C4147">
        <v>5</v>
      </c>
      <c r="D4147">
        <v>1.9</v>
      </c>
      <c r="E4147">
        <v>41</v>
      </c>
      <c r="F4147">
        <v>12</v>
      </c>
      <c r="H4147">
        <v>12</v>
      </c>
      <c r="I4147">
        <v>2.2599999999999998</v>
      </c>
      <c r="J4147">
        <v>960</v>
      </c>
    </row>
    <row r="4148" spans="1:10" ht="14.25" customHeight="1" x14ac:dyDescent="0.25">
      <c r="A4148" s="21">
        <v>39005</v>
      </c>
      <c r="B4148" s="21"/>
      <c r="C4148">
        <v>20.6</v>
      </c>
      <c r="D4148">
        <v>3.3</v>
      </c>
      <c r="E4148">
        <v>140</v>
      </c>
      <c r="F4148">
        <v>39</v>
      </c>
      <c r="G4148">
        <v>6</v>
      </c>
      <c r="H4148">
        <v>39</v>
      </c>
      <c r="I4148">
        <v>1.31</v>
      </c>
      <c r="J4148" s="1">
        <v>2448</v>
      </c>
    </row>
    <row r="4149" spans="1:10" ht="14.25" customHeight="1" x14ac:dyDescent="0.25">
      <c r="A4149" s="21">
        <v>39007</v>
      </c>
      <c r="B4149" s="21"/>
      <c r="C4149">
        <v>46.3</v>
      </c>
      <c r="D4149">
        <v>4.3</v>
      </c>
      <c r="E4149">
        <v>168</v>
      </c>
      <c r="F4149">
        <v>104</v>
      </c>
      <c r="G4149">
        <v>9</v>
      </c>
      <c r="H4149">
        <v>104</v>
      </c>
      <c r="I4149">
        <v>1.26</v>
      </c>
      <c r="J4149" s="1">
        <v>4113</v>
      </c>
    </row>
    <row r="4150" spans="1:10" ht="14.25" customHeight="1" x14ac:dyDescent="0.25">
      <c r="A4150" s="21">
        <v>39007</v>
      </c>
      <c r="B4150" s="21"/>
      <c r="C4150">
        <v>85.7</v>
      </c>
      <c r="D4150">
        <v>10.6</v>
      </c>
      <c r="E4150">
        <v>10</v>
      </c>
      <c r="F4150">
        <v>114</v>
      </c>
      <c r="H4150">
        <v>114</v>
      </c>
      <c r="I4150">
        <v>1.3</v>
      </c>
      <c r="J4150" s="1">
        <v>2957</v>
      </c>
    </row>
    <row r="4151" spans="1:10" ht="14.25" customHeight="1" x14ac:dyDescent="0.25">
      <c r="A4151" s="21">
        <v>39009</v>
      </c>
      <c r="B4151" s="21"/>
      <c r="C4151">
        <v>7.6</v>
      </c>
      <c r="D4151">
        <v>2</v>
      </c>
      <c r="E4151">
        <v>191</v>
      </c>
      <c r="F4151">
        <v>64</v>
      </c>
      <c r="H4151">
        <v>64</v>
      </c>
      <c r="I4151">
        <v>1.47</v>
      </c>
      <c r="J4151" s="1">
        <v>2098</v>
      </c>
    </row>
    <row r="4152" spans="1:10" ht="14.25" customHeight="1" x14ac:dyDescent="0.25">
      <c r="A4152" s="21">
        <v>39011</v>
      </c>
      <c r="B4152" s="21"/>
      <c r="C4152">
        <v>13.9</v>
      </c>
      <c r="D4152">
        <v>3.3</v>
      </c>
      <c r="E4152">
        <v>80</v>
      </c>
      <c r="F4152">
        <v>36</v>
      </c>
      <c r="G4152">
        <v>6</v>
      </c>
      <c r="H4152">
        <v>36</v>
      </c>
      <c r="I4152">
        <v>1.4</v>
      </c>
      <c r="J4152" s="1">
        <v>1732</v>
      </c>
    </row>
    <row r="4153" spans="1:10" ht="14.25" customHeight="1" x14ac:dyDescent="0.25">
      <c r="A4153" s="21">
        <v>39013</v>
      </c>
      <c r="B4153" s="21"/>
      <c r="C4153">
        <v>0.7</v>
      </c>
      <c r="D4153">
        <v>13.6</v>
      </c>
      <c r="I4153">
        <v>1.1100000000000001</v>
      </c>
      <c r="J4153">
        <v>19</v>
      </c>
    </row>
    <row r="4154" spans="1:10" ht="14.25" customHeight="1" x14ac:dyDescent="0.25">
      <c r="A4154" s="21">
        <v>39013</v>
      </c>
      <c r="B4154" s="21"/>
      <c r="C4154">
        <v>18.2</v>
      </c>
      <c r="D4154">
        <v>4</v>
      </c>
      <c r="I4154">
        <v>1.37</v>
      </c>
      <c r="J4154" s="1">
        <v>1679</v>
      </c>
    </row>
    <row r="4155" spans="1:10" ht="14.25" customHeight="1" x14ac:dyDescent="0.25">
      <c r="A4155" s="21">
        <v>39015</v>
      </c>
      <c r="B4155" s="21"/>
      <c r="C4155">
        <v>5.7</v>
      </c>
      <c r="D4155">
        <v>2.8</v>
      </c>
      <c r="J4155">
        <v>748</v>
      </c>
    </row>
    <row r="4156" spans="1:10" ht="14.25" customHeight="1" x14ac:dyDescent="0.25">
      <c r="A4156" s="21">
        <v>39017</v>
      </c>
      <c r="B4156" s="21"/>
      <c r="C4156">
        <v>70.3</v>
      </c>
      <c r="D4156">
        <v>4.3</v>
      </c>
      <c r="E4156">
        <v>168</v>
      </c>
      <c r="F4156">
        <v>138</v>
      </c>
      <c r="G4156">
        <v>16</v>
      </c>
      <c r="H4156">
        <v>138</v>
      </c>
      <c r="I4156">
        <v>1.49</v>
      </c>
      <c r="J4156" s="1">
        <v>6355</v>
      </c>
    </row>
    <row r="4157" spans="1:10" ht="14.25" customHeight="1" x14ac:dyDescent="0.25">
      <c r="A4157" s="21">
        <v>39017</v>
      </c>
      <c r="B4157" s="21"/>
      <c r="C4157">
        <v>133.4</v>
      </c>
      <c r="D4157">
        <v>4.0999999999999996</v>
      </c>
      <c r="E4157">
        <v>311</v>
      </c>
      <c r="F4157">
        <v>199</v>
      </c>
      <c r="G4157">
        <v>18</v>
      </c>
      <c r="H4157">
        <v>199</v>
      </c>
      <c r="I4157">
        <v>1.71</v>
      </c>
      <c r="J4157" s="1">
        <v>12981</v>
      </c>
    </row>
    <row r="4158" spans="1:10" ht="14.25" customHeight="1" x14ac:dyDescent="0.25">
      <c r="A4158" s="21">
        <v>39017</v>
      </c>
      <c r="B4158" s="21"/>
      <c r="C4158">
        <v>17.100000000000001</v>
      </c>
      <c r="D4158">
        <v>3.3</v>
      </c>
      <c r="E4158">
        <v>75</v>
      </c>
      <c r="F4158">
        <v>45</v>
      </c>
      <c r="G4158">
        <v>4</v>
      </c>
      <c r="H4158">
        <v>45</v>
      </c>
      <c r="I4158">
        <v>1.4</v>
      </c>
      <c r="J4158" s="1">
        <v>2094</v>
      </c>
    </row>
    <row r="4159" spans="1:10" ht="14.25" customHeight="1" x14ac:dyDescent="0.25">
      <c r="A4159" s="21">
        <v>39017</v>
      </c>
      <c r="B4159" s="21"/>
      <c r="C4159">
        <v>94.8</v>
      </c>
      <c r="D4159">
        <v>4</v>
      </c>
      <c r="E4159">
        <v>251</v>
      </c>
      <c r="F4159">
        <v>153</v>
      </c>
      <c r="G4159">
        <v>18</v>
      </c>
      <c r="H4159">
        <v>153</v>
      </c>
      <c r="I4159">
        <v>1.56</v>
      </c>
      <c r="J4159" s="1">
        <v>9128</v>
      </c>
    </row>
    <row r="4160" spans="1:10" ht="14.25" customHeight="1" x14ac:dyDescent="0.25">
      <c r="A4160" s="21">
        <v>39017</v>
      </c>
      <c r="B4160" s="21"/>
      <c r="E4160">
        <v>2</v>
      </c>
      <c r="H4160">
        <v>8</v>
      </c>
    </row>
    <row r="4161" spans="1:10" ht="14.25" customHeight="1" x14ac:dyDescent="0.25">
      <c r="A4161" s="21">
        <v>39017</v>
      </c>
      <c r="B4161" s="21"/>
      <c r="E4161">
        <v>3</v>
      </c>
    </row>
    <row r="4162" spans="1:10" ht="14.25" customHeight="1" x14ac:dyDescent="0.25">
      <c r="A4162" s="21">
        <v>39017</v>
      </c>
      <c r="B4162" s="21"/>
      <c r="H4162">
        <v>82</v>
      </c>
    </row>
    <row r="4163" spans="1:10" ht="14.25" customHeight="1" x14ac:dyDescent="0.25">
      <c r="A4163" s="21">
        <v>39023</v>
      </c>
      <c r="B4163" s="21"/>
      <c r="C4163">
        <v>3.8</v>
      </c>
      <c r="D4163">
        <v>2.2999999999999998</v>
      </c>
      <c r="E4163">
        <v>98</v>
      </c>
      <c r="F4163">
        <v>24</v>
      </c>
      <c r="H4163">
        <v>24</v>
      </c>
      <c r="I4163">
        <v>2.31</v>
      </c>
      <c r="J4163">
        <v>608</v>
      </c>
    </row>
    <row r="4164" spans="1:10" ht="14.25" customHeight="1" x14ac:dyDescent="0.25">
      <c r="A4164" s="21">
        <v>39023</v>
      </c>
      <c r="B4164" s="21"/>
    </row>
    <row r="4165" spans="1:10" ht="14.25" customHeight="1" x14ac:dyDescent="0.25">
      <c r="A4165" s="21">
        <v>39023</v>
      </c>
      <c r="B4165" s="21"/>
      <c r="C4165">
        <v>139.6</v>
      </c>
      <c r="D4165">
        <v>3.8</v>
      </c>
      <c r="E4165">
        <v>299</v>
      </c>
      <c r="F4165">
        <v>230</v>
      </c>
      <c r="G4165">
        <v>38</v>
      </c>
      <c r="H4165">
        <v>230</v>
      </c>
      <c r="I4165">
        <v>1.67</v>
      </c>
      <c r="J4165" s="1">
        <v>14070</v>
      </c>
    </row>
    <row r="4166" spans="1:10" ht="14.25" customHeight="1" x14ac:dyDescent="0.25">
      <c r="A4166" s="21">
        <v>39025</v>
      </c>
      <c r="B4166" s="21"/>
      <c r="C4166">
        <v>77</v>
      </c>
      <c r="D4166">
        <v>3.9</v>
      </c>
      <c r="E4166">
        <v>172</v>
      </c>
      <c r="F4166">
        <v>147</v>
      </c>
      <c r="G4166">
        <v>16</v>
      </c>
      <c r="H4166">
        <v>147</v>
      </c>
      <c r="I4166">
        <v>1.52</v>
      </c>
      <c r="J4166" s="1">
        <v>7250</v>
      </c>
    </row>
    <row r="4167" spans="1:10" ht="14.25" customHeight="1" x14ac:dyDescent="0.25">
      <c r="A4167" s="21">
        <v>39027</v>
      </c>
      <c r="B4167" s="21"/>
      <c r="C4167">
        <v>26.3</v>
      </c>
      <c r="D4167">
        <v>3.4</v>
      </c>
      <c r="E4167">
        <v>108</v>
      </c>
      <c r="F4167">
        <v>75</v>
      </c>
      <c r="G4167">
        <v>6</v>
      </c>
      <c r="H4167">
        <v>75</v>
      </c>
      <c r="I4167">
        <v>1.38</v>
      </c>
      <c r="J4167" s="1">
        <v>3071</v>
      </c>
    </row>
    <row r="4168" spans="1:10" ht="14.25" customHeight="1" x14ac:dyDescent="0.25">
      <c r="A4168" s="21">
        <v>39027</v>
      </c>
      <c r="B4168" s="21"/>
      <c r="H4168">
        <v>14</v>
      </c>
    </row>
    <row r="4169" spans="1:10" ht="14.25" customHeight="1" x14ac:dyDescent="0.25">
      <c r="A4169" s="21">
        <v>39029</v>
      </c>
      <c r="B4169" s="21"/>
      <c r="C4169">
        <v>39.9</v>
      </c>
      <c r="D4169">
        <v>4.2</v>
      </c>
      <c r="E4169">
        <v>132</v>
      </c>
      <c r="F4169">
        <v>87</v>
      </c>
      <c r="G4169">
        <v>10</v>
      </c>
      <c r="H4169">
        <v>87</v>
      </c>
      <c r="I4169">
        <v>1.41</v>
      </c>
      <c r="J4169" s="1">
        <v>3461</v>
      </c>
    </row>
    <row r="4170" spans="1:10" ht="14.25" customHeight="1" x14ac:dyDescent="0.25">
      <c r="A4170" s="21">
        <v>39029</v>
      </c>
      <c r="B4170" s="21"/>
      <c r="C4170">
        <v>48.1</v>
      </c>
      <c r="D4170">
        <v>3</v>
      </c>
      <c r="E4170">
        <v>106</v>
      </c>
      <c r="F4170">
        <v>132</v>
      </c>
      <c r="G4170">
        <v>10</v>
      </c>
      <c r="H4170">
        <v>132</v>
      </c>
      <c r="I4170">
        <v>1.43</v>
      </c>
      <c r="J4170" s="1">
        <v>5780</v>
      </c>
    </row>
    <row r="4171" spans="1:10" ht="14.25" customHeight="1" x14ac:dyDescent="0.25">
      <c r="A4171" s="21">
        <v>39031</v>
      </c>
      <c r="B4171" s="21"/>
      <c r="C4171">
        <v>17.7</v>
      </c>
      <c r="D4171">
        <v>3.5</v>
      </c>
      <c r="E4171">
        <v>55</v>
      </c>
      <c r="F4171">
        <v>56</v>
      </c>
      <c r="G4171">
        <v>7</v>
      </c>
      <c r="H4171">
        <v>56</v>
      </c>
      <c r="I4171">
        <v>1.5</v>
      </c>
      <c r="J4171" s="1">
        <v>1828</v>
      </c>
    </row>
    <row r="4172" spans="1:10" ht="14.25" customHeight="1" x14ac:dyDescent="0.25">
      <c r="A4172" s="21">
        <v>39035</v>
      </c>
      <c r="B4172" s="21"/>
      <c r="C4172">
        <v>295.5</v>
      </c>
      <c r="D4172">
        <v>4.4000000000000004</v>
      </c>
      <c r="E4172">
        <v>475</v>
      </c>
      <c r="F4172">
        <v>385</v>
      </c>
      <c r="G4172">
        <v>23</v>
      </c>
      <c r="H4172">
        <v>385</v>
      </c>
      <c r="I4172">
        <v>1.65</v>
      </c>
      <c r="J4172" s="1">
        <v>26556</v>
      </c>
    </row>
    <row r="4173" spans="1:10" ht="14.25" customHeight="1" x14ac:dyDescent="0.25">
      <c r="A4173" s="21">
        <v>39035</v>
      </c>
      <c r="B4173" s="21"/>
      <c r="C4173">
        <v>34.9</v>
      </c>
      <c r="D4173">
        <v>1</v>
      </c>
      <c r="J4173" s="1">
        <v>12851</v>
      </c>
    </row>
    <row r="4174" spans="1:10" ht="14.25" customHeight="1" x14ac:dyDescent="0.25">
      <c r="A4174" s="21">
        <v>39035</v>
      </c>
      <c r="B4174" s="21"/>
      <c r="E4174">
        <v>8</v>
      </c>
      <c r="H4174">
        <v>110</v>
      </c>
    </row>
    <row r="4175" spans="1:10" ht="14.25" customHeight="1" x14ac:dyDescent="0.25">
      <c r="A4175" s="21">
        <v>39035</v>
      </c>
      <c r="B4175" s="21"/>
      <c r="C4175">
        <v>82.2</v>
      </c>
      <c r="D4175">
        <v>3.4</v>
      </c>
      <c r="E4175">
        <v>237</v>
      </c>
      <c r="F4175">
        <v>170</v>
      </c>
      <c r="G4175">
        <v>36</v>
      </c>
      <c r="H4175">
        <v>170</v>
      </c>
      <c r="I4175">
        <v>1.57</v>
      </c>
      <c r="J4175" s="1">
        <v>9356</v>
      </c>
    </row>
    <row r="4176" spans="1:10" ht="14.25" customHeight="1" x14ac:dyDescent="0.25">
      <c r="A4176" s="21">
        <v>39035</v>
      </c>
      <c r="B4176" s="21"/>
      <c r="C4176">
        <v>43.2</v>
      </c>
      <c r="D4176">
        <v>3.8</v>
      </c>
      <c r="J4176" s="1">
        <v>5178</v>
      </c>
    </row>
    <row r="4177" spans="1:10" ht="14.25" customHeight="1" x14ac:dyDescent="0.25">
      <c r="A4177" s="21">
        <v>39035</v>
      </c>
      <c r="B4177" s="21"/>
      <c r="C4177">
        <v>42.2</v>
      </c>
      <c r="D4177">
        <v>3.4</v>
      </c>
      <c r="E4177">
        <v>149</v>
      </c>
      <c r="F4177">
        <v>119</v>
      </c>
      <c r="G4177">
        <v>10</v>
      </c>
      <c r="H4177">
        <v>119</v>
      </c>
      <c r="I4177">
        <v>1.54</v>
      </c>
      <c r="J4177" s="1">
        <v>4531</v>
      </c>
    </row>
    <row r="4178" spans="1:10" ht="14.25" customHeight="1" x14ac:dyDescent="0.25">
      <c r="A4178" s="21">
        <v>39035</v>
      </c>
      <c r="B4178" s="21"/>
      <c r="C4178">
        <v>48.2</v>
      </c>
      <c r="D4178">
        <v>3.4</v>
      </c>
      <c r="E4178">
        <v>102</v>
      </c>
      <c r="F4178">
        <v>110</v>
      </c>
      <c r="G4178">
        <v>12</v>
      </c>
      <c r="H4178">
        <v>110</v>
      </c>
      <c r="I4178">
        <v>1.47</v>
      </c>
      <c r="J4178" s="1">
        <v>5236</v>
      </c>
    </row>
    <row r="4179" spans="1:10" ht="14.25" customHeight="1" x14ac:dyDescent="0.25">
      <c r="A4179" s="21">
        <v>39035</v>
      </c>
      <c r="B4179" s="21"/>
      <c r="C4179">
        <v>46.6</v>
      </c>
      <c r="D4179">
        <v>3.8</v>
      </c>
      <c r="E4179">
        <v>131</v>
      </c>
      <c r="F4179">
        <v>101</v>
      </c>
      <c r="G4179">
        <v>17</v>
      </c>
      <c r="H4179">
        <v>101</v>
      </c>
      <c r="I4179">
        <v>1.45</v>
      </c>
      <c r="J4179" s="1">
        <v>4533</v>
      </c>
    </row>
    <row r="4180" spans="1:10" ht="14.25" customHeight="1" x14ac:dyDescent="0.25">
      <c r="A4180" s="21">
        <v>39035</v>
      </c>
      <c r="B4180" s="21"/>
      <c r="C4180">
        <v>283.8</v>
      </c>
      <c r="D4180">
        <v>4.7</v>
      </c>
      <c r="E4180">
        <v>414</v>
      </c>
      <c r="F4180">
        <v>435</v>
      </c>
      <c r="G4180">
        <v>38</v>
      </c>
      <c r="H4180">
        <v>435</v>
      </c>
      <c r="I4180">
        <v>1.68</v>
      </c>
      <c r="J4180" s="1">
        <v>24474</v>
      </c>
    </row>
    <row r="4181" spans="1:10" ht="14.25" customHeight="1" x14ac:dyDescent="0.25">
      <c r="A4181" s="21">
        <v>39035</v>
      </c>
      <c r="B4181" s="21"/>
      <c r="C4181" s="2">
        <v>1020.6</v>
      </c>
      <c r="D4181">
        <v>7.2</v>
      </c>
      <c r="E4181" s="1">
        <v>4340</v>
      </c>
      <c r="F4181" s="1">
        <v>1285</v>
      </c>
      <c r="G4181">
        <v>64</v>
      </c>
      <c r="H4181" s="1">
        <v>1285</v>
      </c>
      <c r="I4181">
        <v>2.73</v>
      </c>
      <c r="J4181" s="1">
        <v>51373</v>
      </c>
    </row>
    <row r="4182" spans="1:10" ht="14.25" customHeight="1" x14ac:dyDescent="0.25">
      <c r="A4182" s="21">
        <v>39035</v>
      </c>
      <c r="B4182" s="21"/>
      <c r="C4182">
        <v>83.8</v>
      </c>
      <c r="D4182">
        <v>4.5999999999999996</v>
      </c>
      <c r="E4182">
        <v>136</v>
      </c>
      <c r="F4182">
        <v>221</v>
      </c>
      <c r="G4182">
        <v>28</v>
      </c>
      <c r="H4182">
        <v>221</v>
      </c>
      <c r="I4182">
        <v>1.45</v>
      </c>
      <c r="J4182" s="1">
        <v>6634</v>
      </c>
    </row>
    <row r="4183" spans="1:10" ht="14.25" customHeight="1" x14ac:dyDescent="0.25">
      <c r="A4183" s="21">
        <v>39035</v>
      </c>
      <c r="B4183" s="21"/>
      <c r="C4183">
        <v>83.1</v>
      </c>
      <c r="D4183">
        <v>4.5999999999999996</v>
      </c>
      <c r="E4183">
        <v>129</v>
      </c>
      <c r="F4183">
        <v>131</v>
      </c>
      <c r="G4183">
        <v>25</v>
      </c>
      <c r="H4183">
        <v>131</v>
      </c>
      <c r="I4183">
        <v>1.43</v>
      </c>
      <c r="J4183" s="1">
        <v>6583</v>
      </c>
    </row>
    <row r="4184" spans="1:10" ht="14.25" customHeight="1" x14ac:dyDescent="0.25">
      <c r="A4184" s="21">
        <v>39035</v>
      </c>
      <c r="B4184" s="21"/>
      <c r="C4184">
        <v>133.30000000000001</v>
      </c>
      <c r="D4184">
        <v>3.5</v>
      </c>
      <c r="E4184">
        <v>476</v>
      </c>
      <c r="F4184">
        <v>197</v>
      </c>
      <c r="G4184">
        <v>40</v>
      </c>
      <c r="H4184">
        <v>197</v>
      </c>
      <c r="I4184">
        <v>1.59</v>
      </c>
      <c r="J4184" s="1">
        <v>14506</v>
      </c>
    </row>
    <row r="4185" spans="1:10" ht="14.25" customHeight="1" x14ac:dyDescent="0.25">
      <c r="A4185" s="21">
        <v>39035</v>
      </c>
      <c r="B4185" s="21"/>
      <c r="C4185">
        <v>471.6</v>
      </c>
      <c r="D4185">
        <v>6</v>
      </c>
      <c r="E4185" s="1">
        <v>1483</v>
      </c>
      <c r="F4185">
        <v>624</v>
      </c>
      <c r="G4185">
        <v>30</v>
      </c>
      <c r="H4185">
        <v>624</v>
      </c>
      <c r="I4185">
        <v>2.39</v>
      </c>
      <c r="J4185" s="1">
        <v>30066</v>
      </c>
    </row>
    <row r="4186" spans="1:10" ht="14.25" customHeight="1" x14ac:dyDescent="0.25">
      <c r="A4186" s="21">
        <v>39035</v>
      </c>
      <c r="B4186" s="21"/>
      <c r="C4186">
        <v>95</v>
      </c>
      <c r="D4186">
        <v>3.9</v>
      </c>
      <c r="E4186">
        <v>245</v>
      </c>
      <c r="F4186">
        <v>230</v>
      </c>
      <c r="G4186">
        <v>16</v>
      </c>
      <c r="H4186">
        <v>230</v>
      </c>
      <c r="I4186">
        <v>1.53</v>
      </c>
      <c r="J4186" s="1">
        <v>9006</v>
      </c>
    </row>
    <row r="4187" spans="1:10" ht="14.25" customHeight="1" x14ac:dyDescent="0.25">
      <c r="A4187" s="21">
        <v>39035</v>
      </c>
      <c r="B4187" s="21"/>
      <c r="C4187">
        <v>297.7</v>
      </c>
      <c r="D4187">
        <v>5.6</v>
      </c>
      <c r="E4187" s="1">
        <v>1020</v>
      </c>
      <c r="F4187">
        <v>528</v>
      </c>
      <c r="G4187">
        <v>28</v>
      </c>
      <c r="H4187">
        <v>528</v>
      </c>
      <c r="I4187">
        <v>1.81</v>
      </c>
      <c r="J4187" s="1">
        <v>20738</v>
      </c>
    </row>
    <row r="4188" spans="1:10" ht="14.25" customHeight="1" x14ac:dyDescent="0.25">
      <c r="A4188" s="21">
        <v>39035</v>
      </c>
      <c r="B4188" s="21"/>
      <c r="C4188">
        <v>57.1</v>
      </c>
      <c r="D4188">
        <v>3.7</v>
      </c>
      <c r="E4188">
        <v>195</v>
      </c>
      <c r="F4188">
        <v>126</v>
      </c>
      <c r="G4188">
        <v>10</v>
      </c>
      <c r="H4188">
        <v>126</v>
      </c>
      <c r="I4188">
        <v>1.79</v>
      </c>
      <c r="J4188" s="1">
        <v>5937</v>
      </c>
    </row>
    <row r="4189" spans="1:10" ht="14.25" customHeight="1" x14ac:dyDescent="0.25">
      <c r="A4189" s="21">
        <v>39035</v>
      </c>
      <c r="B4189" s="21"/>
      <c r="C4189">
        <v>93.3</v>
      </c>
      <c r="D4189">
        <v>3.9</v>
      </c>
      <c r="E4189">
        <v>200</v>
      </c>
      <c r="F4189">
        <v>137</v>
      </c>
      <c r="G4189">
        <v>20</v>
      </c>
      <c r="H4189">
        <v>137</v>
      </c>
      <c r="I4189">
        <v>1.7</v>
      </c>
      <c r="J4189" s="1">
        <v>8709</v>
      </c>
    </row>
    <row r="4190" spans="1:10" ht="14.25" customHeight="1" x14ac:dyDescent="0.25">
      <c r="A4190" s="21">
        <v>39035</v>
      </c>
      <c r="B4190" s="21"/>
      <c r="E4190">
        <v>16</v>
      </c>
      <c r="H4190">
        <v>93</v>
      </c>
    </row>
    <row r="4191" spans="1:10" ht="14.25" customHeight="1" x14ac:dyDescent="0.25">
      <c r="A4191" s="21">
        <v>39035</v>
      </c>
      <c r="B4191" s="21"/>
      <c r="H4191">
        <v>120</v>
      </c>
    </row>
    <row r="4192" spans="1:10" ht="14.25" customHeight="1" x14ac:dyDescent="0.25">
      <c r="A4192" s="21">
        <v>39035</v>
      </c>
      <c r="B4192" s="21"/>
    </row>
    <row r="4193" spans="1:10" ht="14.25" customHeight="1" x14ac:dyDescent="0.25">
      <c r="A4193" s="21">
        <v>39035</v>
      </c>
      <c r="B4193" s="21"/>
      <c r="H4193">
        <v>12</v>
      </c>
    </row>
    <row r="4194" spans="1:10" ht="14.25" customHeight="1" x14ac:dyDescent="0.25">
      <c r="A4194" s="21">
        <v>39035</v>
      </c>
      <c r="B4194" s="21"/>
      <c r="H4194">
        <v>24</v>
      </c>
    </row>
    <row r="4195" spans="1:10" ht="14.25" customHeight="1" x14ac:dyDescent="0.25">
      <c r="A4195" s="21">
        <v>39037</v>
      </c>
      <c r="B4195" s="21"/>
      <c r="C4195">
        <v>10.9</v>
      </c>
      <c r="D4195">
        <v>2.5</v>
      </c>
      <c r="E4195">
        <v>110</v>
      </c>
      <c r="F4195">
        <v>40</v>
      </c>
      <c r="G4195">
        <v>6</v>
      </c>
      <c r="H4195">
        <v>40</v>
      </c>
      <c r="I4195">
        <v>1.31</v>
      </c>
      <c r="J4195" s="1">
        <v>1834</v>
      </c>
    </row>
    <row r="4196" spans="1:10" ht="14.25" customHeight="1" x14ac:dyDescent="0.25">
      <c r="A4196" s="21">
        <v>39039</v>
      </c>
      <c r="B4196" s="21"/>
      <c r="C4196">
        <v>8.1</v>
      </c>
      <c r="D4196">
        <v>2.7</v>
      </c>
      <c r="E4196">
        <v>64</v>
      </c>
      <c r="F4196">
        <v>23</v>
      </c>
      <c r="H4196">
        <v>23</v>
      </c>
      <c r="I4196">
        <v>1.3</v>
      </c>
      <c r="J4196" s="1">
        <v>1109</v>
      </c>
    </row>
    <row r="4197" spans="1:10" ht="14.25" customHeight="1" x14ac:dyDescent="0.25">
      <c r="A4197" s="21">
        <v>39041</v>
      </c>
      <c r="B4197" s="21"/>
      <c r="C4197">
        <v>15</v>
      </c>
      <c r="D4197">
        <v>3.3</v>
      </c>
      <c r="E4197">
        <v>117</v>
      </c>
      <c r="F4197">
        <v>64</v>
      </c>
      <c r="G4197">
        <v>6</v>
      </c>
      <c r="H4197">
        <v>64</v>
      </c>
      <c r="I4197">
        <v>1.48</v>
      </c>
      <c r="J4197" s="1">
        <v>1876</v>
      </c>
    </row>
    <row r="4198" spans="1:10" ht="14.25" customHeight="1" x14ac:dyDescent="0.25">
      <c r="A4198" s="21">
        <v>39043</v>
      </c>
      <c r="B4198" s="21"/>
      <c r="C4198">
        <v>99.6</v>
      </c>
      <c r="D4198">
        <v>4.4000000000000004</v>
      </c>
      <c r="E4198">
        <v>279</v>
      </c>
      <c r="F4198">
        <v>183</v>
      </c>
      <c r="G4198">
        <v>18</v>
      </c>
      <c r="H4198">
        <v>183</v>
      </c>
      <c r="I4198">
        <v>1.47</v>
      </c>
      <c r="J4198" s="1">
        <v>8583</v>
      </c>
    </row>
    <row r="4199" spans="1:10" ht="14.25" customHeight="1" x14ac:dyDescent="0.25">
      <c r="A4199" s="21">
        <v>39043</v>
      </c>
      <c r="B4199" s="21"/>
      <c r="H4199">
        <v>227</v>
      </c>
    </row>
    <row r="4200" spans="1:10" ht="14.25" customHeight="1" x14ac:dyDescent="0.25">
      <c r="A4200" s="21">
        <v>39045</v>
      </c>
      <c r="B4200" s="21"/>
      <c r="C4200">
        <v>115.7</v>
      </c>
      <c r="D4200">
        <v>3.6</v>
      </c>
      <c r="E4200">
        <v>313</v>
      </c>
      <c r="F4200">
        <v>213</v>
      </c>
      <c r="G4200">
        <v>20</v>
      </c>
      <c r="H4200">
        <v>213</v>
      </c>
      <c r="I4200">
        <v>1.65</v>
      </c>
      <c r="J4200" s="1">
        <v>12174</v>
      </c>
    </row>
    <row r="4201" spans="1:10" ht="14.25" customHeight="1" x14ac:dyDescent="0.25">
      <c r="A4201" s="21">
        <v>39049</v>
      </c>
      <c r="B4201" s="21"/>
      <c r="C4201">
        <v>16</v>
      </c>
      <c r="D4201">
        <v>1.6</v>
      </c>
      <c r="E4201">
        <v>104</v>
      </c>
      <c r="F4201">
        <v>60</v>
      </c>
      <c r="H4201">
        <v>60</v>
      </c>
      <c r="I4201">
        <v>2.58</v>
      </c>
      <c r="J4201" s="1">
        <v>3679</v>
      </c>
    </row>
    <row r="4202" spans="1:10" ht="14.25" customHeight="1" x14ac:dyDescent="0.25">
      <c r="A4202" s="21">
        <v>39049</v>
      </c>
      <c r="B4202" s="21"/>
      <c r="C4202">
        <v>290.39999999999998</v>
      </c>
      <c r="D4202">
        <v>7</v>
      </c>
      <c r="E4202">
        <v>816</v>
      </c>
      <c r="F4202">
        <v>344</v>
      </c>
      <c r="G4202">
        <v>44</v>
      </c>
      <c r="H4202">
        <v>344</v>
      </c>
      <c r="I4202">
        <v>2.0699999999999998</v>
      </c>
      <c r="J4202" s="1">
        <v>15193</v>
      </c>
    </row>
    <row r="4203" spans="1:10" ht="14.25" customHeight="1" x14ac:dyDescent="0.25">
      <c r="A4203" s="21">
        <v>39049</v>
      </c>
      <c r="B4203" s="21"/>
      <c r="C4203">
        <v>43.5</v>
      </c>
      <c r="D4203">
        <v>3.3</v>
      </c>
      <c r="E4203">
        <v>176</v>
      </c>
      <c r="F4203">
        <v>102</v>
      </c>
      <c r="H4203">
        <v>102</v>
      </c>
      <c r="I4203">
        <v>2.04</v>
      </c>
      <c r="J4203" s="1">
        <v>6471</v>
      </c>
    </row>
    <row r="4204" spans="1:10" ht="14.25" customHeight="1" x14ac:dyDescent="0.25">
      <c r="A4204" s="21">
        <v>39049</v>
      </c>
      <c r="B4204" s="21"/>
      <c r="C4204">
        <v>762.1</v>
      </c>
      <c r="D4204">
        <v>5.8</v>
      </c>
      <c r="E4204" s="1">
        <v>1537</v>
      </c>
      <c r="F4204">
        <v>982</v>
      </c>
      <c r="G4204">
        <v>97</v>
      </c>
      <c r="H4204">
        <v>982</v>
      </c>
      <c r="I4204">
        <v>2.0299999999999998</v>
      </c>
      <c r="J4204" s="1">
        <v>49765</v>
      </c>
    </row>
    <row r="4205" spans="1:10" ht="14.25" customHeight="1" x14ac:dyDescent="0.25">
      <c r="A4205" s="21">
        <v>39049</v>
      </c>
      <c r="B4205" s="21"/>
      <c r="C4205">
        <v>95.1</v>
      </c>
      <c r="D4205">
        <v>4.4000000000000004</v>
      </c>
      <c r="E4205">
        <v>266</v>
      </c>
      <c r="F4205">
        <v>172</v>
      </c>
      <c r="G4205">
        <v>18</v>
      </c>
      <c r="H4205">
        <v>172</v>
      </c>
      <c r="I4205">
        <v>1.69</v>
      </c>
      <c r="J4205" s="1">
        <v>8388</v>
      </c>
    </row>
    <row r="4206" spans="1:10" ht="14.25" customHeight="1" x14ac:dyDescent="0.25">
      <c r="A4206" s="21">
        <v>39049</v>
      </c>
      <c r="B4206" s="21"/>
      <c r="C4206">
        <v>267.10000000000002</v>
      </c>
      <c r="D4206">
        <v>5.3</v>
      </c>
      <c r="E4206">
        <v>771</v>
      </c>
      <c r="F4206">
        <v>434</v>
      </c>
      <c r="G4206">
        <v>35</v>
      </c>
      <c r="H4206">
        <v>434</v>
      </c>
      <c r="I4206">
        <v>2.16</v>
      </c>
      <c r="J4206" s="1">
        <v>19091</v>
      </c>
    </row>
    <row r="4207" spans="1:10" ht="14.25" customHeight="1" x14ac:dyDescent="0.25">
      <c r="A4207" s="21">
        <v>39049</v>
      </c>
      <c r="B4207" s="21"/>
      <c r="C4207">
        <v>374.7</v>
      </c>
      <c r="D4207">
        <v>4.3</v>
      </c>
      <c r="I4207">
        <v>1.88</v>
      </c>
      <c r="J4207" s="1">
        <v>31966</v>
      </c>
    </row>
    <row r="4208" spans="1:10" ht="14.25" customHeight="1" x14ac:dyDescent="0.25">
      <c r="A4208" s="21">
        <v>39049</v>
      </c>
      <c r="B4208" s="21"/>
      <c r="C4208">
        <v>525.5</v>
      </c>
      <c r="D4208">
        <v>4.9000000000000004</v>
      </c>
      <c r="E4208" s="1">
        <v>1854</v>
      </c>
      <c r="F4208">
        <v>695</v>
      </c>
      <c r="G4208">
        <v>88</v>
      </c>
      <c r="H4208">
        <v>695</v>
      </c>
      <c r="I4208">
        <v>2.2200000000000002</v>
      </c>
      <c r="J4208" s="1">
        <v>41759</v>
      </c>
    </row>
    <row r="4209" spans="1:10" ht="14.25" customHeight="1" x14ac:dyDescent="0.25">
      <c r="A4209" s="21">
        <v>39049</v>
      </c>
      <c r="B4209" s="21"/>
      <c r="C4209">
        <v>173.5</v>
      </c>
      <c r="D4209">
        <v>4.0999999999999996</v>
      </c>
      <c r="E4209">
        <v>588</v>
      </c>
      <c r="F4209">
        <v>284</v>
      </c>
      <c r="G4209">
        <v>12</v>
      </c>
      <c r="H4209">
        <v>284</v>
      </c>
      <c r="I4209">
        <v>1.87</v>
      </c>
      <c r="J4209" s="1">
        <v>17344</v>
      </c>
    </row>
    <row r="4210" spans="1:10" ht="14.25" customHeight="1" x14ac:dyDescent="0.25">
      <c r="A4210" s="21">
        <v>39049</v>
      </c>
      <c r="B4210" s="21"/>
    </row>
    <row r="4211" spans="1:10" ht="14.25" customHeight="1" x14ac:dyDescent="0.25">
      <c r="A4211" s="21">
        <v>39049</v>
      </c>
      <c r="B4211" s="21"/>
      <c r="E4211">
        <v>5</v>
      </c>
      <c r="H4211">
        <v>190</v>
      </c>
    </row>
    <row r="4212" spans="1:10" ht="14.25" customHeight="1" x14ac:dyDescent="0.25">
      <c r="A4212" s="21">
        <v>39049</v>
      </c>
      <c r="B4212" s="21"/>
      <c r="H4212">
        <v>150</v>
      </c>
    </row>
    <row r="4213" spans="1:10" ht="14.25" customHeight="1" x14ac:dyDescent="0.25">
      <c r="A4213" s="21">
        <v>39049</v>
      </c>
      <c r="B4213" s="21"/>
      <c r="E4213">
        <v>301</v>
      </c>
      <c r="H4213">
        <v>363</v>
      </c>
    </row>
    <row r="4214" spans="1:10" ht="14.25" customHeight="1" x14ac:dyDescent="0.25">
      <c r="A4214" s="21">
        <v>39049</v>
      </c>
      <c r="B4214" s="21"/>
      <c r="C4214">
        <v>1.6</v>
      </c>
      <c r="D4214">
        <v>2.2999999999999998</v>
      </c>
      <c r="E4214">
        <v>85</v>
      </c>
      <c r="F4214">
        <v>10</v>
      </c>
      <c r="H4214">
        <v>10</v>
      </c>
      <c r="I4214">
        <v>1.23</v>
      </c>
      <c r="J4214">
        <v>247</v>
      </c>
    </row>
    <row r="4215" spans="1:10" ht="14.25" customHeight="1" x14ac:dyDescent="0.25">
      <c r="A4215" s="21">
        <v>39049</v>
      </c>
      <c r="B4215" s="21"/>
      <c r="H4215">
        <v>72</v>
      </c>
    </row>
    <row r="4216" spans="1:10" ht="14.25" customHeight="1" x14ac:dyDescent="0.25">
      <c r="A4216" s="21">
        <v>39049</v>
      </c>
      <c r="B4216" s="21"/>
      <c r="H4216">
        <v>26</v>
      </c>
    </row>
    <row r="4217" spans="1:10" ht="14.25" customHeight="1" x14ac:dyDescent="0.25">
      <c r="A4217" s="21">
        <v>39049</v>
      </c>
      <c r="B4217" s="21"/>
    </row>
    <row r="4218" spans="1:10" ht="14.25" customHeight="1" x14ac:dyDescent="0.25">
      <c r="A4218" s="21">
        <v>39049</v>
      </c>
      <c r="B4218" s="21"/>
      <c r="E4218">
        <v>38</v>
      </c>
      <c r="H4218">
        <v>87</v>
      </c>
    </row>
    <row r="4219" spans="1:10" ht="14.25" customHeight="1" x14ac:dyDescent="0.25">
      <c r="A4219" s="21">
        <v>39053</v>
      </c>
      <c r="B4219" s="21"/>
      <c r="C4219">
        <v>39.5</v>
      </c>
      <c r="D4219">
        <v>4</v>
      </c>
      <c r="E4219">
        <v>272</v>
      </c>
      <c r="F4219">
        <v>157</v>
      </c>
      <c r="G4219">
        <v>14</v>
      </c>
      <c r="H4219">
        <v>157</v>
      </c>
      <c r="I4219">
        <v>1.46</v>
      </c>
      <c r="J4219" s="1">
        <v>3940</v>
      </c>
    </row>
    <row r="4220" spans="1:10" ht="14.25" customHeight="1" x14ac:dyDescent="0.25">
      <c r="A4220" s="21">
        <v>39055</v>
      </c>
      <c r="B4220" s="21"/>
      <c r="C4220">
        <v>68.2</v>
      </c>
      <c r="D4220">
        <v>3.7</v>
      </c>
      <c r="E4220">
        <v>227</v>
      </c>
      <c r="F4220">
        <v>124</v>
      </c>
      <c r="G4220">
        <v>12</v>
      </c>
      <c r="H4220">
        <v>124</v>
      </c>
      <c r="I4220">
        <v>1.59</v>
      </c>
      <c r="J4220" s="1">
        <v>7102</v>
      </c>
    </row>
    <row r="4221" spans="1:10" ht="14.25" customHeight="1" x14ac:dyDescent="0.25">
      <c r="A4221" s="21">
        <v>39057</v>
      </c>
      <c r="B4221" s="21"/>
      <c r="C4221">
        <v>25.2</v>
      </c>
      <c r="D4221">
        <v>4</v>
      </c>
      <c r="E4221">
        <v>109</v>
      </c>
      <c r="F4221">
        <v>49</v>
      </c>
      <c r="G4221">
        <v>8</v>
      </c>
      <c r="H4221">
        <v>49</v>
      </c>
      <c r="I4221">
        <v>1.48</v>
      </c>
      <c r="J4221" s="1">
        <v>2289</v>
      </c>
    </row>
    <row r="4222" spans="1:10" ht="14.25" customHeight="1" x14ac:dyDescent="0.25">
      <c r="A4222" s="21">
        <v>39057</v>
      </c>
      <c r="B4222" s="21"/>
      <c r="C4222">
        <v>71.099999999999994</v>
      </c>
      <c r="D4222">
        <v>3.8</v>
      </c>
      <c r="E4222">
        <v>147</v>
      </c>
      <c r="F4222">
        <v>129</v>
      </c>
      <c r="G4222">
        <v>12</v>
      </c>
      <c r="H4222">
        <v>129</v>
      </c>
      <c r="I4222">
        <v>1.52</v>
      </c>
      <c r="J4222" s="1">
        <v>7317</v>
      </c>
    </row>
    <row r="4223" spans="1:10" ht="14.25" customHeight="1" x14ac:dyDescent="0.25">
      <c r="A4223" s="21">
        <v>39059</v>
      </c>
      <c r="B4223" s="21"/>
      <c r="C4223">
        <v>29.2</v>
      </c>
      <c r="D4223">
        <v>3.6</v>
      </c>
      <c r="E4223">
        <v>120</v>
      </c>
      <c r="F4223">
        <v>90</v>
      </c>
      <c r="G4223">
        <v>11</v>
      </c>
      <c r="H4223">
        <v>90</v>
      </c>
      <c r="I4223">
        <v>1.48</v>
      </c>
      <c r="J4223" s="1">
        <v>3195</v>
      </c>
    </row>
    <row r="4224" spans="1:10" ht="14.25" customHeight="1" x14ac:dyDescent="0.25">
      <c r="A4224" s="21">
        <v>39061</v>
      </c>
      <c r="B4224" s="21"/>
      <c r="C4224">
        <v>264.7</v>
      </c>
      <c r="D4224">
        <v>4.5</v>
      </c>
      <c r="E4224">
        <v>906</v>
      </c>
      <c r="F4224">
        <v>365</v>
      </c>
      <c r="G4224">
        <v>38</v>
      </c>
      <c r="H4224">
        <v>365</v>
      </c>
      <c r="I4224">
        <v>1.85</v>
      </c>
      <c r="J4224" s="1">
        <v>23457</v>
      </c>
    </row>
    <row r="4225" spans="1:10" ht="14.25" customHeight="1" x14ac:dyDescent="0.25">
      <c r="A4225" s="21">
        <v>39061</v>
      </c>
      <c r="B4225" s="21"/>
      <c r="C4225">
        <v>262.5</v>
      </c>
      <c r="D4225">
        <v>4.5999999999999996</v>
      </c>
      <c r="E4225">
        <v>761</v>
      </c>
      <c r="F4225">
        <v>471</v>
      </c>
      <c r="G4225">
        <v>21</v>
      </c>
      <c r="H4225">
        <v>471</v>
      </c>
      <c r="I4225">
        <v>2.16</v>
      </c>
      <c r="J4225" s="1">
        <v>22185</v>
      </c>
    </row>
    <row r="4226" spans="1:10" ht="14.25" customHeight="1" x14ac:dyDescent="0.25">
      <c r="A4226" s="21">
        <v>39061</v>
      </c>
      <c r="B4226" s="21"/>
      <c r="C4226">
        <v>248</v>
      </c>
      <c r="D4226">
        <v>5.3</v>
      </c>
      <c r="E4226">
        <v>384</v>
      </c>
      <c r="F4226">
        <v>365</v>
      </c>
      <c r="G4226">
        <v>29</v>
      </c>
      <c r="H4226">
        <v>365</v>
      </c>
      <c r="I4226">
        <v>2.0299999999999998</v>
      </c>
      <c r="J4226" s="1">
        <v>19306</v>
      </c>
    </row>
    <row r="4227" spans="1:10" ht="14.25" customHeight="1" x14ac:dyDescent="0.25">
      <c r="A4227" s="21">
        <v>39061</v>
      </c>
      <c r="B4227" s="21"/>
      <c r="C4227">
        <v>50.4</v>
      </c>
      <c r="D4227">
        <v>3.9</v>
      </c>
      <c r="J4227" s="1">
        <v>4699</v>
      </c>
    </row>
    <row r="4228" spans="1:10" ht="14.25" customHeight="1" x14ac:dyDescent="0.25">
      <c r="A4228" s="21">
        <v>39061</v>
      </c>
      <c r="B4228" s="21"/>
      <c r="C4228">
        <v>136.19999999999999</v>
      </c>
      <c r="D4228">
        <v>4.0999999999999996</v>
      </c>
      <c r="E4228">
        <v>278</v>
      </c>
      <c r="F4228">
        <v>172</v>
      </c>
      <c r="G4228">
        <v>54</v>
      </c>
      <c r="H4228">
        <v>172</v>
      </c>
      <c r="I4228">
        <v>1.79</v>
      </c>
      <c r="J4228" s="1">
        <v>12170</v>
      </c>
    </row>
    <row r="4229" spans="1:10" ht="14.25" customHeight="1" x14ac:dyDescent="0.25">
      <c r="A4229" s="21">
        <v>39061</v>
      </c>
      <c r="B4229" s="21"/>
      <c r="C4229">
        <v>3.7</v>
      </c>
      <c r="D4229">
        <v>6.4</v>
      </c>
      <c r="J4229">
        <v>210</v>
      </c>
    </row>
    <row r="4230" spans="1:10" ht="14.25" customHeight="1" x14ac:dyDescent="0.25">
      <c r="A4230" s="21">
        <v>39061</v>
      </c>
      <c r="B4230" s="21"/>
      <c r="C4230">
        <v>417.7</v>
      </c>
      <c r="D4230">
        <v>6.3</v>
      </c>
      <c r="E4230" s="1">
        <v>1180</v>
      </c>
      <c r="F4230">
        <v>515</v>
      </c>
      <c r="H4230">
        <v>515</v>
      </c>
      <c r="I4230">
        <v>2.15</v>
      </c>
      <c r="J4230" s="1">
        <v>24131</v>
      </c>
    </row>
    <row r="4231" spans="1:10" ht="14.25" customHeight="1" x14ac:dyDescent="0.25">
      <c r="A4231" s="21">
        <v>39061</v>
      </c>
      <c r="B4231" s="21"/>
      <c r="C4231">
        <v>133.5</v>
      </c>
      <c r="D4231">
        <v>4.0999999999999996</v>
      </c>
      <c r="E4231">
        <v>233</v>
      </c>
      <c r="F4231">
        <v>257</v>
      </c>
      <c r="G4231">
        <v>37</v>
      </c>
      <c r="H4231">
        <v>257</v>
      </c>
      <c r="I4231">
        <v>1.74</v>
      </c>
      <c r="J4231" s="1">
        <v>12950</v>
      </c>
    </row>
    <row r="4232" spans="1:10" ht="14.25" customHeight="1" x14ac:dyDescent="0.25">
      <c r="A4232" s="21">
        <v>39061</v>
      </c>
      <c r="B4232" s="21"/>
      <c r="C4232">
        <v>2</v>
      </c>
      <c r="D4232">
        <v>1.1000000000000001</v>
      </c>
      <c r="E4232">
        <v>42</v>
      </c>
      <c r="F4232">
        <v>29</v>
      </c>
      <c r="H4232">
        <v>29</v>
      </c>
      <c r="I4232">
        <v>2.37</v>
      </c>
      <c r="J4232">
        <v>650</v>
      </c>
    </row>
    <row r="4233" spans="1:10" ht="14.25" customHeight="1" x14ac:dyDescent="0.25">
      <c r="A4233" s="21">
        <v>39061</v>
      </c>
      <c r="B4233" s="21"/>
    </row>
    <row r="4234" spans="1:10" ht="14.25" customHeight="1" x14ac:dyDescent="0.25">
      <c r="A4234" s="21">
        <v>39061</v>
      </c>
      <c r="B4234" s="21"/>
      <c r="C4234">
        <v>141.4</v>
      </c>
      <c r="D4234">
        <v>4.0999999999999996</v>
      </c>
      <c r="E4234">
        <v>355</v>
      </c>
      <c r="F4234">
        <v>197</v>
      </c>
      <c r="G4234">
        <v>18</v>
      </c>
      <c r="H4234">
        <v>197</v>
      </c>
      <c r="I4234">
        <v>1.61</v>
      </c>
      <c r="J4234" s="1">
        <v>12948</v>
      </c>
    </row>
    <row r="4235" spans="1:10" ht="14.25" customHeight="1" x14ac:dyDescent="0.25">
      <c r="A4235" s="21">
        <v>39063</v>
      </c>
      <c r="B4235" s="21"/>
      <c r="C4235">
        <v>64.7</v>
      </c>
      <c r="D4235">
        <v>3.9</v>
      </c>
      <c r="E4235">
        <v>319</v>
      </c>
      <c r="F4235">
        <v>141</v>
      </c>
      <c r="H4235">
        <v>141</v>
      </c>
      <c r="I4235">
        <v>1.57</v>
      </c>
      <c r="J4235" s="1">
        <v>6824</v>
      </c>
    </row>
    <row r="4236" spans="1:10" ht="14.25" customHeight="1" x14ac:dyDescent="0.25">
      <c r="A4236" s="21">
        <v>39075</v>
      </c>
      <c r="B4236" s="21"/>
      <c r="C4236">
        <v>10.6</v>
      </c>
      <c r="D4236">
        <v>3</v>
      </c>
      <c r="E4236">
        <v>54</v>
      </c>
      <c r="F4236">
        <v>41</v>
      </c>
      <c r="G4236">
        <v>4</v>
      </c>
      <c r="H4236">
        <v>41</v>
      </c>
      <c r="I4236">
        <v>1.22</v>
      </c>
      <c r="J4236" s="1">
        <v>1521</v>
      </c>
    </row>
    <row r="4237" spans="1:10" ht="14.25" customHeight="1" x14ac:dyDescent="0.25">
      <c r="A4237" s="21">
        <v>39077</v>
      </c>
      <c r="B4237" s="21"/>
      <c r="C4237">
        <v>25.1</v>
      </c>
      <c r="D4237">
        <v>3</v>
      </c>
      <c r="E4237">
        <v>152</v>
      </c>
      <c r="F4237">
        <v>78</v>
      </c>
      <c r="G4237">
        <v>10</v>
      </c>
      <c r="H4237">
        <v>78</v>
      </c>
      <c r="I4237">
        <v>1.37</v>
      </c>
      <c r="J4237" s="1">
        <v>3456</v>
      </c>
    </row>
    <row r="4238" spans="1:10" ht="14.25" customHeight="1" x14ac:dyDescent="0.25">
      <c r="A4238" s="21">
        <v>39077</v>
      </c>
      <c r="B4238" s="21"/>
      <c r="C4238">
        <v>11</v>
      </c>
      <c r="D4238">
        <v>3.5</v>
      </c>
      <c r="E4238">
        <v>54</v>
      </c>
      <c r="F4238">
        <v>50</v>
      </c>
      <c r="G4238">
        <v>10</v>
      </c>
      <c r="H4238">
        <v>50</v>
      </c>
      <c r="I4238">
        <v>1.34</v>
      </c>
      <c r="J4238" s="1">
        <v>1427</v>
      </c>
    </row>
    <row r="4239" spans="1:10" ht="14.25" customHeight="1" x14ac:dyDescent="0.25">
      <c r="A4239" s="21">
        <v>39081</v>
      </c>
      <c r="B4239" s="21"/>
    </row>
    <row r="4240" spans="1:10" ht="14.25" customHeight="1" x14ac:dyDescent="0.25">
      <c r="A4240" s="21">
        <v>39081</v>
      </c>
      <c r="B4240" s="21"/>
      <c r="C4240">
        <v>82.5</v>
      </c>
      <c r="D4240">
        <v>4.2</v>
      </c>
      <c r="E4240">
        <v>251</v>
      </c>
      <c r="F4240">
        <v>171</v>
      </c>
      <c r="G4240">
        <v>12</v>
      </c>
      <c r="H4240">
        <v>171</v>
      </c>
      <c r="I4240">
        <v>1.66</v>
      </c>
      <c r="J4240" s="1">
        <v>7479</v>
      </c>
    </row>
    <row r="4241" spans="1:10" ht="14.25" customHeight="1" x14ac:dyDescent="0.25">
      <c r="A4241" s="21">
        <v>39083</v>
      </c>
      <c r="B4241" s="21"/>
      <c r="C4241">
        <v>32.5</v>
      </c>
      <c r="D4241">
        <v>3.5</v>
      </c>
      <c r="E4241">
        <v>163</v>
      </c>
      <c r="F4241">
        <v>65</v>
      </c>
      <c r="G4241">
        <v>12</v>
      </c>
      <c r="H4241">
        <v>65</v>
      </c>
      <c r="I4241">
        <v>1.54</v>
      </c>
      <c r="J4241" s="1">
        <v>3553</v>
      </c>
    </row>
    <row r="4242" spans="1:10" ht="14.25" customHeight="1" x14ac:dyDescent="0.25">
      <c r="A4242" s="21">
        <v>39085</v>
      </c>
      <c r="B4242" s="21"/>
      <c r="C4242">
        <v>155.19999999999999</v>
      </c>
      <c r="D4242">
        <v>4</v>
      </c>
      <c r="E4242">
        <v>474</v>
      </c>
      <c r="F4242">
        <v>312</v>
      </c>
      <c r="G4242">
        <v>27</v>
      </c>
      <c r="H4242">
        <v>312</v>
      </c>
      <c r="I4242">
        <v>1.57</v>
      </c>
      <c r="J4242" s="1">
        <v>14972</v>
      </c>
    </row>
    <row r="4243" spans="1:10" ht="14.25" customHeight="1" x14ac:dyDescent="0.25">
      <c r="A4243" s="21">
        <v>39085</v>
      </c>
      <c r="B4243" s="21"/>
      <c r="E4243">
        <v>19</v>
      </c>
      <c r="H4243">
        <v>238</v>
      </c>
    </row>
    <row r="4244" spans="1:10" ht="14.25" customHeight="1" x14ac:dyDescent="0.25">
      <c r="A4244" s="21">
        <v>39087</v>
      </c>
      <c r="B4244" s="21"/>
      <c r="C4244">
        <v>0.2</v>
      </c>
      <c r="D4244">
        <v>1</v>
      </c>
      <c r="E4244">
        <v>8</v>
      </c>
      <c r="F4244">
        <v>8</v>
      </c>
      <c r="H4244">
        <v>8</v>
      </c>
      <c r="I4244">
        <v>2.4300000000000002</v>
      </c>
      <c r="J4244">
        <v>74</v>
      </c>
    </row>
    <row r="4245" spans="1:10" ht="14.25" customHeight="1" x14ac:dyDescent="0.25">
      <c r="A4245" s="21">
        <v>39089</v>
      </c>
      <c r="B4245" s="21"/>
      <c r="C4245">
        <v>71.7</v>
      </c>
      <c r="D4245">
        <v>3.3</v>
      </c>
      <c r="E4245">
        <v>323</v>
      </c>
      <c r="F4245">
        <v>219</v>
      </c>
      <c r="G4245">
        <v>13</v>
      </c>
      <c r="H4245">
        <v>227</v>
      </c>
      <c r="I4245">
        <v>1.4</v>
      </c>
      <c r="J4245" s="1">
        <v>8700</v>
      </c>
    </row>
    <row r="4246" spans="1:10" ht="14.25" customHeight="1" x14ac:dyDescent="0.25">
      <c r="A4246" s="21">
        <v>39089</v>
      </c>
      <c r="B4246" s="21"/>
      <c r="C4246">
        <v>3.4</v>
      </c>
      <c r="D4246">
        <v>3.3</v>
      </c>
      <c r="J4246">
        <v>374</v>
      </c>
    </row>
    <row r="4247" spans="1:10" ht="14.25" customHeight="1" x14ac:dyDescent="0.25">
      <c r="A4247" s="21">
        <v>39091</v>
      </c>
      <c r="B4247" s="21"/>
      <c r="C4247">
        <v>9.9</v>
      </c>
      <c r="D4247">
        <v>3.1</v>
      </c>
      <c r="E4247">
        <v>116</v>
      </c>
      <c r="F4247">
        <v>39</v>
      </c>
      <c r="H4247">
        <v>39</v>
      </c>
      <c r="I4247">
        <v>1.3</v>
      </c>
      <c r="J4247" s="1">
        <v>1389</v>
      </c>
    </row>
    <row r="4248" spans="1:10" ht="14.25" customHeight="1" x14ac:dyDescent="0.25">
      <c r="A4248" s="21">
        <v>39093</v>
      </c>
      <c r="B4248" s="21"/>
      <c r="C4248">
        <v>88.2</v>
      </c>
      <c r="D4248">
        <v>3.4</v>
      </c>
      <c r="E4248">
        <v>303</v>
      </c>
      <c r="F4248">
        <v>171</v>
      </c>
      <c r="G4248">
        <v>16</v>
      </c>
      <c r="H4248">
        <v>171</v>
      </c>
      <c r="I4248">
        <v>1.57</v>
      </c>
      <c r="J4248" s="1">
        <v>9870</v>
      </c>
    </row>
    <row r="4249" spans="1:10" ht="14.25" customHeight="1" x14ac:dyDescent="0.25">
      <c r="A4249" s="21">
        <v>39093</v>
      </c>
      <c r="B4249" s="21"/>
      <c r="C4249">
        <v>107.6</v>
      </c>
      <c r="D4249">
        <v>4.2</v>
      </c>
      <c r="E4249">
        <v>276</v>
      </c>
      <c r="F4249">
        <v>206</v>
      </c>
      <c r="G4249">
        <v>26</v>
      </c>
      <c r="H4249">
        <v>206</v>
      </c>
      <c r="I4249">
        <v>1.61</v>
      </c>
      <c r="J4249" s="1">
        <v>9793</v>
      </c>
    </row>
    <row r="4250" spans="1:10" ht="14.25" customHeight="1" x14ac:dyDescent="0.25">
      <c r="A4250" s="21">
        <v>39093</v>
      </c>
      <c r="B4250" s="21"/>
      <c r="C4250">
        <v>7</v>
      </c>
      <c r="D4250">
        <v>3.8</v>
      </c>
      <c r="J4250">
        <v>674</v>
      </c>
    </row>
    <row r="4251" spans="1:10" ht="14.25" customHeight="1" x14ac:dyDescent="0.25">
      <c r="A4251" s="21">
        <v>39093</v>
      </c>
      <c r="B4251" s="21"/>
      <c r="C4251">
        <v>64.400000000000006</v>
      </c>
      <c r="D4251">
        <v>3.6</v>
      </c>
      <c r="E4251">
        <v>104</v>
      </c>
      <c r="F4251">
        <v>126</v>
      </c>
      <c r="G4251">
        <v>12</v>
      </c>
      <c r="H4251">
        <v>126</v>
      </c>
      <c r="I4251">
        <v>1.38</v>
      </c>
      <c r="J4251" s="1">
        <v>6483</v>
      </c>
    </row>
    <row r="4252" spans="1:10" ht="14.25" customHeight="1" x14ac:dyDescent="0.25">
      <c r="A4252" s="21">
        <v>39095</v>
      </c>
      <c r="B4252" s="21"/>
      <c r="C4252">
        <v>57.9</v>
      </c>
      <c r="D4252">
        <v>3.5</v>
      </c>
      <c r="E4252">
        <v>180</v>
      </c>
      <c r="F4252">
        <v>123</v>
      </c>
      <c r="G4252">
        <v>29</v>
      </c>
      <c r="H4252">
        <v>123</v>
      </c>
      <c r="I4252">
        <v>1.56</v>
      </c>
      <c r="J4252" s="1">
        <v>5959</v>
      </c>
    </row>
    <row r="4253" spans="1:10" ht="14.25" customHeight="1" x14ac:dyDescent="0.25">
      <c r="A4253" s="21">
        <v>39095</v>
      </c>
      <c r="B4253" s="21"/>
      <c r="C4253">
        <v>29.3</v>
      </c>
      <c r="D4253">
        <v>3.7</v>
      </c>
      <c r="E4253">
        <v>81</v>
      </c>
      <c r="F4253">
        <v>77</v>
      </c>
      <c r="G4253">
        <v>8</v>
      </c>
      <c r="H4253">
        <v>77</v>
      </c>
      <c r="I4253">
        <v>1.47</v>
      </c>
      <c r="J4253" s="1">
        <v>3187</v>
      </c>
    </row>
    <row r="4254" spans="1:10" ht="14.25" customHeight="1" x14ac:dyDescent="0.25">
      <c r="A4254" s="21">
        <v>39095</v>
      </c>
      <c r="B4254" s="21"/>
      <c r="C4254">
        <v>106.1</v>
      </c>
      <c r="D4254">
        <v>4.0999999999999996</v>
      </c>
      <c r="E4254">
        <v>265</v>
      </c>
      <c r="F4254">
        <v>166</v>
      </c>
      <c r="G4254">
        <v>25</v>
      </c>
      <c r="H4254">
        <v>166</v>
      </c>
      <c r="I4254">
        <v>1.74</v>
      </c>
      <c r="J4254" s="1">
        <v>9785</v>
      </c>
    </row>
    <row r="4255" spans="1:10" ht="14.25" customHeight="1" x14ac:dyDescent="0.25">
      <c r="A4255" s="21">
        <v>39095</v>
      </c>
      <c r="B4255" s="21"/>
      <c r="C4255">
        <v>200.6</v>
      </c>
      <c r="D4255">
        <v>4</v>
      </c>
      <c r="E4255">
        <v>389</v>
      </c>
      <c r="F4255">
        <v>313</v>
      </c>
      <c r="G4255">
        <v>38</v>
      </c>
      <c r="H4255">
        <v>313</v>
      </c>
      <c r="I4255">
        <v>1.9</v>
      </c>
      <c r="J4255" s="1">
        <v>18555</v>
      </c>
    </row>
    <row r="4256" spans="1:10" ht="14.25" customHeight="1" x14ac:dyDescent="0.25">
      <c r="A4256" s="21">
        <v>39095</v>
      </c>
      <c r="B4256" s="21"/>
      <c r="C4256">
        <v>60</v>
      </c>
      <c r="D4256">
        <v>4.5</v>
      </c>
      <c r="E4256">
        <v>60</v>
      </c>
      <c r="F4256">
        <v>127</v>
      </c>
      <c r="H4256">
        <v>127</v>
      </c>
      <c r="I4256">
        <v>1.48</v>
      </c>
      <c r="J4256" s="1">
        <v>5743</v>
      </c>
    </row>
    <row r="4257" spans="1:10" ht="14.25" customHeight="1" x14ac:dyDescent="0.25">
      <c r="A4257" s="21">
        <v>39095</v>
      </c>
      <c r="B4257" s="21"/>
      <c r="C4257">
        <v>59.6</v>
      </c>
      <c r="D4257">
        <v>3.4</v>
      </c>
      <c r="E4257">
        <v>154</v>
      </c>
      <c r="F4257">
        <v>125</v>
      </c>
      <c r="G4257">
        <v>10</v>
      </c>
      <c r="H4257">
        <v>125</v>
      </c>
      <c r="I4257">
        <v>1.42</v>
      </c>
      <c r="J4257" s="1">
        <v>6662</v>
      </c>
    </row>
    <row r="4258" spans="1:10" ht="14.25" customHeight="1" x14ac:dyDescent="0.25">
      <c r="A4258" s="21">
        <v>39095</v>
      </c>
      <c r="B4258" s="21"/>
      <c r="C4258">
        <v>135.6</v>
      </c>
      <c r="D4258">
        <v>4.7</v>
      </c>
      <c r="E4258">
        <v>354</v>
      </c>
      <c r="F4258">
        <v>212</v>
      </c>
      <c r="H4258">
        <v>212</v>
      </c>
      <c r="I4258">
        <v>1.79</v>
      </c>
      <c r="J4258" s="1">
        <v>10533</v>
      </c>
    </row>
    <row r="4259" spans="1:10" ht="14.25" customHeight="1" x14ac:dyDescent="0.25">
      <c r="A4259" s="21">
        <v>39095</v>
      </c>
      <c r="B4259" s="21"/>
      <c r="C4259">
        <v>483.7</v>
      </c>
      <c r="D4259">
        <v>5.3</v>
      </c>
      <c r="E4259" s="1">
        <v>1215</v>
      </c>
      <c r="F4259">
        <v>738</v>
      </c>
      <c r="G4259">
        <v>36</v>
      </c>
      <c r="H4259">
        <v>738</v>
      </c>
      <c r="I4259">
        <v>2.17</v>
      </c>
      <c r="J4259" s="1">
        <v>29429</v>
      </c>
    </row>
    <row r="4260" spans="1:10" ht="14.25" customHeight="1" x14ac:dyDescent="0.25">
      <c r="A4260" s="21">
        <v>39095</v>
      </c>
      <c r="B4260" s="21"/>
      <c r="H4260">
        <v>42</v>
      </c>
    </row>
    <row r="4261" spans="1:10" ht="14.25" customHeight="1" x14ac:dyDescent="0.25">
      <c r="A4261" s="21">
        <v>39095</v>
      </c>
      <c r="B4261" s="21"/>
    </row>
    <row r="4262" spans="1:10" ht="14.25" customHeight="1" x14ac:dyDescent="0.25">
      <c r="A4262" s="21">
        <v>39097</v>
      </c>
      <c r="B4262" s="21"/>
      <c r="C4262">
        <v>11.1</v>
      </c>
      <c r="D4262">
        <v>2.8</v>
      </c>
      <c r="E4262">
        <v>66</v>
      </c>
      <c r="F4262">
        <v>45</v>
      </c>
      <c r="G4262">
        <v>13</v>
      </c>
      <c r="H4262">
        <v>45</v>
      </c>
      <c r="I4262">
        <v>1.3</v>
      </c>
      <c r="J4262" s="1">
        <v>1589</v>
      </c>
    </row>
    <row r="4263" spans="1:10" ht="14.25" customHeight="1" x14ac:dyDescent="0.25">
      <c r="A4263" s="21">
        <v>39099</v>
      </c>
      <c r="B4263" s="21"/>
      <c r="C4263">
        <v>30.8</v>
      </c>
      <c r="D4263">
        <v>4.2</v>
      </c>
      <c r="I4263">
        <v>1.64</v>
      </c>
      <c r="J4263" s="1">
        <v>2955</v>
      </c>
    </row>
    <row r="4264" spans="1:10" ht="14.25" customHeight="1" x14ac:dyDescent="0.25">
      <c r="A4264" s="21">
        <v>39099</v>
      </c>
      <c r="B4264" s="21"/>
      <c r="C4264">
        <v>210.1</v>
      </c>
      <c r="D4264">
        <v>4.5999999999999996</v>
      </c>
      <c r="E4264">
        <v>649</v>
      </c>
      <c r="F4264">
        <v>300</v>
      </c>
      <c r="G4264">
        <v>20</v>
      </c>
      <c r="H4264">
        <v>300</v>
      </c>
      <c r="I4264">
        <v>1.8</v>
      </c>
      <c r="J4264" s="1">
        <v>16804</v>
      </c>
    </row>
    <row r="4265" spans="1:10" ht="14.25" customHeight="1" x14ac:dyDescent="0.25">
      <c r="A4265" s="21">
        <v>39099</v>
      </c>
      <c r="B4265" s="21"/>
      <c r="C4265">
        <v>6.3</v>
      </c>
      <c r="D4265">
        <v>2.1</v>
      </c>
      <c r="E4265">
        <v>150</v>
      </c>
      <c r="F4265">
        <v>24</v>
      </c>
      <c r="H4265">
        <v>24</v>
      </c>
      <c r="I4265">
        <v>2.59</v>
      </c>
      <c r="J4265" s="1">
        <v>1083</v>
      </c>
    </row>
    <row r="4266" spans="1:10" ht="14.25" customHeight="1" x14ac:dyDescent="0.25">
      <c r="A4266" s="21">
        <v>39099</v>
      </c>
      <c r="B4266" s="21"/>
      <c r="C4266">
        <v>132.30000000000001</v>
      </c>
      <c r="D4266">
        <v>4</v>
      </c>
      <c r="E4266">
        <v>170</v>
      </c>
      <c r="F4266">
        <v>206</v>
      </c>
      <c r="G4266">
        <v>18</v>
      </c>
      <c r="H4266">
        <v>206</v>
      </c>
      <c r="I4266">
        <v>1.48</v>
      </c>
      <c r="J4266" s="1">
        <v>13694</v>
      </c>
    </row>
    <row r="4267" spans="1:10" ht="14.25" customHeight="1" x14ac:dyDescent="0.25">
      <c r="A4267" s="21">
        <v>39099</v>
      </c>
      <c r="B4267" s="21"/>
      <c r="C4267">
        <v>17.399999999999999</v>
      </c>
      <c r="D4267">
        <v>27.3</v>
      </c>
      <c r="F4267">
        <v>24</v>
      </c>
      <c r="H4267">
        <v>24</v>
      </c>
      <c r="J4267">
        <v>231</v>
      </c>
    </row>
    <row r="4268" spans="1:10" ht="14.25" customHeight="1" x14ac:dyDescent="0.25">
      <c r="A4268" s="21">
        <v>39101</v>
      </c>
      <c r="B4268" s="21"/>
      <c r="C4268">
        <v>61.8</v>
      </c>
      <c r="D4268">
        <v>3.8</v>
      </c>
      <c r="E4268">
        <v>230</v>
      </c>
      <c r="F4268">
        <v>174</v>
      </c>
      <c r="G4268">
        <v>15</v>
      </c>
      <c r="H4268">
        <v>174</v>
      </c>
      <c r="I4268">
        <v>1.52</v>
      </c>
      <c r="J4268" s="1">
        <v>6479</v>
      </c>
    </row>
    <row r="4269" spans="1:10" ht="14.25" customHeight="1" x14ac:dyDescent="0.25">
      <c r="A4269" s="21">
        <v>39103</v>
      </c>
      <c r="B4269" s="21"/>
      <c r="C4269">
        <v>71.599999999999994</v>
      </c>
      <c r="D4269">
        <v>4.2</v>
      </c>
      <c r="E4269">
        <v>138</v>
      </c>
      <c r="F4269">
        <v>130</v>
      </c>
      <c r="G4269">
        <v>12</v>
      </c>
      <c r="H4269">
        <v>130</v>
      </c>
      <c r="I4269">
        <v>1.47</v>
      </c>
      <c r="J4269" s="1">
        <v>6290</v>
      </c>
    </row>
    <row r="4270" spans="1:10" ht="14.25" customHeight="1" x14ac:dyDescent="0.25">
      <c r="A4270" s="21">
        <v>39103</v>
      </c>
      <c r="B4270" s="21"/>
      <c r="C4270">
        <v>16.899999999999999</v>
      </c>
      <c r="D4270">
        <v>3.7</v>
      </c>
      <c r="J4270" s="1">
        <v>1682</v>
      </c>
    </row>
    <row r="4271" spans="1:10" ht="14.25" customHeight="1" x14ac:dyDescent="0.25">
      <c r="A4271" s="21">
        <v>39107</v>
      </c>
      <c r="B4271" s="21"/>
      <c r="C4271">
        <v>15.3</v>
      </c>
      <c r="D4271">
        <v>2.8</v>
      </c>
      <c r="E4271">
        <v>97</v>
      </c>
      <c r="F4271">
        <v>42</v>
      </c>
      <c r="G4271">
        <v>5</v>
      </c>
      <c r="H4271">
        <v>42</v>
      </c>
      <c r="I4271">
        <v>1.2</v>
      </c>
      <c r="J4271" s="1">
        <v>2266</v>
      </c>
    </row>
    <row r="4272" spans="1:10" ht="14.25" customHeight="1" x14ac:dyDescent="0.25">
      <c r="A4272" s="21">
        <v>39109</v>
      </c>
      <c r="B4272" s="21"/>
      <c r="C4272">
        <v>48.7</v>
      </c>
      <c r="D4272">
        <v>3.7</v>
      </c>
      <c r="E4272">
        <v>199</v>
      </c>
      <c r="F4272">
        <v>119</v>
      </c>
      <c r="G4272">
        <v>10</v>
      </c>
      <c r="H4272">
        <v>119</v>
      </c>
      <c r="I4272">
        <v>1.36</v>
      </c>
      <c r="J4272" s="1">
        <v>5267</v>
      </c>
    </row>
    <row r="4273" spans="1:10" ht="14.25" customHeight="1" x14ac:dyDescent="0.25">
      <c r="A4273" s="21">
        <v>39109</v>
      </c>
      <c r="B4273" s="21"/>
      <c r="E4273">
        <v>11</v>
      </c>
    </row>
    <row r="4274" spans="1:10" ht="14.25" customHeight="1" x14ac:dyDescent="0.25">
      <c r="A4274" s="21">
        <v>39113</v>
      </c>
      <c r="B4274" s="21"/>
      <c r="C4274">
        <v>160.6</v>
      </c>
      <c r="D4274">
        <v>4.5</v>
      </c>
      <c r="E4274">
        <v>636</v>
      </c>
      <c r="F4274">
        <v>287</v>
      </c>
      <c r="G4274">
        <v>35</v>
      </c>
      <c r="H4274">
        <v>124</v>
      </c>
      <c r="I4274">
        <v>1.67</v>
      </c>
      <c r="J4274" s="1">
        <v>13319</v>
      </c>
    </row>
    <row r="4275" spans="1:10" ht="14.25" customHeight="1" x14ac:dyDescent="0.25">
      <c r="A4275" s="21">
        <v>39113</v>
      </c>
      <c r="B4275" s="21"/>
      <c r="C4275">
        <v>257.3</v>
      </c>
      <c r="D4275">
        <v>4.4000000000000004</v>
      </c>
      <c r="E4275">
        <v>540</v>
      </c>
      <c r="F4275">
        <v>377</v>
      </c>
      <c r="G4275">
        <v>12</v>
      </c>
      <c r="H4275">
        <v>377</v>
      </c>
      <c r="I4275">
        <v>1.93</v>
      </c>
      <c r="J4275" s="1">
        <v>22443</v>
      </c>
    </row>
    <row r="4276" spans="1:10" ht="14.25" customHeight="1" x14ac:dyDescent="0.25">
      <c r="A4276" s="21">
        <v>39113</v>
      </c>
      <c r="B4276" s="21"/>
      <c r="C4276">
        <v>441.2</v>
      </c>
      <c r="D4276">
        <v>4.9000000000000004</v>
      </c>
      <c r="E4276" s="1">
        <v>1297</v>
      </c>
      <c r="F4276">
        <v>753</v>
      </c>
      <c r="G4276">
        <v>103</v>
      </c>
      <c r="H4276">
        <v>753</v>
      </c>
      <c r="I4276">
        <v>1.88</v>
      </c>
      <c r="J4276" s="1">
        <v>34557</v>
      </c>
    </row>
    <row r="4277" spans="1:10" ht="14.25" customHeight="1" x14ac:dyDescent="0.25">
      <c r="A4277" s="21">
        <v>39113</v>
      </c>
      <c r="B4277" s="21"/>
      <c r="C4277">
        <v>110.3</v>
      </c>
      <c r="D4277">
        <v>4.2</v>
      </c>
      <c r="I4277">
        <v>1.79</v>
      </c>
      <c r="J4277" s="1">
        <v>9577</v>
      </c>
    </row>
    <row r="4278" spans="1:10" ht="14.25" customHeight="1" x14ac:dyDescent="0.25">
      <c r="A4278" s="21">
        <v>39113</v>
      </c>
      <c r="B4278" s="21"/>
      <c r="C4278">
        <v>1.2</v>
      </c>
      <c r="D4278">
        <v>1.5</v>
      </c>
      <c r="I4278">
        <v>2.69</v>
      </c>
      <c r="J4278">
        <v>277</v>
      </c>
    </row>
    <row r="4279" spans="1:10" ht="14.25" customHeight="1" x14ac:dyDescent="0.25">
      <c r="A4279" s="21">
        <v>39113</v>
      </c>
      <c r="B4279" s="21"/>
      <c r="C4279">
        <v>91.3</v>
      </c>
      <c r="D4279">
        <v>3.9</v>
      </c>
      <c r="E4279">
        <v>179</v>
      </c>
      <c r="F4279">
        <v>168</v>
      </c>
      <c r="G4279">
        <v>12</v>
      </c>
      <c r="H4279">
        <v>168</v>
      </c>
      <c r="I4279">
        <v>1.58</v>
      </c>
      <c r="J4279" s="1">
        <v>9194</v>
      </c>
    </row>
    <row r="4280" spans="1:10" ht="14.25" customHeight="1" x14ac:dyDescent="0.25">
      <c r="A4280" s="21">
        <v>39113</v>
      </c>
      <c r="B4280" s="21"/>
    </row>
    <row r="4281" spans="1:10" ht="14.25" customHeight="1" x14ac:dyDescent="0.25">
      <c r="A4281" s="21">
        <v>39113</v>
      </c>
      <c r="B4281" s="21"/>
      <c r="H4281">
        <v>116</v>
      </c>
    </row>
    <row r="4282" spans="1:10" ht="14.25" customHeight="1" x14ac:dyDescent="0.25">
      <c r="A4282" s="21">
        <v>39113</v>
      </c>
      <c r="B4282" s="21"/>
      <c r="H4282">
        <v>60</v>
      </c>
    </row>
    <row r="4283" spans="1:10" ht="14.25" customHeight="1" x14ac:dyDescent="0.25">
      <c r="A4283" s="21">
        <v>39113</v>
      </c>
      <c r="B4283" s="21"/>
      <c r="E4283">
        <v>10</v>
      </c>
      <c r="H4283">
        <v>12</v>
      </c>
    </row>
    <row r="4284" spans="1:10" ht="14.25" customHeight="1" x14ac:dyDescent="0.25">
      <c r="A4284" s="21">
        <v>39113</v>
      </c>
      <c r="B4284" s="21"/>
      <c r="H4284">
        <v>46</v>
      </c>
    </row>
    <row r="4285" spans="1:10" ht="14.25" customHeight="1" x14ac:dyDescent="0.25">
      <c r="A4285" s="21">
        <v>39119</v>
      </c>
      <c r="B4285" s="21"/>
      <c r="C4285">
        <v>140.80000000000001</v>
      </c>
      <c r="D4285">
        <v>4</v>
      </c>
      <c r="E4285">
        <v>503</v>
      </c>
      <c r="F4285">
        <v>282</v>
      </c>
      <c r="G4285">
        <v>24</v>
      </c>
      <c r="H4285">
        <v>282</v>
      </c>
      <c r="I4285">
        <v>1.64</v>
      </c>
      <c r="J4285" s="1">
        <v>13909</v>
      </c>
    </row>
    <row r="4286" spans="1:10" ht="14.25" customHeight="1" x14ac:dyDescent="0.25">
      <c r="A4286" s="21">
        <v>39119</v>
      </c>
      <c r="B4286" s="21"/>
    </row>
    <row r="4287" spans="1:10" ht="14.25" customHeight="1" x14ac:dyDescent="0.25">
      <c r="A4287" s="21">
        <v>39129</v>
      </c>
      <c r="B4287" s="21"/>
      <c r="C4287">
        <v>20.399999999999999</v>
      </c>
      <c r="D4287">
        <v>3.1</v>
      </c>
      <c r="E4287">
        <v>91</v>
      </c>
      <c r="F4287">
        <v>83</v>
      </c>
      <c r="G4287">
        <v>8</v>
      </c>
      <c r="H4287">
        <v>83</v>
      </c>
      <c r="I4287">
        <v>1.51</v>
      </c>
      <c r="J4287" s="1">
        <v>1808</v>
      </c>
    </row>
    <row r="4288" spans="1:10" ht="14.25" customHeight="1" x14ac:dyDescent="0.25">
      <c r="A4288" s="21">
        <v>39133</v>
      </c>
      <c r="B4288" s="21"/>
      <c r="C4288">
        <v>74.8</v>
      </c>
      <c r="D4288">
        <v>4.0999999999999996</v>
      </c>
      <c r="E4288">
        <v>225</v>
      </c>
      <c r="F4288">
        <v>191</v>
      </c>
      <c r="G4288">
        <v>16</v>
      </c>
      <c r="H4288">
        <v>191</v>
      </c>
      <c r="I4288">
        <v>1.54</v>
      </c>
      <c r="J4288" s="1">
        <v>6915</v>
      </c>
    </row>
    <row r="4289" spans="1:10" ht="14.25" customHeight="1" x14ac:dyDescent="0.25">
      <c r="A4289" s="21">
        <v>39139</v>
      </c>
      <c r="B4289" s="21"/>
      <c r="C4289">
        <v>135.30000000000001</v>
      </c>
      <c r="D4289">
        <v>4.9000000000000004</v>
      </c>
      <c r="E4289">
        <v>329</v>
      </c>
      <c r="F4289">
        <v>228</v>
      </c>
      <c r="G4289">
        <v>30</v>
      </c>
      <c r="H4289">
        <v>228</v>
      </c>
      <c r="I4289">
        <v>1.67</v>
      </c>
      <c r="J4289" s="1">
        <v>10588</v>
      </c>
    </row>
    <row r="4290" spans="1:10" ht="14.25" customHeight="1" x14ac:dyDescent="0.25">
      <c r="A4290" s="21">
        <v>39139</v>
      </c>
      <c r="B4290" s="21"/>
      <c r="C4290">
        <v>11</v>
      </c>
      <c r="D4290">
        <v>2.8</v>
      </c>
      <c r="E4290">
        <v>72</v>
      </c>
      <c r="F4290">
        <v>26</v>
      </c>
      <c r="G4290">
        <v>7</v>
      </c>
      <c r="H4290">
        <v>26</v>
      </c>
      <c r="I4290">
        <v>1.59</v>
      </c>
      <c r="J4290" s="1">
        <v>1432</v>
      </c>
    </row>
    <row r="4291" spans="1:10" ht="14.25" customHeight="1" x14ac:dyDescent="0.25">
      <c r="A4291" s="21">
        <v>39141</v>
      </c>
      <c r="B4291" s="21"/>
      <c r="C4291">
        <v>105.9</v>
      </c>
      <c r="D4291">
        <v>4</v>
      </c>
      <c r="E4291">
        <v>444</v>
      </c>
      <c r="F4291">
        <v>189</v>
      </c>
      <c r="G4291">
        <v>12</v>
      </c>
      <c r="H4291">
        <v>189</v>
      </c>
      <c r="I4291">
        <v>1.65</v>
      </c>
      <c r="J4291" s="1">
        <v>10231</v>
      </c>
    </row>
    <row r="4292" spans="1:10" ht="14.25" customHeight="1" x14ac:dyDescent="0.25">
      <c r="A4292" s="21">
        <v>39143</v>
      </c>
      <c r="B4292" s="21"/>
      <c r="C4292">
        <v>8.4</v>
      </c>
      <c r="D4292">
        <v>3</v>
      </c>
      <c r="E4292">
        <v>128</v>
      </c>
      <c r="F4292">
        <v>102</v>
      </c>
      <c r="G4292">
        <v>8</v>
      </c>
      <c r="H4292">
        <v>102</v>
      </c>
      <c r="I4292">
        <v>1.35</v>
      </c>
      <c r="J4292" s="1">
        <v>1095</v>
      </c>
    </row>
    <row r="4293" spans="1:10" ht="14.25" customHeight="1" x14ac:dyDescent="0.25">
      <c r="A4293" s="21">
        <v>39143</v>
      </c>
      <c r="B4293" s="21"/>
      <c r="C4293">
        <v>6.3</v>
      </c>
      <c r="D4293">
        <v>2.4</v>
      </c>
      <c r="J4293">
        <v>120</v>
      </c>
    </row>
    <row r="4294" spans="1:10" ht="14.25" customHeight="1" x14ac:dyDescent="0.25">
      <c r="A4294" s="21">
        <v>39145</v>
      </c>
      <c r="B4294" s="21"/>
      <c r="C4294">
        <v>118.7</v>
      </c>
      <c r="D4294">
        <v>4.0999999999999996</v>
      </c>
      <c r="E4294">
        <v>346</v>
      </c>
      <c r="F4294">
        <v>192</v>
      </c>
      <c r="G4294">
        <v>16</v>
      </c>
      <c r="H4294">
        <v>192</v>
      </c>
      <c r="I4294">
        <v>1.61</v>
      </c>
      <c r="J4294" s="1">
        <v>10857</v>
      </c>
    </row>
    <row r="4295" spans="1:10" ht="14.25" customHeight="1" x14ac:dyDescent="0.25">
      <c r="A4295" s="21">
        <v>39145</v>
      </c>
      <c r="B4295" s="21"/>
      <c r="C4295">
        <v>0.9</v>
      </c>
      <c r="D4295">
        <v>1.8</v>
      </c>
      <c r="E4295">
        <v>24</v>
      </c>
      <c r="F4295">
        <v>10</v>
      </c>
      <c r="H4295">
        <v>10</v>
      </c>
      <c r="I4295">
        <v>2.35</v>
      </c>
      <c r="J4295">
        <v>176</v>
      </c>
    </row>
    <row r="4296" spans="1:10" ht="14.25" customHeight="1" x14ac:dyDescent="0.25">
      <c r="A4296" s="21">
        <v>39147</v>
      </c>
      <c r="B4296" s="21"/>
      <c r="C4296">
        <v>15.5</v>
      </c>
      <c r="D4296">
        <v>2.8</v>
      </c>
      <c r="E4296">
        <v>78</v>
      </c>
      <c r="F4296">
        <v>45</v>
      </c>
      <c r="G4296">
        <v>5</v>
      </c>
      <c r="H4296">
        <v>45</v>
      </c>
      <c r="I4296">
        <v>1.28</v>
      </c>
      <c r="J4296" s="1">
        <v>2348</v>
      </c>
    </row>
    <row r="4297" spans="1:10" ht="14.25" customHeight="1" x14ac:dyDescent="0.25">
      <c r="A4297" s="21">
        <v>39149</v>
      </c>
      <c r="B4297" s="21"/>
      <c r="C4297">
        <v>17.2</v>
      </c>
      <c r="D4297">
        <v>3.2</v>
      </c>
      <c r="E4297">
        <v>102</v>
      </c>
      <c r="F4297">
        <v>61</v>
      </c>
      <c r="G4297">
        <v>7</v>
      </c>
      <c r="H4297">
        <v>61</v>
      </c>
      <c r="I4297">
        <v>1.2</v>
      </c>
      <c r="J4297" s="1">
        <v>2404</v>
      </c>
    </row>
    <row r="4298" spans="1:10" ht="14.25" customHeight="1" x14ac:dyDescent="0.25">
      <c r="A4298" s="21">
        <v>39151</v>
      </c>
      <c r="B4298" s="21"/>
      <c r="C4298">
        <v>181.8</v>
      </c>
      <c r="D4298">
        <v>4.4000000000000004</v>
      </c>
      <c r="E4298">
        <v>576</v>
      </c>
      <c r="F4298">
        <v>317</v>
      </c>
      <c r="G4298">
        <v>36</v>
      </c>
      <c r="H4298">
        <v>317</v>
      </c>
      <c r="I4298">
        <v>1.78</v>
      </c>
      <c r="J4298" s="1">
        <v>15665</v>
      </c>
    </row>
    <row r="4299" spans="1:10" ht="14.25" customHeight="1" x14ac:dyDescent="0.25">
      <c r="A4299" s="21">
        <v>39151</v>
      </c>
      <c r="B4299" s="21"/>
      <c r="C4299">
        <v>256.3</v>
      </c>
      <c r="D4299">
        <v>4.7</v>
      </c>
      <c r="E4299">
        <v>562</v>
      </c>
      <c r="F4299">
        <v>422</v>
      </c>
      <c r="G4299">
        <v>20</v>
      </c>
      <c r="H4299">
        <v>422</v>
      </c>
      <c r="I4299">
        <v>1.81</v>
      </c>
      <c r="J4299" s="1">
        <v>21083</v>
      </c>
    </row>
    <row r="4300" spans="1:10" ht="14.25" customHeight="1" x14ac:dyDescent="0.25">
      <c r="A4300" s="21">
        <v>39151</v>
      </c>
      <c r="B4300" s="21"/>
      <c r="C4300">
        <v>49.3</v>
      </c>
      <c r="D4300">
        <v>4.4000000000000004</v>
      </c>
      <c r="I4300">
        <v>1.57</v>
      </c>
      <c r="J4300" s="1">
        <v>4072</v>
      </c>
    </row>
    <row r="4301" spans="1:10" ht="14.25" customHeight="1" x14ac:dyDescent="0.25">
      <c r="A4301" s="21">
        <v>39151</v>
      </c>
      <c r="B4301" s="21"/>
      <c r="C4301">
        <v>16.100000000000001</v>
      </c>
      <c r="D4301">
        <v>3.1</v>
      </c>
      <c r="E4301">
        <v>121</v>
      </c>
      <c r="F4301">
        <v>55</v>
      </c>
      <c r="G4301">
        <v>12</v>
      </c>
      <c r="H4301">
        <v>55</v>
      </c>
      <c r="I4301">
        <v>1.45</v>
      </c>
      <c r="J4301" s="1">
        <v>1836</v>
      </c>
    </row>
    <row r="4302" spans="1:10" ht="14.25" customHeight="1" x14ac:dyDescent="0.25">
      <c r="A4302" s="21">
        <v>39153</v>
      </c>
      <c r="B4302" s="21"/>
      <c r="C4302">
        <v>35.799999999999997</v>
      </c>
      <c r="D4302">
        <v>3.6</v>
      </c>
      <c r="E4302">
        <v>184</v>
      </c>
      <c r="F4302">
        <v>83</v>
      </c>
      <c r="G4302">
        <v>12</v>
      </c>
      <c r="H4302">
        <v>83</v>
      </c>
      <c r="I4302">
        <v>1.52</v>
      </c>
      <c r="J4302" s="1">
        <v>3636</v>
      </c>
    </row>
    <row r="4303" spans="1:10" ht="14.25" customHeight="1" x14ac:dyDescent="0.25">
      <c r="A4303" s="21">
        <v>39153</v>
      </c>
      <c r="B4303" s="21"/>
      <c r="C4303">
        <v>315.39999999999998</v>
      </c>
      <c r="D4303">
        <v>4.8</v>
      </c>
      <c r="E4303" s="1">
        <v>1027</v>
      </c>
      <c r="F4303">
        <v>584</v>
      </c>
      <c r="G4303">
        <v>64</v>
      </c>
      <c r="H4303">
        <v>584</v>
      </c>
      <c r="I4303">
        <v>1.64</v>
      </c>
      <c r="J4303" s="1">
        <v>26395</v>
      </c>
    </row>
    <row r="4304" spans="1:10" ht="14.25" customHeight="1" x14ac:dyDescent="0.25">
      <c r="A4304" s="21">
        <v>39153</v>
      </c>
      <c r="B4304" s="21"/>
      <c r="C4304">
        <v>99.4</v>
      </c>
      <c r="D4304">
        <v>4.5999999999999996</v>
      </c>
      <c r="E4304">
        <v>49</v>
      </c>
      <c r="F4304">
        <v>158</v>
      </c>
      <c r="G4304">
        <v>12</v>
      </c>
      <c r="H4304">
        <v>158</v>
      </c>
      <c r="J4304" s="1">
        <v>8052</v>
      </c>
    </row>
    <row r="4305" spans="1:10" ht="14.25" customHeight="1" x14ac:dyDescent="0.25">
      <c r="A4305" s="21">
        <v>39153</v>
      </c>
      <c r="B4305" s="21"/>
      <c r="C4305">
        <v>270.7</v>
      </c>
      <c r="D4305">
        <v>4.3</v>
      </c>
      <c r="E4305">
        <v>734</v>
      </c>
      <c r="F4305">
        <v>383</v>
      </c>
      <c r="G4305">
        <v>34</v>
      </c>
      <c r="H4305">
        <v>383</v>
      </c>
      <c r="I4305">
        <v>1.67</v>
      </c>
      <c r="J4305" s="1">
        <v>24183</v>
      </c>
    </row>
    <row r="4306" spans="1:10" ht="14.25" customHeight="1" x14ac:dyDescent="0.25">
      <c r="A4306" s="21">
        <v>39153</v>
      </c>
      <c r="B4306" s="21"/>
      <c r="C4306">
        <v>25.4</v>
      </c>
      <c r="D4306">
        <v>2.2999999999999998</v>
      </c>
      <c r="E4306">
        <v>109</v>
      </c>
      <c r="F4306">
        <v>59</v>
      </c>
      <c r="H4306">
        <v>59</v>
      </c>
      <c r="I4306">
        <v>2.52</v>
      </c>
      <c r="J4306" s="1">
        <v>4086</v>
      </c>
    </row>
    <row r="4307" spans="1:10" ht="14.25" customHeight="1" x14ac:dyDescent="0.25">
      <c r="A4307" s="21">
        <v>39153</v>
      </c>
      <c r="B4307" s="21"/>
      <c r="H4307">
        <v>160</v>
      </c>
    </row>
    <row r="4308" spans="1:10" ht="14.25" customHeight="1" x14ac:dyDescent="0.25">
      <c r="A4308" s="21">
        <v>39153</v>
      </c>
      <c r="B4308" s="21"/>
      <c r="E4308">
        <v>6</v>
      </c>
      <c r="H4308">
        <v>164</v>
      </c>
    </row>
    <row r="4309" spans="1:10" ht="14.25" customHeight="1" x14ac:dyDescent="0.25">
      <c r="A4309" s="21">
        <v>39155</v>
      </c>
      <c r="B4309" s="21"/>
      <c r="C4309">
        <v>88.1</v>
      </c>
      <c r="D4309">
        <v>3.6</v>
      </c>
      <c r="E4309">
        <v>218</v>
      </c>
      <c r="F4309">
        <v>127</v>
      </c>
      <c r="G4309">
        <v>12</v>
      </c>
      <c r="H4309">
        <v>127</v>
      </c>
      <c r="I4309">
        <v>1.54</v>
      </c>
      <c r="J4309" s="1">
        <v>9617</v>
      </c>
    </row>
    <row r="4310" spans="1:10" ht="14.25" customHeight="1" x14ac:dyDescent="0.25">
      <c r="A4310" s="21">
        <v>39155</v>
      </c>
      <c r="B4310" s="21"/>
      <c r="C4310">
        <v>101.1</v>
      </c>
      <c r="D4310">
        <v>4.7</v>
      </c>
      <c r="E4310">
        <v>173</v>
      </c>
      <c r="F4310">
        <v>203</v>
      </c>
      <c r="G4310">
        <v>30</v>
      </c>
      <c r="H4310">
        <v>203</v>
      </c>
      <c r="I4310">
        <v>1.54</v>
      </c>
      <c r="J4310" s="1">
        <v>7946</v>
      </c>
    </row>
    <row r="4311" spans="1:10" ht="14.25" customHeight="1" x14ac:dyDescent="0.25">
      <c r="A4311" s="21">
        <v>39157</v>
      </c>
      <c r="B4311" s="21"/>
      <c r="C4311">
        <v>38.6</v>
      </c>
      <c r="D4311">
        <v>3.8</v>
      </c>
      <c r="E4311">
        <v>178</v>
      </c>
      <c r="F4311">
        <v>128</v>
      </c>
      <c r="G4311">
        <v>10</v>
      </c>
      <c r="H4311">
        <v>128</v>
      </c>
      <c r="I4311">
        <v>1.39</v>
      </c>
      <c r="J4311" s="1">
        <v>4033</v>
      </c>
    </row>
    <row r="4312" spans="1:10" ht="14.25" customHeight="1" x14ac:dyDescent="0.25">
      <c r="A4312" s="21">
        <v>39159</v>
      </c>
      <c r="B4312" s="21"/>
      <c r="C4312">
        <v>14.2</v>
      </c>
      <c r="D4312">
        <v>3.2</v>
      </c>
      <c r="E4312">
        <v>179</v>
      </c>
      <c r="F4312">
        <v>60</v>
      </c>
      <c r="G4312">
        <v>7</v>
      </c>
      <c r="H4312">
        <v>60</v>
      </c>
      <c r="I4312">
        <v>1.33</v>
      </c>
      <c r="J4312" s="1">
        <v>1967</v>
      </c>
    </row>
    <row r="4313" spans="1:10" ht="14.25" customHeight="1" x14ac:dyDescent="0.25">
      <c r="A4313" s="21">
        <v>39161</v>
      </c>
      <c r="B4313" s="21"/>
      <c r="C4313">
        <v>7</v>
      </c>
      <c r="D4313">
        <v>2.8</v>
      </c>
      <c r="E4313">
        <v>65</v>
      </c>
      <c r="F4313">
        <v>61</v>
      </c>
      <c r="G4313">
        <v>5</v>
      </c>
      <c r="H4313">
        <v>61</v>
      </c>
      <c r="I4313">
        <v>1.53</v>
      </c>
      <c r="J4313" s="1">
        <v>1023</v>
      </c>
    </row>
    <row r="4314" spans="1:10" ht="14.25" customHeight="1" x14ac:dyDescent="0.25">
      <c r="A4314" s="21">
        <v>39165</v>
      </c>
      <c r="B4314" s="21"/>
      <c r="C4314">
        <v>81.7</v>
      </c>
      <c r="D4314">
        <v>4.0999999999999996</v>
      </c>
      <c r="E4314">
        <v>279</v>
      </c>
      <c r="F4314">
        <v>217</v>
      </c>
      <c r="G4314">
        <v>16</v>
      </c>
      <c r="H4314">
        <v>217</v>
      </c>
      <c r="I4314">
        <v>1.72</v>
      </c>
      <c r="J4314" s="1">
        <v>7653</v>
      </c>
    </row>
    <row r="4315" spans="1:10" ht="14.25" customHeight="1" x14ac:dyDescent="0.25">
      <c r="A4315" s="21">
        <v>39167</v>
      </c>
      <c r="B4315" s="21"/>
      <c r="C4315">
        <v>110.1</v>
      </c>
      <c r="D4315">
        <v>3.7</v>
      </c>
      <c r="E4315">
        <v>383</v>
      </c>
      <c r="F4315">
        <v>188</v>
      </c>
      <c r="G4315">
        <v>11</v>
      </c>
      <c r="H4315">
        <v>188</v>
      </c>
      <c r="I4315">
        <v>1.49</v>
      </c>
      <c r="J4315" s="1">
        <v>11186</v>
      </c>
    </row>
    <row r="4316" spans="1:10" ht="14.25" customHeight="1" x14ac:dyDescent="0.25">
      <c r="A4316" s="21">
        <v>39169</v>
      </c>
      <c r="B4316" s="21"/>
      <c r="C4316">
        <v>44.8</v>
      </c>
      <c r="D4316">
        <v>3.2</v>
      </c>
      <c r="E4316">
        <v>209</v>
      </c>
      <c r="F4316">
        <v>104</v>
      </c>
      <c r="G4316">
        <v>14</v>
      </c>
      <c r="H4316">
        <v>104</v>
      </c>
      <c r="I4316">
        <v>1.43</v>
      </c>
      <c r="J4316" s="1">
        <v>5977</v>
      </c>
    </row>
    <row r="4317" spans="1:10" ht="14.25" customHeight="1" x14ac:dyDescent="0.25">
      <c r="A4317" s="21">
        <v>39171</v>
      </c>
      <c r="B4317" s="21"/>
      <c r="C4317">
        <v>14.6</v>
      </c>
      <c r="D4317">
        <v>3</v>
      </c>
      <c r="E4317">
        <v>51</v>
      </c>
      <c r="F4317">
        <v>75</v>
      </c>
      <c r="G4317">
        <v>7</v>
      </c>
      <c r="H4317">
        <v>75</v>
      </c>
      <c r="I4317">
        <v>1.43</v>
      </c>
      <c r="J4317" s="1">
        <v>1997</v>
      </c>
    </row>
    <row r="4318" spans="1:10" ht="14.25" customHeight="1" x14ac:dyDescent="0.25">
      <c r="A4318" s="21">
        <v>39173</v>
      </c>
      <c r="B4318" s="21"/>
      <c r="C4318">
        <v>20.399999999999999</v>
      </c>
      <c r="D4318">
        <v>3.1</v>
      </c>
      <c r="E4318">
        <v>154</v>
      </c>
      <c r="F4318">
        <v>103</v>
      </c>
      <c r="G4318">
        <v>10</v>
      </c>
      <c r="H4318">
        <v>103</v>
      </c>
      <c r="I4318">
        <v>1.32</v>
      </c>
      <c r="J4318" s="1">
        <v>2608</v>
      </c>
    </row>
    <row r="4319" spans="1:10" ht="14.25" customHeight="1" x14ac:dyDescent="0.25">
      <c r="A4319" s="21">
        <v>39173</v>
      </c>
      <c r="B4319" s="21"/>
      <c r="H4319">
        <v>46</v>
      </c>
    </row>
    <row r="4320" spans="1:10" ht="14.25" customHeight="1" x14ac:dyDescent="0.25">
      <c r="A4320" s="21">
        <v>40001</v>
      </c>
      <c r="B4320" s="21"/>
      <c r="C4320">
        <v>14.8</v>
      </c>
      <c r="D4320">
        <v>5.2</v>
      </c>
      <c r="E4320">
        <v>43</v>
      </c>
      <c r="F4320">
        <v>30</v>
      </c>
      <c r="H4320">
        <v>30</v>
      </c>
      <c r="I4320">
        <v>1.03</v>
      </c>
      <c r="J4320" s="1">
        <v>1047</v>
      </c>
    </row>
    <row r="4321" spans="1:10" ht="14.25" customHeight="1" x14ac:dyDescent="0.25">
      <c r="A4321" s="21">
        <v>40009</v>
      </c>
      <c r="B4321" s="21"/>
    </row>
    <row r="4322" spans="1:10" ht="14.25" customHeight="1" x14ac:dyDescent="0.25">
      <c r="A4322" s="21">
        <v>40009</v>
      </c>
      <c r="B4322" s="21"/>
      <c r="C4322">
        <v>17</v>
      </c>
      <c r="D4322">
        <v>4.5</v>
      </c>
      <c r="E4322">
        <v>91</v>
      </c>
      <c r="F4322">
        <v>34</v>
      </c>
      <c r="G4322">
        <v>6</v>
      </c>
      <c r="H4322">
        <v>34</v>
      </c>
      <c r="I4322">
        <v>1.48</v>
      </c>
      <c r="J4322" s="1">
        <v>1505</v>
      </c>
    </row>
    <row r="4323" spans="1:10" ht="14.25" customHeight="1" x14ac:dyDescent="0.25">
      <c r="A4323" s="21">
        <v>40009</v>
      </c>
      <c r="B4323" s="21"/>
      <c r="I4323">
        <v>0.83</v>
      </c>
    </row>
    <row r="4324" spans="1:10" ht="14.25" customHeight="1" x14ac:dyDescent="0.25">
      <c r="A4324" s="21">
        <v>40013</v>
      </c>
      <c r="B4324" s="21"/>
      <c r="C4324">
        <v>46.7</v>
      </c>
      <c r="D4324">
        <v>3.4</v>
      </c>
      <c r="E4324">
        <v>80</v>
      </c>
      <c r="F4324">
        <v>140</v>
      </c>
      <c r="G4324">
        <v>8</v>
      </c>
      <c r="H4324">
        <v>140</v>
      </c>
      <c r="I4324">
        <v>1.38</v>
      </c>
      <c r="J4324" s="1">
        <v>5606</v>
      </c>
    </row>
    <row r="4325" spans="1:10" ht="14.25" customHeight="1" x14ac:dyDescent="0.25">
      <c r="A4325" s="21">
        <v>40017</v>
      </c>
      <c r="B4325" s="21"/>
      <c r="C4325">
        <v>0.8</v>
      </c>
      <c r="D4325">
        <v>2.2999999999999998</v>
      </c>
      <c r="I4325">
        <v>1.27</v>
      </c>
      <c r="J4325">
        <v>128</v>
      </c>
    </row>
    <row r="4326" spans="1:10" ht="14.25" customHeight="1" x14ac:dyDescent="0.25">
      <c r="A4326" s="21">
        <v>40017</v>
      </c>
      <c r="B4326" s="21"/>
      <c r="C4326">
        <v>37</v>
      </c>
      <c r="D4326">
        <v>3.9</v>
      </c>
      <c r="E4326">
        <v>76</v>
      </c>
      <c r="F4326">
        <v>74</v>
      </c>
      <c r="G4326">
        <v>8</v>
      </c>
      <c r="H4326">
        <v>74</v>
      </c>
      <c r="I4326">
        <v>1.53</v>
      </c>
      <c r="J4326" s="1">
        <v>3516</v>
      </c>
    </row>
    <row r="4327" spans="1:10" ht="14.25" customHeight="1" x14ac:dyDescent="0.25">
      <c r="A4327" s="21">
        <v>40019</v>
      </c>
      <c r="B4327" s="21"/>
      <c r="C4327">
        <v>55.9</v>
      </c>
      <c r="D4327">
        <v>3.8</v>
      </c>
      <c r="E4327">
        <v>167</v>
      </c>
      <c r="F4327">
        <v>140</v>
      </c>
      <c r="G4327">
        <v>13</v>
      </c>
      <c r="H4327">
        <v>140</v>
      </c>
      <c r="I4327">
        <v>1.69</v>
      </c>
      <c r="J4327" s="1">
        <v>5725</v>
      </c>
    </row>
    <row r="4328" spans="1:10" ht="14.25" customHeight="1" x14ac:dyDescent="0.25">
      <c r="A4328" s="21">
        <v>40021</v>
      </c>
      <c r="B4328" s="21"/>
      <c r="C4328">
        <v>39.4</v>
      </c>
      <c r="D4328">
        <v>3.9</v>
      </c>
      <c r="E4328">
        <v>150</v>
      </c>
      <c r="F4328">
        <v>70</v>
      </c>
      <c r="G4328">
        <v>14</v>
      </c>
      <c r="H4328">
        <v>70</v>
      </c>
      <c r="I4328">
        <v>1.7</v>
      </c>
      <c r="J4328" s="1">
        <v>3850</v>
      </c>
    </row>
    <row r="4329" spans="1:10" ht="14.25" customHeight="1" x14ac:dyDescent="0.25">
      <c r="A4329" s="21">
        <v>40021</v>
      </c>
      <c r="B4329" s="21"/>
      <c r="C4329">
        <v>18</v>
      </c>
      <c r="D4329">
        <v>2.8</v>
      </c>
      <c r="E4329">
        <v>278</v>
      </c>
      <c r="F4329">
        <v>52</v>
      </c>
      <c r="H4329">
        <v>52</v>
      </c>
      <c r="I4329">
        <v>1.1399999999999999</v>
      </c>
      <c r="J4329" s="1">
        <v>2360</v>
      </c>
    </row>
    <row r="4330" spans="1:10" ht="14.25" customHeight="1" x14ac:dyDescent="0.25">
      <c r="A4330" s="21">
        <v>40023</v>
      </c>
      <c r="B4330" s="21"/>
      <c r="C4330">
        <v>10.6</v>
      </c>
      <c r="D4330">
        <v>4.2</v>
      </c>
      <c r="E4330">
        <v>17</v>
      </c>
      <c r="F4330">
        <v>34</v>
      </c>
      <c r="H4330">
        <v>34</v>
      </c>
      <c r="I4330">
        <v>0.98</v>
      </c>
      <c r="J4330">
        <v>919</v>
      </c>
    </row>
    <row r="4331" spans="1:10" ht="14.25" customHeight="1" x14ac:dyDescent="0.25">
      <c r="A4331" s="21">
        <v>40027</v>
      </c>
      <c r="B4331" s="21"/>
      <c r="C4331">
        <v>174.6</v>
      </c>
      <c r="D4331">
        <v>4.2</v>
      </c>
      <c r="E4331">
        <v>389</v>
      </c>
      <c r="F4331">
        <v>331</v>
      </c>
      <c r="G4331">
        <v>52</v>
      </c>
      <c r="H4331">
        <v>324</v>
      </c>
      <c r="I4331">
        <v>1.69</v>
      </c>
      <c r="J4331" s="1">
        <v>16287</v>
      </c>
    </row>
    <row r="4332" spans="1:10" ht="14.25" customHeight="1" x14ac:dyDescent="0.25">
      <c r="A4332" s="21">
        <v>40027</v>
      </c>
      <c r="B4332" s="21"/>
      <c r="H4332">
        <v>337</v>
      </c>
    </row>
    <row r="4333" spans="1:10" ht="14.25" customHeight="1" x14ac:dyDescent="0.25">
      <c r="A4333" s="21">
        <v>40027</v>
      </c>
      <c r="B4333" s="21"/>
      <c r="E4333">
        <v>70</v>
      </c>
      <c r="H4333">
        <v>168</v>
      </c>
    </row>
    <row r="4334" spans="1:10" ht="14.25" customHeight="1" x14ac:dyDescent="0.25">
      <c r="A4334" s="21">
        <v>40027</v>
      </c>
      <c r="B4334" s="21"/>
      <c r="E4334">
        <v>1</v>
      </c>
      <c r="H4334">
        <v>8</v>
      </c>
    </row>
    <row r="4335" spans="1:10" ht="14.25" customHeight="1" x14ac:dyDescent="0.25">
      <c r="A4335" s="21">
        <v>40027</v>
      </c>
      <c r="B4335" s="21"/>
      <c r="H4335">
        <v>32</v>
      </c>
    </row>
    <row r="4336" spans="1:10" ht="14.25" customHeight="1" x14ac:dyDescent="0.25">
      <c r="A4336" s="21">
        <v>40031</v>
      </c>
      <c r="B4336" s="21"/>
      <c r="C4336">
        <v>7</v>
      </c>
      <c r="D4336">
        <v>8</v>
      </c>
      <c r="E4336">
        <v>111</v>
      </c>
      <c r="F4336">
        <v>38</v>
      </c>
      <c r="H4336">
        <v>38</v>
      </c>
      <c r="I4336">
        <v>1.03</v>
      </c>
      <c r="J4336">
        <v>319</v>
      </c>
    </row>
    <row r="4337" spans="1:10" ht="14.25" customHeight="1" x14ac:dyDescent="0.25">
      <c r="A4337" s="21">
        <v>40031</v>
      </c>
      <c r="B4337" s="21"/>
      <c r="C4337">
        <v>37.4</v>
      </c>
      <c r="D4337">
        <v>3.9</v>
      </c>
      <c r="E4337">
        <v>95</v>
      </c>
      <c r="F4337">
        <v>126</v>
      </c>
      <c r="G4337">
        <v>8</v>
      </c>
      <c r="H4337">
        <v>126</v>
      </c>
      <c r="I4337">
        <v>1.49</v>
      </c>
      <c r="J4337" s="1">
        <v>3852</v>
      </c>
    </row>
    <row r="4338" spans="1:10" ht="14.25" customHeight="1" x14ac:dyDescent="0.25">
      <c r="A4338" s="21">
        <v>40031</v>
      </c>
      <c r="B4338" s="21"/>
      <c r="C4338">
        <v>115.2</v>
      </c>
      <c r="D4338">
        <v>4.8</v>
      </c>
      <c r="E4338">
        <v>249</v>
      </c>
      <c r="F4338">
        <v>187</v>
      </c>
      <c r="G4338">
        <v>20</v>
      </c>
      <c r="H4338">
        <v>187</v>
      </c>
      <c r="I4338">
        <v>1.72</v>
      </c>
      <c r="J4338" s="1">
        <v>9592</v>
      </c>
    </row>
    <row r="4339" spans="1:10" ht="14.25" customHeight="1" x14ac:dyDescent="0.25">
      <c r="A4339" s="21">
        <v>40035</v>
      </c>
      <c r="B4339" s="21"/>
      <c r="C4339">
        <v>8.1</v>
      </c>
      <c r="D4339">
        <v>4</v>
      </c>
      <c r="E4339">
        <v>31</v>
      </c>
      <c r="F4339">
        <v>35</v>
      </c>
      <c r="H4339">
        <v>35</v>
      </c>
      <c r="I4339">
        <v>1.0900000000000001</v>
      </c>
      <c r="J4339">
        <v>734</v>
      </c>
    </row>
    <row r="4340" spans="1:10" ht="14.25" customHeight="1" x14ac:dyDescent="0.25">
      <c r="A4340" s="21">
        <v>40037</v>
      </c>
      <c r="B4340" s="21"/>
      <c r="C4340">
        <v>7.2</v>
      </c>
      <c r="D4340">
        <v>1.6</v>
      </c>
      <c r="E4340">
        <v>42</v>
      </c>
      <c r="F4340">
        <v>55</v>
      </c>
      <c r="H4340">
        <v>55</v>
      </c>
      <c r="I4340">
        <v>2.0099999999999998</v>
      </c>
      <c r="J4340" s="1">
        <v>1679</v>
      </c>
    </row>
    <row r="4341" spans="1:10" ht="14.25" customHeight="1" x14ac:dyDescent="0.25">
      <c r="A4341" s="21">
        <v>40039</v>
      </c>
      <c r="B4341" s="21"/>
      <c r="C4341">
        <v>6.2</v>
      </c>
      <c r="D4341">
        <v>3</v>
      </c>
      <c r="E4341">
        <v>23</v>
      </c>
      <c r="F4341">
        <v>45</v>
      </c>
      <c r="G4341">
        <v>4</v>
      </c>
      <c r="H4341">
        <v>45</v>
      </c>
      <c r="I4341">
        <v>1.21</v>
      </c>
      <c r="J4341">
        <v>888</v>
      </c>
    </row>
    <row r="4342" spans="1:10" ht="14.25" customHeight="1" x14ac:dyDescent="0.25">
      <c r="A4342" s="21">
        <v>40041</v>
      </c>
      <c r="B4342" s="21"/>
      <c r="C4342">
        <v>15.2</v>
      </c>
      <c r="D4342">
        <v>3.5</v>
      </c>
      <c r="E4342">
        <v>59</v>
      </c>
      <c r="F4342">
        <v>58</v>
      </c>
      <c r="G4342">
        <v>6</v>
      </c>
      <c r="H4342">
        <v>58</v>
      </c>
      <c r="I4342">
        <v>1.42</v>
      </c>
      <c r="J4342" s="1">
        <v>1765</v>
      </c>
    </row>
    <row r="4343" spans="1:10" ht="14.25" customHeight="1" x14ac:dyDescent="0.25">
      <c r="A4343" s="21">
        <v>40047</v>
      </c>
      <c r="B4343" s="21"/>
      <c r="C4343">
        <v>51</v>
      </c>
      <c r="D4343">
        <v>3.7</v>
      </c>
      <c r="E4343">
        <v>116</v>
      </c>
      <c r="F4343">
        <v>142</v>
      </c>
      <c r="G4343">
        <v>11</v>
      </c>
      <c r="H4343">
        <v>142</v>
      </c>
      <c r="I4343">
        <v>1.51</v>
      </c>
      <c r="J4343" s="1">
        <v>5181</v>
      </c>
    </row>
    <row r="4344" spans="1:10" ht="14.25" customHeight="1" x14ac:dyDescent="0.25">
      <c r="A4344" s="21">
        <v>40047</v>
      </c>
      <c r="B4344" s="21"/>
      <c r="C4344">
        <v>59.8</v>
      </c>
      <c r="D4344">
        <v>7.1</v>
      </c>
      <c r="E4344">
        <v>85</v>
      </c>
      <c r="F4344">
        <v>183</v>
      </c>
      <c r="G4344">
        <v>19</v>
      </c>
      <c r="H4344">
        <v>183</v>
      </c>
      <c r="I4344">
        <v>1.5</v>
      </c>
      <c r="J4344" s="1">
        <v>3347</v>
      </c>
    </row>
    <row r="4345" spans="1:10" ht="14.25" customHeight="1" x14ac:dyDescent="0.25">
      <c r="A4345" s="21">
        <v>40049</v>
      </c>
      <c r="B4345" s="21"/>
      <c r="C4345">
        <v>3.5</v>
      </c>
      <c r="D4345">
        <v>3.4</v>
      </c>
      <c r="I4345">
        <v>1.18</v>
      </c>
      <c r="J4345">
        <v>378</v>
      </c>
    </row>
    <row r="4346" spans="1:10" ht="14.25" customHeight="1" x14ac:dyDescent="0.25">
      <c r="A4346" s="21">
        <v>40049</v>
      </c>
      <c r="B4346" s="21"/>
      <c r="C4346">
        <v>18.100000000000001</v>
      </c>
      <c r="D4346">
        <v>6.6</v>
      </c>
      <c r="E4346">
        <v>33</v>
      </c>
      <c r="F4346">
        <v>26</v>
      </c>
      <c r="H4346">
        <v>26</v>
      </c>
      <c r="I4346">
        <v>1.08</v>
      </c>
      <c r="J4346">
        <v>999</v>
      </c>
    </row>
    <row r="4347" spans="1:10" ht="14.25" customHeight="1" x14ac:dyDescent="0.25">
      <c r="A4347" s="21">
        <v>40051</v>
      </c>
      <c r="B4347" s="21"/>
      <c r="C4347">
        <v>9.5</v>
      </c>
      <c r="D4347">
        <v>3.8</v>
      </c>
      <c r="E4347">
        <v>57</v>
      </c>
      <c r="F4347">
        <v>49</v>
      </c>
      <c r="G4347">
        <v>9</v>
      </c>
      <c r="H4347">
        <v>49</v>
      </c>
      <c r="I4347">
        <v>1.36</v>
      </c>
      <c r="J4347">
        <v>910</v>
      </c>
    </row>
    <row r="4348" spans="1:10" ht="14.25" customHeight="1" x14ac:dyDescent="0.25">
      <c r="A4348" s="21">
        <v>40065</v>
      </c>
      <c r="B4348" s="21"/>
      <c r="C4348">
        <v>23.8</v>
      </c>
      <c r="D4348">
        <v>4.3</v>
      </c>
      <c r="E4348">
        <v>66</v>
      </c>
      <c r="F4348">
        <v>49</v>
      </c>
      <c r="G4348">
        <v>6</v>
      </c>
      <c r="H4348">
        <v>49</v>
      </c>
      <c r="I4348">
        <v>1.56</v>
      </c>
      <c r="J4348" s="1">
        <v>2162</v>
      </c>
    </row>
    <row r="4349" spans="1:10" ht="14.25" customHeight="1" x14ac:dyDescent="0.25">
      <c r="A4349" s="21">
        <v>40071</v>
      </c>
      <c r="B4349" s="21"/>
      <c r="C4349">
        <v>4.2</v>
      </c>
      <c r="D4349">
        <v>3.2</v>
      </c>
      <c r="E4349">
        <v>10</v>
      </c>
      <c r="F4349">
        <v>34</v>
      </c>
      <c r="H4349">
        <v>34</v>
      </c>
      <c r="I4349">
        <v>1.19</v>
      </c>
      <c r="J4349">
        <v>483</v>
      </c>
    </row>
    <row r="4350" spans="1:10" ht="14.25" customHeight="1" x14ac:dyDescent="0.25">
      <c r="A4350" s="21">
        <v>40071</v>
      </c>
      <c r="B4350" s="21"/>
      <c r="C4350">
        <v>21.1</v>
      </c>
      <c r="D4350">
        <v>3.7</v>
      </c>
      <c r="E4350">
        <v>63</v>
      </c>
      <c r="F4350">
        <v>48</v>
      </c>
      <c r="G4350">
        <v>10</v>
      </c>
      <c r="H4350">
        <v>48</v>
      </c>
      <c r="I4350">
        <v>1.5</v>
      </c>
      <c r="J4350" s="1">
        <v>2306</v>
      </c>
    </row>
    <row r="4351" spans="1:10" ht="14.25" customHeight="1" x14ac:dyDescent="0.25">
      <c r="A4351" s="21">
        <v>40075</v>
      </c>
      <c r="B4351" s="21"/>
      <c r="C4351">
        <v>6.3</v>
      </c>
      <c r="D4351">
        <v>4.0999999999999996</v>
      </c>
      <c r="E4351">
        <v>13</v>
      </c>
      <c r="F4351">
        <v>38</v>
      </c>
      <c r="H4351">
        <v>38</v>
      </c>
      <c r="I4351">
        <v>1.33</v>
      </c>
      <c r="J4351">
        <v>567</v>
      </c>
    </row>
    <row r="4352" spans="1:10" ht="14.25" customHeight="1" x14ac:dyDescent="0.25">
      <c r="A4352" s="21">
        <v>40077</v>
      </c>
      <c r="B4352" s="21"/>
      <c r="C4352">
        <v>8.8000000000000007</v>
      </c>
      <c r="D4352">
        <v>2.6</v>
      </c>
      <c r="E4352">
        <v>170</v>
      </c>
      <c r="F4352">
        <v>43</v>
      </c>
      <c r="H4352">
        <v>43</v>
      </c>
      <c r="I4352">
        <v>0.89</v>
      </c>
      <c r="J4352" s="1">
        <v>1223</v>
      </c>
    </row>
    <row r="4353" spans="1:10" ht="14.25" customHeight="1" x14ac:dyDescent="0.25">
      <c r="A4353" s="21">
        <v>40077</v>
      </c>
      <c r="B4353" s="21"/>
      <c r="C4353">
        <v>0.4</v>
      </c>
      <c r="D4353">
        <v>2.6</v>
      </c>
      <c r="I4353">
        <v>0.95</v>
      </c>
      <c r="J4353">
        <v>56</v>
      </c>
    </row>
    <row r="4354" spans="1:10" ht="14.25" customHeight="1" x14ac:dyDescent="0.25">
      <c r="A4354" s="21">
        <v>40087</v>
      </c>
      <c r="B4354" s="21"/>
      <c r="C4354">
        <v>4.5</v>
      </c>
      <c r="D4354">
        <v>3.3</v>
      </c>
      <c r="E4354">
        <v>30</v>
      </c>
      <c r="F4354">
        <v>39</v>
      </c>
      <c r="H4354">
        <v>39</v>
      </c>
      <c r="I4354">
        <v>1.04</v>
      </c>
      <c r="J4354">
        <v>501</v>
      </c>
    </row>
    <row r="4355" spans="1:10" ht="14.25" customHeight="1" x14ac:dyDescent="0.25">
      <c r="A4355" s="21">
        <v>40091</v>
      </c>
      <c r="B4355" s="21"/>
      <c r="C4355">
        <v>0.4</v>
      </c>
      <c r="D4355">
        <v>3</v>
      </c>
      <c r="J4355">
        <v>53</v>
      </c>
    </row>
    <row r="4356" spans="1:10" ht="14.25" customHeight="1" x14ac:dyDescent="0.25">
      <c r="A4356" s="21">
        <v>40097</v>
      </c>
      <c r="B4356" s="21"/>
      <c r="C4356">
        <v>3.3</v>
      </c>
      <c r="D4356">
        <v>2</v>
      </c>
      <c r="E4356">
        <v>43</v>
      </c>
      <c r="F4356">
        <v>24</v>
      </c>
      <c r="H4356">
        <v>24</v>
      </c>
      <c r="I4356">
        <v>1.27</v>
      </c>
      <c r="J4356">
        <v>603</v>
      </c>
    </row>
    <row r="4357" spans="1:10" ht="14.25" customHeight="1" x14ac:dyDescent="0.25">
      <c r="A4357" s="21">
        <v>40101</v>
      </c>
      <c r="B4357" s="21"/>
      <c r="H4357">
        <v>45</v>
      </c>
    </row>
    <row r="4358" spans="1:10" ht="14.25" customHeight="1" x14ac:dyDescent="0.25">
      <c r="A4358" s="21">
        <v>40101</v>
      </c>
      <c r="B4358" s="21"/>
      <c r="C4358">
        <v>103.7</v>
      </c>
      <c r="D4358">
        <v>4.9000000000000004</v>
      </c>
      <c r="E4358">
        <v>266</v>
      </c>
      <c r="F4358">
        <v>264</v>
      </c>
      <c r="G4358">
        <v>24</v>
      </c>
      <c r="H4358">
        <v>264</v>
      </c>
      <c r="I4358">
        <v>1.43</v>
      </c>
      <c r="J4358" s="1">
        <v>7856</v>
      </c>
    </row>
    <row r="4359" spans="1:10" ht="14.25" customHeight="1" x14ac:dyDescent="0.25">
      <c r="A4359" s="21">
        <v>40103</v>
      </c>
      <c r="B4359" s="21"/>
      <c r="C4359">
        <v>4.2</v>
      </c>
      <c r="D4359">
        <v>6.8</v>
      </c>
      <c r="E4359">
        <v>13</v>
      </c>
      <c r="F4359">
        <v>26</v>
      </c>
      <c r="H4359">
        <v>26</v>
      </c>
      <c r="I4359">
        <v>0.96</v>
      </c>
      <c r="J4359">
        <v>224</v>
      </c>
    </row>
    <row r="4360" spans="1:10" ht="14.25" customHeight="1" x14ac:dyDescent="0.25">
      <c r="A4360" s="21">
        <v>40109</v>
      </c>
      <c r="B4360" s="21"/>
      <c r="C4360">
        <v>25.8</v>
      </c>
      <c r="D4360">
        <v>2.7</v>
      </c>
      <c r="E4360">
        <v>100</v>
      </c>
      <c r="F4360">
        <v>64</v>
      </c>
      <c r="H4360">
        <v>64</v>
      </c>
      <c r="I4360">
        <v>2.39</v>
      </c>
      <c r="J4360" s="1">
        <v>3513</v>
      </c>
    </row>
    <row r="4361" spans="1:10" ht="14.25" customHeight="1" x14ac:dyDescent="0.25">
      <c r="A4361" s="21">
        <v>40109</v>
      </c>
      <c r="B4361" s="21"/>
      <c r="C4361">
        <v>3.1</v>
      </c>
      <c r="D4361">
        <v>2</v>
      </c>
      <c r="E4361">
        <v>65</v>
      </c>
      <c r="F4361">
        <v>9</v>
      </c>
      <c r="H4361">
        <v>9</v>
      </c>
      <c r="I4361">
        <v>2.44</v>
      </c>
      <c r="J4361">
        <v>556</v>
      </c>
    </row>
    <row r="4362" spans="1:10" ht="14.25" customHeight="1" x14ac:dyDescent="0.25">
      <c r="A4362" s="21">
        <v>40109</v>
      </c>
      <c r="B4362" s="21"/>
      <c r="C4362">
        <v>42.5</v>
      </c>
      <c r="D4362">
        <v>3.1</v>
      </c>
      <c r="E4362">
        <v>48</v>
      </c>
      <c r="F4362">
        <v>44</v>
      </c>
      <c r="H4362">
        <v>44</v>
      </c>
      <c r="I4362">
        <v>2.54</v>
      </c>
      <c r="J4362" s="1">
        <v>5045</v>
      </c>
    </row>
    <row r="4363" spans="1:10" ht="14.25" customHeight="1" x14ac:dyDescent="0.25">
      <c r="A4363" s="21">
        <v>40109</v>
      </c>
      <c r="B4363" s="21"/>
      <c r="H4363">
        <v>85</v>
      </c>
    </row>
    <row r="4364" spans="1:10" ht="14.25" customHeight="1" x14ac:dyDescent="0.25">
      <c r="A4364" s="21">
        <v>40109</v>
      </c>
      <c r="B4364" s="21"/>
      <c r="C4364">
        <v>136.30000000000001</v>
      </c>
      <c r="D4364">
        <v>5.0999999999999996</v>
      </c>
      <c r="E4364">
        <v>215</v>
      </c>
      <c r="F4364">
        <v>185</v>
      </c>
      <c r="G4364">
        <v>20</v>
      </c>
      <c r="H4364">
        <v>185</v>
      </c>
      <c r="I4364">
        <v>1.7</v>
      </c>
      <c r="J4364" s="1">
        <v>10308</v>
      </c>
    </row>
    <row r="4365" spans="1:10" ht="14.25" customHeight="1" x14ac:dyDescent="0.25">
      <c r="A4365" s="21">
        <v>40109</v>
      </c>
      <c r="B4365" s="21"/>
      <c r="C4365">
        <v>559.79999999999995</v>
      </c>
      <c r="D4365">
        <v>6.1</v>
      </c>
      <c r="E4365">
        <v>989</v>
      </c>
      <c r="F4365">
        <v>699</v>
      </c>
      <c r="G4365">
        <v>114</v>
      </c>
      <c r="H4365">
        <v>699</v>
      </c>
      <c r="I4365">
        <v>2.0099999999999998</v>
      </c>
      <c r="J4365" s="1">
        <v>34479</v>
      </c>
    </row>
    <row r="4366" spans="1:10" ht="14.25" customHeight="1" x14ac:dyDescent="0.25">
      <c r="A4366" s="21">
        <v>40109</v>
      </c>
      <c r="B4366" s="21"/>
      <c r="C4366">
        <v>82.9</v>
      </c>
      <c r="D4366">
        <v>4.7</v>
      </c>
      <c r="E4366">
        <v>121</v>
      </c>
      <c r="F4366">
        <v>236</v>
      </c>
      <c r="G4366">
        <v>24</v>
      </c>
      <c r="H4366">
        <v>236</v>
      </c>
      <c r="I4366">
        <v>1.59</v>
      </c>
      <c r="J4366" s="1">
        <v>6612</v>
      </c>
    </row>
    <row r="4367" spans="1:10" ht="14.25" customHeight="1" x14ac:dyDescent="0.25">
      <c r="A4367" s="21">
        <v>40109</v>
      </c>
      <c r="B4367" s="21"/>
      <c r="C4367">
        <v>70.599999999999994</v>
      </c>
      <c r="D4367">
        <v>3</v>
      </c>
      <c r="E4367">
        <v>143</v>
      </c>
      <c r="F4367">
        <v>99</v>
      </c>
      <c r="H4367">
        <v>99</v>
      </c>
      <c r="I4367">
        <v>2.5299999999999998</v>
      </c>
      <c r="J4367" s="1">
        <v>8550</v>
      </c>
    </row>
    <row r="4368" spans="1:10" ht="14.25" customHeight="1" x14ac:dyDescent="0.25">
      <c r="A4368" s="21">
        <v>40109</v>
      </c>
      <c r="B4368" s="21"/>
      <c r="C4368">
        <v>1</v>
      </c>
      <c r="D4368">
        <v>1.9</v>
      </c>
      <c r="E4368">
        <v>12</v>
      </c>
      <c r="F4368">
        <v>9</v>
      </c>
      <c r="H4368">
        <v>9</v>
      </c>
      <c r="I4368">
        <v>2.93</v>
      </c>
      <c r="J4368">
        <v>184</v>
      </c>
    </row>
    <row r="4369" spans="1:10" ht="14.25" customHeight="1" x14ac:dyDescent="0.25">
      <c r="A4369" s="21">
        <v>40109</v>
      </c>
      <c r="B4369" s="21"/>
      <c r="C4369">
        <v>8.5</v>
      </c>
      <c r="D4369">
        <v>4.2</v>
      </c>
      <c r="E4369">
        <v>46</v>
      </c>
      <c r="F4369">
        <v>23</v>
      </c>
      <c r="H4369">
        <v>23</v>
      </c>
      <c r="I4369">
        <v>1.1499999999999999</v>
      </c>
      <c r="J4369" s="1">
        <v>1432</v>
      </c>
    </row>
    <row r="4370" spans="1:10" ht="14.25" customHeight="1" x14ac:dyDescent="0.25">
      <c r="A4370" s="21">
        <v>40109</v>
      </c>
      <c r="B4370" s="21"/>
      <c r="C4370">
        <v>1.2</v>
      </c>
      <c r="D4370">
        <v>2.1</v>
      </c>
      <c r="E4370">
        <v>24</v>
      </c>
      <c r="F4370">
        <v>12</v>
      </c>
      <c r="H4370">
        <v>12</v>
      </c>
      <c r="I4370">
        <v>2.23</v>
      </c>
      <c r="J4370">
        <v>204</v>
      </c>
    </row>
    <row r="4371" spans="1:10" ht="14.25" customHeight="1" x14ac:dyDescent="0.25">
      <c r="A4371" s="21">
        <v>40109</v>
      </c>
      <c r="B4371" s="21"/>
      <c r="C4371">
        <v>281.8</v>
      </c>
      <c r="D4371">
        <v>4.7</v>
      </c>
      <c r="E4371">
        <v>445</v>
      </c>
      <c r="F4371">
        <v>390</v>
      </c>
      <c r="H4371">
        <v>390</v>
      </c>
      <c r="I4371">
        <v>1.83</v>
      </c>
      <c r="J4371" s="1">
        <v>21797</v>
      </c>
    </row>
    <row r="4372" spans="1:10" ht="14.25" customHeight="1" x14ac:dyDescent="0.25">
      <c r="A4372" s="21">
        <v>40109</v>
      </c>
      <c r="B4372" s="21"/>
      <c r="C4372">
        <v>48.8</v>
      </c>
      <c r="D4372">
        <v>4.8</v>
      </c>
      <c r="E4372">
        <v>41</v>
      </c>
      <c r="F4372">
        <v>213</v>
      </c>
      <c r="G4372">
        <v>20</v>
      </c>
      <c r="H4372">
        <v>213</v>
      </c>
      <c r="I4372">
        <v>1.83</v>
      </c>
      <c r="J4372" s="1">
        <v>3973</v>
      </c>
    </row>
    <row r="4373" spans="1:10" ht="14.25" customHeight="1" x14ac:dyDescent="0.25">
      <c r="A4373" s="21">
        <v>40109</v>
      </c>
      <c r="B4373" s="21"/>
      <c r="C4373">
        <v>505.8</v>
      </c>
      <c r="D4373">
        <v>6.7</v>
      </c>
      <c r="E4373">
        <v>622</v>
      </c>
      <c r="F4373">
        <v>649</v>
      </c>
      <c r="G4373">
        <v>44</v>
      </c>
      <c r="H4373">
        <v>649</v>
      </c>
      <c r="I4373">
        <v>2.1800000000000002</v>
      </c>
      <c r="J4373" s="1">
        <v>28269</v>
      </c>
    </row>
    <row r="4374" spans="1:10" ht="14.25" customHeight="1" x14ac:dyDescent="0.25">
      <c r="A4374" s="21">
        <v>40109</v>
      </c>
      <c r="B4374" s="21"/>
      <c r="C4374">
        <v>216.3</v>
      </c>
      <c r="D4374">
        <v>5.2</v>
      </c>
      <c r="E4374">
        <v>628</v>
      </c>
      <c r="F4374">
        <v>308</v>
      </c>
      <c r="G4374">
        <v>36</v>
      </c>
      <c r="H4374">
        <v>308</v>
      </c>
      <c r="I4374">
        <v>1.91</v>
      </c>
      <c r="J4374" s="1">
        <v>16355</v>
      </c>
    </row>
    <row r="4375" spans="1:10" ht="14.25" customHeight="1" x14ac:dyDescent="0.25">
      <c r="A4375" s="21">
        <v>40109</v>
      </c>
      <c r="B4375" s="21"/>
      <c r="C4375">
        <v>13.2</v>
      </c>
      <c r="D4375">
        <v>2.1</v>
      </c>
      <c r="E4375">
        <v>151</v>
      </c>
      <c r="F4375">
        <v>45</v>
      </c>
      <c r="G4375">
        <v>3</v>
      </c>
      <c r="H4375">
        <v>45</v>
      </c>
      <c r="I4375">
        <v>2.48</v>
      </c>
      <c r="J4375" s="1">
        <v>2310</v>
      </c>
    </row>
    <row r="4376" spans="1:10" ht="14.25" customHeight="1" x14ac:dyDescent="0.25">
      <c r="A4376" s="21">
        <v>40109</v>
      </c>
      <c r="B4376" s="21"/>
      <c r="C4376">
        <v>12.4</v>
      </c>
      <c r="D4376">
        <v>2.5</v>
      </c>
      <c r="E4376">
        <v>36</v>
      </c>
      <c r="F4376">
        <v>23</v>
      </c>
      <c r="H4376">
        <v>23</v>
      </c>
      <c r="I4376">
        <v>4.59</v>
      </c>
      <c r="J4376" s="1">
        <v>1842</v>
      </c>
    </row>
    <row r="4377" spans="1:10" ht="14.25" customHeight="1" x14ac:dyDescent="0.25">
      <c r="A4377" s="21">
        <v>40109</v>
      </c>
      <c r="B4377" s="21"/>
      <c r="H4377">
        <v>102</v>
      </c>
    </row>
    <row r="4378" spans="1:10" ht="14.25" customHeight="1" x14ac:dyDescent="0.25">
      <c r="A4378" s="21">
        <v>40109</v>
      </c>
      <c r="B4378" s="21"/>
      <c r="C4378">
        <v>24.3</v>
      </c>
      <c r="D4378">
        <v>3.7</v>
      </c>
      <c r="E4378">
        <v>66</v>
      </c>
      <c r="F4378">
        <v>40</v>
      </c>
      <c r="G4378">
        <v>6</v>
      </c>
      <c r="H4378">
        <v>40</v>
      </c>
      <c r="I4378">
        <v>1.56</v>
      </c>
      <c r="J4378" s="1">
        <v>2790</v>
      </c>
    </row>
    <row r="4379" spans="1:10" ht="14.25" customHeight="1" x14ac:dyDescent="0.25">
      <c r="A4379" s="21">
        <v>40109</v>
      </c>
      <c r="B4379" s="21"/>
      <c r="H4379">
        <v>14</v>
      </c>
    </row>
    <row r="4380" spans="1:10" ht="14.25" customHeight="1" x14ac:dyDescent="0.25">
      <c r="A4380" s="21">
        <v>40109</v>
      </c>
      <c r="B4380" s="21"/>
      <c r="E4380">
        <v>6</v>
      </c>
    </row>
    <row r="4381" spans="1:10" ht="14.25" customHeight="1" x14ac:dyDescent="0.25">
      <c r="A4381" s="21">
        <v>40109</v>
      </c>
      <c r="B4381" s="21"/>
      <c r="E4381">
        <v>3</v>
      </c>
    </row>
    <row r="4382" spans="1:10" ht="14.25" customHeight="1" x14ac:dyDescent="0.25">
      <c r="A4382" s="21">
        <v>40109</v>
      </c>
      <c r="B4382" s="21"/>
      <c r="E4382">
        <v>6</v>
      </c>
      <c r="H4382">
        <v>10</v>
      </c>
    </row>
    <row r="4383" spans="1:10" ht="14.25" customHeight="1" x14ac:dyDescent="0.25">
      <c r="A4383" s="21">
        <v>40109</v>
      </c>
      <c r="B4383" s="21"/>
      <c r="E4383">
        <v>5</v>
      </c>
    </row>
    <row r="4384" spans="1:10" ht="14.25" customHeight="1" x14ac:dyDescent="0.25">
      <c r="A4384" s="21">
        <v>40109</v>
      </c>
      <c r="B4384" s="21"/>
      <c r="H4384">
        <v>18</v>
      </c>
    </row>
    <row r="4385" spans="1:10" ht="14.25" customHeight="1" x14ac:dyDescent="0.25">
      <c r="A4385" s="21">
        <v>40109</v>
      </c>
      <c r="B4385" s="21"/>
      <c r="C4385">
        <v>4.5</v>
      </c>
      <c r="D4385">
        <v>2.1</v>
      </c>
      <c r="E4385">
        <v>67</v>
      </c>
      <c r="F4385">
        <v>10</v>
      </c>
      <c r="H4385">
        <v>10</v>
      </c>
      <c r="I4385">
        <v>2.13</v>
      </c>
      <c r="J4385">
        <v>779</v>
      </c>
    </row>
    <row r="4386" spans="1:10" ht="14.25" customHeight="1" x14ac:dyDescent="0.25">
      <c r="A4386" s="21">
        <v>40109</v>
      </c>
      <c r="B4386" s="21"/>
      <c r="C4386">
        <v>2</v>
      </c>
      <c r="D4386">
        <v>2.9</v>
      </c>
      <c r="E4386">
        <v>63</v>
      </c>
      <c r="F4386">
        <v>8</v>
      </c>
      <c r="H4386">
        <v>8</v>
      </c>
      <c r="I4386">
        <v>2.72</v>
      </c>
      <c r="J4386">
        <v>256</v>
      </c>
    </row>
    <row r="4387" spans="1:10" ht="14.25" customHeight="1" x14ac:dyDescent="0.25">
      <c r="A4387" s="21">
        <v>40111</v>
      </c>
      <c r="B4387" s="21"/>
      <c r="C4387">
        <v>5.3</v>
      </c>
      <c r="D4387">
        <v>3.5</v>
      </c>
      <c r="E4387">
        <v>53</v>
      </c>
      <c r="F4387">
        <v>50</v>
      </c>
      <c r="H4387">
        <v>50</v>
      </c>
      <c r="I4387">
        <v>1.1100000000000001</v>
      </c>
      <c r="J4387">
        <v>548</v>
      </c>
    </row>
    <row r="4388" spans="1:10" ht="14.25" customHeight="1" x14ac:dyDescent="0.25">
      <c r="A4388" s="21">
        <v>40111</v>
      </c>
      <c r="B4388" s="21"/>
      <c r="C4388">
        <v>14.7</v>
      </c>
      <c r="D4388">
        <v>5.3</v>
      </c>
      <c r="E4388">
        <v>34</v>
      </c>
      <c r="F4388">
        <v>39</v>
      </c>
      <c r="H4388">
        <v>39</v>
      </c>
      <c r="I4388">
        <v>1.03</v>
      </c>
      <c r="J4388">
        <v>707</v>
      </c>
    </row>
    <row r="4389" spans="1:10" ht="14.25" customHeight="1" x14ac:dyDescent="0.25">
      <c r="A4389" s="21">
        <v>40115</v>
      </c>
      <c r="B4389" s="21"/>
      <c r="C4389">
        <v>13.8</v>
      </c>
      <c r="D4389">
        <v>3.2</v>
      </c>
      <c r="E4389">
        <v>59</v>
      </c>
      <c r="F4389">
        <v>94</v>
      </c>
      <c r="G4389">
        <v>9</v>
      </c>
      <c r="H4389">
        <v>94</v>
      </c>
      <c r="I4389">
        <v>1.33</v>
      </c>
      <c r="J4389" s="1">
        <v>1754</v>
      </c>
    </row>
    <row r="4390" spans="1:10" ht="14.25" customHeight="1" x14ac:dyDescent="0.25">
      <c r="A4390" s="21">
        <v>40119</v>
      </c>
      <c r="B4390" s="21"/>
      <c r="C4390">
        <v>25.1</v>
      </c>
      <c r="D4390">
        <v>3.1</v>
      </c>
      <c r="E4390">
        <v>197</v>
      </c>
      <c r="F4390">
        <v>87</v>
      </c>
      <c r="G4390">
        <v>7</v>
      </c>
      <c r="H4390">
        <v>87</v>
      </c>
      <c r="I4390">
        <v>1.63</v>
      </c>
      <c r="J4390" s="1">
        <v>3400</v>
      </c>
    </row>
    <row r="4391" spans="1:10" ht="14.25" customHeight="1" x14ac:dyDescent="0.25">
      <c r="A4391" s="21">
        <v>40119</v>
      </c>
      <c r="B4391" s="21"/>
      <c r="C4391">
        <v>7.5</v>
      </c>
      <c r="D4391">
        <v>3.2</v>
      </c>
      <c r="E4391">
        <v>19</v>
      </c>
      <c r="F4391">
        <v>74</v>
      </c>
      <c r="G4391">
        <v>4</v>
      </c>
      <c r="H4391">
        <v>74</v>
      </c>
      <c r="I4391">
        <v>1</v>
      </c>
      <c r="J4391">
        <v>865</v>
      </c>
    </row>
    <row r="4392" spans="1:10" ht="14.25" customHeight="1" x14ac:dyDescent="0.25">
      <c r="A4392" s="21">
        <v>40121</v>
      </c>
      <c r="B4392" s="21"/>
      <c r="C4392">
        <v>33.200000000000003</v>
      </c>
      <c r="D4392">
        <v>3.2</v>
      </c>
      <c r="E4392">
        <v>129</v>
      </c>
      <c r="F4392">
        <v>117</v>
      </c>
      <c r="G4392">
        <v>15</v>
      </c>
      <c r="H4392">
        <v>117</v>
      </c>
      <c r="I4392">
        <v>1.43</v>
      </c>
      <c r="J4392" s="1">
        <v>4135</v>
      </c>
    </row>
    <row r="4393" spans="1:10" ht="14.25" customHeight="1" x14ac:dyDescent="0.25">
      <c r="A4393" s="21">
        <v>40123</v>
      </c>
      <c r="B4393" s="21"/>
      <c r="C4393">
        <v>32.4</v>
      </c>
      <c r="D4393">
        <v>4</v>
      </c>
      <c r="E4393">
        <v>105</v>
      </c>
      <c r="F4393">
        <v>108</v>
      </c>
      <c r="G4393">
        <v>12</v>
      </c>
      <c r="H4393">
        <v>108</v>
      </c>
      <c r="I4393">
        <v>1.68</v>
      </c>
      <c r="J4393" s="1">
        <v>3143</v>
      </c>
    </row>
    <row r="4394" spans="1:10" ht="14.25" customHeight="1" x14ac:dyDescent="0.25">
      <c r="A4394" s="21">
        <v>40123</v>
      </c>
      <c r="B4394" s="21"/>
      <c r="C4394">
        <v>24</v>
      </c>
      <c r="D4394">
        <v>3.3</v>
      </c>
      <c r="E4394">
        <v>213</v>
      </c>
      <c r="F4394">
        <v>72</v>
      </c>
      <c r="H4394">
        <v>72</v>
      </c>
      <c r="I4394">
        <v>1.32</v>
      </c>
      <c r="J4394" s="1">
        <v>2690</v>
      </c>
    </row>
    <row r="4395" spans="1:10" ht="14.25" customHeight="1" x14ac:dyDescent="0.25">
      <c r="A4395" s="21">
        <v>40125</v>
      </c>
      <c r="B4395" s="21"/>
      <c r="C4395">
        <v>32.700000000000003</v>
      </c>
      <c r="D4395">
        <v>6.2</v>
      </c>
      <c r="E4395">
        <v>144</v>
      </c>
      <c r="F4395">
        <v>77</v>
      </c>
      <c r="G4395">
        <v>14</v>
      </c>
      <c r="H4395">
        <v>77</v>
      </c>
      <c r="I4395">
        <v>1.61</v>
      </c>
      <c r="J4395" s="1">
        <v>2595</v>
      </c>
    </row>
    <row r="4396" spans="1:10" ht="14.25" customHeight="1" x14ac:dyDescent="0.25">
      <c r="A4396" s="21">
        <v>40127</v>
      </c>
      <c r="B4396" s="21"/>
      <c r="C4396">
        <v>10.7</v>
      </c>
      <c r="D4396">
        <v>7.7</v>
      </c>
      <c r="E4396">
        <v>3</v>
      </c>
      <c r="F4396">
        <v>42</v>
      </c>
      <c r="H4396">
        <v>42</v>
      </c>
      <c r="I4396">
        <v>0.92</v>
      </c>
      <c r="J4396">
        <v>503</v>
      </c>
    </row>
    <row r="4397" spans="1:10" ht="14.25" customHeight="1" x14ac:dyDescent="0.25">
      <c r="A4397" s="21">
        <v>40131</v>
      </c>
      <c r="B4397" s="21"/>
      <c r="C4397">
        <v>20.8</v>
      </c>
      <c r="D4397">
        <v>3.3</v>
      </c>
      <c r="E4397">
        <v>120</v>
      </c>
      <c r="F4397">
        <v>54</v>
      </c>
      <c r="G4397">
        <v>6</v>
      </c>
      <c r="H4397">
        <v>54</v>
      </c>
      <c r="I4397">
        <v>1.28</v>
      </c>
      <c r="J4397" s="1">
        <v>2593</v>
      </c>
    </row>
    <row r="4398" spans="1:10" ht="14.25" customHeight="1" x14ac:dyDescent="0.25">
      <c r="A4398" s="21">
        <v>40131</v>
      </c>
      <c r="B4398" s="21"/>
      <c r="C4398">
        <v>6.9</v>
      </c>
      <c r="D4398">
        <v>3</v>
      </c>
      <c r="E4398">
        <v>61</v>
      </c>
      <c r="F4398">
        <v>46</v>
      </c>
      <c r="H4398">
        <v>46</v>
      </c>
      <c r="I4398">
        <v>1.1299999999999999</v>
      </c>
      <c r="J4398">
        <v>822</v>
      </c>
    </row>
    <row r="4399" spans="1:10" ht="14.25" customHeight="1" x14ac:dyDescent="0.25">
      <c r="A4399" s="21">
        <v>40133</v>
      </c>
      <c r="B4399" s="21"/>
      <c r="C4399">
        <v>5.8</v>
      </c>
      <c r="D4399">
        <v>4.0999999999999996</v>
      </c>
      <c r="E4399">
        <v>27</v>
      </c>
      <c r="F4399">
        <v>32</v>
      </c>
      <c r="H4399">
        <v>32</v>
      </c>
      <c r="I4399">
        <v>1.1599999999999999</v>
      </c>
      <c r="J4399">
        <v>507</v>
      </c>
    </row>
    <row r="4400" spans="1:10" ht="14.25" customHeight="1" x14ac:dyDescent="0.25">
      <c r="A4400" s="21">
        <v>40135</v>
      </c>
      <c r="B4400" s="21"/>
      <c r="C4400">
        <v>6.5</v>
      </c>
      <c r="D4400">
        <v>4.7</v>
      </c>
      <c r="E4400">
        <v>31</v>
      </c>
      <c r="F4400">
        <v>41</v>
      </c>
      <c r="H4400">
        <v>41</v>
      </c>
      <c r="I4400">
        <v>1.0900000000000001</v>
      </c>
      <c r="J4400">
        <v>505</v>
      </c>
    </row>
    <row r="4401" spans="1:10" ht="14.25" customHeight="1" x14ac:dyDescent="0.25">
      <c r="A4401" s="21">
        <v>40137</v>
      </c>
      <c r="B4401" s="21"/>
      <c r="C4401">
        <v>37.6</v>
      </c>
      <c r="D4401">
        <v>3.8</v>
      </c>
      <c r="E4401">
        <v>107</v>
      </c>
      <c r="F4401">
        <v>86</v>
      </c>
      <c r="G4401">
        <v>9</v>
      </c>
      <c r="H4401">
        <v>86</v>
      </c>
      <c r="I4401">
        <v>1.39</v>
      </c>
      <c r="J4401" s="1">
        <v>3928</v>
      </c>
    </row>
    <row r="4402" spans="1:10" ht="14.25" customHeight="1" x14ac:dyDescent="0.25">
      <c r="A4402" s="21">
        <v>40139</v>
      </c>
      <c r="B4402" s="21"/>
      <c r="C4402">
        <v>3.9</v>
      </c>
      <c r="D4402">
        <v>5.6</v>
      </c>
      <c r="E4402">
        <v>29</v>
      </c>
      <c r="H4402">
        <v>25</v>
      </c>
      <c r="I4402">
        <v>1</v>
      </c>
      <c r="J4402">
        <v>254</v>
      </c>
    </row>
    <row r="4403" spans="1:10" ht="14.25" customHeight="1" x14ac:dyDescent="0.25">
      <c r="A4403" s="21">
        <v>40141</v>
      </c>
      <c r="B4403" s="21"/>
      <c r="C4403">
        <v>3.1</v>
      </c>
      <c r="D4403">
        <v>4.5</v>
      </c>
      <c r="J4403">
        <v>250</v>
      </c>
    </row>
    <row r="4404" spans="1:10" ht="14.25" customHeight="1" x14ac:dyDescent="0.25">
      <c r="A4404" s="21">
        <v>40143</v>
      </c>
      <c r="B4404" s="21"/>
      <c r="C4404">
        <v>66</v>
      </c>
      <c r="D4404">
        <v>4.0999999999999996</v>
      </c>
      <c r="E4404">
        <v>108</v>
      </c>
      <c r="F4404">
        <v>171</v>
      </c>
      <c r="G4404">
        <v>33</v>
      </c>
      <c r="H4404">
        <v>171</v>
      </c>
      <c r="I4404">
        <v>1.86</v>
      </c>
      <c r="J4404" s="1">
        <v>6001</v>
      </c>
    </row>
    <row r="4405" spans="1:10" ht="14.25" customHeight="1" x14ac:dyDescent="0.25">
      <c r="A4405" s="21">
        <v>40143</v>
      </c>
      <c r="B4405" s="21"/>
      <c r="C4405">
        <v>656.1</v>
      </c>
      <c r="D4405">
        <v>5.0999999999999996</v>
      </c>
      <c r="E4405">
        <v>758</v>
      </c>
      <c r="F4405">
        <v>861</v>
      </c>
      <c r="G4405">
        <v>100</v>
      </c>
      <c r="H4405">
        <v>861</v>
      </c>
      <c r="I4405">
        <v>1.91</v>
      </c>
      <c r="J4405" s="1">
        <v>47097</v>
      </c>
    </row>
    <row r="4406" spans="1:10" ht="14.25" customHeight="1" x14ac:dyDescent="0.25">
      <c r="A4406" s="21">
        <v>40143</v>
      </c>
      <c r="B4406" s="21"/>
      <c r="C4406">
        <v>398.5</v>
      </c>
      <c r="D4406">
        <v>5.4</v>
      </c>
      <c r="E4406">
        <v>656</v>
      </c>
      <c r="F4406">
        <v>495</v>
      </c>
      <c r="G4406">
        <v>63</v>
      </c>
      <c r="H4406">
        <v>495</v>
      </c>
      <c r="I4406">
        <v>2.0099999999999998</v>
      </c>
      <c r="J4406" s="1">
        <v>27772</v>
      </c>
    </row>
    <row r="4407" spans="1:10" ht="14.25" customHeight="1" x14ac:dyDescent="0.25">
      <c r="A4407" s="21">
        <v>40143</v>
      </c>
      <c r="B4407" s="21"/>
      <c r="C4407">
        <v>10.6</v>
      </c>
      <c r="D4407">
        <v>5.7</v>
      </c>
      <c r="E4407">
        <v>46</v>
      </c>
      <c r="F4407">
        <v>40</v>
      </c>
      <c r="G4407">
        <v>13</v>
      </c>
      <c r="H4407">
        <v>40</v>
      </c>
      <c r="I4407">
        <v>2.34</v>
      </c>
      <c r="J4407">
        <v>683</v>
      </c>
    </row>
    <row r="4408" spans="1:10" ht="14.25" customHeight="1" x14ac:dyDescent="0.25">
      <c r="A4408" s="21">
        <v>40143</v>
      </c>
      <c r="B4408" s="21"/>
      <c r="C4408">
        <v>109.9</v>
      </c>
      <c r="D4408">
        <v>4.8</v>
      </c>
      <c r="E4408">
        <v>153</v>
      </c>
      <c r="F4408">
        <v>164</v>
      </c>
      <c r="G4408">
        <v>15</v>
      </c>
      <c r="H4408">
        <v>164</v>
      </c>
      <c r="I4408">
        <v>1.66</v>
      </c>
      <c r="J4408" s="1">
        <v>9411</v>
      </c>
    </row>
    <row r="4409" spans="1:10" ht="14.25" customHeight="1" x14ac:dyDescent="0.25">
      <c r="A4409" s="21">
        <v>40143</v>
      </c>
      <c r="B4409" s="21"/>
      <c r="C4409">
        <v>8.9</v>
      </c>
      <c r="D4409">
        <v>3.1</v>
      </c>
      <c r="E4409">
        <v>60</v>
      </c>
      <c r="F4409">
        <v>38</v>
      </c>
      <c r="H4409">
        <v>38</v>
      </c>
      <c r="I4409">
        <v>3.87</v>
      </c>
      <c r="J4409" s="1">
        <v>1066</v>
      </c>
    </row>
    <row r="4410" spans="1:10" ht="14.25" customHeight="1" x14ac:dyDescent="0.25">
      <c r="A4410" s="21">
        <v>40143</v>
      </c>
      <c r="B4410" s="21"/>
      <c r="E4410">
        <v>69</v>
      </c>
      <c r="H4410">
        <v>96</v>
      </c>
    </row>
    <row r="4411" spans="1:10" ht="14.25" customHeight="1" x14ac:dyDescent="0.25">
      <c r="A4411" s="21">
        <v>40143</v>
      </c>
      <c r="B4411" s="21"/>
      <c r="C4411">
        <v>332.3</v>
      </c>
      <c r="D4411">
        <v>5.6</v>
      </c>
      <c r="E4411">
        <v>419</v>
      </c>
      <c r="F4411">
        <v>448</v>
      </c>
      <c r="G4411">
        <v>30</v>
      </c>
      <c r="H4411">
        <v>448</v>
      </c>
      <c r="I4411">
        <v>1.95</v>
      </c>
      <c r="J4411" s="1">
        <v>22448</v>
      </c>
    </row>
    <row r="4412" spans="1:10" ht="14.25" customHeight="1" x14ac:dyDescent="0.25">
      <c r="A4412" s="21">
        <v>40143</v>
      </c>
      <c r="B4412" s="21"/>
      <c r="C4412">
        <v>9.9</v>
      </c>
      <c r="D4412">
        <v>2.5</v>
      </c>
      <c r="E4412">
        <v>70</v>
      </c>
      <c r="F4412">
        <v>32</v>
      </c>
      <c r="H4412">
        <v>32</v>
      </c>
      <c r="I4412">
        <v>1.29</v>
      </c>
      <c r="J4412" s="1">
        <v>1808</v>
      </c>
    </row>
    <row r="4413" spans="1:10" ht="14.25" customHeight="1" x14ac:dyDescent="0.25">
      <c r="A4413" s="21">
        <v>40143</v>
      </c>
      <c r="B4413" s="21"/>
      <c r="C4413">
        <v>8.4</v>
      </c>
      <c r="D4413">
        <v>2.2000000000000002</v>
      </c>
      <c r="E4413">
        <v>61</v>
      </c>
      <c r="F4413">
        <v>73</v>
      </c>
      <c r="G4413">
        <v>6</v>
      </c>
      <c r="H4413">
        <v>73</v>
      </c>
      <c r="I4413">
        <v>1.57</v>
      </c>
      <c r="J4413" s="1">
        <v>1610</v>
      </c>
    </row>
    <row r="4414" spans="1:10" ht="14.25" customHeight="1" x14ac:dyDescent="0.25">
      <c r="A4414" s="21">
        <v>40143</v>
      </c>
      <c r="B4414" s="21"/>
      <c r="C4414">
        <v>13</v>
      </c>
      <c r="D4414">
        <v>2.2000000000000002</v>
      </c>
      <c r="E4414">
        <v>67</v>
      </c>
      <c r="F4414">
        <v>44</v>
      </c>
      <c r="H4414">
        <v>44</v>
      </c>
      <c r="I4414">
        <v>1.95</v>
      </c>
      <c r="J4414" s="1">
        <v>2135</v>
      </c>
    </row>
    <row r="4415" spans="1:10" ht="14.25" customHeight="1" x14ac:dyDescent="0.25">
      <c r="A4415" s="21">
        <v>40143</v>
      </c>
      <c r="B4415" s="21"/>
      <c r="E4415">
        <v>1</v>
      </c>
    </row>
    <row r="4416" spans="1:10" ht="14.25" customHeight="1" x14ac:dyDescent="0.25">
      <c r="A4416" s="21">
        <v>40143</v>
      </c>
      <c r="B4416" s="21"/>
      <c r="C4416">
        <v>52.8</v>
      </c>
      <c r="D4416">
        <v>3.8</v>
      </c>
      <c r="E4416">
        <v>64</v>
      </c>
      <c r="F4416">
        <v>88</v>
      </c>
      <c r="H4416">
        <v>88</v>
      </c>
      <c r="I4416">
        <v>1.38</v>
      </c>
      <c r="J4416" s="1">
        <v>5592</v>
      </c>
    </row>
    <row r="4417" spans="1:10" ht="14.25" customHeight="1" x14ac:dyDescent="0.25">
      <c r="A4417" s="21">
        <v>40143</v>
      </c>
      <c r="B4417" s="21"/>
      <c r="E4417">
        <v>13</v>
      </c>
      <c r="H4417">
        <v>25</v>
      </c>
    </row>
    <row r="4418" spans="1:10" ht="14.25" customHeight="1" x14ac:dyDescent="0.25">
      <c r="A4418" s="21">
        <v>40143</v>
      </c>
      <c r="B4418" s="21"/>
    </row>
    <row r="4419" spans="1:10" ht="14.25" customHeight="1" x14ac:dyDescent="0.25">
      <c r="A4419" s="21">
        <v>40143</v>
      </c>
      <c r="B4419" s="21"/>
      <c r="C4419">
        <v>24.6</v>
      </c>
      <c r="D4419">
        <v>2.2000000000000002</v>
      </c>
      <c r="E4419">
        <v>98</v>
      </c>
      <c r="F4419">
        <v>75</v>
      </c>
      <c r="G4419">
        <v>6</v>
      </c>
      <c r="H4419">
        <v>75</v>
      </c>
      <c r="I4419">
        <v>2.2799999999999998</v>
      </c>
      <c r="J4419" s="1">
        <v>4003</v>
      </c>
    </row>
    <row r="4420" spans="1:10" ht="14.25" customHeight="1" x14ac:dyDescent="0.25">
      <c r="A4420" s="21">
        <v>40143</v>
      </c>
      <c r="B4420" s="21"/>
      <c r="I4420">
        <v>2.5099999999999998</v>
      </c>
    </row>
    <row r="4421" spans="1:10" ht="14.25" customHeight="1" x14ac:dyDescent="0.25">
      <c r="A4421" s="21">
        <v>40145</v>
      </c>
      <c r="B4421" s="21"/>
      <c r="C4421">
        <v>37.700000000000003</v>
      </c>
      <c r="D4421">
        <v>5.3</v>
      </c>
      <c r="E4421">
        <v>32</v>
      </c>
      <c r="F4421">
        <v>100</v>
      </c>
      <c r="G4421">
        <v>6</v>
      </c>
      <c r="H4421">
        <v>100</v>
      </c>
      <c r="I4421">
        <v>1.1599999999999999</v>
      </c>
      <c r="J4421" s="1">
        <v>2597</v>
      </c>
    </row>
    <row r="4422" spans="1:10" ht="14.25" customHeight="1" x14ac:dyDescent="0.25">
      <c r="A4422" s="21">
        <v>40147</v>
      </c>
      <c r="B4422" s="21"/>
      <c r="C4422">
        <v>34.5</v>
      </c>
      <c r="D4422">
        <v>3.2</v>
      </c>
      <c r="E4422">
        <v>151</v>
      </c>
      <c r="F4422">
        <v>81</v>
      </c>
      <c r="H4422">
        <v>81</v>
      </c>
      <c r="I4422">
        <v>1.67</v>
      </c>
      <c r="J4422" s="1">
        <v>4210</v>
      </c>
    </row>
    <row r="4423" spans="1:10" ht="14.25" customHeight="1" x14ac:dyDescent="0.25">
      <c r="A4423" s="21">
        <v>40153</v>
      </c>
      <c r="B4423" s="21"/>
      <c r="C4423">
        <v>8.8000000000000007</v>
      </c>
      <c r="D4423">
        <v>3.4</v>
      </c>
      <c r="E4423">
        <v>46</v>
      </c>
      <c r="F4423">
        <v>40</v>
      </c>
      <c r="G4423">
        <v>6</v>
      </c>
      <c r="H4423">
        <v>40</v>
      </c>
      <c r="I4423">
        <v>1.45</v>
      </c>
      <c r="J4423" s="1">
        <v>1077</v>
      </c>
    </row>
    <row r="4424" spans="1:10" ht="14.25" customHeight="1" x14ac:dyDescent="0.25">
      <c r="A4424" s="21">
        <v>41003</v>
      </c>
      <c r="B4424" s="21"/>
      <c r="C4424">
        <v>90.8</v>
      </c>
      <c r="D4424">
        <v>4.5</v>
      </c>
      <c r="E4424">
        <v>427</v>
      </c>
      <c r="F4424">
        <v>169</v>
      </c>
      <c r="G4424">
        <v>12</v>
      </c>
      <c r="H4424">
        <v>169</v>
      </c>
      <c r="I4424">
        <v>1.9</v>
      </c>
      <c r="J4424" s="1">
        <v>7747</v>
      </c>
    </row>
    <row r="4425" spans="1:10" ht="14.25" customHeight="1" x14ac:dyDescent="0.25">
      <c r="A4425" s="21">
        <v>41005</v>
      </c>
      <c r="B4425" s="21"/>
      <c r="C4425">
        <v>43.5</v>
      </c>
      <c r="D4425">
        <v>4.2</v>
      </c>
      <c r="E4425">
        <v>208</v>
      </c>
      <c r="F4425">
        <v>111</v>
      </c>
      <c r="G4425">
        <v>8</v>
      </c>
      <c r="H4425">
        <v>111</v>
      </c>
      <c r="I4425">
        <v>1.67</v>
      </c>
      <c r="J4425" s="1">
        <v>4173</v>
      </c>
    </row>
    <row r="4426" spans="1:10" ht="14.25" customHeight="1" x14ac:dyDescent="0.25">
      <c r="A4426" s="21">
        <v>41005</v>
      </c>
      <c r="B4426" s="21"/>
      <c r="C4426">
        <v>23</v>
      </c>
      <c r="D4426">
        <v>3.4</v>
      </c>
      <c r="E4426">
        <v>222</v>
      </c>
      <c r="F4426">
        <v>40</v>
      </c>
      <c r="G4426">
        <v>6</v>
      </c>
      <c r="H4426">
        <v>40</v>
      </c>
      <c r="I4426">
        <v>1.48</v>
      </c>
      <c r="J4426" s="1">
        <v>2454</v>
      </c>
    </row>
    <row r="4427" spans="1:10" ht="14.25" customHeight="1" x14ac:dyDescent="0.25">
      <c r="A4427" s="21">
        <v>41005</v>
      </c>
      <c r="B4427" s="21"/>
      <c r="C4427">
        <v>167.8</v>
      </c>
      <c r="D4427">
        <v>3.3</v>
      </c>
      <c r="E4427">
        <v>598</v>
      </c>
      <c r="F4427">
        <v>302</v>
      </c>
      <c r="G4427">
        <v>40</v>
      </c>
      <c r="H4427">
        <v>302</v>
      </c>
      <c r="I4427">
        <v>2</v>
      </c>
      <c r="J4427" s="1">
        <v>19415</v>
      </c>
    </row>
    <row r="4428" spans="1:10" ht="14.25" customHeight="1" x14ac:dyDescent="0.25">
      <c r="A4428" s="21">
        <v>41011</v>
      </c>
      <c r="B4428" s="21"/>
      <c r="C4428">
        <v>63.8</v>
      </c>
      <c r="D4428">
        <v>4.4000000000000004</v>
      </c>
      <c r="E4428">
        <v>192</v>
      </c>
      <c r="F4428">
        <v>130</v>
      </c>
      <c r="G4428">
        <v>12</v>
      </c>
      <c r="H4428">
        <v>130</v>
      </c>
      <c r="I4428">
        <v>1.57</v>
      </c>
      <c r="J4428" s="1">
        <v>5661</v>
      </c>
    </row>
    <row r="4429" spans="1:10" ht="14.25" customHeight="1" x14ac:dyDescent="0.25">
      <c r="A4429" s="21">
        <v>41017</v>
      </c>
      <c r="B4429" s="21"/>
      <c r="C4429">
        <v>22.5</v>
      </c>
      <c r="D4429">
        <v>3.3</v>
      </c>
      <c r="E4429">
        <v>103</v>
      </c>
      <c r="F4429">
        <v>48</v>
      </c>
      <c r="G4429">
        <v>6</v>
      </c>
      <c r="H4429">
        <v>48</v>
      </c>
      <c r="I4429">
        <v>1.46</v>
      </c>
      <c r="J4429" s="1">
        <v>2750</v>
      </c>
    </row>
    <row r="4430" spans="1:10" ht="14.25" customHeight="1" x14ac:dyDescent="0.25">
      <c r="A4430" s="21">
        <v>41017</v>
      </c>
      <c r="B4430" s="21"/>
      <c r="C4430">
        <v>153.80000000000001</v>
      </c>
      <c r="D4430">
        <v>4</v>
      </c>
      <c r="E4430">
        <v>847</v>
      </c>
      <c r="F4430">
        <v>222</v>
      </c>
      <c r="G4430">
        <v>30</v>
      </c>
      <c r="H4430">
        <v>222</v>
      </c>
      <c r="I4430">
        <v>2</v>
      </c>
      <c r="J4430" s="1">
        <v>15055</v>
      </c>
    </row>
    <row r="4431" spans="1:10" ht="14.25" customHeight="1" x14ac:dyDescent="0.25">
      <c r="A4431" s="21">
        <v>41019</v>
      </c>
      <c r="B4431" s="21"/>
      <c r="C4431">
        <v>70.7</v>
      </c>
      <c r="D4431">
        <v>3.7</v>
      </c>
      <c r="E4431">
        <v>353</v>
      </c>
      <c r="F4431">
        <v>140</v>
      </c>
      <c r="G4431">
        <v>32</v>
      </c>
      <c r="H4431">
        <v>140</v>
      </c>
      <c r="I4431">
        <v>1.54</v>
      </c>
      <c r="J4431" s="1">
        <v>7301</v>
      </c>
    </row>
    <row r="4432" spans="1:10" ht="14.25" customHeight="1" x14ac:dyDescent="0.25">
      <c r="A4432" s="21">
        <v>41029</v>
      </c>
      <c r="B4432" s="21"/>
      <c r="C4432">
        <v>67.2</v>
      </c>
      <c r="D4432">
        <v>4</v>
      </c>
      <c r="E4432">
        <v>231</v>
      </c>
      <c r="F4432">
        <v>126</v>
      </c>
      <c r="G4432">
        <v>15</v>
      </c>
      <c r="H4432">
        <v>126</v>
      </c>
      <c r="I4432">
        <v>1.8</v>
      </c>
      <c r="J4432" s="1">
        <v>6322</v>
      </c>
    </row>
    <row r="4433" spans="1:10" ht="14.25" customHeight="1" x14ac:dyDescent="0.25">
      <c r="A4433" s="21">
        <v>41029</v>
      </c>
      <c r="B4433" s="21"/>
      <c r="C4433">
        <v>207.7</v>
      </c>
      <c r="D4433">
        <v>4.9000000000000004</v>
      </c>
      <c r="E4433">
        <v>679</v>
      </c>
      <c r="F4433">
        <v>307</v>
      </c>
      <c r="G4433">
        <v>15</v>
      </c>
      <c r="H4433">
        <v>307</v>
      </c>
      <c r="I4433">
        <v>2.08</v>
      </c>
      <c r="J4433" s="1">
        <v>16013</v>
      </c>
    </row>
    <row r="4434" spans="1:10" ht="14.25" customHeight="1" x14ac:dyDescent="0.25">
      <c r="A4434" s="21">
        <v>41029</v>
      </c>
      <c r="B4434" s="21"/>
      <c r="C4434">
        <v>10.5</v>
      </c>
      <c r="D4434">
        <v>3.2</v>
      </c>
      <c r="E4434">
        <v>117</v>
      </c>
      <c r="F4434">
        <v>38</v>
      </c>
      <c r="G4434">
        <v>4</v>
      </c>
      <c r="H4434">
        <v>38</v>
      </c>
      <c r="I4434">
        <v>1.63</v>
      </c>
      <c r="J4434" s="1">
        <v>1315</v>
      </c>
    </row>
    <row r="4435" spans="1:10" ht="14.25" customHeight="1" x14ac:dyDescent="0.25">
      <c r="A4435" s="21">
        <v>41033</v>
      </c>
      <c r="B4435" s="21"/>
      <c r="C4435">
        <v>66.7</v>
      </c>
      <c r="D4435">
        <v>3.7</v>
      </c>
      <c r="E4435">
        <v>293</v>
      </c>
      <c r="F4435">
        <v>122</v>
      </c>
      <c r="G4435">
        <v>12</v>
      </c>
      <c r="H4435">
        <v>122</v>
      </c>
      <c r="I4435">
        <v>1.5</v>
      </c>
      <c r="J4435" s="1">
        <v>7056</v>
      </c>
    </row>
    <row r="4436" spans="1:10" ht="14.25" customHeight="1" x14ac:dyDescent="0.25">
      <c r="A4436" s="21">
        <v>41035</v>
      </c>
      <c r="B4436" s="21"/>
      <c r="C4436">
        <v>46.2</v>
      </c>
      <c r="D4436">
        <v>3.7</v>
      </c>
      <c r="E4436">
        <v>220</v>
      </c>
      <c r="F4436">
        <v>105</v>
      </c>
      <c r="H4436">
        <v>105</v>
      </c>
      <c r="I4436">
        <v>1.71</v>
      </c>
      <c r="J4436" s="1">
        <v>4913</v>
      </c>
    </row>
    <row r="4437" spans="1:10" ht="14.25" customHeight="1" x14ac:dyDescent="0.25">
      <c r="A4437" s="21">
        <v>41039</v>
      </c>
      <c r="B4437" s="21"/>
      <c r="C4437">
        <v>328.7</v>
      </c>
      <c r="D4437">
        <v>4.4000000000000004</v>
      </c>
      <c r="E4437">
        <v>781</v>
      </c>
      <c r="F4437">
        <v>383</v>
      </c>
      <c r="G4437">
        <v>46</v>
      </c>
      <c r="H4437">
        <v>383</v>
      </c>
      <c r="I4437">
        <v>1.93</v>
      </c>
      <c r="J4437" s="1">
        <v>28260</v>
      </c>
    </row>
    <row r="4438" spans="1:10" ht="14.25" customHeight="1" x14ac:dyDescent="0.25">
      <c r="A4438" s="21">
        <v>41039</v>
      </c>
      <c r="B4438" s="21"/>
      <c r="C4438">
        <v>21</v>
      </c>
      <c r="D4438">
        <v>4.8</v>
      </c>
      <c r="E4438">
        <v>88</v>
      </c>
      <c r="F4438">
        <v>40</v>
      </c>
      <c r="H4438">
        <v>40</v>
      </c>
      <c r="I4438">
        <v>1.1200000000000001</v>
      </c>
      <c r="J4438" s="1">
        <v>1426</v>
      </c>
    </row>
    <row r="4439" spans="1:10" ht="14.25" customHeight="1" x14ac:dyDescent="0.25">
      <c r="A4439" s="21">
        <v>41039</v>
      </c>
      <c r="B4439" s="21"/>
      <c r="C4439">
        <v>74.900000000000006</v>
      </c>
      <c r="D4439">
        <v>3.2</v>
      </c>
      <c r="E4439">
        <v>200</v>
      </c>
      <c r="F4439">
        <v>113</v>
      </c>
      <c r="G4439">
        <v>25</v>
      </c>
      <c r="H4439">
        <v>113</v>
      </c>
      <c r="I4439">
        <v>1.92</v>
      </c>
      <c r="J4439" s="1">
        <v>9199</v>
      </c>
    </row>
    <row r="4440" spans="1:10" ht="14.25" customHeight="1" x14ac:dyDescent="0.25">
      <c r="A4440" s="21">
        <v>41043</v>
      </c>
      <c r="B4440" s="21"/>
      <c r="C4440">
        <v>20.9</v>
      </c>
      <c r="D4440">
        <v>3.4</v>
      </c>
      <c r="E4440">
        <v>188</v>
      </c>
      <c r="F4440">
        <v>67</v>
      </c>
      <c r="G4440">
        <v>11</v>
      </c>
      <c r="H4440">
        <v>67</v>
      </c>
      <c r="I4440">
        <v>1.71</v>
      </c>
      <c r="J4440" s="1">
        <v>2606</v>
      </c>
    </row>
    <row r="4441" spans="1:10" ht="14.25" customHeight="1" x14ac:dyDescent="0.25">
      <c r="A4441" s="21">
        <v>41045</v>
      </c>
      <c r="B4441" s="21"/>
      <c r="C4441">
        <v>13.3</v>
      </c>
      <c r="D4441">
        <v>2.8</v>
      </c>
      <c r="E4441">
        <v>103</v>
      </c>
      <c r="F4441">
        <v>44</v>
      </c>
      <c r="G4441">
        <v>8</v>
      </c>
      <c r="H4441">
        <v>44</v>
      </c>
      <c r="I4441">
        <v>1.52</v>
      </c>
      <c r="J4441" s="1">
        <v>1934</v>
      </c>
    </row>
    <row r="4442" spans="1:10" ht="14.25" customHeight="1" x14ac:dyDescent="0.25">
      <c r="A4442" s="21">
        <v>41047</v>
      </c>
      <c r="B4442" s="21"/>
      <c r="C4442">
        <v>8.1999999999999993</v>
      </c>
      <c r="D4442">
        <v>3.5</v>
      </c>
      <c r="E4442">
        <v>93</v>
      </c>
      <c r="F4442">
        <v>40</v>
      </c>
      <c r="G4442">
        <v>4</v>
      </c>
      <c r="H4442">
        <v>40</v>
      </c>
      <c r="I4442">
        <v>1.18</v>
      </c>
      <c r="J4442">
        <v>918</v>
      </c>
    </row>
    <row r="4443" spans="1:10" ht="14.25" customHeight="1" x14ac:dyDescent="0.25">
      <c r="A4443" s="21">
        <v>41047</v>
      </c>
      <c r="B4443" s="21"/>
      <c r="C4443">
        <v>16.3</v>
      </c>
      <c r="D4443">
        <v>2.8</v>
      </c>
      <c r="E4443">
        <v>139</v>
      </c>
      <c r="F4443">
        <v>29</v>
      </c>
      <c r="G4443">
        <v>4</v>
      </c>
      <c r="H4443">
        <v>29</v>
      </c>
      <c r="I4443">
        <v>1.63</v>
      </c>
      <c r="J4443" s="1">
        <v>2954</v>
      </c>
    </row>
    <row r="4444" spans="1:10" ht="14.25" customHeight="1" x14ac:dyDescent="0.25">
      <c r="A4444" s="21">
        <v>41047</v>
      </c>
      <c r="B4444" s="21"/>
      <c r="C4444">
        <v>297.5</v>
      </c>
      <c r="D4444">
        <v>4.5999999999999996</v>
      </c>
      <c r="E4444">
        <v>908</v>
      </c>
      <c r="F4444">
        <v>421</v>
      </c>
      <c r="G4444">
        <v>60</v>
      </c>
      <c r="H4444">
        <v>421</v>
      </c>
      <c r="I4444">
        <v>1.79</v>
      </c>
      <c r="J4444" s="1">
        <v>24827</v>
      </c>
    </row>
    <row r="4445" spans="1:10" ht="14.25" customHeight="1" x14ac:dyDescent="0.25">
      <c r="A4445" s="21">
        <v>41051</v>
      </c>
      <c r="B4445" s="21"/>
      <c r="C4445">
        <v>55.7</v>
      </c>
      <c r="D4445">
        <v>2.4</v>
      </c>
      <c r="E4445">
        <v>211</v>
      </c>
      <c r="F4445">
        <v>93</v>
      </c>
      <c r="G4445">
        <v>10</v>
      </c>
      <c r="H4445">
        <v>93</v>
      </c>
      <c r="I4445">
        <v>1.5</v>
      </c>
      <c r="J4445" s="1">
        <v>9366</v>
      </c>
    </row>
    <row r="4446" spans="1:10" ht="14.25" customHeight="1" x14ac:dyDescent="0.25">
      <c r="A4446" s="21">
        <v>41051</v>
      </c>
      <c r="B4446" s="21"/>
      <c r="C4446">
        <v>80.7</v>
      </c>
      <c r="D4446">
        <v>3.4</v>
      </c>
      <c r="E4446">
        <v>340</v>
      </c>
      <c r="F4446">
        <v>168</v>
      </c>
      <c r="G4446">
        <v>12</v>
      </c>
      <c r="H4446">
        <v>168</v>
      </c>
      <c r="I4446">
        <v>1.91</v>
      </c>
      <c r="J4446" s="1">
        <v>9063</v>
      </c>
    </row>
    <row r="4447" spans="1:10" ht="14.25" customHeight="1" x14ac:dyDescent="0.25">
      <c r="A4447" s="21">
        <v>41051</v>
      </c>
      <c r="B4447" s="21"/>
      <c r="C4447">
        <v>255.3</v>
      </c>
      <c r="D4447">
        <v>5.3</v>
      </c>
      <c r="E4447" s="1">
        <v>1370</v>
      </c>
      <c r="F4447">
        <v>342</v>
      </c>
      <c r="G4447">
        <v>36</v>
      </c>
      <c r="H4447">
        <v>342</v>
      </c>
      <c r="I4447">
        <v>1.91</v>
      </c>
      <c r="J4447" s="1">
        <v>18403</v>
      </c>
    </row>
    <row r="4448" spans="1:10" ht="14.25" customHeight="1" x14ac:dyDescent="0.25">
      <c r="A4448" s="21">
        <v>41051</v>
      </c>
      <c r="B4448" s="21"/>
      <c r="C4448">
        <v>104.1</v>
      </c>
      <c r="D4448">
        <v>4.0999999999999996</v>
      </c>
      <c r="E4448">
        <v>528</v>
      </c>
      <c r="F4448">
        <v>164</v>
      </c>
      <c r="G4448">
        <v>28</v>
      </c>
      <c r="H4448">
        <v>164</v>
      </c>
      <c r="I4448">
        <v>1.76</v>
      </c>
      <c r="J4448" s="1">
        <v>9684</v>
      </c>
    </row>
    <row r="4449" spans="1:10" ht="14.25" customHeight="1" x14ac:dyDescent="0.25">
      <c r="A4449" s="21">
        <v>41051</v>
      </c>
      <c r="B4449" s="21"/>
      <c r="C4449">
        <v>269.3</v>
      </c>
      <c r="D4449">
        <v>5.2</v>
      </c>
      <c r="E4449">
        <v>616</v>
      </c>
      <c r="F4449">
        <v>384</v>
      </c>
      <c r="H4449">
        <v>384</v>
      </c>
      <c r="I4449">
        <v>2.14</v>
      </c>
      <c r="J4449" s="1">
        <v>19502</v>
      </c>
    </row>
    <row r="4450" spans="1:10" ht="14.25" customHeight="1" x14ac:dyDescent="0.25">
      <c r="A4450" s="21">
        <v>41051</v>
      </c>
      <c r="B4450" s="21"/>
      <c r="C4450">
        <v>478.2</v>
      </c>
      <c r="D4450">
        <v>6.1</v>
      </c>
      <c r="E4450" s="1">
        <v>1867</v>
      </c>
      <c r="F4450">
        <v>562</v>
      </c>
      <c r="G4450">
        <v>79</v>
      </c>
      <c r="H4450">
        <v>562</v>
      </c>
      <c r="I4450">
        <v>2.54</v>
      </c>
      <c r="J4450" s="1">
        <v>29175</v>
      </c>
    </row>
    <row r="4451" spans="1:10" ht="14.25" customHeight="1" x14ac:dyDescent="0.25">
      <c r="A4451" s="21">
        <v>41059</v>
      </c>
      <c r="B4451" s="21"/>
      <c r="H4451">
        <v>16</v>
      </c>
    </row>
    <row r="4452" spans="1:10" ht="14.25" customHeight="1" x14ac:dyDescent="0.25">
      <c r="A4452" s="21">
        <v>41065</v>
      </c>
      <c r="B4452" s="21"/>
      <c r="C4452">
        <v>16</v>
      </c>
      <c r="D4452">
        <v>3.7</v>
      </c>
      <c r="E4452">
        <v>139</v>
      </c>
      <c r="F4452">
        <v>43</v>
      </c>
      <c r="G4452">
        <v>17</v>
      </c>
      <c r="H4452">
        <v>43</v>
      </c>
      <c r="I4452">
        <v>1.45</v>
      </c>
      <c r="J4452" s="1">
        <v>1713</v>
      </c>
    </row>
    <row r="4453" spans="1:10" ht="14.25" customHeight="1" x14ac:dyDescent="0.25">
      <c r="A4453" s="21">
        <v>41067</v>
      </c>
      <c r="B4453" s="21"/>
      <c r="C4453">
        <v>317.89999999999998</v>
      </c>
      <c r="D4453">
        <v>5.0999999999999996</v>
      </c>
      <c r="E4453">
        <v>978</v>
      </c>
      <c r="F4453">
        <v>462</v>
      </c>
      <c r="G4453">
        <v>20</v>
      </c>
      <c r="H4453">
        <v>462</v>
      </c>
      <c r="I4453">
        <v>2.3199999999999998</v>
      </c>
      <c r="J4453" s="1">
        <v>24083</v>
      </c>
    </row>
    <row r="4454" spans="1:10" ht="14.25" customHeight="1" x14ac:dyDescent="0.25">
      <c r="A4454" s="21">
        <v>41067</v>
      </c>
      <c r="B4454" s="21"/>
      <c r="C4454">
        <v>68.599999999999994</v>
      </c>
      <c r="D4454">
        <v>7.7</v>
      </c>
      <c r="E4454">
        <v>265</v>
      </c>
      <c r="F4454">
        <v>101</v>
      </c>
      <c r="G4454">
        <v>10</v>
      </c>
      <c r="H4454">
        <v>101</v>
      </c>
      <c r="I4454">
        <v>1.55</v>
      </c>
      <c r="J4454" s="1">
        <v>3288</v>
      </c>
    </row>
    <row r="4455" spans="1:10" ht="14.25" customHeight="1" x14ac:dyDescent="0.25">
      <c r="A4455" s="21">
        <v>41067</v>
      </c>
      <c r="B4455" s="21"/>
      <c r="C4455">
        <v>80.3</v>
      </c>
      <c r="D4455">
        <v>3.3</v>
      </c>
      <c r="E4455">
        <v>333</v>
      </c>
      <c r="F4455">
        <v>117</v>
      </c>
      <c r="G4455">
        <v>16</v>
      </c>
      <c r="H4455">
        <v>117</v>
      </c>
      <c r="I4455">
        <v>1.67</v>
      </c>
      <c r="J4455" s="1">
        <v>9366</v>
      </c>
    </row>
    <row r="4456" spans="1:10" ht="14.25" customHeight="1" x14ac:dyDescent="0.25">
      <c r="A4456" s="21">
        <v>41067</v>
      </c>
      <c r="B4456" s="21"/>
    </row>
    <row r="4457" spans="1:10" ht="14.25" customHeight="1" x14ac:dyDescent="0.25">
      <c r="A4457" s="21">
        <v>41067</v>
      </c>
      <c r="B4457" s="21"/>
      <c r="C4457">
        <v>47.6</v>
      </c>
      <c r="D4457">
        <v>2.4</v>
      </c>
      <c r="E4457">
        <v>185</v>
      </c>
      <c r="F4457">
        <v>122</v>
      </c>
      <c r="G4457">
        <v>20</v>
      </c>
      <c r="H4457">
        <v>122</v>
      </c>
      <c r="I4457">
        <v>1.71</v>
      </c>
      <c r="J4457" s="1">
        <v>8367</v>
      </c>
    </row>
    <row r="4458" spans="1:10" ht="14.25" customHeight="1" x14ac:dyDescent="0.25">
      <c r="A4458" s="21">
        <v>41071</v>
      </c>
      <c r="B4458" s="21"/>
      <c r="C4458">
        <v>29.1</v>
      </c>
      <c r="D4458">
        <v>3.3</v>
      </c>
      <c r="E4458">
        <v>169</v>
      </c>
      <c r="F4458">
        <v>50</v>
      </c>
      <c r="G4458">
        <v>7</v>
      </c>
      <c r="H4458">
        <v>50</v>
      </c>
      <c r="I4458">
        <v>1.51</v>
      </c>
      <c r="J4458" s="1">
        <v>3440</v>
      </c>
    </row>
    <row r="4459" spans="1:10" ht="14.25" customHeight="1" x14ac:dyDescent="0.25">
      <c r="A4459" s="21">
        <v>41071</v>
      </c>
      <c r="B4459" s="21"/>
      <c r="C4459">
        <v>21.2</v>
      </c>
      <c r="D4459">
        <v>3.7</v>
      </c>
      <c r="E4459">
        <v>175</v>
      </c>
      <c r="F4459">
        <v>40</v>
      </c>
      <c r="G4459">
        <v>4</v>
      </c>
      <c r="H4459">
        <v>40</v>
      </c>
      <c r="I4459">
        <v>1.48</v>
      </c>
      <c r="J4459" s="1">
        <v>2369</v>
      </c>
    </row>
    <row r="4460" spans="1:10" ht="14.25" customHeight="1" x14ac:dyDescent="0.25">
      <c r="A4460" s="21">
        <v>42001</v>
      </c>
      <c r="B4460" s="21"/>
      <c r="C4460">
        <v>44.2</v>
      </c>
      <c r="D4460">
        <v>3.8</v>
      </c>
      <c r="E4460">
        <v>227</v>
      </c>
      <c r="F4460">
        <v>76</v>
      </c>
      <c r="G4460">
        <v>8</v>
      </c>
      <c r="H4460">
        <v>76</v>
      </c>
      <c r="I4460">
        <v>1.33</v>
      </c>
      <c r="J4460" s="1">
        <v>4552</v>
      </c>
    </row>
    <row r="4461" spans="1:10" ht="14.25" customHeight="1" x14ac:dyDescent="0.25">
      <c r="A4461" s="21">
        <v>42003</v>
      </c>
      <c r="B4461" s="21"/>
      <c r="C4461">
        <v>191.4</v>
      </c>
      <c r="D4461">
        <v>5.6</v>
      </c>
      <c r="E4461">
        <v>324</v>
      </c>
      <c r="F4461">
        <v>260</v>
      </c>
      <c r="G4461">
        <v>34</v>
      </c>
      <c r="H4461">
        <v>260</v>
      </c>
      <c r="I4461">
        <v>2.0499999999999998</v>
      </c>
      <c r="J4461" s="1">
        <v>13445</v>
      </c>
    </row>
    <row r="4462" spans="1:10" ht="14.25" customHeight="1" x14ac:dyDescent="0.25">
      <c r="A4462" s="21">
        <v>42003</v>
      </c>
      <c r="B4462" s="21"/>
      <c r="C4462">
        <v>120.2</v>
      </c>
      <c r="D4462">
        <v>4.4000000000000004</v>
      </c>
      <c r="E4462">
        <v>380</v>
      </c>
      <c r="F4462">
        <v>222</v>
      </c>
      <c r="G4462">
        <v>14</v>
      </c>
      <c r="H4462">
        <v>222</v>
      </c>
      <c r="I4462">
        <v>1.48</v>
      </c>
      <c r="J4462" s="1">
        <v>9582</v>
      </c>
    </row>
    <row r="4463" spans="1:10" ht="14.25" customHeight="1" x14ac:dyDescent="0.25">
      <c r="A4463" s="21">
        <v>42003</v>
      </c>
      <c r="B4463" s="21"/>
      <c r="C4463">
        <v>196.9</v>
      </c>
      <c r="D4463">
        <v>4.8</v>
      </c>
      <c r="E4463">
        <v>514</v>
      </c>
      <c r="F4463">
        <v>365</v>
      </c>
      <c r="G4463">
        <v>32</v>
      </c>
      <c r="H4463">
        <v>365</v>
      </c>
      <c r="I4463">
        <v>1.64</v>
      </c>
      <c r="J4463" s="1">
        <v>14924</v>
      </c>
    </row>
    <row r="4464" spans="1:10" ht="14.25" customHeight="1" x14ac:dyDescent="0.25">
      <c r="A4464" s="21">
        <v>42003</v>
      </c>
      <c r="B4464" s="21"/>
      <c r="C4464">
        <v>213.4</v>
      </c>
      <c r="D4464">
        <v>5.2</v>
      </c>
      <c r="E4464">
        <v>768</v>
      </c>
      <c r="F4464">
        <v>315</v>
      </c>
      <c r="G4464">
        <v>18</v>
      </c>
      <c r="H4464">
        <v>315</v>
      </c>
      <c r="I4464">
        <v>1.65</v>
      </c>
      <c r="J4464" s="1">
        <v>17527</v>
      </c>
    </row>
    <row r="4465" spans="1:10" ht="14.25" customHeight="1" x14ac:dyDescent="0.25">
      <c r="A4465" s="21">
        <v>42003</v>
      </c>
      <c r="B4465" s="21"/>
      <c r="C4465">
        <v>25.9</v>
      </c>
      <c r="D4465">
        <v>3.4</v>
      </c>
      <c r="E4465">
        <v>103</v>
      </c>
      <c r="F4465">
        <v>87</v>
      </c>
      <c r="G4465">
        <v>27</v>
      </c>
      <c r="H4465">
        <v>87</v>
      </c>
      <c r="I4465">
        <v>1.4</v>
      </c>
      <c r="J4465" s="1">
        <v>2782</v>
      </c>
    </row>
    <row r="4466" spans="1:10" ht="14.25" customHeight="1" x14ac:dyDescent="0.25">
      <c r="A4466" s="21">
        <v>42003</v>
      </c>
      <c r="B4466" s="21"/>
      <c r="C4466">
        <v>904.8</v>
      </c>
      <c r="D4466">
        <v>6.7</v>
      </c>
      <c r="E4466" s="1">
        <v>1733</v>
      </c>
      <c r="F4466" s="1">
        <v>1175</v>
      </c>
      <c r="G4466">
        <v>110</v>
      </c>
      <c r="H4466" s="1">
        <v>1175</v>
      </c>
      <c r="I4466">
        <v>2.16</v>
      </c>
      <c r="J4466" s="1">
        <v>48307</v>
      </c>
    </row>
    <row r="4467" spans="1:10" ht="14.25" customHeight="1" x14ac:dyDescent="0.25">
      <c r="A4467" s="21">
        <v>42003</v>
      </c>
      <c r="B4467" s="21"/>
      <c r="C4467">
        <v>148.80000000000001</v>
      </c>
      <c r="D4467">
        <v>4</v>
      </c>
      <c r="E4467">
        <v>638</v>
      </c>
      <c r="F4467">
        <v>303</v>
      </c>
      <c r="G4467">
        <v>12</v>
      </c>
      <c r="H4467">
        <v>303</v>
      </c>
      <c r="I4467">
        <v>1.66</v>
      </c>
      <c r="J4467" s="1">
        <v>14445</v>
      </c>
    </row>
    <row r="4468" spans="1:10" ht="14.25" customHeight="1" x14ac:dyDescent="0.25">
      <c r="A4468" s="21">
        <v>42003</v>
      </c>
      <c r="B4468" s="21"/>
      <c r="C4468">
        <v>158.30000000000001</v>
      </c>
      <c r="D4468">
        <v>5</v>
      </c>
      <c r="E4468">
        <v>346</v>
      </c>
      <c r="F4468">
        <v>234</v>
      </c>
      <c r="G4468">
        <v>56</v>
      </c>
      <c r="H4468">
        <v>234</v>
      </c>
      <c r="I4468">
        <v>1.69</v>
      </c>
      <c r="J4468" s="1">
        <v>12263</v>
      </c>
    </row>
    <row r="4469" spans="1:10" ht="14.25" customHeight="1" x14ac:dyDescent="0.25">
      <c r="A4469" s="21">
        <v>42003</v>
      </c>
      <c r="B4469" s="21"/>
      <c r="C4469">
        <v>136.6</v>
      </c>
      <c r="D4469">
        <v>4.4000000000000004</v>
      </c>
      <c r="E4469">
        <v>418</v>
      </c>
      <c r="F4469">
        <v>289</v>
      </c>
      <c r="G4469">
        <v>20</v>
      </c>
      <c r="H4469">
        <v>289</v>
      </c>
      <c r="I4469">
        <v>1.58</v>
      </c>
      <c r="J4469" s="1">
        <v>12058</v>
      </c>
    </row>
    <row r="4470" spans="1:10" ht="14.25" customHeight="1" x14ac:dyDescent="0.25">
      <c r="A4470" s="21">
        <v>42003</v>
      </c>
      <c r="B4470" s="21"/>
      <c r="C4470">
        <v>118.9</v>
      </c>
      <c r="D4470">
        <v>6.1</v>
      </c>
      <c r="E4470">
        <v>144</v>
      </c>
      <c r="F4470">
        <v>186</v>
      </c>
      <c r="H4470">
        <v>186</v>
      </c>
      <c r="I4470">
        <v>1.29</v>
      </c>
      <c r="J4470" s="1">
        <v>6715</v>
      </c>
    </row>
    <row r="4471" spans="1:10" ht="14.25" customHeight="1" x14ac:dyDescent="0.25">
      <c r="A4471" s="21">
        <v>42003</v>
      </c>
      <c r="B4471" s="21"/>
      <c r="C4471">
        <v>238.8</v>
      </c>
      <c r="D4471">
        <v>5.5</v>
      </c>
      <c r="E4471">
        <v>318</v>
      </c>
      <c r="F4471">
        <v>369</v>
      </c>
      <c r="G4471">
        <v>20</v>
      </c>
      <c r="H4471">
        <v>369</v>
      </c>
      <c r="I4471">
        <v>1.7</v>
      </c>
      <c r="J4471" s="1">
        <v>15510</v>
      </c>
    </row>
    <row r="4472" spans="1:10" ht="14.25" customHeight="1" x14ac:dyDescent="0.25">
      <c r="A4472" s="21">
        <v>42003</v>
      </c>
      <c r="B4472" s="21"/>
      <c r="C4472">
        <v>37.6</v>
      </c>
      <c r="D4472">
        <v>3.7</v>
      </c>
      <c r="E4472">
        <v>214</v>
      </c>
      <c r="F4472">
        <v>143</v>
      </c>
      <c r="G4472">
        <v>16</v>
      </c>
      <c r="H4472">
        <v>143</v>
      </c>
      <c r="I4472">
        <v>1.43</v>
      </c>
      <c r="J4472" s="1">
        <v>3752</v>
      </c>
    </row>
    <row r="4473" spans="1:10" ht="14.25" customHeight="1" x14ac:dyDescent="0.25">
      <c r="A4473" s="21">
        <v>42003</v>
      </c>
      <c r="B4473" s="21"/>
      <c r="C4473">
        <v>60.5</v>
      </c>
      <c r="D4473">
        <v>4.0999999999999996</v>
      </c>
      <c r="E4473">
        <v>213</v>
      </c>
      <c r="F4473">
        <v>116</v>
      </c>
      <c r="G4473">
        <v>12</v>
      </c>
      <c r="H4473">
        <v>116</v>
      </c>
      <c r="I4473">
        <v>1.58</v>
      </c>
      <c r="J4473" s="1">
        <v>5765</v>
      </c>
    </row>
    <row r="4474" spans="1:10" ht="14.25" customHeight="1" x14ac:dyDescent="0.25">
      <c r="A4474" s="21">
        <v>42003</v>
      </c>
      <c r="B4474" s="21"/>
      <c r="C4474">
        <v>386.8</v>
      </c>
      <c r="D4474">
        <v>5.5</v>
      </c>
      <c r="E4474">
        <v>872</v>
      </c>
      <c r="F4474">
        <v>552</v>
      </c>
      <c r="G4474">
        <v>28</v>
      </c>
      <c r="H4474">
        <v>552</v>
      </c>
      <c r="I4474">
        <v>2.52</v>
      </c>
      <c r="J4474" s="1">
        <v>23231</v>
      </c>
    </row>
    <row r="4475" spans="1:10" ht="14.25" customHeight="1" x14ac:dyDescent="0.25">
      <c r="A4475" s="21">
        <v>42003</v>
      </c>
      <c r="B4475" s="21"/>
      <c r="C4475">
        <v>46.8</v>
      </c>
      <c r="D4475">
        <v>4.8</v>
      </c>
      <c r="J4475" s="1">
        <v>3548</v>
      </c>
    </row>
    <row r="4476" spans="1:10" ht="14.25" customHeight="1" x14ac:dyDescent="0.25">
      <c r="A4476" s="21">
        <v>42003</v>
      </c>
      <c r="B4476" s="21"/>
      <c r="C4476">
        <v>44.3</v>
      </c>
      <c r="D4476">
        <v>4.7</v>
      </c>
      <c r="J4476" s="1">
        <v>2256</v>
      </c>
    </row>
    <row r="4477" spans="1:10" ht="14.25" customHeight="1" x14ac:dyDescent="0.25">
      <c r="A4477" s="21">
        <v>42003</v>
      </c>
      <c r="B4477" s="21"/>
    </row>
    <row r="4478" spans="1:10" ht="14.25" customHeight="1" x14ac:dyDescent="0.25">
      <c r="A4478" s="21">
        <v>42003</v>
      </c>
      <c r="B4478" s="21"/>
      <c r="H4478">
        <v>520</v>
      </c>
    </row>
    <row r="4479" spans="1:10" ht="14.25" customHeight="1" x14ac:dyDescent="0.25">
      <c r="A4479" s="21">
        <v>42003</v>
      </c>
      <c r="B4479" s="21"/>
      <c r="C4479">
        <v>102.7</v>
      </c>
      <c r="D4479">
        <v>4.7</v>
      </c>
      <c r="E4479">
        <v>155</v>
      </c>
      <c r="F4479">
        <v>136</v>
      </c>
      <c r="G4479">
        <v>8</v>
      </c>
      <c r="H4479">
        <v>136</v>
      </c>
      <c r="I4479">
        <v>1.44</v>
      </c>
      <c r="J4479" s="1">
        <v>7926</v>
      </c>
    </row>
    <row r="4480" spans="1:10" ht="14.25" customHeight="1" x14ac:dyDescent="0.25">
      <c r="A4480" s="21">
        <v>42003</v>
      </c>
      <c r="B4480" s="21"/>
    </row>
    <row r="4481" spans="1:10" ht="14.25" customHeight="1" x14ac:dyDescent="0.25">
      <c r="A4481" s="21">
        <v>42003</v>
      </c>
      <c r="B4481" s="21"/>
    </row>
    <row r="4482" spans="1:10" ht="14.25" customHeight="1" x14ac:dyDescent="0.25">
      <c r="A4482" s="21">
        <v>42003</v>
      </c>
      <c r="B4482" s="21"/>
    </row>
    <row r="4483" spans="1:10" ht="14.25" customHeight="1" x14ac:dyDescent="0.25">
      <c r="A4483" s="21">
        <v>42003</v>
      </c>
      <c r="B4483" s="21"/>
      <c r="H4483">
        <v>10</v>
      </c>
    </row>
    <row r="4484" spans="1:10" ht="14.25" customHeight="1" x14ac:dyDescent="0.25">
      <c r="A4484" s="21">
        <v>42005</v>
      </c>
      <c r="B4484" s="21"/>
      <c r="C4484">
        <v>40.299999999999997</v>
      </c>
      <c r="D4484">
        <v>4</v>
      </c>
      <c r="E4484">
        <v>164</v>
      </c>
      <c r="F4484">
        <v>131</v>
      </c>
      <c r="G4484">
        <v>12</v>
      </c>
      <c r="H4484">
        <v>131</v>
      </c>
      <c r="I4484">
        <v>1.37</v>
      </c>
      <c r="J4484" s="1">
        <v>3826</v>
      </c>
    </row>
    <row r="4485" spans="1:10" ht="14.25" customHeight="1" x14ac:dyDescent="0.25">
      <c r="A4485" s="21">
        <v>42007</v>
      </c>
      <c r="B4485" s="21"/>
      <c r="C4485">
        <v>116</v>
      </c>
      <c r="D4485">
        <v>4.8</v>
      </c>
      <c r="E4485">
        <v>424</v>
      </c>
      <c r="F4485">
        <v>194</v>
      </c>
      <c r="G4485">
        <v>20</v>
      </c>
      <c r="H4485">
        <v>194</v>
      </c>
      <c r="I4485">
        <v>1.67</v>
      </c>
      <c r="J4485" s="1">
        <v>9204</v>
      </c>
    </row>
    <row r="4486" spans="1:10" ht="14.25" customHeight="1" x14ac:dyDescent="0.25">
      <c r="A4486" s="21">
        <v>42007</v>
      </c>
      <c r="B4486" s="21"/>
      <c r="C4486">
        <v>19.899999999999999</v>
      </c>
      <c r="D4486">
        <v>5.7</v>
      </c>
      <c r="J4486" s="1">
        <v>1276</v>
      </c>
    </row>
    <row r="4487" spans="1:10" ht="14.25" customHeight="1" x14ac:dyDescent="0.25">
      <c r="A4487" s="21">
        <v>42009</v>
      </c>
      <c r="B4487" s="21"/>
      <c r="C4487">
        <v>11</v>
      </c>
      <c r="D4487">
        <v>3.3</v>
      </c>
      <c r="E4487">
        <v>69</v>
      </c>
      <c r="F4487">
        <v>40</v>
      </c>
      <c r="G4487">
        <v>4</v>
      </c>
      <c r="H4487">
        <v>40</v>
      </c>
      <c r="I4487">
        <v>1.29</v>
      </c>
      <c r="J4487" s="1">
        <v>1180</v>
      </c>
    </row>
    <row r="4488" spans="1:10" ht="14.25" customHeight="1" x14ac:dyDescent="0.25">
      <c r="A4488" s="21">
        <v>42011</v>
      </c>
      <c r="B4488" s="21"/>
      <c r="C4488">
        <v>102.6</v>
      </c>
      <c r="D4488">
        <v>4.4000000000000004</v>
      </c>
      <c r="E4488">
        <v>303</v>
      </c>
      <c r="F4488">
        <v>180</v>
      </c>
      <c r="G4488">
        <v>30</v>
      </c>
      <c r="H4488">
        <v>180</v>
      </c>
      <c r="I4488">
        <v>1.75</v>
      </c>
      <c r="J4488" s="1">
        <v>7747</v>
      </c>
    </row>
    <row r="4489" spans="1:10" ht="14.25" customHeight="1" x14ac:dyDescent="0.25">
      <c r="A4489" s="21">
        <v>42011</v>
      </c>
      <c r="B4489" s="21"/>
      <c r="C4489">
        <v>4.4000000000000004</v>
      </c>
      <c r="D4489">
        <v>2</v>
      </c>
      <c r="E4489">
        <v>70</v>
      </c>
      <c r="F4489">
        <v>15</v>
      </c>
      <c r="H4489">
        <v>15</v>
      </c>
      <c r="I4489">
        <v>2.35</v>
      </c>
      <c r="J4489">
        <v>811</v>
      </c>
    </row>
    <row r="4490" spans="1:10" ht="14.25" customHeight="1" x14ac:dyDescent="0.25">
      <c r="A4490" s="21">
        <v>42011</v>
      </c>
      <c r="B4490" s="21"/>
      <c r="C4490">
        <v>374.2</v>
      </c>
      <c r="D4490">
        <v>4.4000000000000004</v>
      </c>
      <c r="E4490" s="1">
        <v>1225</v>
      </c>
      <c r="F4490">
        <v>562</v>
      </c>
      <c r="G4490">
        <v>20</v>
      </c>
      <c r="H4490">
        <v>562</v>
      </c>
      <c r="I4490">
        <v>1.62</v>
      </c>
      <c r="J4490" s="1">
        <v>32014</v>
      </c>
    </row>
    <row r="4491" spans="1:10" ht="14.25" customHeight="1" x14ac:dyDescent="0.25">
      <c r="A4491" s="21">
        <v>42013</v>
      </c>
      <c r="B4491" s="21"/>
      <c r="C4491">
        <v>11.4</v>
      </c>
      <c r="D4491">
        <v>3</v>
      </c>
      <c r="E4491">
        <v>69</v>
      </c>
      <c r="F4491">
        <v>45</v>
      </c>
      <c r="G4491">
        <v>4</v>
      </c>
      <c r="H4491">
        <v>45</v>
      </c>
      <c r="I4491">
        <v>1.49</v>
      </c>
      <c r="J4491" s="1">
        <v>1598</v>
      </c>
    </row>
    <row r="4492" spans="1:10" ht="14.25" customHeight="1" x14ac:dyDescent="0.25">
      <c r="A4492" s="21">
        <v>42013</v>
      </c>
      <c r="B4492" s="21"/>
      <c r="C4492">
        <v>241.4</v>
      </c>
      <c r="D4492">
        <v>4.9000000000000004</v>
      </c>
      <c r="E4492">
        <v>476</v>
      </c>
      <c r="F4492">
        <v>344</v>
      </c>
      <c r="G4492">
        <v>33</v>
      </c>
      <c r="H4492">
        <v>346</v>
      </c>
      <c r="I4492">
        <v>1.65</v>
      </c>
      <c r="J4492" s="1">
        <v>18442</v>
      </c>
    </row>
    <row r="4493" spans="1:10" ht="14.25" customHeight="1" x14ac:dyDescent="0.25">
      <c r="A4493" s="21">
        <v>42013</v>
      </c>
      <c r="B4493" s="21"/>
    </row>
    <row r="4494" spans="1:10" ht="14.25" customHeight="1" x14ac:dyDescent="0.25">
      <c r="A4494" s="21">
        <v>42015</v>
      </c>
      <c r="B4494" s="21"/>
      <c r="C4494">
        <v>176</v>
      </c>
      <c r="D4494">
        <v>4.2</v>
      </c>
      <c r="E4494">
        <v>393</v>
      </c>
      <c r="F4494">
        <v>250</v>
      </c>
      <c r="G4494">
        <v>38</v>
      </c>
      <c r="H4494">
        <v>250</v>
      </c>
      <c r="I4494">
        <v>1.8</v>
      </c>
      <c r="J4494" s="1">
        <v>15376</v>
      </c>
    </row>
    <row r="4495" spans="1:10" ht="14.25" customHeight="1" x14ac:dyDescent="0.25">
      <c r="A4495" s="21">
        <v>42015</v>
      </c>
      <c r="B4495" s="21"/>
      <c r="C4495">
        <v>9.5</v>
      </c>
      <c r="D4495">
        <v>5.7</v>
      </c>
      <c r="E4495">
        <v>51</v>
      </c>
      <c r="F4495">
        <v>35</v>
      </c>
      <c r="G4495">
        <v>4</v>
      </c>
      <c r="H4495">
        <v>35</v>
      </c>
      <c r="I4495">
        <v>1.18</v>
      </c>
      <c r="J4495">
        <v>611</v>
      </c>
    </row>
    <row r="4496" spans="1:10" ht="14.25" customHeight="1" x14ac:dyDescent="0.25">
      <c r="A4496" s="21">
        <v>42017</v>
      </c>
      <c r="B4496" s="21"/>
      <c r="C4496">
        <v>223.4</v>
      </c>
      <c r="D4496">
        <v>3.3</v>
      </c>
      <c r="E4496">
        <v>683</v>
      </c>
      <c r="F4496">
        <v>348</v>
      </c>
      <c r="G4496">
        <v>41</v>
      </c>
      <c r="H4496">
        <v>348</v>
      </c>
      <c r="I4496">
        <v>1.58</v>
      </c>
      <c r="J4496" s="1">
        <v>25567</v>
      </c>
    </row>
    <row r="4497" spans="1:10" ht="14.25" customHeight="1" x14ac:dyDescent="0.25">
      <c r="A4497" s="21">
        <v>42017</v>
      </c>
      <c r="B4497" s="21"/>
      <c r="C4497">
        <v>137.5</v>
      </c>
      <c r="D4497">
        <v>3.8</v>
      </c>
      <c r="E4497">
        <v>484</v>
      </c>
      <c r="F4497">
        <v>217</v>
      </c>
      <c r="G4497">
        <v>14</v>
      </c>
      <c r="H4497">
        <v>217</v>
      </c>
      <c r="I4497">
        <v>1.68</v>
      </c>
      <c r="J4497" s="1">
        <v>13288</v>
      </c>
    </row>
    <row r="4498" spans="1:10" ht="14.25" customHeight="1" x14ac:dyDescent="0.25">
      <c r="A4498" s="21">
        <v>42017</v>
      </c>
      <c r="B4498" s="21"/>
      <c r="C4498">
        <v>7.3</v>
      </c>
      <c r="D4498">
        <v>1.3</v>
      </c>
      <c r="E4498">
        <v>37</v>
      </c>
      <c r="F4498">
        <v>24</v>
      </c>
      <c r="H4498">
        <v>24</v>
      </c>
      <c r="I4498">
        <v>2.27</v>
      </c>
      <c r="J4498" s="1">
        <v>2119</v>
      </c>
    </row>
    <row r="4499" spans="1:10" ht="14.25" customHeight="1" x14ac:dyDescent="0.25">
      <c r="A4499" s="21">
        <v>42017</v>
      </c>
      <c r="B4499" s="21"/>
      <c r="C4499">
        <v>35.200000000000003</v>
      </c>
      <c r="D4499">
        <v>3.6</v>
      </c>
      <c r="E4499">
        <v>112</v>
      </c>
      <c r="F4499">
        <v>130</v>
      </c>
      <c r="G4499">
        <v>22</v>
      </c>
      <c r="H4499">
        <v>130</v>
      </c>
      <c r="I4499">
        <v>1.59</v>
      </c>
      <c r="J4499" s="1">
        <v>3581</v>
      </c>
    </row>
    <row r="4500" spans="1:10" ht="14.25" customHeight="1" x14ac:dyDescent="0.25">
      <c r="A4500" s="21">
        <v>42017</v>
      </c>
      <c r="B4500" s="21"/>
      <c r="C4500">
        <v>43.7</v>
      </c>
      <c r="D4500">
        <v>4.5</v>
      </c>
      <c r="E4500">
        <v>112</v>
      </c>
      <c r="F4500">
        <v>62</v>
      </c>
      <c r="H4500">
        <v>62</v>
      </c>
      <c r="I4500">
        <v>1.48</v>
      </c>
      <c r="J4500" s="1">
        <v>3530</v>
      </c>
    </row>
    <row r="4501" spans="1:10" ht="14.25" customHeight="1" x14ac:dyDescent="0.25">
      <c r="A4501" s="21">
        <v>42017</v>
      </c>
      <c r="B4501" s="21"/>
      <c r="C4501">
        <v>73.900000000000006</v>
      </c>
      <c r="D4501">
        <v>3.9</v>
      </c>
      <c r="E4501">
        <v>384</v>
      </c>
      <c r="F4501">
        <v>162</v>
      </c>
      <c r="G4501">
        <v>14</v>
      </c>
      <c r="H4501">
        <v>162</v>
      </c>
      <c r="I4501">
        <v>1.51</v>
      </c>
      <c r="J4501" s="1">
        <v>7519</v>
      </c>
    </row>
    <row r="4502" spans="1:10" ht="14.25" customHeight="1" x14ac:dyDescent="0.25">
      <c r="A4502" s="21">
        <v>42017</v>
      </c>
      <c r="B4502" s="21"/>
      <c r="C4502">
        <v>0.9</v>
      </c>
      <c r="D4502">
        <v>2.1</v>
      </c>
      <c r="J4502">
        <v>162</v>
      </c>
    </row>
    <row r="4503" spans="1:10" ht="14.25" customHeight="1" x14ac:dyDescent="0.25">
      <c r="A4503" s="21">
        <v>42017</v>
      </c>
      <c r="B4503" s="21"/>
      <c r="C4503">
        <v>2.6</v>
      </c>
      <c r="D4503">
        <v>2.1</v>
      </c>
      <c r="I4503">
        <v>1.55</v>
      </c>
      <c r="J4503">
        <v>436</v>
      </c>
    </row>
    <row r="4504" spans="1:10" ht="14.25" customHeight="1" x14ac:dyDescent="0.25">
      <c r="A4504" s="21">
        <v>42017</v>
      </c>
      <c r="B4504" s="21"/>
      <c r="H4504">
        <v>112</v>
      </c>
    </row>
    <row r="4505" spans="1:10" ht="14.25" customHeight="1" x14ac:dyDescent="0.25">
      <c r="A4505" s="21">
        <v>42017</v>
      </c>
      <c r="B4505" s="21"/>
    </row>
    <row r="4506" spans="1:10" ht="14.25" customHeight="1" x14ac:dyDescent="0.25">
      <c r="A4506" s="21">
        <v>42017</v>
      </c>
      <c r="B4506" s="21"/>
    </row>
    <row r="4507" spans="1:10" ht="14.25" customHeight="1" x14ac:dyDescent="0.25">
      <c r="A4507" s="21">
        <v>42019</v>
      </c>
      <c r="B4507" s="21"/>
      <c r="C4507">
        <v>148.1</v>
      </c>
      <c r="D4507">
        <v>4.7</v>
      </c>
      <c r="E4507">
        <v>498</v>
      </c>
      <c r="F4507">
        <v>266</v>
      </c>
      <c r="G4507">
        <v>35</v>
      </c>
      <c r="H4507">
        <v>266</v>
      </c>
      <c r="I4507">
        <v>1.8</v>
      </c>
      <c r="J4507" s="1">
        <v>11945</v>
      </c>
    </row>
    <row r="4508" spans="1:10" ht="14.25" customHeight="1" x14ac:dyDescent="0.25">
      <c r="A4508" s="21">
        <v>42019</v>
      </c>
      <c r="B4508" s="21"/>
      <c r="H4508">
        <v>25</v>
      </c>
    </row>
    <row r="4509" spans="1:10" ht="14.25" customHeight="1" x14ac:dyDescent="0.25">
      <c r="A4509" s="21">
        <v>42021</v>
      </c>
      <c r="B4509" s="21"/>
      <c r="C4509">
        <v>4.9000000000000004</v>
      </c>
      <c r="D4509">
        <v>3.8</v>
      </c>
      <c r="E4509">
        <v>37</v>
      </c>
      <c r="F4509">
        <v>30</v>
      </c>
      <c r="G4509">
        <v>5</v>
      </c>
      <c r="H4509">
        <v>30</v>
      </c>
      <c r="I4509">
        <v>1.17</v>
      </c>
      <c r="J4509">
        <v>479</v>
      </c>
    </row>
    <row r="4510" spans="1:10" ht="14.25" customHeight="1" x14ac:dyDescent="0.25">
      <c r="A4510" s="21">
        <v>42021</v>
      </c>
      <c r="B4510" s="21"/>
      <c r="C4510">
        <v>208.6</v>
      </c>
      <c r="D4510">
        <v>4.5999999999999996</v>
      </c>
      <c r="E4510">
        <v>562</v>
      </c>
      <c r="F4510">
        <v>354</v>
      </c>
      <c r="G4510">
        <v>14</v>
      </c>
      <c r="H4510">
        <v>354</v>
      </c>
      <c r="I4510">
        <v>1.64</v>
      </c>
      <c r="J4510" s="1">
        <v>17208</v>
      </c>
    </row>
    <row r="4511" spans="1:10" ht="14.25" customHeight="1" x14ac:dyDescent="0.25">
      <c r="A4511" s="21">
        <v>42025</v>
      </c>
      <c r="B4511" s="21"/>
      <c r="C4511">
        <v>34.5</v>
      </c>
      <c r="D4511">
        <v>5.4</v>
      </c>
      <c r="E4511">
        <v>122</v>
      </c>
      <c r="F4511">
        <v>68</v>
      </c>
      <c r="G4511">
        <v>6</v>
      </c>
      <c r="H4511">
        <v>68</v>
      </c>
      <c r="I4511">
        <v>1.3</v>
      </c>
      <c r="J4511" s="1">
        <v>2338</v>
      </c>
    </row>
    <row r="4512" spans="1:10" ht="14.25" customHeight="1" x14ac:dyDescent="0.25">
      <c r="A4512" s="21">
        <v>42025</v>
      </c>
      <c r="B4512" s="21"/>
    </row>
    <row r="4513" spans="1:10" ht="14.25" customHeight="1" x14ac:dyDescent="0.25">
      <c r="A4513" s="21">
        <v>42025</v>
      </c>
      <c r="B4513" s="21"/>
    </row>
    <row r="4514" spans="1:10" ht="14.25" customHeight="1" x14ac:dyDescent="0.25">
      <c r="A4514" s="21">
        <v>42027</v>
      </c>
      <c r="B4514" s="21"/>
      <c r="C4514">
        <v>122.3</v>
      </c>
      <c r="D4514">
        <v>3.8</v>
      </c>
      <c r="E4514">
        <v>476</v>
      </c>
      <c r="F4514">
        <v>248</v>
      </c>
      <c r="H4514">
        <v>248</v>
      </c>
      <c r="I4514">
        <v>1.71</v>
      </c>
      <c r="J4514" s="1">
        <v>12576</v>
      </c>
    </row>
    <row r="4515" spans="1:10" ht="14.25" customHeight="1" x14ac:dyDescent="0.25">
      <c r="A4515" s="21">
        <v>42029</v>
      </c>
      <c r="B4515" s="21"/>
      <c r="C4515">
        <v>19.2</v>
      </c>
      <c r="D4515">
        <v>3.1</v>
      </c>
      <c r="E4515">
        <v>71</v>
      </c>
      <c r="F4515">
        <v>53</v>
      </c>
      <c r="G4515">
        <v>10</v>
      </c>
      <c r="H4515">
        <v>53</v>
      </c>
      <c r="I4515">
        <v>1.33</v>
      </c>
      <c r="J4515" s="1">
        <v>2275</v>
      </c>
    </row>
    <row r="4516" spans="1:10" ht="14.25" customHeight="1" x14ac:dyDescent="0.25">
      <c r="A4516" s="21">
        <v>42029</v>
      </c>
      <c r="B4516" s="21"/>
      <c r="C4516">
        <v>87.4</v>
      </c>
      <c r="D4516">
        <v>5.4</v>
      </c>
      <c r="E4516">
        <v>154</v>
      </c>
      <c r="F4516">
        <v>155</v>
      </c>
      <c r="G4516">
        <v>15</v>
      </c>
      <c r="H4516">
        <v>155</v>
      </c>
      <c r="I4516">
        <v>1.55</v>
      </c>
      <c r="J4516" s="1">
        <v>5877</v>
      </c>
    </row>
    <row r="4517" spans="1:10" ht="14.25" customHeight="1" x14ac:dyDescent="0.25">
      <c r="A4517" s="21">
        <v>42029</v>
      </c>
      <c r="B4517" s="21"/>
      <c r="C4517">
        <v>66.3</v>
      </c>
      <c r="D4517">
        <v>4.3</v>
      </c>
      <c r="E4517">
        <v>239</v>
      </c>
      <c r="F4517">
        <v>123</v>
      </c>
      <c r="G4517">
        <v>24</v>
      </c>
      <c r="H4517">
        <v>123</v>
      </c>
      <c r="I4517">
        <v>1.55</v>
      </c>
      <c r="J4517" s="1">
        <v>6000</v>
      </c>
    </row>
    <row r="4518" spans="1:10" ht="14.25" customHeight="1" x14ac:dyDescent="0.25">
      <c r="A4518" s="21">
        <v>42029</v>
      </c>
      <c r="B4518" s="21"/>
      <c r="C4518">
        <v>143.4</v>
      </c>
      <c r="D4518">
        <v>3.4</v>
      </c>
      <c r="E4518">
        <v>678</v>
      </c>
      <c r="F4518">
        <v>244</v>
      </c>
      <c r="G4518">
        <v>14</v>
      </c>
      <c r="H4518">
        <v>244</v>
      </c>
      <c r="I4518">
        <v>1.67</v>
      </c>
      <c r="J4518" s="1">
        <v>17362</v>
      </c>
    </row>
    <row r="4519" spans="1:10" ht="14.25" customHeight="1" x14ac:dyDescent="0.25">
      <c r="A4519" s="21">
        <v>42029</v>
      </c>
      <c r="B4519" s="21"/>
      <c r="C4519">
        <v>140.69999999999999</v>
      </c>
      <c r="D4519">
        <v>3.9</v>
      </c>
      <c r="E4519">
        <v>413</v>
      </c>
      <c r="F4519">
        <v>231</v>
      </c>
      <c r="G4519">
        <v>30</v>
      </c>
      <c r="H4519">
        <v>231</v>
      </c>
      <c r="I4519">
        <v>1.58</v>
      </c>
      <c r="J4519" s="1">
        <v>14156</v>
      </c>
    </row>
    <row r="4520" spans="1:10" ht="14.25" customHeight="1" x14ac:dyDescent="0.25">
      <c r="A4520" s="21">
        <v>42029</v>
      </c>
      <c r="B4520" s="21"/>
      <c r="E4520">
        <v>1</v>
      </c>
      <c r="H4520">
        <v>80</v>
      </c>
    </row>
    <row r="4521" spans="1:10" ht="14.25" customHeight="1" x14ac:dyDescent="0.25">
      <c r="A4521" s="21">
        <v>42031</v>
      </c>
      <c r="B4521" s="21"/>
      <c r="C4521">
        <v>15.3</v>
      </c>
      <c r="D4521">
        <v>4.4000000000000004</v>
      </c>
      <c r="E4521">
        <v>86</v>
      </c>
      <c r="F4521">
        <v>57</v>
      </c>
      <c r="G4521">
        <v>7</v>
      </c>
      <c r="H4521">
        <v>57</v>
      </c>
      <c r="I4521">
        <v>1.33</v>
      </c>
      <c r="J4521" s="1">
        <v>1318</v>
      </c>
    </row>
    <row r="4522" spans="1:10" ht="14.25" customHeight="1" x14ac:dyDescent="0.25">
      <c r="A4522" s="21">
        <v>42033</v>
      </c>
      <c r="B4522" s="21"/>
      <c r="C4522">
        <v>115.9</v>
      </c>
      <c r="D4522">
        <v>4.4000000000000004</v>
      </c>
      <c r="E4522">
        <v>377</v>
      </c>
      <c r="F4522">
        <v>201</v>
      </c>
      <c r="G4522">
        <v>15</v>
      </c>
      <c r="H4522">
        <v>201</v>
      </c>
      <c r="I4522">
        <v>1.65</v>
      </c>
      <c r="J4522" s="1">
        <v>9968</v>
      </c>
    </row>
    <row r="4523" spans="1:10" ht="14.25" customHeight="1" x14ac:dyDescent="0.25">
      <c r="A4523" s="21">
        <v>42033</v>
      </c>
      <c r="B4523" s="21"/>
      <c r="C4523">
        <v>13.1</v>
      </c>
      <c r="D4523">
        <v>4.2</v>
      </c>
      <c r="E4523">
        <v>107</v>
      </c>
      <c r="F4523">
        <v>40</v>
      </c>
      <c r="H4523">
        <v>40</v>
      </c>
      <c r="I4523">
        <v>1.23</v>
      </c>
      <c r="J4523" s="1">
        <v>1143</v>
      </c>
    </row>
    <row r="4524" spans="1:10" ht="14.25" customHeight="1" x14ac:dyDescent="0.25">
      <c r="A4524" s="21">
        <v>42035</v>
      </c>
      <c r="B4524" s="21"/>
      <c r="C4524">
        <v>7.8</v>
      </c>
      <c r="D4524">
        <v>3.5</v>
      </c>
      <c r="E4524">
        <v>46</v>
      </c>
      <c r="F4524">
        <v>47</v>
      </c>
      <c r="H4524">
        <v>47</v>
      </c>
      <c r="I4524">
        <v>1.22</v>
      </c>
      <c r="J4524">
        <v>819</v>
      </c>
    </row>
    <row r="4525" spans="1:10" ht="14.25" customHeight="1" x14ac:dyDescent="0.25">
      <c r="A4525" s="21">
        <v>42037</v>
      </c>
      <c r="B4525" s="21"/>
      <c r="C4525">
        <v>7.4</v>
      </c>
      <c r="D4525">
        <v>3.3</v>
      </c>
      <c r="E4525">
        <v>48</v>
      </c>
      <c r="F4525">
        <v>87</v>
      </c>
      <c r="G4525">
        <v>10</v>
      </c>
      <c r="H4525">
        <v>87</v>
      </c>
      <c r="I4525">
        <v>1.23</v>
      </c>
      <c r="J4525">
        <v>812</v>
      </c>
    </row>
    <row r="4526" spans="1:10" ht="14.25" customHeight="1" x14ac:dyDescent="0.25">
      <c r="A4526" s="21">
        <v>42037</v>
      </c>
      <c r="B4526" s="21"/>
      <c r="C4526">
        <v>10</v>
      </c>
      <c r="D4526">
        <v>2.9</v>
      </c>
      <c r="E4526">
        <v>42</v>
      </c>
      <c r="F4526">
        <v>56</v>
      </c>
      <c r="G4526">
        <v>12</v>
      </c>
      <c r="H4526">
        <v>56</v>
      </c>
      <c r="I4526">
        <v>1.24</v>
      </c>
      <c r="J4526" s="1">
        <v>1536</v>
      </c>
    </row>
    <row r="4527" spans="1:10" ht="14.25" customHeight="1" x14ac:dyDescent="0.25">
      <c r="A4527" s="21">
        <v>42039</v>
      </c>
      <c r="B4527" s="21"/>
      <c r="C4527">
        <v>60.4</v>
      </c>
      <c r="D4527">
        <v>4.3</v>
      </c>
      <c r="E4527">
        <v>198</v>
      </c>
      <c r="F4527">
        <v>145</v>
      </c>
      <c r="G4527">
        <v>12</v>
      </c>
      <c r="H4527">
        <v>145</v>
      </c>
      <c r="I4527">
        <v>1.45</v>
      </c>
      <c r="J4527" s="1">
        <v>5339</v>
      </c>
    </row>
    <row r="4528" spans="1:10" ht="14.25" customHeight="1" x14ac:dyDescent="0.25">
      <c r="A4528" s="21">
        <v>42041</v>
      </c>
      <c r="B4528" s="21"/>
      <c r="C4528">
        <v>119.4</v>
      </c>
      <c r="D4528">
        <v>4.7</v>
      </c>
      <c r="E4528">
        <v>461</v>
      </c>
      <c r="F4528">
        <v>277</v>
      </c>
      <c r="G4528">
        <v>21</v>
      </c>
      <c r="H4528">
        <v>277</v>
      </c>
      <c r="I4528">
        <v>1.78</v>
      </c>
      <c r="J4528" s="1">
        <v>9727</v>
      </c>
    </row>
    <row r="4529" spans="1:10" ht="14.25" customHeight="1" x14ac:dyDescent="0.25">
      <c r="A4529" s="21">
        <v>42041</v>
      </c>
      <c r="B4529" s="21"/>
      <c r="C4529">
        <v>49.8</v>
      </c>
      <c r="D4529">
        <v>3.8</v>
      </c>
      <c r="E4529">
        <v>162</v>
      </c>
      <c r="F4529">
        <v>66</v>
      </c>
      <c r="G4529">
        <v>10</v>
      </c>
      <c r="H4529">
        <v>66</v>
      </c>
      <c r="I4529">
        <v>1.42</v>
      </c>
      <c r="J4529" s="1">
        <v>4422</v>
      </c>
    </row>
    <row r="4530" spans="1:10" ht="14.25" customHeight="1" x14ac:dyDescent="0.25">
      <c r="A4530" s="21">
        <v>42041</v>
      </c>
      <c r="B4530" s="21"/>
      <c r="E4530">
        <v>3</v>
      </c>
      <c r="H4530">
        <v>102</v>
      </c>
    </row>
    <row r="4531" spans="1:10" ht="14.25" customHeight="1" x14ac:dyDescent="0.25">
      <c r="A4531" s="21">
        <v>42043</v>
      </c>
      <c r="B4531" s="21"/>
      <c r="C4531">
        <v>427</v>
      </c>
      <c r="D4531">
        <v>4.5999999999999996</v>
      </c>
      <c r="E4531" s="1">
        <v>1285</v>
      </c>
      <c r="F4531">
        <v>493</v>
      </c>
      <c r="G4531">
        <v>20</v>
      </c>
      <c r="H4531">
        <v>493</v>
      </c>
      <c r="I4531">
        <v>1.91</v>
      </c>
      <c r="J4531" s="1">
        <v>35807</v>
      </c>
    </row>
    <row r="4532" spans="1:10" ht="14.25" customHeight="1" x14ac:dyDescent="0.25">
      <c r="A4532" s="21">
        <v>42043</v>
      </c>
      <c r="B4532" s="21"/>
      <c r="C4532">
        <v>453.1</v>
      </c>
      <c r="D4532">
        <v>5.9</v>
      </c>
      <c r="E4532" s="1">
        <v>1516</v>
      </c>
      <c r="F4532">
        <v>548</v>
      </c>
      <c r="G4532">
        <v>16</v>
      </c>
      <c r="H4532">
        <v>548</v>
      </c>
      <c r="I4532">
        <v>2.14</v>
      </c>
      <c r="J4532" s="1">
        <v>28899</v>
      </c>
    </row>
    <row r="4533" spans="1:10" ht="14.25" customHeight="1" x14ac:dyDescent="0.25">
      <c r="A4533" s="21">
        <v>42043</v>
      </c>
      <c r="B4533" s="21"/>
      <c r="E4533">
        <v>5</v>
      </c>
      <c r="H4533">
        <v>145</v>
      </c>
    </row>
    <row r="4534" spans="1:10" ht="14.25" customHeight="1" x14ac:dyDescent="0.25">
      <c r="A4534" s="21">
        <v>42045</v>
      </c>
      <c r="B4534" s="21"/>
      <c r="C4534">
        <v>109.1</v>
      </c>
      <c r="D4534">
        <v>3.9</v>
      </c>
      <c r="E4534">
        <v>309</v>
      </c>
      <c r="F4534">
        <v>204</v>
      </c>
      <c r="G4534">
        <v>14</v>
      </c>
      <c r="H4534">
        <v>204</v>
      </c>
      <c r="I4534">
        <v>1.57</v>
      </c>
      <c r="J4534" s="1">
        <v>10814</v>
      </c>
    </row>
    <row r="4535" spans="1:10" ht="14.25" customHeight="1" x14ac:dyDescent="0.25">
      <c r="A4535" s="21">
        <v>42045</v>
      </c>
      <c r="B4535" s="21"/>
      <c r="C4535">
        <v>65.900000000000006</v>
      </c>
      <c r="D4535">
        <v>4.5</v>
      </c>
      <c r="E4535">
        <v>243</v>
      </c>
      <c r="F4535">
        <v>145</v>
      </c>
      <c r="G4535">
        <v>14</v>
      </c>
      <c r="H4535">
        <v>145</v>
      </c>
      <c r="I4535">
        <v>1.43</v>
      </c>
      <c r="J4535" s="1">
        <v>5773</v>
      </c>
    </row>
    <row r="4536" spans="1:10" ht="14.25" customHeight="1" x14ac:dyDescent="0.25">
      <c r="A4536" s="21">
        <v>42045</v>
      </c>
      <c r="B4536" s="21"/>
      <c r="C4536">
        <v>131</v>
      </c>
      <c r="D4536">
        <v>3.7</v>
      </c>
      <c r="E4536">
        <v>507</v>
      </c>
      <c r="F4536">
        <v>267</v>
      </c>
      <c r="G4536">
        <v>30</v>
      </c>
      <c r="H4536">
        <v>267</v>
      </c>
      <c r="I4536">
        <v>1.63</v>
      </c>
      <c r="J4536" s="1">
        <v>13854</v>
      </c>
    </row>
    <row r="4537" spans="1:10" ht="14.25" customHeight="1" x14ac:dyDescent="0.25">
      <c r="A4537" s="21">
        <v>42045</v>
      </c>
      <c r="B4537" s="21"/>
      <c r="C4537">
        <v>170.6</v>
      </c>
      <c r="D4537">
        <v>4.5999999999999996</v>
      </c>
      <c r="E4537">
        <v>356</v>
      </c>
      <c r="F4537">
        <v>292</v>
      </c>
      <c r="G4537">
        <v>18</v>
      </c>
      <c r="H4537">
        <v>183</v>
      </c>
      <c r="I4537">
        <v>1.42</v>
      </c>
      <c r="J4537" s="1">
        <v>13571</v>
      </c>
    </row>
    <row r="4538" spans="1:10" ht="14.25" customHeight="1" x14ac:dyDescent="0.25">
      <c r="A4538" s="21">
        <v>42045</v>
      </c>
      <c r="B4538" s="21"/>
      <c r="C4538">
        <v>222.8</v>
      </c>
      <c r="D4538">
        <v>5.0999999999999996</v>
      </c>
      <c r="E4538">
        <v>811</v>
      </c>
      <c r="F4538">
        <v>359</v>
      </c>
      <c r="G4538">
        <v>25</v>
      </c>
      <c r="H4538">
        <v>359</v>
      </c>
      <c r="I4538">
        <v>1.63</v>
      </c>
      <c r="J4538" s="1">
        <v>16376</v>
      </c>
    </row>
    <row r="4539" spans="1:10" ht="14.25" customHeight="1" x14ac:dyDescent="0.25">
      <c r="A4539" s="21">
        <v>42045</v>
      </c>
      <c r="B4539" s="21"/>
    </row>
    <row r="4540" spans="1:10" ht="14.25" customHeight="1" x14ac:dyDescent="0.25">
      <c r="A4540" s="21">
        <v>42045</v>
      </c>
      <c r="B4540" s="21"/>
      <c r="H4540">
        <v>716</v>
      </c>
    </row>
    <row r="4541" spans="1:10" ht="14.25" customHeight="1" x14ac:dyDescent="0.25">
      <c r="A4541" s="21">
        <v>42045</v>
      </c>
      <c r="B4541" s="21"/>
      <c r="H4541">
        <v>105</v>
      </c>
    </row>
    <row r="4542" spans="1:10" ht="14.25" customHeight="1" x14ac:dyDescent="0.25">
      <c r="A4542" s="21">
        <v>42049</v>
      </c>
      <c r="B4542" s="21"/>
      <c r="C4542">
        <v>61.1</v>
      </c>
      <c r="D4542">
        <v>5.9</v>
      </c>
      <c r="E4542">
        <v>116</v>
      </c>
      <c r="F4542">
        <v>130</v>
      </c>
      <c r="G4542">
        <v>6</v>
      </c>
      <c r="H4542">
        <v>130</v>
      </c>
      <c r="I4542">
        <v>1.1200000000000001</v>
      </c>
      <c r="J4542" s="1">
        <v>3710</v>
      </c>
    </row>
    <row r="4543" spans="1:10" ht="14.25" customHeight="1" x14ac:dyDescent="0.25">
      <c r="A4543" s="21">
        <v>42049</v>
      </c>
      <c r="B4543" s="21"/>
      <c r="C4543">
        <v>269.10000000000002</v>
      </c>
      <c r="D4543">
        <v>4.9000000000000004</v>
      </c>
      <c r="E4543">
        <v>532</v>
      </c>
      <c r="F4543">
        <v>421</v>
      </c>
      <c r="G4543">
        <v>14</v>
      </c>
      <c r="H4543">
        <v>421</v>
      </c>
      <c r="I4543">
        <v>2</v>
      </c>
      <c r="J4543" s="1">
        <v>20388</v>
      </c>
    </row>
    <row r="4544" spans="1:10" ht="14.25" customHeight="1" x14ac:dyDescent="0.25">
      <c r="A4544" s="21">
        <v>42049</v>
      </c>
      <c r="B4544" s="21"/>
      <c r="C4544">
        <v>160.80000000000001</v>
      </c>
      <c r="D4544">
        <v>4.8</v>
      </c>
      <c r="E4544">
        <v>421</v>
      </c>
      <c r="F4544">
        <v>298</v>
      </c>
      <c r="G4544">
        <v>20</v>
      </c>
      <c r="H4544">
        <v>298</v>
      </c>
      <c r="I4544">
        <v>1.79</v>
      </c>
      <c r="J4544" s="1">
        <v>12740</v>
      </c>
    </row>
    <row r="4545" spans="1:10" ht="14.25" customHeight="1" x14ac:dyDescent="0.25">
      <c r="A4545" s="21">
        <v>42049</v>
      </c>
      <c r="B4545" s="21"/>
    </row>
    <row r="4546" spans="1:10" ht="14.25" customHeight="1" x14ac:dyDescent="0.25">
      <c r="A4546" s="21">
        <v>42051</v>
      </c>
      <c r="B4546" s="21"/>
      <c r="C4546">
        <v>85.6</v>
      </c>
      <c r="D4546">
        <v>4.2</v>
      </c>
      <c r="E4546">
        <v>212</v>
      </c>
      <c r="F4546">
        <v>149</v>
      </c>
      <c r="G4546">
        <v>15</v>
      </c>
      <c r="H4546">
        <v>149</v>
      </c>
      <c r="I4546">
        <v>1.45</v>
      </c>
      <c r="J4546" s="1">
        <v>7795</v>
      </c>
    </row>
    <row r="4547" spans="1:10" ht="14.25" customHeight="1" x14ac:dyDescent="0.25">
      <c r="A4547" s="21">
        <v>42051</v>
      </c>
      <c r="B4547" s="21"/>
      <c r="C4547">
        <v>18.399999999999999</v>
      </c>
      <c r="D4547">
        <v>4.4000000000000004</v>
      </c>
      <c r="E4547">
        <v>119</v>
      </c>
      <c r="F4547">
        <v>61</v>
      </c>
      <c r="H4547">
        <v>61</v>
      </c>
      <c r="I4547">
        <v>1.05</v>
      </c>
      <c r="J4547" s="1">
        <v>1542</v>
      </c>
    </row>
    <row r="4548" spans="1:10" ht="14.25" customHeight="1" x14ac:dyDescent="0.25">
      <c r="A4548" s="21">
        <v>42051</v>
      </c>
      <c r="B4548" s="21"/>
      <c r="C4548">
        <v>16.8</v>
      </c>
      <c r="D4548">
        <v>6.4</v>
      </c>
      <c r="J4548">
        <v>965</v>
      </c>
    </row>
    <row r="4549" spans="1:10" ht="14.25" customHeight="1" x14ac:dyDescent="0.25">
      <c r="A4549" s="21">
        <v>42055</v>
      </c>
      <c r="B4549" s="21"/>
      <c r="C4549">
        <v>92.4</v>
      </c>
      <c r="D4549">
        <v>3.6</v>
      </c>
      <c r="E4549">
        <v>474</v>
      </c>
      <c r="F4549">
        <v>242</v>
      </c>
      <c r="H4549">
        <v>242</v>
      </c>
      <c r="I4549">
        <v>1.59</v>
      </c>
      <c r="J4549" s="1">
        <v>9362</v>
      </c>
    </row>
    <row r="4550" spans="1:10" ht="14.25" customHeight="1" x14ac:dyDescent="0.25">
      <c r="A4550" s="21">
        <v>42055</v>
      </c>
      <c r="B4550" s="21"/>
      <c r="C4550">
        <v>18.7</v>
      </c>
      <c r="D4550">
        <v>3.4</v>
      </c>
      <c r="E4550">
        <v>89</v>
      </c>
      <c r="F4550">
        <v>57</v>
      </c>
      <c r="H4550">
        <v>57</v>
      </c>
      <c r="I4550">
        <v>1.37</v>
      </c>
      <c r="J4550" s="1">
        <v>2301</v>
      </c>
    </row>
    <row r="4551" spans="1:10" ht="14.25" customHeight="1" x14ac:dyDescent="0.25">
      <c r="A4551" s="21">
        <v>42059</v>
      </c>
      <c r="B4551" s="21"/>
      <c r="C4551">
        <v>8.1</v>
      </c>
      <c r="D4551">
        <v>4.4000000000000004</v>
      </c>
      <c r="E4551">
        <v>41</v>
      </c>
      <c r="F4551">
        <v>23</v>
      </c>
      <c r="H4551">
        <v>23</v>
      </c>
      <c r="I4551">
        <v>1.07</v>
      </c>
      <c r="J4551">
        <v>681</v>
      </c>
    </row>
    <row r="4552" spans="1:10" ht="14.25" customHeight="1" x14ac:dyDescent="0.25">
      <c r="A4552" s="21">
        <v>42061</v>
      </c>
      <c r="B4552" s="21"/>
      <c r="C4552">
        <v>16.8</v>
      </c>
      <c r="D4552">
        <v>3.9</v>
      </c>
      <c r="E4552">
        <v>147</v>
      </c>
      <c r="F4552">
        <v>57</v>
      </c>
      <c r="G4552">
        <v>7</v>
      </c>
      <c r="H4552">
        <v>57</v>
      </c>
      <c r="I4552">
        <v>1.28</v>
      </c>
      <c r="J4552" s="1">
        <v>1628</v>
      </c>
    </row>
    <row r="4553" spans="1:10" ht="14.25" customHeight="1" x14ac:dyDescent="0.25">
      <c r="A4553" s="21">
        <v>42063</v>
      </c>
      <c r="B4553" s="21"/>
      <c r="C4553">
        <v>54</v>
      </c>
      <c r="D4553">
        <v>3.7</v>
      </c>
      <c r="E4553">
        <v>214</v>
      </c>
      <c r="F4553">
        <v>134</v>
      </c>
      <c r="G4553">
        <v>12</v>
      </c>
      <c r="H4553">
        <v>134</v>
      </c>
      <c r="I4553">
        <v>1.51</v>
      </c>
      <c r="J4553" s="1">
        <v>5612</v>
      </c>
    </row>
    <row r="4554" spans="1:10" ht="14.25" customHeight="1" x14ac:dyDescent="0.25">
      <c r="A4554" s="21">
        <v>42065</v>
      </c>
      <c r="B4554" s="21"/>
      <c r="C4554">
        <v>16.3</v>
      </c>
      <c r="D4554">
        <v>5.8</v>
      </c>
      <c r="E4554">
        <v>63</v>
      </c>
      <c r="F4554">
        <v>44</v>
      </c>
      <c r="G4554">
        <v>5</v>
      </c>
      <c r="H4554">
        <v>44</v>
      </c>
      <c r="I4554">
        <v>1.52</v>
      </c>
      <c r="J4554" s="1">
        <v>1058</v>
      </c>
    </row>
    <row r="4555" spans="1:10" ht="14.25" customHeight="1" x14ac:dyDescent="0.25">
      <c r="A4555" s="21">
        <v>42069</v>
      </c>
      <c r="B4555" s="21"/>
      <c r="C4555">
        <v>103.6</v>
      </c>
      <c r="D4555">
        <v>4.8</v>
      </c>
      <c r="E4555">
        <v>152</v>
      </c>
      <c r="F4555">
        <v>154</v>
      </c>
      <c r="G4555">
        <v>24</v>
      </c>
      <c r="H4555">
        <v>154</v>
      </c>
      <c r="I4555">
        <v>1.75</v>
      </c>
      <c r="J4555" s="1">
        <v>7849</v>
      </c>
    </row>
    <row r="4556" spans="1:10" ht="14.25" customHeight="1" x14ac:dyDescent="0.25">
      <c r="A4556" s="21">
        <v>42069</v>
      </c>
      <c r="B4556" s="21"/>
      <c r="C4556">
        <v>81.8</v>
      </c>
      <c r="D4556">
        <v>4.5999999999999996</v>
      </c>
      <c r="E4556">
        <v>204</v>
      </c>
      <c r="F4556">
        <v>161</v>
      </c>
      <c r="G4556">
        <v>11</v>
      </c>
      <c r="H4556">
        <v>161</v>
      </c>
      <c r="I4556">
        <v>1.64</v>
      </c>
      <c r="J4556" s="1">
        <v>7521</v>
      </c>
    </row>
    <row r="4557" spans="1:10" ht="14.25" customHeight="1" x14ac:dyDescent="0.25">
      <c r="A4557" s="21">
        <v>42069</v>
      </c>
      <c r="B4557" s="21"/>
      <c r="C4557">
        <v>10.7</v>
      </c>
      <c r="D4557">
        <v>4.0999999999999996</v>
      </c>
      <c r="J4557">
        <v>953</v>
      </c>
    </row>
    <row r="4558" spans="1:10" ht="14.25" customHeight="1" x14ac:dyDescent="0.25">
      <c r="A4558" s="21">
        <v>42069</v>
      </c>
      <c r="B4558" s="21"/>
      <c r="C4558">
        <v>136.1</v>
      </c>
      <c r="D4558">
        <v>4.3</v>
      </c>
      <c r="E4558">
        <v>428</v>
      </c>
      <c r="F4558">
        <v>255</v>
      </c>
      <c r="G4558">
        <v>18</v>
      </c>
      <c r="H4558">
        <v>255</v>
      </c>
      <c r="I4558">
        <v>1.71</v>
      </c>
      <c r="J4558" s="1">
        <v>11624</v>
      </c>
    </row>
    <row r="4559" spans="1:10" ht="14.25" customHeight="1" x14ac:dyDescent="0.25">
      <c r="A4559" s="21">
        <v>42071</v>
      </c>
      <c r="B4559" s="21"/>
      <c r="C4559">
        <v>27.9</v>
      </c>
      <c r="D4559">
        <v>4.4000000000000004</v>
      </c>
      <c r="I4559">
        <v>1.91</v>
      </c>
      <c r="J4559" s="1">
        <v>2297</v>
      </c>
    </row>
    <row r="4560" spans="1:10" ht="14.25" customHeight="1" x14ac:dyDescent="0.25">
      <c r="A4560" s="21">
        <v>42071</v>
      </c>
      <c r="B4560" s="21"/>
      <c r="C4560">
        <v>21.2</v>
      </c>
      <c r="D4560">
        <v>3.3</v>
      </c>
      <c r="E4560">
        <v>175</v>
      </c>
      <c r="F4560">
        <v>55</v>
      </c>
      <c r="G4560">
        <v>6</v>
      </c>
      <c r="H4560">
        <v>55</v>
      </c>
      <c r="I4560">
        <v>1.41</v>
      </c>
      <c r="J4560" s="1">
        <v>2927</v>
      </c>
    </row>
    <row r="4561" spans="1:10" ht="14.25" customHeight="1" x14ac:dyDescent="0.25">
      <c r="A4561" s="21">
        <v>42071</v>
      </c>
      <c r="B4561" s="21"/>
      <c r="C4561">
        <v>411.4</v>
      </c>
      <c r="D4561">
        <v>5</v>
      </c>
      <c r="E4561" s="1">
        <v>1358</v>
      </c>
      <c r="F4561">
        <v>581</v>
      </c>
      <c r="G4561">
        <v>48</v>
      </c>
      <c r="H4561">
        <v>581</v>
      </c>
      <c r="I4561">
        <v>1.87</v>
      </c>
      <c r="J4561" s="1">
        <v>30649</v>
      </c>
    </row>
    <row r="4562" spans="1:10" ht="14.25" customHeight="1" x14ac:dyDescent="0.25">
      <c r="A4562" s="21">
        <v>42071</v>
      </c>
      <c r="B4562" s="21"/>
      <c r="C4562">
        <v>57.4</v>
      </c>
      <c r="D4562">
        <v>3.7</v>
      </c>
      <c r="E4562">
        <v>272</v>
      </c>
      <c r="F4562">
        <v>115</v>
      </c>
      <c r="G4562">
        <v>19</v>
      </c>
      <c r="H4562">
        <v>115</v>
      </c>
      <c r="I4562">
        <v>1.58</v>
      </c>
      <c r="J4562" s="1">
        <v>6009</v>
      </c>
    </row>
    <row r="4563" spans="1:10" ht="14.25" customHeight="1" x14ac:dyDescent="0.25">
      <c r="A4563" s="21">
        <v>42071</v>
      </c>
      <c r="B4563" s="21"/>
      <c r="H4563">
        <v>95</v>
      </c>
    </row>
    <row r="4564" spans="1:10" ht="14.25" customHeight="1" x14ac:dyDescent="0.25">
      <c r="A4564" s="21">
        <v>42071</v>
      </c>
      <c r="B4564" s="21"/>
    </row>
    <row r="4565" spans="1:10" ht="14.25" customHeight="1" x14ac:dyDescent="0.25">
      <c r="A4565" s="21">
        <v>42073</v>
      </c>
      <c r="B4565" s="21"/>
      <c r="C4565">
        <v>6</v>
      </c>
      <c r="D4565">
        <v>4</v>
      </c>
      <c r="I4565">
        <v>1.1200000000000001</v>
      </c>
      <c r="J4565">
        <v>554</v>
      </c>
    </row>
    <row r="4566" spans="1:10" ht="14.25" customHeight="1" x14ac:dyDescent="0.25">
      <c r="A4566" s="21">
        <v>42073</v>
      </c>
      <c r="B4566" s="21"/>
      <c r="C4566">
        <v>62.7</v>
      </c>
      <c r="D4566">
        <v>4.5999999999999996</v>
      </c>
      <c r="E4566">
        <v>157</v>
      </c>
      <c r="F4566">
        <v>121</v>
      </c>
      <c r="G4566">
        <v>12</v>
      </c>
      <c r="H4566">
        <v>121</v>
      </c>
      <c r="I4566">
        <v>1.44</v>
      </c>
      <c r="J4566" s="1">
        <v>4769</v>
      </c>
    </row>
    <row r="4567" spans="1:10" ht="14.25" customHeight="1" x14ac:dyDescent="0.25">
      <c r="A4567" s="21">
        <v>42073</v>
      </c>
      <c r="B4567" s="21"/>
    </row>
    <row r="4568" spans="1:10" ht="14.25" customHeight="1" x14ac:dyDescent="0.25">
      <c r="A4568" s="21">
        <v>42075</v>
      </c>
      <c r="B4568" s="21"/>
      <c r="C4568">
        <v>78.2</v>
      </c>
      <c r="D4568">
        <v>3.9</v>
      </c>
      <c r="E4568">
        <v>351</v>
      </c>
      <c r="F4568">
        <v>145</v>
      </c>
      <c r="G4568">
        <v>18</v>
      </c>
      <c r="H4568">
        <v>145</v>
      </c>
      <c r="I4568">
        <v>1.63</v>
      </c>
      <c r="J4568" s="1">
        <v>7751</v>
      </c>
    </row>
    <row r="4569" spans="1:10" ht="14.25" customHeight="1" x14ac:dyDescent="0.25">
      <c r="A4569" s="21">
        <v>42077</v>
      </c>
      <c r="B4569" s="21"/>
      <c r="C4569">
        <v>688.9</v>
      </c>
      <c r="D4569">
        <v>4.9000000000000004</v>
      </c>
      <c r="E4569" s="1">
        <v>2191</v>
      </c>
      <c r="F4569" s="1">
        <v>1023</v>
      </c>
      <c r="G4569">
        <v>86</v>
      </c>
      <c r="H4569" s="1">
        <v>1023</v>
      </c>
      <c r="I4569">
        <v>1.77</v>
      </c>
      <c r="J4569" s="1">
        <v>53090</v>
      </c>
    </row>
    <row r="4570" spans="1:10" ht="14.25" customHeight="1" x14ac:dyDescent="0.25">
      <c r="A4570" s="21">
        <v>42077</v>
      </c>
      <c r="B4570" s="21"/>
      <c r="C4570">
        <v>85.4</v>
      </c>
      <c r="D4570">
        <v>5.8</v>
      </c>
      <c r="E4570">
        <v>166</v>
      </c>
      <c r="F4570">
        <v>129</v>
      </c>
      <c r="G4570">
        <v>12</v>
      </c>
      <c r="H4570">
        <v>129</v>
      </c>
      <c r="I4570">
        <v>1.34</v>
      </c>
      <c r="J4570" s="1">
        <v>3947</v>
      </c>
    </row>
    <row r="4571" spans="1:10" ht="14.25" customHeight="1" x14ac:dyDescent="0.25">
      <c r="A4571" s="21">
        <v>42077</v>
      </c>
      <c r="B4571" s="21"/>
      <c r="C4571">
        <v>2.1</v>
      </c>
      <c r="D4571">
        <v>2.5</v>
      </c>
      <c r="J4571">
        <v>312</v>
      </c>
    </row>
    <row r="4572" spans="1:10" ht="14.25" customHeight="1" x14ac:dyDescent="0.25">
      <c r="A4572" s="21">
        <v>42077</v>
      </c>
      <c r="B4572" s="21"/>
      <c r="C4572">
        <v>5.8</v>
      </c>
      <c r="D4572">
        <v>2</v>
      </c>
      <c r="E4572">
        <v>164</v>
      </c>
      <c r="F4572">
        <v>20</v>
      </c>
      <c r="H4572">
        <v>20</v>
      </c>
      <c r="I4572">
        <v>2.67</v>
      </c>
      <c r="J4572" s="1">
        <v>1025</v>
      </c>
    </row>
    <row r="4573" spans="1:10" ht="14.25" customHeight="1" x14ac:dyDescent="0.25">
      <c r="A4573" s="21">
        <v>42077</v>
      </c>
      <c r="B4573" s="21"/>
      <c r="E4573">
        <v>73</v>
      </c>
      <c r="H4573">
        <v>150</v>
      </c>
    </row>
    <row r="4574" spans="1:10" ht="14.25" customHeight="1" x14ac:dyDescent="0.25">
      <c r="A4574" s="21">
        <v>42077</v>
      </c>
      <c r="B4574" s="21"/>
      <c r="E4574">
        <v>3</v>
      </c>
      <c r="H4574">
        <v>729</v>
      </c>
    </row>
    <row r="4575" spans="1:10" ht="14.25" customHeight="1" x14ac:dyDescent="0.25">
      <c r="A4575" s="21">
        <v>42079</v>
      </c>
      <c r="B4575" s="21"/>
      <c r="C4575">
        <v>209.4</v>
      </c>
      <c r="D4575">
        <v>4</v>
      </c>
      <c r="E4575">
        <v>642</v>
      </c>
      <c r="F4575">
        <v>300</v>
      </c>
      <c r="G4575">
        <v>25</v>
      </c>
      <c r="H4575">
        <v>300</v>
      </c>
      <c r="I4575">
        <v>1.83</v>
      </c>
      <c r="J4575" s="1">
        <v>18816</v>
      </c>
    </row>
    <row r="4576" spans="1:10" ht="14.25" customHeight="1" x14ac:dyDescent="0.25">
      <c r="A4576" s="21">
        <v>42079</v>
      </c>
      <c r="B4576" s="21"/>
      <c r="C4576">
        <v>55.5</v>
      </c>
      <c r="D4576">
        <v>3.8</v>
      </c>
      <c r="E4576">
        <v>181</v>
      </c>
      <c r="F4576">
        <v>134</v>
      </c>
      <c r="G4576">
        <v>12</v>
      </c>
      <c r="H4576">
        <v>134</v>
      </c>
      <c r="I4576">
        <v>1.31</v>
      </c>
      <c r="J4576" s="1">
        <v>5697</v>
      </c>
    </row>
    <row r="4577" spans="1:10" ht="14.25" customHeight="1" x14ac:dyDescent="0.25">
      <c r="A4577" s="21">
        <v>42079</v>
      </c>
      <c r="B4577" s="21"/>
      <c r="C4577">
        <v>147.9</v>
      </c>
      <c r="D4577">
        <v>4.9000000000000004</v>
      </c>
      <c r="E4577">
        <v>453</v>
      </c>
      <c r="F4577">
        <v>258</v>
      </c>
      <c r="G4577">
        <v>30</v>
      </c>
      <c r="H4577">
        <v>258</v>
      </c>
      <c r="I4577">
        <v>1.59</v>
      </c>
      <c r="J4577" s="1">
        <v>11515</v>
      </c>
    </row>
    <row r="4578" spans="1:10" ht="14.25" customHeight="1" x14ac:dyDescent="0.25">
      <c r="A4578" s="21">
        <v>42079</v>
      </c>
      <c r="B4578" s="21"/>
      <c r="C4578">
        <v>18.2</v>
      </c>
      <c r="D4578">
        <v>3.7</v>
      </c>
      <c r="J4578" s="1">
        <v>1800</v>
      </c>
    </row>
    <row r="4579" spans="1:10" ht="14.25" customHeight="1" x14ac:dyDescent="0.25">
      <c r="A4579" s="21">
        <v>42079</v>
      </c>
      <c r="B4579" s="21"/>
      <c r="H4579">
        <v>274</v>
      </c>
    </row>
    <row r="4580" spans="1:10" ht="14.25" customHeight="1" x14ac:dyDescent="0.25">
      <c r="A4580" s="21">
        <v>42081</v>
      </c>
      <c r="B4580" s="21"/>
      <c r="C4580">
        <v>138.19999999999999</v>
      </c>
      <c r="D4580">
        <v>4.7</v>
      </c>
      <c r="E4580">
        <v>465</v>
      </c>
      <c r="F4580">
        <v>227</v>
      </c>
      <c r="G4580">
        <v>28</v>
      </c>
      <c r="H4580">
        <v>227</v>
      </c>
      <c r="I4580">
        <v>1.9</v>
      </c>
      <c r="J4580" s="1">
        <v>10654</v>
      </c>
    </row>
    <row r="4581" spans="1:10" ht="14.25" customHeight="1" x14ac:dyDescent="0.25">
      <c r="A4581" s="21">
        <v>42083</v>
      </c>
      <c r="B4581" s="21"/>
      <c r="C4581">
        <v>3.4</v>
      </c>
      <c r="D4581">
        <v>3.8</v>
      </c>
      <c r="E4581">
        <v>36</v>
      </c>
      <c r="F4581">
        <v>31</v>
      </c>
      <c r="G4581">
        <v>5</v>
      </c>
      <c r="H4581">
        <v>31</v>
      </c>
      <c r="I4581">
        <v>1.3</v>
      </c>
      <c r="J4581">
        <v>332</v>
      </c>
    </row>
    <row r="4582" spans="1:10" ht="14.25" customHeight="1" x14ac:dyDescent="0.25">
      <c r="A4582" s="21">
        <v>42083</v>
      </c>
      <c r="B4582" s="21"/>
      <c r="C4582">
        <v>39.200000000000003</v>
      </c>
      <c r="D4582">
        <v>5.0999999999999996</v>
      </c>
      <c r="E4582">
        <v>27</v>
      </c>
      <c r="F4582">
        <v>107</v>
      </c>
      <c r="G4582">
        <v>5</v>
      </c>
      <c r="H4582">
        <v>107</v>
      </c>
      <c r="I4582">
        <v>1.21</v>
      </c>
      <c r="J4582" s="1">
        <v>2904</v>
      </c>
    </row>
    <row r="4583" spans="1:10" ht="14.25" customHeight="1" x14ac:dyDescent="0.25">
      <c r="A4583" s="21">
        <v>42085</v>
      </c>
      <c r="B4583" s="21"/>
      <c r="C4583">
        <v>33.6</v>
      </c>
      <c r="D4583">
        <v>3.9</v>
      </c>
      <c r="E4583">
        <v>167</v>
      </c>
      <c r="F4583">
        <v>122</v>
      </c>
      <c r="G4583">
        <v>6</v>
      </c>
      <c r="H4583">
        <v>122</v>
      </c>
      <c r="I4583">
        <v>1.31</v>
      </c>
      <c r="J4583" s="1">
        <v>3995</v>
      </c>
    </row>
    <row r="4584" spans="1:10" ht="14.25" customHeight="1" x14ac:dyDescent="0.25">
      <c r="A4584" s="21">
        <v>42085</v>
      </c>
      <c r="B4584" s="21"/>
      <c r="C4584">
        <v>84.8</v>
      </c>
      <c r="D4584">
        <v>4.5999999999999996</v>
      </c>
      <c r="E4584">
        <v>197</v>
      </c>
      <c r="F4584">
        <v>195</v>
      </c>
      <c r="G4584">
        <v>12</v>
      </c>
      <c r="H4584">
        <v>195</v>
      </c>
      <c r="I4584">
        <v>1.53</v>
      </c>
      <c r="J4584" s="1">
        <v>6956</v>
      </c>
    </row>
    <row r="4585" spans="1:10" ht="14.25" customHeight="1" x14ac:dyDescent="0.25">
      <c r="A4585" s="21">
        <v>42085</v>
      </c>
      <c r="B4585" s="21"/>
      <c r="C4585">
        <v>11.2</v>
      </c>
      <c r="D4585">
        <v>3.4</v>
      </c>
      <c r="E4585">
        <v>147</v>
      </c>
      <c r="F4585">
        <v>77</v>
      </c>
      <c r="G4585">
        <v>8</v>
      </c>
      <c r="H4585">
        <v>77</v>
      </c>
      <c r="I4585">
        <v>1.27</v>
      </c>
      <c r="J4585" s="1">
        <v>1200</v>
      </c>
    </row>
    <row r="4586" spans="1:10" ht="14.25" customHeight="1" x14ac:dyDescent="0.25">
      <c r="A4586" s="21">
        <v>42085</v>
      </c>
      <c r="B4586" s="21"/>
      <c r="C4586">
        <v>0.3</v>
      </c>
      <c r="D4586">
        <v>2.8</v>
      </c>
      <c r="E4586">
        <v>20</v>
      </c>
      <c r="F4586">
        <v>10</v>
      </c>
      <c r="H4586">
        <v>10</v>
      </c>
      <c r="I4586">
        <v>2.33</v>
      </c>
      <c r="J4586">
        <v>38</v>
      </c>
    </row>
    <row r="4587" spans="1:10" ht="14.25" customHeight="1" x14ac:dyDescent="0.25">
      <c r="A4587" s="21">
        <v>42085</v>
      </c>
      <c r="B4587" s="21"/>
      <c r="H4587">
        <v>158</v>
      </c>
    </row>
    <row r="4588" spans="1:10" ht="14.25" customHeight="1" x14ac:dyDescent="0.25">
      <c r="A4588" s="21">
        <v>42087</v>
      </c>
      <c r="B4588" s="21"/>
      <c r="C4588">
        <v>33.200000000000003</v>
      </c>
      <c r="D4588">
        <v>3</v>
      </c>
      <c r="E4588">
        <v>162</v>
      </c>
      <c r="F4588">
        <v>109</v>
      </c>
      <c r="G4588">
        <v>10</v>
      </c>
      <c r="H4588">
        <v>109</v>
      </c>
      <c r="I4588">
        <v>1.37</v>
      </c>
      <c r="J4588" s="1">
        <v>4320</v>
      </c>
    </row>
    <row r="4589" spans="1:10" ht="14.25" customHeight="1" x14ac:dyDescent="0.25">
      <c r="A4589" s="21">
        <v>42089</v>
      </c>
      <c r="B4589" s="21"/>
      <c r="C4589">
        <v>95.5</v>
      </c>
      <c r="D4589">
        <v>4.2</v>
      </c>
      <c r="E4589">
        <v>318</v>
      </c>
      <c r="F4589">
        <v>205</v>
      </c>
      <c r="G4589">
        <v>12</v>
      </c>
      <c r="H4589">
        <v>205</v>
      </c>
      <c r="I4589">
        <v>1.54</v>
      </c>
      <c r="J4589" s="1">
        <v>8816</v>
      </c>
    </row>
    <row r="4590" spans="1:10" ht="14.25" customHeight="1" x14ac:dyDescent="0.25">
      <c r="A4590" s="21">
        <v>42089</v>
      </c>
      <c r="B4590" s="21"/>
      <c r="C4590">
        <v>67.400000000000006</v>
      </c>
      <c r="D4590">
        <v>3.7</v>
      </c>
      <c r="E4590">
        <v>183</v>
      </c>
      <c r="F4590">
        <v>90</v>
      </c>
      <c r="G4590">
        <v>12</v>
      </c>
      <c r="H4590">
        <v>90</v>
      </c>
      <c r="I4590">
        <v>1.44</v>
      </c>
      <c r="J4590" s="1">
        <v>6712</v>
      </c>
    </row>
    <row r="4591" spans="1:10" ht="14.25" customHeight="1" x14ac:dyDescent="0.25">
      <c r="A4591" s="21">
        <v>42089</v>
      </c>
      <c r="B4591" s="21"/>
    </row>
    <row r="4592" spans="1:10" ht="14.25" customHeight="1" x14ac:dyDescent="0.25">
      <c r="A4592" s="21">
        <v>42091</v>
      </c>
      <c r="B4592" s="21"/>
      <c r="C4592">
        <v>230</v>
      </c>
      <c r="D4592">
        <v>4.7</v>
      </c>
      <c r="E4592">
        <v>771</v>
      </c>
      <c r="F4592">
        <v>370</v>
      </c>
      <c r="G4592">
        <v>46</v>
      </c>
      <c r="H4592">
        <v>370</v>
      </c>
      <c r="I4592">
        <v>2.12</v>
      </c>
      <c r="J4592" s="1">
        <v>18986</v>
      </c>
    </row>
    <row r="4593" spans="1:10" ht="14.25" customHeight="1" x14ac:dyDescent="0.25">
      <c r="A4593" s="21">
        <v>42091</v>
      </c>
      <c r="B4593" s="21"/>
      <c r="C4593">
        <v>34.4</v>
      </c>
      <c r="D4593">
        <v>10.7</v>
      </c>
      <c r="E4593">
        <v>5</v>
      </c>
      <c r="F4593">
        <v>50</v>
      </c>
      <c r="H4593">
        <v>50</v>
      </c>
      <c r="I4593">
        <v>1.04</v>
      </c>
      <c r="J4593" s="1">
        <v>1172</v>
      </c>
    </row>
    <row r="4594" spans="1:10" ht="14.25" customHeight="1" x14ac:dyDescent="0.25">
      <c r="A4594" s="21">
        <v>42091</v>
      </c>
      <c r="B4594" s="21"/>
      <c r="C4594">
        <v>33.4</v>
      </c>
      <c r="D4594">
        <v>6.1</v>
      </c>
      <c r="E4594">
        <v>11</v>
      </c>
      <c r="F4594">
        <v>49</v>
      </c>
      <c r="H4594">
        <v>49</v>
      </c>
      <c r="I4594">
        <v>1.02</v>
      </c>
      <c r="J4594" s="1">
        <v>2017</v>
      </c>
    </row>
    <row r="4595" spans="1:10" ht="14.25" customHeight="1" x14ac:dyDescent="0.25">
      <c r="A4595" s="21">
        <v>42091</v>
      </c>
      <c r="B4595" s="21"/>
      <c r="C4595">
        <v>349.5</v>
      </c>
      <c r="D4595">
        <v>5</v>
      </c>
      <c r="E4595" s="1">
        <v>1331</v>
      </c>
      <c r="F4595">
        <v>592</v>
      </c>
      <c r="G4595">
        <v>33</v>
      </c>
      <c r="H4595">
        <v>592</v>
      </c>
      <c r="I4595">
        <v>1.64</v>
      </c>
      <c r="J4595" s="1">
        <v>27052</v>
      </c>
    </row>
    <row r="4596" spans="1:10" ht="14.25" customHeight="1" x14ac:dyDescent="0.25">
      <c r="A4596" s="21">
        <v>42091</v>
      </c>
      <c r="B4596" s="21"/>
      <c r="C4596">
        <v>25.9</v>
      </c>
      <c r="D4596">
        <v>3.9</v>
      </c>
      <c r="E4596">
        <v>105</v>
      </c>
      <c r="F4596">
        <v>111</v>
      </c>
      <c r="G4596">
        <v>12</v>
      </c>
      <c r="H4596">
        <v>111</v>
      </c>
      <c r="I4596">
        <v>1.82</v>
      </c>
      <c r="J4596" s="1">
        <v>2437</v>
      </c>
    </row>
    <row r="4597" spans="1:10" ht="14.25" customHeight="1" x14ac:dyDescent="0.25">
      <c r="A4597" s="21">
        <v>42091</v>
      </c>
      <c r="B4597" s="21"/>
      <c r="C4597">
        <v>75.900000000000006</v>
      </c>
      <c r="D4597">
        <v>3.8</v>
      </c>
      <c r="E4597">
        <v>249</v>
      </c>
      <c r="F4597">
        <v>183</v>
      </c>
      <c r="G4597">
        <v>18</v>
      </c>
      <c r="H4597">
        <v>183</v>
      </c>
      <c r="I4597">
        <v>1.51</v>
      </c>
      <c r="J4597" s="1">
        <v>7452</v>
      </c>
    </row>
    <row r="4598" spans="1:10" ht="14.25" customHeight="1" x14ac:dyDescent="0.25">
      <c r="A4598" s="21">
        <v>42091</v>
      </c>
      <c r="B4598" s="21"/>
      <c r="C4598">
        <v>121.2</v>
      </c>
      <c r="D4598">
        <v>3.9</v>
      </c>
      <c r="E4598">
        <v>285</v>
      </c>
      <c r="F4598">
        <v>170</v>
      </c>
      <c r="G4598">
        <v>22</v>
      </c>
      <c r="H4598">
        <v>170</v>
      </c>
      <c r="I4598">
        <v>1.58</v>
      </c>
      <c r="J4598" s="1">
        <v>12240</v>
      </c>
    </row>
    <row r="4599" spans="1:10" ht="14.25" customHeight="1" x14ac:dyDescent="0.25">
      <c r="A4599" s="21">
        <v>42091</v>
      </c>
      <c r="B4599" s="21"/>
      <c r="C4599">
        <v>99.6</v>
      </c>
      <c r="D4599">
        <v>3.5</v>
      </c>
      <c r="E4599">
        <v>383</v>
      </c>
      <c r="F4599">
        <v>201</v>
      </c>
      <c r="G4599">
        <v>20</v>
      </c>
      <c r="H4599">
        <v>201</v>
      </c>
      <c r="I4599">
        <v>1.47</v>
      </c>
      <c r="J4599" s="1">
        <v>12200</v>
      </c>
    </row>
    <row r="4600" spans="1:10" ht="14.25" customHeight="1" x14ac:dyDescent="0.25">
      <c r="A4600" s="21">
        <v>42091</v>
      </c>
      <c r="B4600" s="21"/>
      <c r="C4600">
        <v>54.1</v>
      </c>
      <c r="D4600">
        <v>3.6</v>
      </c>
      <c r="E4600">
        <v>173</v>
      </c>
      <c r="F4600">
        <v>140</v>
      </c>
      <c r="G4600">
        <v>14</v>
      </c>
      <c r="H4600">
        <v>140</v>
      </c>
      <c r="I4600">
        <v>1.42</v>
      </c>
      <c r="J4600" s="1">
        <v>5433</v>
      </c>
    </row>
    <row r="4601" spans="1:10" ht="14.25" customHeight="1" x14ac:dyDescent="0.25">
      <c r="A4601" s="21">
        <v>42091</v>
      </c>
      <c r="B4601" s="21"/>
      <c r="H4601">
        <v>263</v>
      </c>
    </row>
    <row r="4602" spans="1:10" ht="14.25" customHeight="1" x14ac:dyDescent="0.25">
      <c r="A4602" s="21">
        <v>42091</v>
      </c>
      <c r="B4602" s="21"/>
      <c r="C4602">
        <v>4.5</v>
      </c>
      <c r="D4602">
        <v>1.2</v>
      </c>
      <c r="E4602">
        <v>34</v>
      </c>
      <c r="F4602">
        <v>12</v>
      </c>
      <c r="H4602">
        <v>12</v>
      </c>
      <c r="I4602">
        <v>2.27</v>
      </c>
      <c r="J4602" s="1">
        <v>1353</v>
      </c>
    </row>
    <row r="4603" spans="1:10" ht="14.25" customHeight="1" x14ac:dyDescent="0.25">
      <c r="A4603" s="21">
        <v>42091</v>
      </c>
      <c r="B4603" s="21"/>
      <c r="H4603">
        <v>90</v>
      </c>
    </row>
    <row r="4604" spans="1:10" ht="14.25" customHeight="1" x14ac:dyDescent="0.25">
      <c r="A4604" s="21">
        <v>42093</v>
      </c>
      <c r="B4604" s="21"/>
      <c r="C4604">
        <v>386.4</v>
      </c>
      <c r="D4604">
        <v>4.9000000000000004</v>
      </c>
      <c r="E4604" s="1">
        <v>1327</v>
      </c>
      <c r="F4604">
        <v>524</v>
      </c>
      <c r="G4604">
        <v>68</v>
      </c>
      <c r="H4604">
        <v>524</v>
      </c>
      <c r="I4604">
        <v>1.99</v>
      </c>
      <c r="J4604" s="1">
        <v>29642</v>
      </c>
    </row>
    <row r="4605" spans="1:10" ht="14.25" customHeight="1" x14ac:dyDescent="0.25">
      <c r="A4605" s="21">
        <v>42095</v>
      </c>
      <c r="B4605" s="21"/>
      <c r="C4605">
        <v>145.9</v>
      </c>
      <c r="D4605">
        <v>6</v>
      </c>
      <c r="E4605">
        <v>44</v>
      </c>
      <c r="F4605">
        <v>216</v>
      </c>
      <c r="G4605">
        <v>30</v>
      </c>
      <c r="H4605">
        <v>194</v>
      </c>
      <c r="I4605">
        <v>1.52</v>
      </c>
      <c r="J4605" s="1">
        <v>9299</v>
      </c>
    </row>
    <row r="4606" spans="1:10" ht="14.25" customHeight="1" x14ac:dyDescent="0.25">
      <c r="A4606" s="21">
        <v>42095</v>
      </c>
      <c r="B4606" s="21"/>
      <c r="C4606">
        <v>7.1</v>
      </c>
      <c r="D4606">
        <v>2.2000000000000002</v>
      </c>
      <c r="F4606">
        <v>20</v>
      </c>
      <c r="I4606">
        <v>2.19</v>
      </c>
      <c r="J4606" s="1">
        <v>1169</v>
      </c>
    </row>
    <row r="4607" spans="1:10" ht="14.25" customHeight="1" x14ac:dyDescent="0.25">
      <c r="A4607" s="21">
        <v>42095</v>
      </c>
      <c r="B4607" s="21"/>
      <c r="C4607">
        <v>350.7</v>
      </c>
      <c r="D4607">
        <v>4</v>
      </c>
      <c r="E4607" s="1">
        <v>1283</v>
      </c>
      <c r="F4607">
        <v>482</v>
      </c>
      <c r="G4607">
        <v>14</v>
      </c>
      <c r="H4607">
        <v>482</v>
      </c>
      <c r="I4607">
        <v>1.93</v>
      </c>
      <c r="J4607" s="1">
        <v>32582</v>
      </c>
    </row>
    <row r="4608" spans="1:10" ht="14.25" customHeight="1" x14ac:dyDescent="0.25">
      <c r="A4608" s="21">
        <v>42095</v>
      </c>
      <c r="B4608" s="21"/>
      <c r="C4608">
        <v>48.7</v>
      </c>
      <c r="D4608">
        <v>4</v>
      </c>
      <c r="E4608">
        <v>211</v>
      </c>
      <c r="F4608">
        <v>164</v>
      </c>
      <c r="G4608">
        <v>24</v>
      </c>
      <c r="H4608">
        <v>164</v>
      </c>
      <c r="I4608">
        <v>1.58</v>
      </c>
      <c r="J4608" s="1">
        <v>4688</v>
      </c>
    </row>
    <row r="4609" spans="1:10" ht="14.25" customHeight="1" x14ac:dyDescent="0.25">
      <c r="A4609" s="21">
        <v>42095</v>
      </c>
      <c r="B4609" s="21"/>
      <c r="C4609">
        <v>73.3</v>
      </c>
      <c r="D4609">
        <v>3.4</v>
      </c>
      <c r="E4609">
        <v>215</v>
      </c>
      <c r="F4609">
        <v>108</v>
      </c>
      <c r="G4609">
        <v>12</v>
      </c>
      <c r="H4609">
        <v>108</v>
      </c>
      <c r="I4609">
        <v>1.41</v>
      </c>
      <c r="J4609" s="1">
        <v>7789</v>
      </c>
    </row>
    <row r="4610" spans="1:10" ht="14.25" customHeight="1" x14ac:dyDescent="0.25">
      <c r="A4610" s="21">
        <v>42097</v>
      </c>
      <c r="B4610" s="21"/>
      <c r="C4610">
        <v>12.6</v>
      </c>
      <c r="D4610">
        <v>5.3</v>
      </c>
      <c r="I4610">
        <v>1.32</v>
      </c>
      <c r="J4610">
        <v>948</v>
      </c>
    </row>
    <row r="4611" spans="1:10" ht="14.25" customHeight="1" x14ac:dyDescent="0.25">
      <c r="A4611" s="21">
        <v>42097</v>
      </c>
      <c r="B4611" s="21"/>
      <c r="H4611">
        <v>45</v>
      </c>
    </row>
    <row r="4612" spans="1:10" ht="14.25" customHeight="1" x14ac:dyDescent="0.25">
      <c r="A4612" s="21">
        <v>42101</v>
      </c>
      <c r="B4612" s="21"/>
      <c r="C4612">
        <v>58.5</v>
      </c>
      <c r="D4612">
        <v>5.6</v>
      </c>
      <c r="E4612">
        <v>227</v>
      </c>
      <c r="F4612">
        <v>100</v>
      </c>
      <c r="G4612">
        <v>8</v>
      </c>
      <c r="H4612">
        <v>100</v>
      </c>
      <c r="I4612">
        <v>1.81</v>
      </c>
      <c r="J4612" s="1">
        <v>3814</v>
      </c>
    </row>
    <row r="4613" spans="1:10" ht="14.25" customHeight="1" x14ac:dyDescent="0.25">
      <c r="A4613" s="21">
        <v>42101</v>
      </c>
      <c r="B4613" s="21"/>
      <c r="C4613">
        <v>82.2</v>
      </c>
      <c r="D4613">
        <v>3.6</v>
      </c>
      <c r="E4613">
        <v>237</v>
      </c>
      <c r="F4613">
        <v>152</v>
      </c>
      <c r="G4613">
        <v>14</v>
      </c>
      <c r="H4613">
        <v>152</v>
      </c>
      <c r="I4613">
        <v>1.5</v>
      </c>
      <c r="J4613" s="1">
        <v>8558</v>
      </c>
    </row>
    <row r="4614" spans="1:10" ht="14.25" customHeight="1" x14ac:dyDescent="0.25">
      <c r="A4614" s="21">
        <v>42101</v>
      </c>
      <c r="B4614" s="21"/>
      <c r="C4614">
        <v>209.3</v>
      </c>
      <c r="D4614">
        <v>4</v>
      </c>
      <c r="E4614">
        <v>715</v>
      </c>
      <c r="F4614">
        <v>403</v>
      </c>
      <c r="H4614">
        <v>403</v>
      </c>
      <c r="I4614">
        <v>2</v>
      </c>
      <c r="J4614" s="1">
        <v>21761</v>
      </c>
    </row>
    <row r="4615" spans="1:10" ht="14.25" customHeight="1" x14ac:dyDescent="0.25">
      <c r="A4615" s="21">
        <v>42101</v>
      </c>
      <c r="B4615" s="21"/>
      <c r="C4615">
        <v>269.5</v>
      </c>
      <c r="D4615">
        <v>5.7</v>
      </c>
      <c r="E4615">
        <v>816</v>
      </c>
      <c r="F4615">
        <v>316</v>
      </c>
      <c r="G4615">
        <v>44</v>
      </c>
      <c r="H4615">
        <v>316</v>
      </c>
      <c r="I4615">
        <v>2.39</v>
      </c>
      <c r="J4615" s="1">
        <v>17368</v>
      </c>
    </row>
    <row r="4616" spans="1:10" ht="14.25" customHeight="1" x14ac:dyDescent="0.25">
      <c r="A4616" s="21">
        <v>42101</v>
      </c>
      <c r="B4616" s="21"/>
      <c r="C4616">
        <v>240.6</v>
      </c>
      <c r="D4616">
        <v>5.5</v>
      </c>
      <c r="I4616">
        <v>1.65</v>
      </c>
      <c r="J4616" s="1">
        <v>16648</v>
      </c>
    </row>
    <row r="4617" spans="1:10" ht="14.25" customHeight="1" x14ac:dyDescent="0.25">
      <c r="A4617" s="21">
        <v>42101</v>
      </c>
      <c r="B4617" s="21"/>
      <c r="C4617">
        <v>32.299999999999997</v>
      </c>
      <c r="D4617">
        <v>3.6</v>
      </c>
      <c r="E4617">
        <v>118</v>
      </c>
      <c r="F4617">
        <v>107</v>
      </c>
      <c r="G4617">
        <v>18</v>
      </c>
      <c r="H4617">
        <v>107</v>
      </c>
      <c r="I4617">
        <v>1.53</v>
      </c>
      <c r="J4617" s="1">
        <v>3272</v>
      </c>
    </row>
    <row r="4618" spans="1:10" ht="14.25" customHeight="1" x14ac:dyDescent="0.25">
      <c r="A4618" s="21">
        <v>42101</v>
      </c>
      <c r="B4618" s="21"/>
      <c r="C4618">
        <v>7</v>
      </c>
      <c r="D4618">
        <v>4.5999999999999996</v>
      </c>
      <c r="E4618">
        <v>63</v>
      </c>
      <c r="F4618">
        <v>74</v>
      </c>
      <c r="G4618">
        <v>12</v>
      </c>
      <c r="H4618">
        <v>74</v>
      </c>
      <c r="I4618">
        <v>1.96</v>
      </c>
      <c r="J4618">
        <v>551</v>
      </c>
    </row>
    <row r="4619" spans="1:10" ht="14.25" customHeight="1" x14ac:dyDescent="0.25">
      <c r="A4619" s="21">
        <v>42101</v>
      </c>
      <c r="B4619" s="21"/>
      <c r="E4619">
        <v>197</v>
      </c>
      <c r="I4619">
        <v>1.59</v>
      </c>
    </row>
    <row r="4620" spans="1:10" ht="14.25" customHeight="1" x14ac:dyDescent="0.25">
      <c r="A4620" s="21">
        <v>42101</v>
      </c>
      <c r="B4620" s="21"/>
      <c r="C4620">
        <v>655.20000000000005</v>
      </c>
      <c r="D4620">
        <v>6.6</v>
      </c>
      <c r="E4620" s="1">
        <v>2286</v>
      </c>
      <c r="F4620">
        <v>748</v>
      </c>
      <c r="G4620">
        <v>32</v>
      </c>
      <c r="H4620">
        <v>748</v>
      </c>
      <c r="I4620">
        <v>2.57</v>
      </c>
      <c r="J4620" s="1">
        <v>37508</v>
      </c>
    </row>
    <row r="4621" spans="1:10" ht="14.25" customHeight="1" x14ac:dyDescent="0.25">
      <c r="A4621" s="21">
        <v>42101</v>
      </c>
      <c r="B4621" s="21"/>
      <c r="C4621">
        <v>580.29999999999995</v>
      </c>
      <c r="D4621">
        <v>5.7</v>
      </c>
      <c r="E4621" s="1">
        <v>1469</v>
      </c>
      <c r="F4621">
        <v>832</v>
      </c>
      <c r="G4621">
        <v>12</v>
      </c>
      <c r="H4621">
        <v>832</v>
      </c>
      <c r="I4621">
        <v>2.19</v>
      </c>
      <c r="J4621" s="1">
        <v>37680</v>
      </c>
    </row>
    <row r="4622" spans="1:10" ht="14.25" customHeight="1" x14ac:dyDescent="0.25">
      <c r="A4622" s="21">
        <v>42101</v>
      </c>
      <c r="B4622" s="21"/>
      <c r="C4622">
        <v>56.2</v>
      </c>
      <c r="D4622">
        <v>5.0999999999999996</v>
      </c>
      <c r="J4622" s="1">
        <v>3991</v>
      </c>
    </row>
    <row r="4623" spans="1:10" ht="14.25" customHeight="1" x14ac:dyDescent="0.25">
      <c r="A4623" s="21">
        <v>42101</v>
      </c>
      <c r="B4623" s="21"/>
      <c r="C4623">
        <v>282.89999999999998</v>
      </c>
      <c r="D4623">
        <v>4.3</v>
      </c>
      <c r="E4623">
        <v>899</v>
      </c>
      <c r="F4623">
        <v>407</v>
      </c>
      <c r="G4623">
        <v>32</v>
      </c>
      <c r="H4623">
        <v>509</v>
      </c>
      <c r="I4623">
        <v>1.61</v>
      </c>
      <c r="J4623" s="1">
        <v>25138</v>
      </c>
    </row>
    <row r="4624" spans="1:10" ht="14.25" customHeight="1" x14ac:dyDescent="0.25">
      <c r="A4624" s="21">
        <v>42101</v>
      </c>
      <c r="B4624" s="21"/>
      <c r="C4624">
        <v>9.8000000000000007</v>
      </c>
      <c r="D4624">
        <v>11.8</v>
      </c>
      <c r="E4624">
        <v>6</v>
      </c>
      <c r="F4624">
        <v>14</v>
      </c>
      <c r="H4624">
        <v>14</v>
      </c>
      <c r="I4624">
        <v>0.71</v>
      </c>
      <c r="J4624">
        <v>303</v>
      </c>
    </row>
    <row r="4625" spans="1:10" ht="14.25" customHeight="1" x14ac:dyDescent="0.25">
      <c r="A4625" s="21">
        <v>42101</v>
      </c>
      <c r="B4625" s="21"/>
      <c r="C4625">
        <v>81.599999999999994</v>
      </c>
      <c r="D4625">
        <v>4.4000000000000004</v>
      </c>
      <c r="E4625">
        <v>279</v>
      </c>
      <c r="F4625">
        <v>128</v>
      </c>
      <c r="G4625">
        <v>14</v>
      </c>
      <c r="H4625">
        <v>128</v>
      </c>
      <c r="I4625">
        <v>1.48</v>
      </c>
      <c r="J4625" s="1">
        <v>6824</v>
      </c>
    </row>
    <row r="4626" spans="1:10" ht="14.25" customHeight="1" x14ac:dyDescent="0.25">
      <c r="A4626" s="21">
        <v>42101</v>
      </c>
      <c r="B4626" s="21"/>
      <c r="C4626">
        <v>408.5</v>
      </c>
      <c r="D4626">
        <v>6.3</v>
      </c>
      <c r="E4626" s="1">
        <v>1155</v>
      </c>
      <c r="F4626">
        <v>598</v>
      </c>
      <c r="G4626">
        <v>43</v>
      </c>
      <c r="H4626">
        <v>451</v>
      </c>
      <c r="I4626">
        <v>2.2599999999999998</v>
      </c>
      <c r="J4626" s="1">
        <v>24314</v>
      </c>
    </row>
    <row r="4627" spans="1:10" ht="14.25" customHeight="1" x14ac:dyDescent="0.25">
      <c r="A4627" s="21">
        <v>42101</v>
      </c>
      <c r="B4627" s="21"/>
      <c r="C4627">
        <v>103.8</v>
      </c>
      <c r="D4627">
        <v>4.0999999999999996</v>
      </c>
      <c r="J4627" s="1">
        <v>9964</v>
      </c>
    </row>
    <row r="4628" spans="1:10" ht="14.25" customHeight="1" x14ac:dyDescent="0.25">
      <c r="A4628" s="21">
        <v>42101</v>
      </c>
      <c r="B4628" s="21"/>
      <c r="C4628">
        <v>39.9</v>
      </c>
      <c r="D4628">
        <v>29.1</v>
      </c>
      <c r="H4628">
        <v>51</v>
      </c>
      <c r="J4628">
        <v>501</v>
      </c>
    </row>
    <row r="4629" spans="1:10" ht="14.25" customHeight="1" x14ac:dyDescent="0.25">
      <c r="A4629" s="21">
        <v>42101</v>
      </c>
      <c r="B4629" s="21"/>
      <c r="C4629">
        <v>293.8</v>
      </c>
      <c r="D4629">
        <v>5</v>
      </c>
      <c r="E4629">
        <v>525</v>
      </c>
      <c r="F4629">
        <v>450</v>
      </c>
      <c r="H4629">
        <v>252</v>
      </c>
      <c r="I4629">
        <v>1.69</v>
      </c>
      <c r="J4629" s="1">
        <v>21588</v>
      </c>
    </row>
    <row r="4630" spans="1:10" ht="14.25" customHeight="1" x14ac:dyDescent="0.25">
      <c r="A4630" s="21">
        <v>42101</v>
      </c>
      <c r="B4630" s="21"/>
      <c r="E4630">
        <v>47</v>
      </c>
      <c r="H4630">
        <v>113</v>
      </c>
    </row>
    <row r="4631" spans="1:10" ht="14.25" customHeight="1" x14ac:dyDescent="0.25">
      <c r="A4631" s="21">
        <v>42101</v>
      </c>
      <c r="B4631" s="21"/>
      <c r="E4631">
        <v>1</v>
      </c>
      <c r="H4631">
        <v>155</v>
      </c>
    </row>
    <row r="4632" spans="1:10" ht="14.25" customHeight="1" x14ac:dyDescent="0.25">
      <c r="A4632" s="21">
        <v>42101</v>
      </c>
      <c r="B4632" s="21"/>
      <c r="H4632">
        <v>139</v>
      </c>
    </row>
    <row r="4633" spans="1:10" ht="14.25" customHeight="1" x14ac:dyDescent="0.25">
      <c r="A4633" s="21">
        <v>42101</v>
      </c>
      <c r="B4633" s="21"/>
      <c r="E4633">
        <v>49</v>
      </c>
      <c r="H4633">
        <v>220</v>
      </c>
    </row>
    <row r="4634" spans="1:10" ht="14.25" customHeight="1" x14ac:dyDescent="0.25">
      <c r="A4634" s="21">
        <v>42101</v>
      </c>
      <c r="B4634" s="21"/>
      <c r="H4634">
        <v>52</v>
      </c>
    </row>
    <row r="4635" spans="1:10" ht="14.25" customHeight="1" x14ac:dyDescent="0.25">
      <c r="A4635" s="21">
        <v>42101</v>
      </c>
      <c r="B4635" s="21"/>
    </row>
    <row r="4636" spans="1:10" ht="14.25" customHeight="1" x14ac:dyDescent="0.25">
      <c r="A4636" s="21">
        <v>42101</v>
      </c>
      <c r="B4636" s="21"/>
      <c r="C4636">
        <v>2.1</v>
      </c>
      <c r="D4636">
        <v>2.6</v>
      </c>
      <c r="E4636">
        <v>185</v>
      </c>
      <c r="F4636">
        <v>4</v>
      </c>
      <c r="H4636">
        <v>4</v>
      </c>
      <c r="I4636">
        <v>1.1200000000000001</v>
      </c>
      <c r="J4636">
        <v>297</v>
      </c>
    </row>
    <row r="4637" spans="1:10" ht="14.25" customHeight="1" x14ac:dyDescent="0.25">
      <c r="A4637" s="21">
        <v>42107</v>
      </c>
      <c r="B4637" s="21"/>
      <c r="C4637">
        <v>6.1</v>
      </c>
      <c r="D4637">
        <v>3.8</v>
      </c>
      <c r="J4637">
        <v>588</v>
      </c>
    </row>
    <row r="4638" spans="1:10" ht="14.25" customHeight="1" x14ac:dyDescent="0.25">
      <c r="A4638" s="21">
        <v>42107</v>
      </c>
      <c r="B4638" s="21"/>
      <c r="C4638">
        <v>24.1</v>
      </c>
      <c r="D4638">
        <v>3.5</v>
      </c>
      <c r="E4638">
        <v>107</v>
      </c>
      <c r="F4638">
        <v>49</v>
      </c>
      <c r="G4638">
        <v>6</v>
      </c>
      <c r="H4638">
        <v>49</v>
      </c>
      <c r="I4638">
        <v>1.34</v>
      </c>
      <c r="J4638" s="1">
        <v>2527</v>
      </c>
    </row>
    <row r="4639" spans="1:10" ht="14.25" customHeight="1" x14ac:dyDescent="0.25">
      <c r="A4639" s="21">
        <v>42107</v>
      </c>
      <c r="B4639" s="21"/>
      <c r="C4639">
        <v>79.400000000000006</v>
      </c>
      <c r="D4639">
        <v>5.5</v>
      </c>
      <c r="E4639">
        <v>213</v>
      </c>
      <c r="F4639">
        <v>118</v>
      </c>
      <c r="G4639">
        <v>10</v>
      </c>
      <c r="H4639">
        <v>118</v>
      </c>
      <c r="I4639">
        <v>1.36</v>
      </c>
      <c r="J4639" s="1">
        <v>7097</v>
      </c>
    </row>
    <row r="4640" spans="1:10" ht="14.25" customHeight="1" x14ac:dyDescent="0.25">
      <c r="A4640" s="21">
        <v>42107</v>
      </c>
      <c r="B4640" s="21"/>
      <c r="C4640">
        <v>62</v>
      </c>
      <c r="D4640">
        <v>4.3</v>
      </c>
      <c r="E4640">
        <v>11</v>
      </c>
      <c r="F4640">
        <v>99</v>
      </c>
      <c r="G4640">
        <v>10</v>
      </c>
      <c r="H4640">
        <v>99</v>
      </c>
      <c r="I4640">
        <v>1.4</v>
      </c>
      <c r="J4640" s="1">
        <v>5286</v>
      </c>
    </row>
    <row r="4641" spans="1:10" ht="14.25" customHeight="1" x14ac:dyDescent="0.25">
      <c r="A4641" s="21">
        <v>42107</v>
      </c>
      <c r="B4641" s="21"/>
      <c r="E4641">
        <v>3</v>
      </c>
    </row>
    <row r="4642" spans="1:10" ht="14.25" customHeight="1" x14ac:dyDescent="0.25">
      <c r="A4642" s="21">
        <v>42111</v>
      </c>
      <c r="B4642" s="21"/>
      <c r="C4642">
        <v>21</v>
      </c>
      <c r="D4642">
        <v>3.9</v>
      </c>
      <c r="E4642">
        <v>158</v>
      </c>
      <c r="F4642">
        <v>81</v>
      </c>
      <c r="H4642">
        <v>81</v>
      </c>
      <c r="I4642">
        <v>1.52</v>
      </c>
      <c r="J4642" s="1">
        <v>1968</v>
      </c>
    </row>
    <row r="4643" spans="1:10" ht="14.25" customHeight="1" x14ac:dyDescent="0.25">
      <c r="A4643" s="21">
        <v>42111</v>
      </c>
      <c r="B4643" s="21"/>
      <c r="C4643">
        <v>6.7</v>
      </c>
      <c r="D4643">
        <v>2.2999999999999998</v>
      </c>
      <c r="E4643">
        <v>100</v>
      </c>
      <c r="F4643">
        <v>47</v>
      </c>
      <c r="G4643">
        <v>6</v>
      </c>
      <c r="H4643">
        <v>47</v>
      </c>
      <c r="I4643">
        <v>1.34</v>
      </c>
      <c r="J4643" s="1">
        <v>1090</v>
      </c>
    </row>
    <row r="4644" spans="1:10" ht="14.25" customHeight="1" x14ac:dyDescent="0.25">
      <c r="A4644" s="21">
        <v>42119</v>
      </c>
      <c r="B4644" s="21"/>
      <c r="C4644">
        <v>45.9</v>
      </c>
      <c r="D4644">
        <v>3.3</v>
      </c>
      <c r="E4644">
        <v>325</v>
      </c>
      <c r="F4644">
        <v>123</v>
      </c>
      <c r="G4644">
        <v>12</v>
      </c>
      <c r="H4644">
        <v>123</v>
      </c>
      <c r="I4644">
        <v>1.51</v>
      </c>
      <c r="J4644" s="1">
        <v>5618</v>
      </c>
    </row>
    <row r="4645" spans="1:10" ht="14.25" customHeight="1" x14ac:dyDescent="0.25">
      <c r="A4645" s="21">
        <v>42121</v>
      </c>
      <c r="B4645" s="21"/>
      <c r="C4645">
        <v>51.1</v>
      </c>
      <c r="D4645">
        <v>4.0999999999999996</v>
      </c>
      <c r="E4645">
        <v>172</v>
      </c>
      <c r="F4645">
        <v>118</v>
      </c>
      <c r="G4645">
        <v>8</v>
      </c>
      <c r="H4645">
        <v>118</v>
      </c>
      <c r="I4645">
        <v>1.28</v>
      </c>
      <c r="J4645" s="1">
        <v>4734</v>
      </c>
    </row>
    <row r="4646" spans="1:10" ht="14.25" customHeight="1" x14ac:dyDescent="0.25">
      <c r="A4646" s="21">
        <v>42123</v>
      </c>
      <c r="B4646" s="21"/>
      <c r="C4646">
        <v>28.7</v>
      </c>
      <c r="D4646">
        <v>4.8</v>
      </c>
      <c r="E4646">
        <v>106</v>
      </c>
      <c r="F4646">
        <v>85</v>
      </c>
      <c r="G4646">
        <v>6</v>
      </c>
      <c r="H4646">
        <v>85</v>
      </c>
      <c r="I4646">
        <v>1.21</v>
      </c>
      <c r="J4646" s="1">
        <v>2306</v>
      </c>
    </row>
    <row r="4647" spans="1:10" ht="14.25" customHeight="1" x14ac:dyDescent="0.25">
      <c r="A4647" s="21">
        <v>42125</v>
      </c>
      <c r="B4647" s="21"/>
      <c r="C4647">
        <v>68.3</v>
      </c>
      <c r="D4647">
        <v>4.9000000000000004</v>
      </c>
      <c r="E4647">
        <v>188</v>
      </c>
      <c r="F4647">
        <v>132</v>
      </c>
      <c r="G4647">
        <v>8</v>
      </c>
      <c r="H4647">
        <v>132</v>
      </c>
      <c r="I4647">
        <v>1.45</v>
      </c>
      <c r="J4647" s="1">
        <v>5075</v>
      </c>
    </row>
    <row r="4648" spans="1:10" ht="14.25" customHeight="1" x14ac:dyDescent="0.25">
      <c r="A4648" s="21">
        <v>42125</v>
      </c>
      <c r="B4648" s="21"/>
      <c r="C4648">
        <v>15.2</v>
      </c>
      <c r="D4648">
        <v>3.7</v>
      </c>
      <c r="E4648">
        <v>82</v>
      </c>
      <c r="F4648">
        <v>88</v>
      </c>
      <c r="G4648">
        <v>8</v>
      </c>
      <c r="H4648">
        <v>88</v>
      </c>
      <c r="I4648">
        <v>1.33</v>
      </c>
      <c r="J4648" s="1">
        <v>1496</v>
      </c>
    </row>
    <row r="4649" spans="1:10" ht="14.25" customHeight="1" x14ac:dyDescent="0.25">
      <c r="A4649" s="21">
        <v>42125</v>
      </c>
      <c r="B4649" s="21"/>
      <c r="C4649">
        <v>93.6</v>
      </c>
      <c r="D4649">
        <v>4</v>
      </c>
      <c r="E4649">
        <v>388</v>
      </c>
      <c r="F4649">
        <v>214</v>
      </c>
      <c r="H4649">
        <v>214</v>
      </c>
      <c r="I4649">
        <v>1.59</v>
      </c>
      <c r="J4649" s="1">
        <v>8921</v>
      </c>
    </row>
    <row r="4650" spans="1:10" ht="14.25" customHeight="1" x14ac:dyDescent="0.25">
      <c r="A4650" s="21">
        <v>42125</v>
      </c>
      <c r="B4650" s="21"/>
      <c r="C4650">
        <v>3.9</v>
      </c>
      <c r="D4650">
        <v>1.9</v>
      </c>
      <c r="E4650">
        <v>24</v>
      </c>
      <c r="F4650">
        <v>14</v>
      </c>
      <c r="H4650">
        <v>14</v>
      </c>
      <c r="I4650">
        <v>2.2400000000000002</v>
      </c>
      <c r="J4650">
        <v>742</v>
      </c>
    </row>
    <row r="4651" spans="1:10" ht="14.25" customHeight="1" x14ac:dyDescent="0.25">
      <c r="A4651" s="21">
        <v>42127</v>
      </c>
      <c r="B4651" s="21"/>
      <c r="C4651">
        <v>27.7</v>
      </c>
      <c r="D4651">
        <v>3.1</v>
      </c>
      <c r="E4651">
        <v>162</v>
      </c>
      <c r="F4651">
        <v>76</v>
      </c>
      <c r="G4651">
        <v>8</v>
      </c>
      <c r="H4651">
        <v>76</v>
      </c>
      <c r="I4651">
        <v>1.29</v>
      </c>
      <c r="J4651" s="1">
        <v>3568</v>
      </c>
    </row>
    <row r="4652" spans="1:10" ht="14.25" customHeight="1" x14ac:dyDescent="0.25">
      <c r="A4652" s="21">
        <v>42129</v>
      </c>
      <c r="B4652" s="21"/>
      <c r="C4652">
        <v>177.5</v>
      </c>
      <c r="D4652">
        <v>4.2</v>
      </c>
      <c r="E4652">
        <v>433</v>
      </c>
      <c r="F4652">
        <v>246</v>
      </c>
      <c r="G4652">
        <v>22</v>
      </c>
      <c r="H4652">
        <v>246</v>
      </c>
      <c r="I4652">
        <v>1.59</v>
      </c>
      <c r="J4652" s="1">
        <v>15881</v>
      </c>
    </row>
    <row r="4653" spans="1:10" ht="14.25" customHeight="1" x14ac:dyDescent="0.25">
      <c r="A4653" s="21">
        <v>42129</v>
      </c>
      <c r="B4653" s="21"/>
      <c r="C4653">
        <v>22.8</v>
      </c>
      <c r="D4653">
        <v>4.0999999999999996</v>
      </c>
      <c r="E4653">
        <v>88</v>
      </c>
      <c r="F4653">
        <v>33</v>
      </c>
      <c r="H4653">
        <v>33</v>
      </c>
      <c r="I4653">
        <v>1.37</v>
      </c>
      <c r="J4653" s="1">
        <v>2029</v>
      </c>
    </row>
    <row r="4654" spans="1:10" ht="14.25" customHeight="1" x14ac:dyDescent="0.25">
      <c r="A4654" s="21">
        <v>42129</v>
      </c>
      <c r="B4654" s="21"/>
      <c r="C4654">
        <v>70.099999999999994</v>
      </c>
      <c r="D4654">
        <v>3.9</v>
      </c>
      <c r="E4654">
        <v>262</v>
      </c>
      <c r="F4654">
        <v>122</v>
      </c>
      <c r="G4654">
        <v>11</v>
      </c>
      <c r="H4654">
        <v>122</v>
      </c>
      <c r="I4654">
        <v>1.52</v>
      </c>
      <c r="J4654" s="1">
        <v>6376</v>
      </c>
    </row>
    <row r="4655" spans="1:10" ht="14.25" customHeight="1" x14ac:dyDescent="0.25">
      <c r="A4655" s="21">
        <v>42129</v>
      </c>
      <c r="B4655" s="21"/>
      <c r="C4655">
        <v>62</v>
      </c>
      <c r="D4655">
        <v>4.5</v>
      </c>
      <c r="J4655" s="1">
        <v>5239</v>
      </c>
    </row>
    <row r="4656" spans="1:10" ht="14.25" customHeight="1" x14ac:dyDescent="0.25">
      <c r="A4656" s="21">
        <v>42129</v>
      </c>
      <c r="B4656" s="21"/>
      <c r="E4656">
        <v>1</v>
      </c>
    </row>
    <row r="4657" spans="1:10" ht="14.25" customHeight="1" x14ac:dyDescent="0.25">
      <c r="A4657" s="21">
        <v>42131</v>
      </c>
      <c r="B4657" s="21"/>
      <c r="C4657">
        <v>2.7</v>
      </c>
      <c r="D4657">
        <v>2.6</v>
      </c>
      <c r="E4657">
        <v>27</v>
      </c>
      <c r="F4657">
        <v>44</v>
      </c>
      <c r="G4657">
        <v>6</v>
      </c>
      <c r="H4657">
        <v>44</v>
      </c>
      <c r="I4657">
        <v>1.03</v>
      </c>
      <c r="J4657">
        <v>372</v>
      </c>
    </row>
    <row r="4658" spans="1:10" ht="14.25" customHeight="1" x14ac:dyDescent="0.25">
      <c r="A4658" s="21">
        <v>42133</v>
      </c>
      <c r="B4658" s="21"/>
      <c r="C4658">
        <v>57.7</v>
      </c>
      <c r="D4658">
        <v>4</v>
      </c>
      <c r="E4658">
        <v>224</v>
      </c>
      <c r="F4658">
        <v>81</v>
      </c>
      <c r="H4658">
        <v>81</v>
      </c>
      <c r="I4658">
        <v>1.46</v>
      </c>
      <c r="J4658" s="1">
        <v>5334</v>
      </c>
    </row>
    <row r="4659" spans="1:10" ht="14.25" customHeight="1" x14ac:dyDescent="0.25">
      <c r="A4659" s="21">
        <v>42133</v>
      </c>
      <c r="B4659" s="21"/>
      <c r="C4659">
        <v>35.4</v>
      </c>
      <c r="D4659">
        <v>3.6</v>
      </c>
      <c r="E4659">
        <v>129</v>
      </c>
      <c r="F4659">
        <v>60</v>
      </c>
      <c r="G4659">
        <v>10</v>
      </c>
      <c r="H4659">
        <v>60</v>
      </c>
      <c r="I4659">
        <v>1.38</v>
      </c>
      <c r="J4659" s="1">
        <v>3868</v>
      </c>
    </row>
    <row r="4660" spans="1:10" ht="14.25" customHeight="1" x14ac:dyDescent="0.25">
      <c r="A4660" s="21">
        <v>42133</v>
      </c>
      <c r="B4660" s="21"/>
      <c r="C4660">
        <v>399</v>
      </c>
      <c r="D4660">
        <v>5.6</v>
      </c>
      <c r="E4660" s="1">
        <v>1332</v>
      </c>
      <c r="F4660">
        <v>522</v>
      </c>
      <c r="G4660">
        <v>60</v>
      </c>
      <c r="H4660">
        <v>522</v>
      </c>
      <c r="I4660">
        <v>1.78</v>
      </c>
      <c r="J4660" s="1">
        <v>27115</v>
      </c>
    </row>
    <row r="4661" spans="1:10" ht="14.25" customHeight="1" x14ac:dyDescent="0.25">
      <c r="A4661" s="21">
        <v>42133</v>
      </c>
      <c r="B4661" s="21"/>
      <c r="C4661">
        <v>4.4000000000000004</v>
      </c>
      <c r="D4661">
        <v>2.2999999999999998</v>
      </c>
      <c r="E4661">
        <v>19</v>
      </c>
      <c r="F4661">
        <v>25</v>
      </c>
      <c r="H4661">
        <v>25</v>
      </c>
      <c r="I4661">
        <v>1.46</v>
      </c>
      <c r="J4661">
        <v>693</v>
      </c>
    </row>
    <row r="4662" spans="1:10" ht="14.25" customHeight="1" x14ac:dyDescent="0.25">
      <c r="A4662" s="21">
        <v>42133</v>
      </c>
      <c r="B4662" s="21"/>
      <c r="C4662">
        <v>9.1</v>
      </c>
      <c r="D4662">
        <v>1.9</v>
      </c>
      <c r="E4662">
        <v>119</v>
      </c>
      <c r="F4662">
        <v>30</v>
      </c>
      <c r="H4662">
        <v>30</v>
      </c>
      <c r="I4662">
        <v>2.35</v>
      </c>
      <c r="J4662" s="1">
        <v>1789</v>
      </c>
    </row>
    <row r="4663" spans="1:10" ht="14.25" customHeight="1" x14ac:dyDescent="0.25">
      <c r="A4663" s="21">
        <v>44003</v>
      </c>
      <c r="B4663" s="21"/>
      <c r="C4663">
        <v>161.4</v>
      </c>
      <c r="D4663">
        <v>4.3</v>
      </c>
      <c r="E4663">
        <v>536</v>
      </c>
      <c r="F4663">
        <v>323</v>
      </c>
      <c r="G4663">
        <v>15</v>
      </c>
      <c r="H4663">
        <v>323</v>
      </c>
      <c r="I4663">
        <v>1.49</v>
      </c>
      <c r="J4663" s="1">
        <v>14113</v>
      </c>
    </row>
    <row r="4664" spans="1:10" ht="14.25" customHeight="1" x14ac:dyDescent="0.25">
      <c r="A4664" s="21">
        <v>44005</v>
      </c>
      <c r="B4664" s="21"/>
      <c r="C4664">
        <v>42.4</v>
      </c>
      <c r="D4664">
        <v>3.7</v>
      </c>
      <c r="E4664">
        <v>161</v>
      </c>
      <c r="F4664">
        <v>102</v>
      </c>
      <c r="G4664">
        <v>10</v>
      </c>
      <c r="H4664">
        <v>102</v>
      </c>
      <c r="I4664">
        <v>1.35</v>
      </c>
      <c r="J4664" s="1">
        <v>4431</v>
      </c>
    </row>
    <row r="4665" spans="1:10" ht="14.25" customHeight="1" x14ac:dyDescent="0.25">
      <c r="A4665" s="21">
        <v>44007</v>
      </c>
      <c r="B4665" s="21"/>
      <c r="C4665">
        <v>510.6</v>
      </c>
      <c r="D4665">
        <v>5.4</v>
      </c>
      <c r="E4665" s="1">
        <v>1263</v>
      </c>
      <c r="F4665">
        <v>635</v>
      </c>
      <c r="G4665">
        <v>137</v>
      </c>
      <c r="H4665">
        <v>635</v>
      </c>
      <c r="I4665">
        <v>1.82</v>
      </c>
      <c r="J4665" s="1">
        <v>34671</v>
      </c>
    </row>
    <row r="4666" spans="1:10" ht="14.25" customHeight="1" x14ac:dyDescent="0.25">
      <c r="A4666" s="21">
        <v>44007</v>
      </c>
      <c r="B4666" s="21"/>
      <c r="C4666">
        <v>134.9</v>
      </c>
      <c r="D4666">
        <v>6.3</v>
      </c>
      <c r="E4666">
        <v>407</v>
      </c>
      <c r="F4666">
        <v>247</v>
      </c>
      <c r="H4666">
        <v>247</v>
      </c>
      <c r="I4666">
        <v>1.48</v>
      </c>
      <c r="J4666" s="1">
        <v>10951</v>
      </c>
    </row>
    <row r="4667" spans="1:10" ht="14.25" customHeight="1" x14ac:dyDescent="0.25">
      <c r="A4667" s="21">
        <v>44007</v>
      </c>
      <c r="B4667" s="21"/>
      <c r="C4667">
        <v>55.2</v>
      </c>
      <c r="D4667">
        <v>3.5</v>
      </c>
      <c r="E4667">
        <v>184</v>
      </c>
      <c r="F4667">
        <v>123</v>
      </c>
      <c r="G4667">
        <v>16</v>
      </c>
      <c r="H4667">
        <v>123</v>
      </c>
      <c r="I4667">
        <v>1.59</v>
      </c>
      <c r="J4667" s="1">
        <v>5988</v>
      </c>
    </row>
    <row r="4668" spans="1:10" ht="14.25" customHeight="1" x14ac:dyDescent="0.25">
      <c r="A4668" s="21">
        <v>44007</v>
      </c>
      <c r="B4668" s="21"/>
      <c r="C4668">
        <v>204.7</v>
      </c>
      <c r="D4668">
        <v>3.8</v>
      </c>
      <c r="E4668">
        <v>930</v>
      </c>
      <c r="F4668">
        <v>246</v>
      </c>
      <c r="G4668">
        <v>35</v>
      </c>
      <c r="H4668">
        <v>246</v>
      </c>
      <c r="I4668">
        <v>1.52</v>
      </c>
      <c r="J4668" s="1">
        <v>19583</v>
      </c>
    </row>
    <row r="4669" spans="1:10" ht="14.25" customHeight="1" x14ac:dyDescent="0.25">
      <c r="A4669" s="21">
        <v>44007</v>
      </c>
      <c r="B4669" s="21"/>
      <c r="C4669">
        <v>9.4</v>
      </c>
      <c r="D4669">
        <v>3.6</v>
      </c>
      <c r="J4669">
        <v>963</v>
      </c>
    </row>
    <row r="4670" spans="1:10" ht="14.25" customHeight="1" x14ac:dyDescent="0.25">
      <c r="A4670" s="21">
        <v>44007</v>
      </c>
      <c r="B4670" s="21"/>
      <c r="C4670">
        <v>77.2</v>
      </c>
      <c r="D4670">
        <v>4.3</v>
      </c>
      <c r="E4670">
        <v>204</v>
      </c>
      <c r="F4670">
        <v>148</v>
      </c>
      <c r="H4670">
        <v>148</v>
      </c>
      <c r="I4670">
        <v>1.62</v>
      </c>
      <c r="J4670" s="1">
        <v>6526</v>
      </c>
    </row>
    <row r="4671" spans="1:10" ht="14.25" customHeight="1" x14ac:dyDescent="0.25">
      <c r="A4671" s="21">
        <v>44007</v>
      </c>
      <c r="B4671" s="21"/>
      <c r="C4671">
        <v>40.299999999999997</v>
      </c>
      <c r="D4671">
        <v>4.2</v>
      </c>
      <c r="E4671">
        <v>246</v>
      </c>
      <c r="F4671">
        <v>163</v>
      </c>
      <c r="G4671">
        <v>15</v>
      </c>
      <c r="H4671">
        <v>163</v>
      </c>
      <c r="I4671">
        <v>1.52</v>
      </c>
      <c r="J4671" s="1">
        <v>3504</v>
      </c>
    </row>
    <row r="4672" spans="1:10" ht="14.25" customHeight="1" x14ac:dyDescent="0.25">
      <c r="A4672" s="21">
        <v>44009</v>
      </c>
      <c r="B4672" s="21"/>
      <c r="C4672">
        <v>30.7</v>
      </c>
      <c r="D4672">
        <v>4.0999999999999996</v>
      </c>
      <c r="E4672">
        <v>119</v>
      </c>
      <c r="F4672">
        <v>79</v>
      </c>
      <c r="G4672">
        <v>9</v>
      </c>
      <c r="H4672">
        <v>79</v>
      </c>
      <c r="I4672">
        <v>1.47</v>
      </c>
      <c r="J4672" s="1">
        <v>2735</v>
      </c>
    </row>
    <row r="4673" spans="1:10" ht="14.25" customHeight="1" x14ac:dyDescent="0.25">
      <c r="A4673" s="21">
        <v>44009</v>
      </c>
      <c r="B4673" s="21"/>
      <c r="C4673">
        <v>54.3</v>
      </c>
      <c r="D4673">
        <v>3.4</v>
      </c>
      <c r="E4673">
        <v>349</v>
      </c>
      <c r="F4673">
        <v>79</v>
      </c>
      <c r="G4673">
        <v>8</v>
      </c>
      <c r="H4673">
        <v>79</v>
      </c>
      <c r="I4673">
        <v>1.54</v>
      </c>
      <c r="J4673" s="1">
        <v>6280</v>
      </c>
    </row>
    <row r="4674" spans="1:10" ht="14.25" customHeight="1" x14ac:dyDescent="0.25">
      <c r="A4674" s="21">
        <v>45003</v>
      </c>
      <c r="B4674" s="21"/>
      <c r="C4674">
        <v>129.30000000000001</v>
      </c>
      <c r="D4674">
        <v>4.3</v>
      </c>
      <c r="E4674">
        <v>278</v>
      </c>
      <c r="F4674">
        <v>204</v>
      </c>
      <c r="G4674">
        <v>35</v>
      </c>
      <c r="H4674">
        <v>204</v>
      </c>
      <c r="I4674">
        <v>1.55</v>
      </c>
      <c r="J4674" s="1">
        <v>10569</v>
      </c>
    </row>
    <row r="4675" spans="1:10" ht="14.25" customHeight="1" x14ac:dyDescent="0.25">
      <c r="A4675" s="21">
        <v>45007</v>
      </c>
      <c r="B4675" s="21"/>
      <c r="C4675">
        <v>217</v>
      </c>
      <c r="D4675">
        <v>4.5</v>
      </c>
      <c r="E4675">
        <v>549</v>
      </c>
      <c r="F4675">
        <v>367</v>
      </c>
      <c r="G4675">
        <v>25</v>
      </c>
      <c r="H4675">
        <v>269</v>
      </c>
      <c r="I4675">
        <v>1.65</v>
      </c>
      <c r="J4675" s="1">
        <v>18401</v>
      </c>
    </row>
    <row r="4676" spans="1:10" ht="14.25" customHeight="1" x14ac:dyDescent="0.25">
      <c r="A4676" s="21">
        <v>45009</v>
      </c>
      <c r="B4676" s="21"/>
      <c r="C4676">
        <v>0.2</v>
      </c>
      <c r="D4676">
        <v>3.2</v>
      </c>
      <c r="J4676">
        <v>21</v>
      </c>
    </row>
    <row r="4677" spans="1:10" ht="14.25" customHeight="1" x14ac:dyDescent="0.25">
      <c r="A4677" s="21">
        <v>45011</v>
      </c>
      <c r="B4677" s="21"/>
      <c r="C4677">
        <v>3.5</v>
      </c>
      <c r="D4677">
        <v>4.2</v>
      </c>
      <c r="J4677">
        <v>300</v>
      </c>
    </row>
    <row r="4678" spans="1:10" ht="14.25" customHeight="1" x14ac:dyDescent="0.25">
      <c r="A4678" s="21">
        <v>45013</v>
      </c>
      <c r="B4678" s="21"/>
      <c r="C4678">
        <v>81</v>
      </c>
      <c r="D4678">
        <v>4.0999999999999996</v>
      </c>
      <c r="E4678">
        <v>287</v>
      </c>
      <c r="F4678">
        <v>167</v>
      </c>
      <c r="G4678">
        <v>12</v>
      </c>
      <c r="H4678">
        <v>167</v>
      </c>
      <c r="I4678">
        <v>1.44</v>
      </c>
      <c r="J4678" s="1">
        <v>7758</v>
      </c>
    </row>
    <row r="4679" spans="1:10" ht="14.25" customHeight="1" x14ac:dyDescent="0.25">
      <c r="A4679" s="21">
        <v>45013</v>
      </c>
      <c r="B4679" s="21"/>
      <c r="C4679">
        <v>59.7</v>
      </c>
      <c r="D4679">
        <v>3.6</v>
      </c>
      <c r="E4679">
        <v>202</v>
      </c>
      <c r="F4679">
        <v>93</v>
      </c>
      <c r="G4679">
        <v>12</v>
      </c>
      <c r="H4679">
        <v>93</v>
      </c>
      <c r="I4679">
        <v>1.51</v>
      </c>
      <c r="J4679" s="1">
        <v>6277</v>
      </c>
    </row>
    <row r="4680" spans="1:10" ht="14.25" customHeight="1" x14ac:dyDescent="0.25">
      <c r="A4680" s="21">
        <v>45019</v>
      </c>
      <c r="B4680" s="21"/>
      <c r="C4680">
        <v>316.8</v>
      </c>
      <c r="D4680">
        <v>4.5999999999999996</v>
      </c>
      <c r="E4680">
        <v>658</v>
      </c>
      <c r="F4680">
        <v>434</v>
      </c>
      <c r="G4680">
        <v>36</v>
      </c>
      <c r="H4680">
        <v>296</v>
      </c>
      <c r="I4680">
        <v>1.79</v>
      </c>
      <c r="J4680" s="1">
        <v>25401</v>
      </c>
    </row>
    <row r="4681" spans="1:10" ht="14.25" customHeight="1" x14ac:dyDescent="0.25">
      <c r="A4681" s="21">
        <v>45019</v>
      </c>
      <c r="B4681" s="21"/>
      <c r="C4681">
        <v>99</v>
      </c>
      <c r="D4681">
        <v>4.4000000000000004</v>
      </c>
      <c r="E4681">
        <v>420</v>
      </c>
      <c r="F4681">
        <v>189</v>
      </c>
      <c r="G4681">
        <v>11</v>
      </c>
      <c r="H4681">
        <v>189</v>
      </c>
      <c r="I4681">
        <v>1.7</v>
      </c>
      <c r="J4681" s="1">
        <v>8655</v>
      </c>
    </row>
    <row r="4682" spans="1:10" ht="14.25" customHeight="1" x14ac:dyDescent="0.25">
      <c r="A4682" s="21">
        <v>45019</v>
      </c>
      <c r="B4682" s="21"/>
      <c r="C4682">
        <v>149</v>
      </c>
      <c r="D4682">
        <v>4.9000000000000004</v>
      </c>
      <c r="E4682">
        <v>481</v>
      </c>
      <c r="F4682">
        <v>316</v>
      </c>
      <c r="G4682">
        <v>38</v>
      </c>
      <c r="H4682">
        <v>316</v>
      </c>
      <c r="I4682">
        <v>1.98</v>
      </c>
      <c r="J4682" s="1">
        <v>11062</v>
      </c>
    </row>
    <row r="4683" spans="1:10" ht="14.25" customHeight="1" x14ac:dyDescent="0.25">
      <c r="A4683" s="21">
        <v>45019</v>
      </c>
      <c r="B4683" s="21"/>
      <c r="C4683">
        <v>37.200000000000003</v>
      </c>
      <c r="D4683">
        <v>3.5</v>
      </c>
      <c r="E4683">
        <v>205</v>
      </c>
      <c r="F4683">
        <v>130</v>
      </c>
      <c r="G4683">
        <v>12</v>
      </c>
      <c r="H4683">
        <v>130</v>
      </c>
      <c r="I4683">
        <v>2.15</v>
      </c>
      <c r="J4683" s="1">
        <v>4976</v>
      </c>
    </row>
    <row r="4684" spans="1:10" ht="14.25" customHeight="1" x14ac:dyDescent="0.25">
      <c r="A4684" s="21">
        <v>45019</v>
      </c>
      <c r="B4684" s="21"/>
      <c r="C4684">
        <v>595.5</v>
      </c>
      <c r="D4684">
        <v>6</v>
      </c>
      <c r="E4684" s="1">
        <v>1677</v>
      </c>
      <c r="F4684">
        <v>681</v>
      </c>
      <c r="G4684">
        <v>114</v>
      </c>
      <c r="H4684">
        <v>467</v>
      </c>
      <c r="I4684">
        <v>2.2400000000000002</v>
      </c>
      <c r="J4684" s="1">
        <v>35919</v>
      </c>
    </row>
    <row r="4685" spans="1:10" ht="14.25" customHeight="1" x14ac:dyDescent="0.25">
      <c r="A4685" s="21">
        <v>45019</v>
      </c>
      <c r="B4685" s="21"/>
      <c r="C4685">
        <v>25.4</v>
      </c>
      <c r="D4685">
        <v>3.4</v>
      </c>
      <c r="E4685">
        <v>100</v>
      </c>
      <c r="F4685">
        <v>84</v>
      </c>
      <c r="G4685">
        <v>10</v>
      </c>
      <c r="H4685">
        <v>84</v>
      </c>
      <c r="I4685">
        <v>1.59</v>
      </c>
      <c r="J4685" s="1">
        <v>2747</v>
      </c>
    </row>
    <row r="4686" spans="1:10" ht="14.25" customHeight="1" x14ac:dyDescent="0.25">
      <c r="A4686" s="21">
        <v>45019</v>
      </c>
      <c r="B4686" s="21"/>
      <c r="H4686">
        <v>156</v>
      </c>
    </row>
    <row r="4687" spans="1:10" ht="14.25" customHeight="1" x14ac:dyDescent="0.25">
      <c r="A4687" s="21">
        <v>45019</v>
      </c>
      <c r="B4687" s="21"/>
      <c r="C4687">
        <v>16.5</v>
      </c>
      <c r="D4687">
        <v>71.7</v>
      </c>
      <c r="J4687">
        <v>84</v>
      </c>
    </row>
    <row r="4688" spans="1:10" ht="14.25" customHeight="1" x14ac:dyDescent="0.25">
      <c r="A4688" s="21">
        <v>45021</v>
      </c>
      <c r="B4688" s="21"/>
      <c r="C4688">
        <v>15.1</v>
      </c>
      <c r="D4688">
        <v>3.8</v>
      </c>
      <c r="E4688">
        <v>59</v>
      </c>
      <c r="F4688">
        <v>44</v>
      </c>
      <c r="G4688">
        <v>12</v>
      </c>
      <c r="H4688">
        <v>44</v>
      </c>
      <c r="I4688">
        <v>1.48</v>
      </c>
      <c r="J4688" s="1">
        <v>1443</v>
      </c>
    </row>
    <row r="4689" spans="1:10" ht="14.25" customHeight="1" x14ac:dyDescent="0.25">
      <c r="A4689" s="21">
        <v>45023</v>
      </c>
      <c r="B4689" s="21"/>
      <c r="C4689">
        <v>7.7</v>
      </c>
      <c r="D4689">
        <v>3.4</v>
      </c>
      <c r="E4689">
        <v>30</v>
      </c>
      <c r="F4689">
        <v>36</v>
      </c>
      <c r="G4689">
        <v>6</v>
      </c>
      <c r="H4689">
        <v>36</v>
      </c>
      <c r="I4689">
        <v>1.4</v>
      </c>
      <c r="J4689">
        <v>825</v>
      </c>
    </row>
    <row r="4690" spans="1:10" ht="14.25" customHeight="1" x14ac:dyDescent="0.25">
      <c r="A4690" s="21">
        <v>45025</v>
      </c>
      <c r="B4690" s="21"/>
      <c r="C4690">
        <v>26.8</v>
      </c>
      <c r="D4690">
        <v>5.0999999999999996</v>
      </c>
      <c r="E4690">
        <v>72</v>
      </c>
      <c r="F4690">
        <v>48</v>
      </c>
      <c r="G4690">
        <v>6</v>
      </c>
      <c r="H4690">
        <v>48</v>
      </c>
      <c r="I4690">
        <v>1.38</v>
      </c>
      <c r="J4690" s="1">
        <v>1927</v>
      </c>
    </row>
    <row r="4691" spans="1:10" ht="14.25" customHeight="1" x14ac:dyDescent="0.25">
      <c r="A4691" s="21">
        <v>45027</v>
      </c>
      <c r="B4691" s="21"/>
      <c r="C4691">
        <v>20.399999999999999</v>
      </c>
      <c r="D4691">
        <v>3.9</v>
      </c>
      <c r="E4691">
        <v>93</v>
      </c>
      <c r="F4691">
        <v>49</v>
      </c>
      <c r="G4691">
        <v>6</v>
      </c>
      <c r="H4691">
        <v>49</v>
      </c>
      <c r="I4691">
        <v>1.41</v>
      </c>
      <c r="J4691" s="1">
        <v>2083</v>
      </c>
    </row>
    <row r="4692" spans="1:10" ht="14.25" customHeight="1" x14ac:dyDescent="0.25">
      <c r="A4692" s="21">
        <v>45029</v>
      </c>
      <c r="B4692" s="21"/>
      <c r="C4692">
        <v>38</v>
      </c>
      <c r="D4692">
        <v>3.9</v>
      </c>
      <c r="E4692">
        <v>100</v>
      </c>
      <c r="F4692">
        <v>102</v>
      </c>
      <c r="G4692">
        <v>8</v>
      </c>
      <c r="H4692">
        <v>102</v>
      </c>
      <c r="I4692">
        <v>1.43</v>
      </c>
      <c r="J4692" s="1">
        <v>3662</v>
      </c>
    </row>
    <row r="4693" spans="1:10" ht="14.25" customHeight="1" x14ac:dyDescent="0.25">
      <c r="A4693" s="21">
        <v>45031</v>
      </c>
      <c r="B4693" s="21"/>
      <c r="C4693">
        <v>38.799999999999997</v>
      </c>
      <c r="D4693">
        <v>3.6</v>
      </c>
      <c r="E4693">
        <v>94</v>
      </c>
      <c r="F4693">
        <v>116</v>
      </c>
      <c r="G4693">
        <v>12</v>
      </c>
      <c r="H4693">
        <v>116</v>
      </c>
      <c r="I4693">
        <v>1.53</v>
      </c>
      <c r="J4693" s="1">
        <v>4412</v>
      </c>
    </row>
    <row r="4694" spans="1:10" ht="14.25" customHeight="1" x14ac:dyDescent="0.25">
      <c r="A4694" s="21">
        <v>45031</v>
      </c>
      <c r="B4694" s="21"/>
      <c r="C4694">
        <v>18.8</v>
      </c>
      <c r="D4694">
        <v>163.1</v>
      </c>
      <c r="E4694">
        <v>10</v>
      </c>
      <c r="F4694">
        <v>36</v>
      </c>
      <c r="H4694">
        <v>36</v>
      </c>
      <c r="I4694">
        <v>1.1200000000000001</v>
      </c>
      <c r="J4694">
        <v>42</v>
      </c>
    </row>
    <row r="4695" spans="1:10" ht="14.25" customHeight="1" x14ac:dyDescent="0.25">
      <c r="A4695" s="21">
        <v>45033</v>
      </c>
      <c r="B4695" s="21"/>
      <c r="C4695">
        <v>20.9</v>
      </c>
      <c r="D4695">
        <v>4.5999999999999996</v>
      </c>
      <c r="E4695">
        <v>56</v>
      </c>
      <c r="F4695">
        <v>72</v>
      </c>
      <c r="G4695">
        <v>6</v>
      </c>
      <c r="H4695">
        <v>72</v>
      </c>
      <c r="I4695">
        <v>1.25</v>
      </c>
      <c r="J4695" s="1">
        <v>1793</v>
      </c>
    </row>
    <row r="4696" spans="1:10" ht="14.25" customHeight="1" x14ac:dyDescent="0.25">
      <c r="A4696" s="21">
        <v>45035</v>
      </c>
      <c r="B4696" s="21"/>
      <c r="H4696">
        <v>94</v>
      </c>
    </row>
    <row r="4697" spans="1:10" ht="14.25" customHeight="1" x14ac:dyDescent="0.25">
      <c r="A4697" s="21">
        <v>45035</v>
      </c>
      <c r="B4697" s="21"/>
      <c r="E4697">
        <v>6</v>
      </c>
    </row>
    <row r="4698" spans="1:10" ht="14.25" customHeight="1" x14ac:dyDescent="0.25">
      <c r="A4698" s="21">
        <v>45041</v>
      </c>
      <c r="B4698" s="21"/>
      <c r="C4698">
        <v>137.6</v>
      </c>
      <c r="D4698">
        <v>5.3</v>
      </c>
      <c r="E4698">
        <v>152</v>
      </c>
      <c r="F4698">
        <v>354</v>
      </c>
      <c r="G4698">
        <v>37</v>
      </c>
      <c r="H4698">
        <v>354</v>
      </c>
      <c r="I4698">
        <v>1.62</v>
      </c>
      <c r="J4698" s="1">
        <v>10067</v>
      </c>
    </row>
    <row r="4699" spans="1:10" ht="14.25" customHeight="1" x14ac:dyDescent="0.25">
      <c r="A4699" s="21">
        <v>45041</v>
      </c>
      <c r="B4699" s="21"/>
      <c r="C4699">
        <v>7</v>
      </c>
      <c r="D4699">
        <v>4.5</v>
      </c>
      <c r="E4699">
        <v>46</v>
      </c>
      <c r="F4699">
        <v>26</v>
      </c>
      <c r="H4699">
        <v>26</v>
      </c>
      <c r="I4699">
        <v>1</v>
      </c>
      <c r="J4699">
        <v>569</v>
      </c>
    </row>
    <row r="4700" spans="1:10" ht="14.25" customHeight="1" x14ac:dyDescent="0.25">
      <c r="A4700" s="21">
        <v>45041</v>
      </c>
      <c r="B4700" s="21"/>
      <c r="C4700">
        <v>388.3</v>
      </c>
      <c r="D4700">
        <v>5.8</v>
      </c>
      <c r="E4700">
        <v>502</v>
      </c>
      <c r="F4700">
        <v>524</v>
      </c>
      <c r="G4700">
        <v>30</v>
      </c>
      <c r="H4700">
        <v>461</v>
      </c>
      <c r="I4700">
        <v>1.88</v>
      </c>
      <c r="J4700" s="1">
        <v>24873</v>
      </c>
    </row>
    <row r="4701" spans="1:10" ht="14.25" customHeight="1" x14ac:dyDescent="0.25">
      <c r="A4701" s="21">
        <v>45043</v>
      </c>
      <c r="B4701" s="21"/>
      <c r="C4701">
        <v>44.1</v>
      </c>
      <c r="D4701">
        <v>4.3</v>
      </c>
      <c r="E4701">
        <v>164</v>
      </c>
      <c r="F4701">
        <v>131</v>
      </c>
      <c r="G4701">
        <v>10</v>
      </c>
      <c r="H4701">
        <v>131</v>
      </c>
      <c r="I4701">
        <v>1.58</v>
      </c>
      <c r="J4701" s="1">
        <v>3838</v>
      </c>
    </row>
    <row r="4702" spans="1:10" ht="14.25" customHeight="1" x14ac:dyDescent="0.25">
      <c r="A4702" s="21">
        <v>45045</v>
      </c>
      <c r="B4702" s="21"/>
      <c r="C4702">
        <v>16.5</v>
      </c>
      <c r="D4702">
        <v>1.7</v>
      </c>
      <c r="E4702">
        <v>161</v>
      </c>
      <c r="F4702">
        <v>62</v>
      </c>
      <c r="H4702">
        <v>62</v>
      </c>
      <c r="I4702">
        <v>2.16</v>
      </c>
      <c r="J4702" s="1">
        <v>5940</v>
      </c>
    </row>
    <row r="4703" spans="1:10" ht="14.25" customHeight="1" x14ac:dyDescent="0.25">
      <c r="A4703" s="21">
        <v>45045</v>
      </c>
      <c r="B4703" s="21"/>
      <c r="C4703">
        <v>26.6</v>
      </c>
      <c r="D4703">
        <v>3.7</v>
      </c>
      <c r="E4703">
        <v>54</v>
      </c>
      <c r="F4703">
        <v>48</v>
      </c>
      <c r="G4703">
        <v>4</v>
      </c>
      <c r="H4703">
        <v>48</v>
      </c>
      <c r="I4703">
        <v>1.69</v>
      </c>
      <c r="J4703" s="1">
        <v>2599</v>
      </c>
    </row>
    <row r="4704" spans="1:10" ht="14.25" customHeight="1" x14ac:dyDescent="0.25">
      <c r="A4704" s="21">
        <v>45045</v>
      </c>
      <c r="B4704" s="21"/>
      <c r="C4704">
        <v>522.5</v>
      </c>
      <c r="D4704">
        <v>5.7</v>
      </c>
      <c r="E4704" s="1">
        <v>1384</v>
      </c>
      <c r="F4704">
        <v>697</v>
      </c>
      <c r="G4704">
        <v>107</v>
      </c>
      <c r="H4704">
        <v>697</v>
      </c>
      <c r="I4704">
        <v>2.19</v>
      </c>
      <c r="J4704" s="1">
        <v>34491</v>
      </c>
    </row>
    <row r="4705" spans="1:10" ht="14.25" customHeight="1" x14ac:dyDescent="0.25">
      <c r="A4705" s="21">
        <v>45045</v>
      </c>
      <c r="B4705" s="21"/>
      <c r="C4705">
        <v>222.9</v>
      </c>
      <c r="D4705">
        <v>4.5999999999999996</v>
      </c>
      <c r="E4705">
        <v>639</v>
      </c>
      <c r="F4705">
        <v>319</v>
      </c>
      <c r="G4705">
        <v>33</v>
      </c>
      <c r="H4705">
        <v>245</v>
      </c>
      <c r="I4705">
        <v>1.86</v>
      </c>
      <c r="J4705" s="1">
        <v>18978</v>
      </c>
    </row>
    <row r="4706" spans="1:10" ht="14.25" customHeight="1" x14ac:dyDescent="0.25">
      <c r="A4706" s="21">
        <v>45045</v>
      </c>
      <c r="B4706" s="21"/>
      <c r="C4706">
        <v>23.5</v>
      </c>
      <c r="D4706">
        <v>2.8</v>
      </c>
      <c r="E4706">
        <v>109</v>
      </c>
      <c r="F4706">
        <v>58</v>
      </c>
      <c r="G4706">
        <v>8</v>
      </c>
      <c r="H4706">
        <v>58</v>
      </c>
      <c r="I4706">
        <v>1.33</v>
      </c>
      <c r="J4706" s="1">
        <v>3652</v>
      </c>
    </row>
    <row r="4707" spans="1:10" ht="14.25" customHeight="1" x14ac:dyDescent="0.25">
      <c r="A4707" s="21">
        <v>45045</v>
      </c>
      <c r="B4707" s="21"/>
      <c r="C4707">
        <v>14.7</v>
      </c>
      <c r="D4707">
        <v>3</v>
      </c>
      <c r="E4707">
        <v>97</v>
      </c>
      <c r="F4707">
        <v>39</v>
      </c>
      <c r="G4707">
        <v>6</v>
      </c>
      <c r="H4707">
        <v>39</v>
      </c>
      <c r="I4707">
        <v>1.4</v>
      </c>
      <c r="J4707" s="1">
        <v>1774</v>
      </c>
    </row>
    <row r="4708" spans="1:10" ht="14.25" customHeight="1" x14ac:dyDescent="0.25">
      <c r="A4708" s="21">
        <v>45045</v>
      </c>
      <c r="B4708" s="21"/>
      <c r="E4708">
        <v>13</v>
      </c>
      <c r="H4708">
        <v>93</v>
      </c>
    </row>
    <row r="4709" spans="1:10" ht="14.25" customHeight="1" x14ac:dyDescent="0.25">
      <c r="A4709" s="21">
        <v>45047</v>
      </c>
      <c r="B4709" s="21"/>
      <c r="C4709">
        <v>141.5</v>
      </c>
      <c r="D4709">
        <v>4.9000000000000004</v>
      </c>
      <c r="E4709">
        <v>416</v>
      </c>
      <c r="F4709">
        <v>290</v>
      </c>
      <c r="G4709">
        <v>20</v>
      </c>
      <c r="H4709">
        <v>290</v>
      </c>
      <c r="I4709">
        <v>1.64</v>
      </c>
      <c r="J4709" s="1">
        <v>10945</v>
      </c>
    </row>
    <row r="4710" spans="1:10" ht="14.25" customHeight="1" x14ac:dyDescent="0.25">
      <c r="A4710" s="21">
        <v>45049</v>
      </c>
      <c r="B4710" s="21"/>
      <c r="C4710">
        <v>7</v>
      </c>
      <c r="D4710">
        <v>3.8</v>
      </c>
      <c r="E4710">
        <v>43</v>
      </c>
      <c r="F4710">
        <v>32</v>
      </c>
      <c r="G4710">
        <v>6</v>
      </c>
      <c r="H4710">
        <v>32</v>
      </c>
      <c r="I4710">
        <v>1.29</v>
      </c>
      <c r="J4710">
        <v>672</v>
      </c>
    </row>
    <row r="4711" spans="1:10" ht="14.25" customHeight="1" x14ac:dyDescent="0.25">
      <c r="A4711" s="21">
        <v>45051</v>
      </c>
      <c r="B4711" s="21"/>
      <c r="C4711">
        <v>65.400000000000006</v>
      </c>
      <c r="D4711">
        <v>3.7</v>
      </c>
      <c r="E4711">
        <v>242</v>
      </c>
      <c r="F4711">
        <v>124</v>
      </c>
      <c r="G4711">
        <v>8</v>
      </c>
      <c r="H4711">
        <v>124</v>
      </c>
      <c r="I4711">
        <v>1.58</v>
      </c>
      <c r="J4711" s="1">
        <v>6894</v>
      </c>
    </row>
    <row r="4712" spans="1:10" ht="14.25" customHeight="1" x14ac:dyDescent="0.25">
      <c r="A4712" s="21">
        <v>45051</v>
      </c>
      <c r="B4712" s="21"/>
      <c r="C4712">
        <v>74.599999999999994</v>
      </c>
      <c r="D4712">
        <v>4.2</v>
      </c>
      <c r="E4712">
        <v>226</v>
      </c>
      <c r="F4712">
        <v>155</v>
      </c>
      <c r="G4712">
        <v>16</v>
      </c>
      <c r="H4712">
        <v>50</v>
      </c>
      <c r="I4712">
        <v>1.61</v>
      </c>
      <c r="J4712" s="1">
        <v>6704</v>
      </c>
    </row>
    <row r="4713" spans="1:10" ht="14.25" customHeight="1" x14ac:dyDescent="0.25">
      <c r="A4713" s="21">
        <v>45051</v>
      </c>
      <c r="B4713" s="21"/>
      <c r="C4713">
        <v>271</v>
      </c>
      <c r="D4713">
        <v>4.7</v>
      </c>
      <c r="E4713">
        <v>506</v>
      </c>
      <c r="F4713">
        <v>325</v>
      </c>
      <c r="G4713">
        <v>56</v>
      </c>
      <c r="H4713">
        <v>325</v>
      </c>
      <c r="I4713">
        <v>1.79</v>
      </c>
      <c r="J4713" s="1">
        <v>21789</v>
      </c>
    </row>
    <row r="4714" spans="1:10" ht="14.25" customHeight="1" x14ac:dyDescent="0.25">
      <c r="A4714" s="21">
        <v>45051</v>
      </c>
      <c r="B4714" s="21"/>
      <c r="C4714">
        <v>96.4</v>
      </c>
      <c r="D4714">
        <v>4.3</v>
      </c>
      <c r="E4714">
        <v>235</v>
      </c>
      <c r="F4714">
        <v>166</v>
      </c>
      <c r="G4714">
        <v>20</v>
      </c>
      <c r="H4714">
        <v>166</v>
      </c>
      <c r="I4714">
        <v>1.55</v>
      </c>
      <c r="J4714" s="1">
        <v>8954</v>
      </c>
    </row>
    <row r="4715" spans="1:10" ht="14.25" customHeight="1" x14ac:dyDescent="0.25">
      <c r="A4715" s="21">
        <v>45051</v>
      </c>
      <c r="B4715" s="21"/>
      <c r="H4715">
        <v>50</v>
      </c>
    </row>
    <row r="4716" spans="1:10" ht="14.25" customHeight="1" x14ac:dyDescent="0.25">
      <c r="A4716" s="21">
        <v>45053</v>
      </c>
      <c r="B4716" s="21"/>
      <c r="C4716">
        <v>24.8</v>
      </c>
      <c r="D4716">
        <v>3.5</v>
      </c>
      <c r="E4716">
        <v>69</v>
      </c>
      <c r="F4716">
        <v>41</v>
      </c>
      <c r="G4716">
        <v>4</v>
      </c>
      <c r="H4716">
        <v>41</v>
      </c>
      <c r="I4716">
        <v>1.28</v>
      </c>
      <c r="J4716" s="1">
        <v>2916</v>
      </c>
    </row>
    <row r="4717" spans="1:10" ht="14.25" customHeight="1" x14ac:dyDescent="0.25">
      <c r="A4717" s="21">
        <v>45055</v>
      </c>
      <c r="B4717" s="21"/>
      <c r="C4717">
        <v>40.200000000000003</v>
      </c>
      <c r="D4717">
        <v>4.0999999999999996</v>
      </c>
      <c r="E4717">
        <v>158</v>
      </c>
      <c r="F4717">
        <v>101</v>
      </c>
      <c r="G4717">
        <v>10</v>
      </c>
      <c r="H4717">
        <v>101</v>
      </c>
      <c r="I4717">
        <v>1.38</v>
      </c>
      <c r="J4717" s="1">
        <v>3705</v>
      </c>
    </row>
    <row r="4718" spans="1:10" ht="14.25" customHeight="1" x14ac:dyDescent="0.25">
      <c r="A4718" s="21">
        <v>45057</v>
      </c>
      <c r="B4718" s="21"/>
      <c r="C4718">
        <v>46.6</v>
      </c>
      <c r="D4718">
        <v>4.2</v>
      </c>
      <c r="E4718">
        <v>105</v>
      </c>
      <c r="F4718">
        <v>166</v>
      </c>
      <c r="G4718">
        <v>20</v>
      </c>
      <c r="H4718">
        <v>166</v>
      </c>
      <c r="I4718">
        <v>1.34</v>
      </c>
      <c r="J4718" s="1">
        <v>4407</v>
      </c>
    </row>
    <row r="4719" spans="1:10" ht="14.25" customHeight="1" x14ac:dyDescent="0.25">
      <c r="A4719" s="21">
        <v>45059</v>
      </c>
      <c r="B4719" s="21"/>
      <c r="C4719">
        <v>19.600000000000001</v>
      </c>
      <c r="D4719">
        <v>3.6</v>
      </c>
      <c r="E4719">
        <v>95</v>
      </c>
      <c r="F4719">
        <v>47</v>
      </c>
      <c r="H4719">
        <v>47</v>
      </c>
      <c r="I4719">
        <v>1.6</v>
      </c>
      <c r="J4719" s="1">
        <v>2168</v>
      </c>
    </row>
    <row r="4720" spans="1:10" ht="14.25" customHeight="1" x14ac:dyDescent="0.25">
      <c r="A4720" s="21">
        <v>45063</v>
      </c>
      <c r="B4720" s="21"/>
      <c r="C4720">
        <v>336.3</v>
      </c>
      <c r="D4720">
        <v>5.4</v>
      </c>
      <c r="E4720">
        <v>718</v>
      </c>
      <c r="F4720">
        <v>481</v>
      </c>
      <c r="G4720">
        <v>21</v>
      </c>
      <c r="H4720">
        <v>481</v>
      </c>
      <c r="I4720">
        <v>1.9</v>
      </c>
      <c r="J4720" s="1">
        <v>24484</v>
      </c>
    </row>
    <row r="4721" spans="1:10" ht="14.25" customHeight="1" x14ac:dyDescent="0.25">
      <c r="A4721" s="21">
        <v>45063</v>
      </c>
      <c r="B4721" s="21"/>
      <c r="C4721">
        <v>41.1</v>
      </c>
      <c r="D4721">
        <v>4.2</v>
      </c>
      <c r="E4721">
        <v>101</v>
      </c>
      <c r="F4721">
        <v>70</v>
      </c>
      <c r="G4721">
        <v>16</v>
      </c>
      <c r="H4721">
        <v>70</v>
      </c>
      <c r="I4721">
        <v>1.77</v>
      </c>
      <c r="J4721" s="1">
        <v>3997</v>
      </c>
    </row>
    <row r="4722" spans="1:10" ht="14.25" customHeight="1" x14ac:dyDescent="0.25">
      <c r="A4722" s="21">
        <v>45067</v>
      </c>
      <c r="B4722" s="21"/>
      <c r="C4722">
        <v>19.5</v>
      </c>
      <c r="D4722">
        <v>4</v>
      </c>
      <c r="E4722">
        <v>45</v>
      </c>
      <c r="F4722">
        <v>94</v>
      </c>
      <c r="G4722">
        <v>10</v>
      </c>
      <c r="H4722">
        <v>94</v>
      </c>
      <c r="I4722">
        <v>1.38</v>
      </c>
      <c r="J4722" s="1">
        <v>1805</v>
      </c>
    </row>
    <row r="4723" spans="1:10" ht="14.25" customHeight="1" x14ac:dyDescent="0.25">
      <c r="A4723" s="21">
        <v>45069</v>
      </c>
      <c r="B4723" s="21"/>
      <c r="C4723">
        <v>8.6</v>
      </c>
      <c r="D4723">
        <v>3.2</v>
      </c>
      <c r="J4723" s="1">
        <v>1035</v>
      </c>
    </row>
    <row r="4724" spans="1:10" ht="14.25" customHeight="1" x14ac:dyDescent="0.25">
      <c r="A4724" s="21">
        <v>45071</v>
      </c>
      <c r="B4724" s="21"/>
      <c r="C4724">
        <v>17.7</v>
      </c>
      <c r="D4724">
        <v>3.6</v>
      </c>
      <c r="E4724">
        <v>82</v>
      </c>
      <c r="F4724">
        <v>48</v>
      </c>
      <c r="G4724">
        <v>7</v>
      </c>
      <c r="H4724">
        <v>48</v>
      </c>
      <c r="I4724">
        <v>1.6</v>
      </c>
      <c r="J4724" s="1">
        <v>1934</v>
      </c>
    </row>
    <row r="4725" spans="1:10" ht="14.25" customHeight="1" x14ac:dyDescent="0.25">
      <c r="A4725" s="21">
        <v>45073</v>
      </c>
      <c r="B4725" s="21"/>
      <c r="C4725">
        <v>53.5</v>
      </c>
      <c r="D4725">
        <v>4.2</v>
      </c>
      <c r="E4725">
        <v>219</v>
      </c>
      <c r="F4725">
        <v>133</v>
      </c>
      <c r="H4725">
        <v>133</v>
      </c>
      <c r="I4725">
        <v>1.45</v>
      </c>
      <c r="J4725" s="1">
        <v>4855</v>
      </c>
    </row>
    <row r="4726" spans="1:10" ht="14.25" customHeight="1" x14ac:dyDescent="0.25">
      <c r="A4726" s="21">
        <v>45075</v>
      </c>
      <c r="B4726" s="21"/>
      <c r="C4726">
        <v>113.8</v>
      </c>
      <c r="D4726">
        <v>5.3</v>
      </c>
      <c r="E4726">
        <v>253</v>
      </c>
      <c r="F4726">
        <v>251</v>
      </c>
      <c r="G4726">
        <v>20</v>
      </c>
      <c r="H4726">
        <v>251</v>
      </c>
      <c r="I4726">
        <v>1.54</v>
      </c>
      <c r="J4726" s="1">
        <v>8111</v>
      </c>
    </row>
    <row r="4727" spans="1:10" ht="14.25" customHeight="1" x14ac:dyDescent="0.25">
      <c r="A4727" s="21">
        <v>45077</v>
      </c>
      <c r="B4727" s="21"/>
      <c r="C4727">
        <v>7</v>
      </c>
      <c r="D4727">
        <v>3.4</v>
      </c>
      <c r="E4727">
        <v>39</v>
      </c>
      <c r="F4727">
        <v>42</v>
      </c>
      <c r="G4727">
        <v>4</v>
      </c>
      <c r="H4727">
        <v>42</v>
      </c>
      <c r="I4727">
        <v>1.21</v>
      </c>
      <c r="J4727">
        <v>749</v>
      </c>
    </row>
    <row r="4728" spans="1:10" ht="14.25" customHeight="1" x14ac:dyDescent="0.25">
      <c r="A4728" s="21">
        <v>45077</v>
      </c>
      <c r="B4728" s="21"/>
      <c r="C4728">
        <v>30.3</v>
      </c>
      <c r="D4728">
        <v>3.7</v>
      </c>
      <c r="E4728">
        <v>142</v>
      </c>
      <c r="F4728">
        <v>69</v>
      </c>
      <c r="H4728">
        <v>69</v>
      </c>
      <c r="I4728">
        <v>1.5</v>
      </c>
      <c r="J4728" s="1">
        <v>3216</v>
      </c>
    </row>
    <row r="4729" spans="1:10" ht="14.25" customHeight="1" x14ac:dyDescent="0.25">
      <c r="A4729" s="21">
        <v>45079</v>
      </c>
      <c r="B4729" s="21"/>
      <c r="C4729">
        <v>463.2</v>
      </c>
      <c r="D4729">
        <v>6.9</v>
      </c>
      <c r="E4729" s="1">
        <v>1018</v>
      </c>
      <c r="F4729">
        <v>627</v>
      </c>
      <c r="G4729">
        <v>48</v>
      </c>
      <c r="H4729">
        <v>627</v>
      </c>
      <c r="I4729">
        <v>2.23</v>
      </c>
      <c r="J4729" s="1">
        <v>25097</v>
      </c>
    </row>
    <row r="4730" spans="1:10" ht="14.25" customHeight="1" x14ac:dyDescent="0.25">
      <c r="A4730" s="21">
        <v>45079</v>
      </c>
      <c r="B4730" s="21"/>
      <c r="C4730">
        <v>107.5</v>
      </c>
      <c r="D4730">
        <v>6.3</v>
      </c>
      <c r="E4730">
        <v>228</v>
      </c>
      <c r="F4730">
        <v>332</v>
      </c>
      <c r="G4730">
        <v>18</v>
      </c>
      <c r="H4730">
        <v>247</v>
      </c>
      <c r="I4730">
        <v>1.84</v>
      </c>
      <c r="J4730" s="1">
        <v>6190</v>
      </c>
    </row>
    <row r="4731" spans="1:10" ht="14.25" customHeight="1" x14ac:dyDescent="0.25">
      <c r="A4731" s="21">
        <v>45079</v>
      </c>
      <c r="B4731" s="21"/>
      <c r="C4731">
        <v>154.80000000000001</v>
      </c>
      <c r="D4731">
        <v>5.5</v>
      </c>
      <c r="E4731">
        <v>234</v>
      </c>
      <c r="F4731">
        <v>288</v>
      </c>
      <c r="G4731">
        <v>18</v>
      </c>
      <c r="H4731">
        <v>288</v>
      </c>
      <c r="I4731">
        <v>1.86</v>
      </c>
      <c r="J4731" s="1">
        <v>11249</v>
      </c>
    </row>
    <row r="4732" spans="1:10" ht="14.25" customHeight="1" x14ac:dyDescent="0.25">
      <c r="A4732" s="21">
        <v>45079</v>
      </c>
      <c r="B4732" s="21"/>
      <c r="H4732">
        <v>74</v>
      </c>
    </row>
    <row r="4733" spans="1:10" ht="14.25" customHeight="1" x14ac:dyDescent="0.25">
      <c r="A4733" s="21">
        <v>45079</v>
      </c>
      <c r="B4733" s="21"/>
      <c r="E4733">
        <v>3</v>
      </c>
      <c r="H4733">
        <v>124</v>
      </c>
    </row>
    <row r="4734" spans="1:10" ht="14.25" customHeight="1" x14ac:dyDescent="0.25">
      <c r="A4734" s="21">
        <v>45079</v>
      </c>
      <c r="B4734" s="21"/>
    </row>
    <row r="4735" spans="1:10" ht="14.25" customHeight="1" x14ac:dyDescent="0.25">
      <c r="A4735" s="21">
        <v>45083</v>
      </c>
      <c r="B4735" s="21"/>
      <c r="C4735">
        <v>457.9</v>
      </c>
      <c r="D4735">
        <v>5.9</v>
      </c>
      <c r="E4735" s="1">
        <v>1019</v>
      </c>
      <c r="F4735">
        <v>644</v>
      </c>
      <c r="G4735">
        <v>49</v>
      </c>
      <c r="H4735">
        <v>644</v>
      </c>
      <c r="I4735">
        <v>1.83</v>
      </c>
      <c r="J4735" s="1">
        <v>29891</v>
      </c>
    </row>
    <row r="4736" spans="1:10" ht="14.25" customHeight="1" x14ac:dyDescent="0.25">
      <c r="A4736" s="21">
        <v>45083</v>
      </c>
      <c r="B4736" s="21"/>
      <c r="C4736">
        <v>57.6</v>
      </c>
      <c r="D4736">
        <v>4.2</v>
      </c>
      <c r="E4736">
        <v>64</v>
      </c>
      <c r="F4736">
        <v>148</v>
      </c>
      <c r="G4736">
        <v>18</v>
      </c>
      <c r="H4736">
        <v>148</v>
      </c>
      <c r="I4736">
        <v>1.52</v>
      </c>
      <c r="J4736" s="1">
        <v>5492</v>
      </c>
    </row>
    <row r="4737" spans="1:10" ht="14.25" customHeight="1" x14ac:dyDescent="0.25">
      <c r="A4737" s="21">
        <v>45085</v>
      </c>
      <c r="B4737" s="21"/>
      <c r="C4737">
        <v>118.5</v>
      </c>
      <c r="D4737">
        <v>5.4</v>
      </c>
      <c r="E4737">
        <v>291</v>
      </c>
      <c r="F4737">
        <v>173</v>
      </c>
      <c r="G4737">
        <v>17</v>
      </c>
      <c r="H4737">
        <v>173</v>
      </c>
      <c r="I4737">
        <v>1.42</v>
      </c>
      <c r="J4737" s="1">
        <v>8602</v>
      </c>
    </row>
    <row r="4738" spans="1:10" ht="14.25" customHeight="1" x14ac:dyDescent="0.25">
      <c r="A4738" s="21">
        <v>45087</v>
      </c>
      <c r="B4738" s="21"/>
      <c r="C4738">
        <v>6.6</v>
      </c>
      <c r="D4738">
        <v>6.4</v>
      </c>
      <c r="E4738">
        <v>23</v>
      </c>
      <c r="F4738">
        <v>43</v>
      </c>
      <c r="H4738">
        <v>43</v>
      </c>
      <c r="I4738">
        <v>0.99</v>
      </c>
      <c r="J4738">
        <v>379</v>
      </c>
    </row>
    <row r="4739" spans="1:10" ht="14.25" customHeight="1" x14ac:dyDescent="0.25">
      <c r="A4739" s="21">
        <v>45091</v>
      </c>
      <c r="B4739" s="21"/>
      <c r="C4739">
        <v>177.8</v>
      </c>
      <c r="D4739">
        <v>4.8</v>
      </c>
      <c r="E4739">
        <v>437</v>
      </c>
      <c r="F4739">
        <v>268</v>
      </c>
      <c r="G4739">
        <v>24</v>
      </c>
      <c r="H4739">
        <v>268</v>
      </c>
      <c r="I4739">
        <v>1.56</v>
      </c>
      <c r="J4739" s="1">
        <v>14485</v>
      </c>
    </row>
    <row r="4740" spans="1:10" ht="14.25" customHeight="1" x14ac:dyDescent="0.25">
      <c r="A4740" s="21">
        <v>45091</v>
      </c>
      <c r="B4740" s="21"/>
    </row>
    <row r="4741" spans="1:10" ht="14.25" customHeight="1" x14ac:dyDescent="0.25">
      <c r="A4741" s="21">
        <v>46011</v>
      </c>
      <c r="B4741" s="21"/>
      <c r="C4741">
        <v>10.9</v>
      </c>
      <c r="D4741">
        <v>4.0999999999999996</v>
      </c>
      <c r="E4741">
        <v>72</v>
      </c>
      <c r="F4741">
        <v>49</v>
      </c>
      <c r="H4741">
        <v>49</v>
      </c>
      <c r="I4741">
        <v>1.19</v>
      </c>
      <c r="J4741" s="1">
        <v>1137</v>
      </c>
    </row>
    <row r="4742" spans="1:10" ht="14.25" customHeight="1" x14ac:dyDescent="0.25">
      <c r="A4742" s="21">
        <v>46013</v>
      </c>
      <c r="B4742" s="21"/>
      <c r="C4742">
        <v>33.299999999999997</v>
      </c>
      <c r="D4742">
        <v>3.2</v>
      </c>
      <c r="E4742">
        <v>131</v>
      </c>
      <c r="F4742">
        <v>49</v>
      </c>
      <c r="G4742">
        <v>6</v>
      </c>
      <c r="H4742">
        <v>49</v>
      </c>
      <c r="I4742">
        <v>1.75</v>
      </c>
      <c r="J4742" s="1">
        <v>4083</v>
      </c>
    </row>
    <row r="4743" spans="1:10" ht="14.25" customHeight="1" x14ac:dyDescent="0.25">
      <c r="A4743" s="21">
        <v>46013</v>
      </c>
      <c r="B4743" s="21"/>
      <c r="C4743">
        <v>9.8000000000000007</v>
      </c>
      <c r="D4743">
        <v>2.5</v>
      </c>
      <c r="E4743">
        <v>87</v>
      </c>
      <c r="F4743">
        <v>48</v>
      </c>
      <c r="H4743">
        <v>48</v>
      </c>
      <c r="I4743">
        <v>1.31</v>
      </c>
      <c r="J4743" s="1">
        <v>1653</v>
      </c>
    </row>
    <row r="4744" spans="1:10" ht="14.25" customHeight="1" x14ac:dyDescent="0.25">
      <c r="A4744" s="21">
        <v>46013</v>
      </c>
      <c r="B4744" s="21"/>
      <c r="C4744">
        <v>2.1</v>
      </c>
      <c r="D4744">
        <v>2.7</v>
      </c>
      <c r="J4744">
        <v>291</v>
      </c>
    </row>
    <row r="4745" spans="1:10" ht="14.25" customHeight="1" x14ac:dyDescent="0.25">
      <c r="A4745" s="21">
        <v>46029</v>
      </c>
      <c r="B4745" s="21"/>
      <c r="C4745">
        <v>21.7</v>
      </c>
      <c r="D4745">
        <v>3.3</v>
      </c>
      <c r="E4745">
        <v>123</v>
      </c>
      <c r="F4745">
        <v>81</v>
      </c>
      <c r="G4745">
        <v>8</v>
      </c>
      <c r="H4745">
        <v>81</v>
      </c>
      <c r="I4745">
        <v>1.55</v>
      </c>
      <c r="J4745" s="1">
        <v>2714</v>
      </c>
    </row>
    <row r="4746" spans="1:10" ht="14.25" customHeight="1" x14ac:dyDescent="0.25">
      <c r="A4746" s="21">
        <v>46035</v>
      </c>
      <c r="B4746" s="21"/>
      <c r="C4746">
        <v>16.899999999999999</v>
      </c>
      <c r="D4746">
        <v>4.0999999999999996</v>
      </c>
      <c r="E4746">
        <v>89</v>
      </c>
      <c r="F4746">
        <v>50</v>
      </c>
      <c r="G4746">
        <v>8</v>
      </c>
      <c r="H4746">
        <v>50</v>
      </c>
      <c r="I4746">
        <v>1.48</v>
      </c>
      <c r="J4746" s="1">
        <v>1741</v>
      </c>
    </row>
    <row r="4747" spans="1:10" ht="14.25" customHeight="1" x14ac:dyDescent="0.25">
      <c r="A4747" s="21">
        <v>46041</v>
      </c>
      <c r="B4747" s="21"/>
      <c r="C4747">
        <v>2.2999999999999998</v>
      </c>
      <c r="D4747">
        <v>4.4000000000000004</v>
      </c>
      <c r="E4747">
        <v>33</v>
      </c>
      <c r="F4747">
        <v>8</v>
      </c>
      <c r="H4747">
        <v>8</v>
      </c>
      <c r="I4747">
        <v>0.81</v>
      </c>
      <c r="J4747">
        <v>189</v>
      </c>
    </row>
    <row r="4748" spans="1:10" ht="14.25" customHeight="1" x14ac:dyDescent="0.25">
      <c r="A4748" s="21">
        <v>46065</v>
      </c>
      <c r="B4748" s="21"/>
      <c r="C4748">
        <v>11.5</v>
      </c>
      <c r="D4748">
        <v>3</v>
      </c>
      <c r="E4748">
        <v>92</v>
      </c>
      <c r="F4748">
        <v>50</v>
      </c>
      <c r="G4748">
        <v>6</v>
      </c>
      <c r="H4748">
        <v>50</v>
      </c>
      <c r="I4748">
        <v>1.47</v>
      </c>
      <c r="J4748" s="1">
        <v>1655</v>
      </c>
    </row>
    <row r="4749" spans="1:10" ht="14.25" customHeight="1" x14ac:dyDescent="0.25">
      <c r="A4749" s="21">
        <v>46081</v>
      </c>
      <c r="B4749" s="21"/>
      <c r="C4749">
        <v>8.6</v>
      </c>
      <c r="D4749">
        <v>2.6</v>
      </c>
      <c r="E4749">
        <v>106</v>
      </c>
      <c r="F4749">
        <v>27</v>
      </c>
      <c r="G4749">
        <v>3</v>
      </c>
      <c r="H4749">
        <v>27</v>
      </c>
      <c r="I4749">
        <v>1.64</v>
      </c>
      <c r="J4749" s="1">
        <v>1514</v>
      </c>
    </row>
    <row r="4750" spans="1:10" ht="14.25" customHeight="1" x14ac:dyDescent="0.25">
      <c r="A4750" s="21">
        <v>46083</v>
      </c>
      <c r="B4750" s="21"/>
      <c r="C4750">
        <v>23.7</v>
      </c>
      <c r="D4750">
        <v>3.9</v>
      </c>
      <c r="E4750">
        <v>48</v>
      </c>
      <c r="F4750">
        <v>53</v>
      </c>
      <c r="H4750">
        <v>53</v>
      </c>
      <c r="I4750">
        <v>2.98</v>
      </c>
      <c r="J4750" s="1">
        <v>2239</v>
      </c>
    </row>
    <row r="4751" spans="1:10" ht="14.25" customHeight="1" x14ac:dyDescent="0.25">
      <c r="A4751" s="21">
        <v>46083</v>
      </c>
      <c r="B4751" s="21"/>
    </row>
    <row r="4752" spans="1:10" ht="14.25" customHeight="1" x14ac:dyDescent="0.25">
      <c r="A4752" s="21">
        <v>46099</v>
      </c>
      <c r="B4752" s="21"/>
      <c r="C4752">
        <v>315.7</v>
      </c>
      <c r="D4752">
        <v>4.9000000000000004</v>
      </c>
      <c r="E4752">
        <v>740</v>
      </c>
      <c r="F4752">
        <v>455</v>
      </c>
      <c r="G4752">
        <v>29</v>
      </c>
      <c r="H4752">
        <v>455</v>
      </c>
      <c r="I4752">
        <v>1.74</v>
      </c>
      <c r="J4752" s="1">
        <v>24800</v>
      </c>
    </row>
    <row r="4753" spans="1:10" ht="14.25" customHeight="1" x14ac:dyDescent="0.25">
      <c r="A4753" s="21">
        <v>46099</v>
      </c>
      <c r="B4753" s="21"/>
      <c r="C4753">
        <v>305.3</v>
      </c>
      <c r="D4753">
        <v>4.7</v>
      </c>
      <c r="E4753">
        <v>831</v>
      </c>
      <c r="F4753">
        <v>452</v>
      </c>
      <c r="G4753">
        <v>27</v>
      </c>
      <c r="H4753">
        <v>452</v>
      </c>
      <c r="I4753">
        <v>2</v>
      </c>
      <c r="J4753" s="1">
        <v>24964</v>
      </c>
    </row>
    <row r="4754" spans="1:10" ht="14.25" customHeight="1" x14ac:dyDescent="0.25">
      <c r="A4754" s="21">
        <v>46099</v>
      </c>
      <c r="B4754" s="21"/>
      <c r="C4754">
        <v>8.1999999999999993</v>
      </c>
      <c r="D4754">
        <v>1.5</v>
      </c>
      <c r="E4754">
        <v>99</v>
      </c>
      <c r="F4754">
        <v>26</v>
      </c>
      <c r="H4754">
        <v>26</v>
      </c>
      <c r="I4754">
        <v>2.35</v>
      </c>
      <c r="J4754" s="1">
        <v>2054</v>
      </c>
    </row>
    <row r="4755" spans="1:10" ht="14.25" customHeight="1" x14ac:dyDescent="0.25">
      <c r="A4755" s="21">
        <v>46099</v>
      </c>
      <c r="B4755" s="21"/>
    </row>
    <row r="4756" spans="1:10" ht="14.25" customHeight="1" x14ac:dyDescent="0.25">
      <c r="A4756" s="21">
        <v>46102</v>
      </c>
      <c r="B4756" s="21"/>
      <c r="C4756">
        <v>11.5</v>
      </c>
      <c r="D4756">
        <v>3.1</v>
      </c>
      <c r="E4756">
        <v>46</v>
      </c>
      <c r="F4756">
        <v>45</v>
      </c>
      <c r="H4756">
        <v>45</v>
      </c>
      <c r="J4756" s="1">
        <v>1347</v>
      </c>
    </row>
    <row r="4757" spans="1:10" ht="14.25" customHeight="1" x14ac:dyDescent="0.25">
      <c r="A4757" s="21">
        <v>46103</v>
      </c>
      <c r="B4757" s="21"/>
    </row>
    <row r="4758" spans="1:10" ht="14.25" customHeight="1" x14ac:dyDescent="0.25">
      <c r="A4758" s="21">
        <v>46103</v>
      </c>
      <c r="B4758" s="21"/>
      <c r="C4758">
        <v>0.4</v>
      </c>
      <c r="D4758">
        <v>1.9</v>
      </c>
      <c r="E4758">
        <v>4</v>
      </c>
      <c r="F4758">
        <v>6</v>
      </c>
      <c r="H4758">
        <v>6</v>
      </c>
      <c r="I4758">
        <v>1.54</v>
      </c>
      <c r="J4758">
        <v>70</v>
      </c>
    </row>
    <row r="4759" spans="1:10" ht="14.25" customHeight="1" x14ac:dyDescent="0.25">
      <c r="A4759" s="21">
        <v>46103</v>
      </c>
      <c r="B4759" s="21"/>
      <c r="C4759">
        <v>10.7</v>
      </c>
      <c r="D4759">
        <v>2.2000000000000002</v>
      </c>
      <c r="E4759">
        <v>103</v>
      </c>
      <c r="F4759">
        <v>26</v>
      </c>
      <c r="H4759">
        <v>26</v>
      </c>
      <c r="I4759">
        <v>2.31</v>
      </c>
      <c r="J4759" s="1">
        <v>1799</v>
      </c>
    </row>
    <row r="4760" spans="1:10" ht="14.25" customHeight="1" x14ac:dyDescent="0.25">
      <c r="A4760" s="21">
        <v>46103</v>
      </c>
      <c r="B4760" s="21"/>
      <c r="C4760">
        <v>221.9</v>
      </c>
      <c r="D4760">
        <v>4.5999999999999996</v>
      </c>
      <c r="E4760">
        <v>574</v>
      </c>
      <c r="F4760">
        <v>370</v>
      </c>
      <c r="G4760">
        <v>38</v>
      </c>
      <c r="H4760">
        <v>370</v>
      </c>
      <c r="I4760">
        <v>1.82</v>
      </c>
      <c r="J4760" s="1">
        <v>18361</v>
      </c>
    </row>
    <row r="4761" spans="1:10" ht="14.25" customHeight="1" x14ac:dyDescent="0.25">
      <c r="A4761" s="21">
        <v>46103</v>
      </c>
      <c r="B4761" s="21"/>
    </row>
    <row r="4762" spans="1:10" ht="14.25" customHeight="1" x14ac:dyDescent="0.25">
      <c r="A4762" s="21">
        <v>46107</v>
      </c>
      <c r="B4762" s="21"/>
      <c r="C4762">
        <v>9.6</v>
      </c>
      <c r="D4762">
        <v>207.6</v>
      </c>
      <c r="J4762">
        <v>17</v>
      </c>
    </row>
    <row r="4763" spans="1:10" ht="14.25" customHeight="1" x14ac:dyDescent="0.25">
      <c r="A4763" s="21">
        <v>46121</v>
      </c>
      <c r="B4763" s="21"/>
      <c r="C4763">
        <v>3.6</v>
      </c>
      <c r="D4763">
        <v>4.0999999999999996</v>
      </c>
      <c r="E4763">
        <v>44</v>
      </c>
      <c r="F4763">
        <v>35</v>
      </c>
      <c r="H4763">
        <v>35</v>
      </c>
      <c r="I4763">
        <v>0.83</v>
      </c>
      <c r="J4763">
        <v>322</v>
      </c>
    </row>
    <row r="4764" spans="1:10" ht="14.25" customHeight="1" x14ac:dyDescent="0.25">
      <c r="A4764" s="21">
        <v>46127</v>
      </c>
      <c r="B4764" s="21"/>
      <c r="C4764">
        <v>8.6</v>
      </c>
      <c r="D4764">
        <v>2.2000000000000002</v>
      </c>
      <c r="E4764">
        <v>56</v>
      </c>
      <c r="F4764">
        <v>38</v>
      </c>
      <c r="H4764">
        <v>38</v>
      </c>
      <c r="I4764">
        <v>2.71</v>
      </c>
      <c r="J4764" s="1">
        <v>1443</v>
      </c>
    </row>
    <row r="4765" spans="1:10" ht="14.25" customHeight="1" x14ac:dyDescent="0.25">
      <c r="A4765" s="21">
        <v>46135</v>
      </c>
      <c r="B4765" s="21"/>
      <c r="C4765">
        <v>0.6</v>
      </c>
      <c r="D4765">
        <v>2.2999999999999998</v>
      </c>
      <c r="E4765">
        <v>2</v>
      </c>
      <c r="F4765">
        <v>10</v>
      </c>
      <c r="H4765">
        <v>10</v>
      </c>
      <c r="J4765">
        <v>90</v>
      </c>
    </row>
    <row r="4766" spans="1:10" ht="14.25" customHeight="1" x14ac:dyDescent="0.25">
      <c r="A4766" s="21">
        <v>46135</v>
      </c>
      <c r="B4766" s="21"/>
      <c r="C4766">
        <v>25.2</v>
      </c>
      <c r="D4766">
        <v>3.4</v>
      </c>
      <c r="E4766">
        <v>122</v>
      </c>
      <c r="F4766">
        <v>75</v>
      </c>
      <c r="G4766">
        <v>10</v>
      </c>
      <c r="H4766">
        <v>75</v>
      </c>
      <c r="I4766">
        <v>1.65</v>
      </c>
      <c r="J4766" s="1">
        <v>3113</v>
      </c>
    </row>
    <row r="4767" spans="1:10" ht="14.25" customHeight="1" x14ac:dyDescent="0.25">
      <c r="A4767" s="21">
        <v>47001</v>
      </c>
      <c r="B4767" s="21"/>
      <c r="C4767">
        <v>123.3</v>
      </c>
      <c r="D4767">
        <v>4.4000000000000004</v>
      </c>
      <c r="E4767">
        <v>285</v>
      </c>
      <c r="F4767">
        <v>204</v>
      </c>
      <c r="G4767">
        <v>25</v>
      </c>
      <c r="H4767">
        <v>204</v>
      </c>
      <c r="I4767">
        <v>1.79</v>
      </c>
      <c r="J4767" s="1">
        <v>10414</v>
      </c>
    </row>
    <row r="4768" spans="1:10" ht="14.25" customHeight="1" x14ac:dyDescent="0.25">
      <c r="A4768" s="21">
        <v>47003</v>
      </c>
      <c r="B4768" s="21"/>
      <c r="C4768">
        <v>9.1</v>
      </c>
      <c r="D4768">
        <v>2.6</v>
      </c>
      <c r="E4768">
        <v>50</v>
      </c>
      <c r="F4768">
        <v>44</v>
      </c>
      <c r="G4768">
        <v>8</v>
      </c>
      <c r="H4768">
        <v>44</v>
      </c>
      <c r="I4768">
        <v>1.43</v>
      </c>
      <c r="J4768" s="1">
        <v>1278</v>
      </c>
    </row>
    <row r="4769" spans="1:10" ht="14.25" customHeight="1" x14ac:dyDescent="0.25">
      <c r="A4769" s="21">
        <v>47009</v>
      </c>
      <c r="B4769" s="21"/>
      <c r="C4769">
        <v>133.5</v>
      </c>
      <c r="D4769">
        <v>4.5</v>
      </c>
      <c r="E4769">
        <v>460</v>
      </c>
      <c r="F4769">
        <v>193</v>
      </c>
      <c r="G4769">
        <v>8</v>
      </c>
      <c r="H4769">
        <v>193</v>
      </c>
      <c r="I4769">
        <v>1.61</v>
      </c>
      <c r="J4769" s="1">
        <v>11177</v>
      </c>
    </row>
    <row r="4770" spans="1:10" ht="14.25" customHeight="1" x14ac:dyDescent="0.25">
      <c r="A4770" s="21">
        <v>47011</v>
      </c>
      <c r="B4770" s="21"/>
      <c r="C4770">
        <v>106.2</v>
      </c>
      <c r="D4770">
        <v>4.5</v>
      </c>
      <c r="E4770">
        <v>228</v>
      </c>
      <c r="F4770">
        <v>177</v>
      </c>
      <c r="G4770">
        <v>24</v>
      </c>
      <c r="H4770">
        <v>177</v>
      </c>
      <c r="I4770">
        <v>1.51</v>
      </c>
      <c r="J4770" s="1">
        <v>9201</v>
      </c>
    </row>
    <row r="4771" spans="1:10" ht="14.25" customHeight="1" x14ac:dyDescent="0.25">
      <c r="A4771" s="21">
        <v>47013</v>
      </c>
      <c r="B4771" s="21"/>
      <c r="C4771">
        <v>3.1</v>
      </c>
      <c r="D4771">
        <v>3.4</v>
      </c>
      <c r="E4771">
        <v>27</v>
      </c>
      <c r="F4771">
        <v>34</v>
      </c>
      <c r="G4771">
        <v>4</v>
      </c>
      <c r="H4771">
        <v>34</v>
      </c>
      <c r="I4771">
        <v>1.24</v>
      </c>
      <c r="J4771">
        <v>560</v>
      </c>
    </row>
    <row r="4772" spans="1:10" ht="14.25" customHeight="1" x14ac:dyDescent="0.25">
      <c r="A4772" s="21">
        <v>47013</v>
      </c>
      <c r="B4772" s="21"/>
      <c r="C4772">
        <v>21.6</v>
      </c>
      <c r="D4772">
        <v>5.4</v>
      </c>
      <c r="E4772">
        <v>59</v>
      </c>
      <c r="F4772">
        <v>48</v>
      </c>
      <c r="G4772">
        <v>6</v>
      </c>
      <c r="H4772">
        <v>48</v>
      </c>
      <c r="I4772">
        <v>1.39</v>
      </c>
      <c r="J4772" s="1">
        <v>1456</v>
      </c>
    </row>
    <row r="4773" spans="1:10" ht="14.25" customHeight="1" x14ac:dyDescent="0.25">
      <c r="A4773" s="21">
        <v>47015</v>
      </c>
      <c r="B4773" s="21"/>
      <c r="C4773">
        <v>6.6</v>
      </c>
      <c r="D4773">
        <v>5.9</v>
      </c>
      <c r="E4773">
        <v>22</v>
      </c>
      <c r="F4773">
        <v>30</v>
      </c>
      <c r="H4773">
        <v>30</v>
      </c>
      <c r="I4773">
        <v>1.19</v>
      </c>
      <c r="J4773">
        <v>409</v>
      </c>
    </row>
    <row r="4774" spans="1:10" ht="14.25" customHeight="1" x14ac:dyDescent="0.25">
      <c r="A4774" s="21">
        <v>47017</v>
      </c>
      <c r="B4774" s="21"/>
      <c r="C4774">
        <v>14</v>
      </c>
      <c r="D4774">
        <v>5.9</v>
      </c>
      <c r="E4774">
        <v>47</v>
      </c>
      <c r="F4774">
        <v>42</v>
      </c>
      <c r="H4774">
        <v>42</v>
      </c>
      <c r="I4774">
        <v>1.32</v>
      </c>
      <c r="J4774">
        <v>870</v>
      </c>
    </row>
    <row r="4775" spans="1:10" ht="14.25" customHeight="1" x14ac:dyDescent="0.25">
      <c r="A4775" s="21">
        <v>47017</v>
      </c>
      <c r="B4775" s="21"/>
      <c r="C4775">
        <v>7.7</v>
      </c>
      <c r="D4775">
        <v>3</v>
      </c>
      <c r="I4775">
        <v>1.21</v>
      </c>
      <c r="J4775" s="1">
        <v>1092</v>
      </c>
    </row>
    <row r="4776" spans="1:10" ht="14.25" customHeight="1" x14ac:dyDescent="0.25">
      <c r="A4776" s="21">
        <v>47019</v>
      </c>
      <c r="B4776" s="21"/>
      <c r="C4776">
        <v>32.200000000000003</v>
      </c>
      <c r="D4776">
        <v>3.8</v>
      </c>
      <c r="E4776">
        <v>93</v>
      </c>
      <c r="F4776">
        <v>109</v>
      </c>
      <c r="G4776">
        <v>8</v>
      </c>
      <c r="H4776">
        <v>109</v>
      </c>
      <c r="I4776">
        <v>1.34</v>
      </c>
      <c r="J4776" s="1">
        <v>3101</v>
      </c>
    </row>
    <row r="4777" spans="1:10" ht="14.25" customHeight="1" x14ac:dyDescent="0.25">
      <c r="A4777" s="21">
        <v>47025</v>
      </c>
      <c r="B4777" s="21"/>
      <c r="C4777">
        <v>9.6999999999999993</v>
      </c>
      <c r="D4777">
        <v>3.3</v>
      </c>
      <c r="E4777">
        <v>54</v>
      </c>
      <c r="F4777">
        <v>33</v>
      </c>
      <c r="G4777">
        <v>5</v>
      </c>
      <c r="H4777">
        <v>33</v>
      </c>
      <c r="I4777">
        <v>1.36</v>
      </c>
      <c r="J4777" s="1">
        <v>1113</v>
      </c>
    </row>
    <row r="4778" spans="1:10" ht="14.25" customHeight="1" x14ac:dyDescent="0.25">
      <c r="A4778" s="21">
        <v>47029</v>
      </c>
      <c r="B4778" s="21"/>
      <c r="C4778">
        <v>20.100000000000001</v>
      </c>
      <c r="D4778">
        <v>3.8</v>
      </c>
      <c r="E4778">
        <v>71</v>
      </c>
      <c r="F4778">
        <v>32</v>
      </c>
      <c r="G4778">
        <v>5</v>
      </c>
      <c r="H4778">
        <v>32</v>
      </c>
      <c r="I4778">
        <v>1.27</v>
      </c>
      <c r="J4778" s="1">
        <v>2023</v>
      </c>
    </row>
    <row r="4779" spans="1:10" ht="14.25" customHeight="1" x14ac:dyDescent="0.25">
      <c r="A4779" s="21">
        <v>47031</v>
      </c>
      <c r="B4779" s="21"/>
      <c r="C4779">
        <v>35.200000000000003</v>
      </c>
      <c r="D4779">
        <v>3.9</v>
      </c>
      <c r="E4779">
        <v>113</v>
      </c>
      <c r="F4779">
        <v>74</v>
      </c>
      <c r="G4779">
        <v>13</v>
      </c>
      <c r="H4779">
        <v>74</v>
      </c>
      <c r="I4779">
        <v>1.51</v>
      </c>
      <c r="J4779" s="1">
        <v>3538</v>
      </c>
    </row>
    <row r="4780" spans="1:10" ht="14.25" customHeight="1" x14ac:dyDescent="0.25">
      <c r="A4780" s="21">
        <v>47031</v>
      </c>
      <c r="B4780" s="21"/>
      <c r="C4780">
        <v>9.1</v>
      </c>
      <c r="D4780">
        <v>3.5</v>
      </c>
      <c r="E4780">
        <v>62</v>
      </c>
      <c r="F4780">
        <v>49</v>
      </c>
      <c r="H4780">
        <v>49</v>
      </c>
      <c r="I4780">
        <v>1.33</v>
      </c>
      <c r="J4780">
        <v>957</v>
      </c>
    </row>
    <row r="4781" spans="1:10" ht="14.25" customHeight="1" x14ac:dyDescent="0.25">
      <c r="A4781" s="21">
        <v>47031</v>
      </c>
      <c r="B4781" s="21"/>
    </row>
    <row r="4782" spans="1:10" ht="14.25" customHeight="1" x14ac:dyDescent="0.25">
      <c r="A4782" s="21">
        <v>47035</v>
      </c>
      <c r="B4782" s="21"/>
      <c r="C4782">
        <v>50.1</v>
      </c>
      <c r="D4782">
        <v>3.8</v>
      </c>
      <c r="E4782">
        <v>158</v>
      </c>
      <c r="F4782">
        <v>73</v>
      </c>
      <c r="G4782">
        <v>12</v>
      </c>
      <c r="H4782">
        <v>73</v>
      </c>
      <c r="I4782">
        <v>1.38</v>
      </c>
      <c r="J4782" s="1">
        <v>5105</v>
      </c>
    </row>
    <row r="4783" spans="1:10" ht="14.25" customHeight="1" x14ac:dyDescent="0.25">
      <c r="A4783" s="21">
        <v>47037</v>
      </c>
      <c r="B4783" s="21"/>
      <c r="C4783">
        <v>51.4</v>
      </c>
      <c r="D4783">
        <v>4.2</v>
      </c>
      <c r="E4783">
        <v>151</v>
      </c>
      <c r="F4783">
        <v>103</v>
      </c>
      <c r="G4783">
        <v>20</v>
      </c>
      <c r="H4783">
        <v>103</v>
      </c>
      <c r="I4783">
        <v>1.83</v>
      </c>
      <c r="J4783" s="1">
        <v>4445</v>
      </c>
    </row>
    <row r="4784" spans="1:10" ht="14.25" customHeight="1" x14ac:dyDescent="0.25">
      <c r="A4784" s="21">
        <v>47037</v>
      </c>
      <c r="B4784" s="21"/>
      <c r="C4784">
        <v>405.2</v>
      </c>
      <c r="D4784">
        <v>5</v>
      </c>
      <c r="E4784">
        <v>906</v>
      </c>
      <c r="F4784">
        <v>472</v>
      </c>
      <c r="G4784">
        <v>24</v>
      </c>
      <c r="H4784">
        <v>472</v>
      </c>
      <c r="I4784">
        <v>2.15</v>
      </c>
      <c r="J4784" s="1">
        <v>30644</v>
      </c>
    </row>
    <row r="4785" spans="1:10" ht="14.25" customHeight="1" x14ac:dyDescent="0.25">
      <c r="A4785" s="21">
        <v>47037</v>
      </c>
      <c r="B4785" s="21"/>
      <c r="C4785">
        <v>246.7</v>
      </c>
      <c r="D4785">
        <v>4.9000000000000004</v>
      </c>
      <c r="E4785">
        <v>558</v>
      </c>
      <c r="F4785">
        <v>395</v>
      </c>
      <c r="G4785">
        <v>37</v>
      </c>
      <c r="H4785">
        <v>395</v>
      </c>
      <c r="I4785">
        <v>1.99</v>
      </c>
      <c r="J4785" s="1">
        <v>21325</v>
      </c>
    </row>
    <row r="4786" spans="1:10" ht="14.25" customHeight="1" x14ac:dyDescent="0.25">
      <c r="A4786" s="21">
        <v>47037</v>
      </c>
      <c r="B4786" s="21"/>
      <c r="C4786">
        <v>121</v>
      </c>
      <c r="D4786">
        <v>3.9</v>
      </c>
      <c r="E4786">
        <v>356</v>
      </c>
      <c r="F4786">
        <v>170</v>
      </c>
      <c r="G4786">
        <v>12</v>
      </c>
      <c r="H4786">
        <v>170</v>
      </c>
      <c r="I4786">
        <v>1.53</v>
      </c>
      <c r="J4786" s="1">
        <v>12275</v>
      </c>
    </row>
    <row r="4787" spans="1:10" ht="14.25" customHeight="1" x14ac:dyDescent="0.25">
      <c r="A4787" s="21">
        <v>47037</v>
      </c>
      <c r="B4787" s="21"/>
      <c r="C4787">
        <v>264.8</v>
      </c>
      <c r="D4787">
        <v>5.4</v>
      </c>
      <c r="E4787">
        <v>407</v>
      </c>
      <c r="F4787">
        <v>340</v>
      </c>
      <c r="G4787">
        <v>88</v>
      </c>
      <c r="H4787">
        <v>340</v>
      </c>
      <c r="I4787">
        <v>2.2599999999999998</v>
      </c>
      <c r="J4787" s="1">
        <v>17952</v>
      </c>
    </row>
    <row r="4788" spans="1:10" ht="14.25" customHeight="1" x14ac:dyDescent="0.25">
      <c r="A4788" s="21">
        <v>47037</v>
      </c>
      <c r="B4788" s="21"/>
      <c r="C4788">
        <v>26.8</v>
      </c>
      <c r="D4788">
        <v>4.9000000000000004</v>
      </c>
      <c r="E4788">
        <v>145</v>
      </c>
      <c r="F4788">
        <v>114</v>
      </c>
      <c r="G4788">
        <v>22</v>
      </c>
      <c r="H4788">
        <v>114</v>
      </c>
      <c r="I4788">
        <v>1.64</v>
      </c>
      <c r="J4788" s="1">
        <v>2116</v>
      </c>
    </row>
    <row r="4789" spans="1:10" ht="14.25" customHeight="1" x14ac:dyDescent="0.25">
      <c r="A4789" s="21">
        <v>47037</v>
      </c>
      <c r="B4789" s="21"/>
      <c r="C4789">
        <v>882.7</v>
      </c>
      <c r="D4789">
        <v>5.3</v>
      </c>
      <c r="E4789" s="1">
        <v>1878</v>
      </c>
      <c r="F4789">
        <v>954</v>
      </c>
      <c r="G4789">
        <v>111</v>
      </c>
      <c r="H4789">
        <v>626</v>
      </c>
      <c r="I4789">
        <v>2.31</v>
      </c>
      <c r="J4789" s="1">
        <v>61271</v>
      </c>
    </row>
    <row r="4790" spans="1:10" ht="14.25" customHeight="1" x14ac:dyDescent="0.25">
      <c r="A4790" s="21">
        <v>47037</v>
      </c>
      <c r="B4790" s="21"/>
      <c r="C4790">
        <v>244.5</v>
      </c>
      <c r="D4790">
        <v>5.4</v>
      </c>
      <c r="E4790">
        <v>224</v>
      </c>
      <c r="F4790">
        <v>298</v>
      </c>
      <c r="G4790">
        <v>45</v>
      </c>
      <c r="H4790">
        <v>233</v>
      </c>
      <c r="I4790">
        <v>1.7</v>
      </c>
      <c r="J4790" s="1">
        <v>16673</v>
      </c>
    </row>
    <row r="4791" spans="1:10" ht="14.25" customHeight="1" x14ac:dyDescent="0.25">
      <c r="A4791" s="21">
        <v>47037</v>
      </c>
      <c r="B4791" s="21"/>
    </row>
    <row r="4792" spans="1:10" ht="14.25" customHeight="1" x14ac:dyDescent="0.25">
      <c r="A4792" s="21">
        <v>47037</v>
      </c>
      <c r="B4792" s="21"/>
      <c r="H4792">
        <v>13</v>
      </c>
    </row>
    <row r="4793" spans="1:10" ht="14.25" customHeight="1" x14ac:dyDescent="0.25">
      <c r="A4793" s="21">
        <v>47037</v>
      </c>
      <c r="B4793" s="21"/>
    </row>
    <row r="4794" spans="1:10" ht="14.25" customHeight="1" x14ac:dyDescent="0.25">
      <c r="A4794" s="21">
        <v>47037</v>
      </c>
      <c r="B4794" s="21"/>
      <c r="C4794">
        <v>7.8</v>
      </c>
      <c r="D4794">
        <v>1.5</v>
      </c>
      <c r="E4794">
        <v>30</v>
      </c>
      <c r="F4794">
        <v>23</v>
      </c>
      <c r="H4794">
        <v>23</v>
      </c>
      <c r="I4794">
        <v>3.42</v>
      </c>
      <c r="J4794" s="1">
        <v>1945</v>
      </c>
    </row>
    <row r="4795" spans="1:10" ht="14.25" customHeight="1" x14ac:dyDescent="0.25">
      <c r="A4795" s="21">
        <v>47039</v>
      </c>
      <c r="B4795" s="21"/>
      <c r="C4795">
        <v>2.2000000000000002</v>
      </c>
      <c r="D4795">
        <v>2.2999999999999998</v>
      </c>
      <c r="F4795">
        <v>40</v>
      </c>
      <c r="I4795">
        <v>0.98</v>
      </c>
      <c r="J4795">
        <v>346</v>
      </c>
    </row>
    <row r="4796" spans="1:10" ht="14.25" customHeight="1" x14ac:dyDescent="0.25">
      <c r="A4796" s="21">
        <v>47041</v>
      </c>
      <c r="B4796" s="21"/>
      <c r="C4796">
        <v>3.9</v>
      </c>
      <c r="D4796">
        <v>3.2</v>
      </c>
      <c r="E4796">
        <v>30</v>
      </c>
      <c r="F4796">
        <v>52</v>
      </c>
      <c r="G4796">
        <v>4</v>
      </c>
      <c r="H4796">
        <v>52</v>
      </c>
      <c r="I4796">
        <v>1.3</v>
      </c>
      <c r="J4796">
        <v>444</v>
      </c>
    </row>
    <row r="4797" spans="1:10" ht="14.25" customHeight="1" x14ac:dyDescent="0.25">
      <c r="A4797" s="21">
        <v>47043</v>
      </c>
      <c r="B4797" s="21"/>
      <c r="C4797">
        <v>54.2</v>
      </c>
      <c r="D4797">
        <v>3.7</v>
      </c>
      <c r="E4797">
        <v>167</v>
      </c>
      <c r="F4797">
        <v>91</v>
      </c>
      <c r="G4797">
        <v>6</v>
      </c>
      <c r="H4797">
        <v>91</v>
      </c>
      <c r="I4797">
        <v>1.39</v>
      </c>
      <c r="J4797" s="1">
        <v>5408</v>
      </c>
    </row>
    <row r="4798" spans="1:10" ht="14.25" customHeight="1" x14ac:dyDescent="0.25">
      <c r="A4798" s="21">
        <v>47045</v>
      </c>
      <c r="B4798" s="21"/>
      <c r="C4798">
        <v>43.4</v>
      </c>
      <c r="D4798">
        <v>3.8</v>
      </c>
      <c r="E4798">
        <v>102</v>
      </c>
      <c r="F4798">
        <v>109</v>
      </c>
      <c r="G4798">
        <v>14</v>
      </c>
      <c r="H4798">
        <v>109</v>
      </c>
      <c r="I4798">
        <v>1.48</v>
      </c>
      <c r="J4798" s="1">
        <v>4461</v>
      </c>
    </row>
    <row r="4799" spans="1:10" ht="14.25" customHeight="1" x14ac:dyDescent="0.25">
      <c r="A4799" s="21">
        <v>47047</v>
      </c>
      <c r="B4799" s="21"/>
      <c r="C4799">
        <v>0.1</v>
      </c>
      <c r="D4799">
        <v>4</v>
      </c>
      <c r="J4799">
        <v>8</v>
      </c>
    </row>
    <row r="4800" spans="1:10" ht="14.25" customHeight="1" x14ac:dyDescent="0.25">
      <c r="A4800" s="21">
        <v>47049</v>
      </c>
      <c r="B4800" s="21"/>
      <c r="C4800">
        <v>7.7</v>
      </c>
      <c r="D4800">
        <v>3.3</v>
      </c>
      <c r="I4800">
        <v>1.04</v>
      </c>
      <c r="J4800">
        <v>866</v>
      </c>
    </row>
    <row r="4801" spans="1:10" ht="14.25" customHeight="1" x14ac:dyDescent="0.25">
      <c r="A4801" s="21">
        <v>47051</v>
      </c>
      <c r="B4801" s="21"/>
      <c r="C4801">
        <v>28.9</v>
      </c>
      <c r="D4801">
        <v>3.5</v>
      </c>
      <c r="E4801">
        <v>144</v>
      </c>
      <c r="F4801">
        <v>128</v>
      </c>
      <c r="G4801">
        <v>10</v>
      </c>
      <c r="H4801">
        <v>131</v>
      </c>
      <c r="I4801">
        <v>1.34</v>
      </c>
      <c r="J4801" s="1">
        <v>3318</v>
      </c>
    </row>
    <row r="4802" spans="1:10" ht="14.25" customHeight="1" x14ac:dyDescent="0.25">
      <c r="A4802" s="21">
        <v>47051</v>
      </c>
      <c r="B4802" s="21"/>
      <c r="H4802">
        <v>21</v>
      </c>
    </row>
    <row r="4803" spans="1:10" ht="14.25" customHeight="1" x14ac:dyDescent="0.25">
      <c r="A4803" s="21">
        <v>47053</v>
      </c>
      <c r="B4803" s="21"/>
      <c r="C4803">
        <v>5.0999999999999996</v>
      </c>
      <c r="D4803">
        <v>3.9</v>
      </c>
      <c r="E4803">
        <v>38</v>
      </c>
      <c r="F4803">
        <v>47</v>
      </c>
      <c r="G4803">
        <v>3</v>
      </c>
      <c r="H4803">
        <v>47</v>
      </c>
      <c r="I4803">
        <v>1.5</v>
      </c>
      <c r="J4803">
        <v>480</v>
      </c>
    </row>
    <row r="4804" spans="1:10" ht="14.25" customHeight="1" x14ac:dyDescent="0.25">
      <c r="A4804" s="21">
        <v>47053</v>
      </c>
      <c r="B4804" s="21"/>
      <c r="C4804">
        <v>1.1000000000000001</v>
      </c>
      <c r="D4804">
        <v>4.2</v>
      </c>
      <c r="J4804">
        <v>97</v>
      </c>
    </row>
    <row r="4805" spans="1:10" ht="14.25" customHeight="1" x14ac:dyDescent="0.25">
      <c r="A4805" s="21">
        <v>47053</v>
      </c>
      <c r="B4805" s="21"/>
      <c r="C4805">
        <v>1.8</v>
      </c>
      <c r="D4805">
        <v>5.4</v>
      </c>
      <c r="J4805">
        <v>124</v>
      </c>
    </row>
    <row r="4806" spans="1:10" ht="14.25" customHeight="1" x14ac:dyDescent="0.25">
      <c r="A4806" s="21">
        <v>47055</v>
      </c>
      <c r="B4806" s="21"/>
      <c r="C4806">
        <v>16</v>
      </c>
      <c r="D4806">
        <v>3.7</v>
      </c>
      <c r="E4806">
        <v>69</v>
      </c>
      <c r="F4806">
        <v>81</v>
      </c>
      <c r="G4806">
        <v>6</v>
      </c>
      <c r="H4806">
        <v>81</v>
      </c>
      <c r="I4806">
        <v>1.28</v>
      </c>
      <c r="J4806" s="1">
        <v>1677</v>
      </c>
    </row>
    <row r="4807" spans="1:10" ht="14.25" customHeight="1" x14ac:dyDescent="0.25">
      <c r="A4807" s="21">
        <v>47059</v>
      </c>
      <c r="B4807" s="21"/>
      <c r="C4807">
        <v>27.5</v>
      </c>
      <c r="D4807">
        <v>4</v>
      </c>
      <c r="E4807">
        <v>51</v>
      </c>
      <c r="F4807">
        <v>140</v>
      </c>
      <c r="G4807">
        <v>10</v>
      </c>
      <c r="H4807">
        <v>140</v>
      </c>
      <c r="I4807">
        <v>1.48</v>
      </c>
      <c r="J4807" s="1">
        <v>2599</v>
      </c>
    </row>
    <row r="4808" spans="1:10" ht="14.25" customHeight="1" x14ac:dyDescent="0.25">
      <c r="A4808" s="21">
        <v>47059</v>
      </c>
      <c r="B4808" s="21"/>
      <c r="C4808">
        <v>15.8</v>
      </c>
      <c r="D4808">
        <v>3.6</v>
      </c>
      <c r="E4808">
        <v>182</v>
      </c>
      <c r="F4808">
        <v>49</v>
      </c>
      <c r="G4808">
        <v>7</v>
      </c>
      <c r="H4808">
        <v>49</v>
      </c>
      <c r="I4808">
        <v>1.32</v>
      </c>
      <c r="J4808" s="1">
        <v>1849</v>
      </c>
    </row>
    <row r="4809" spans="1:10" ht="14.25" customHeight="1" x14ac:dyDescent="0.25">
      <c r="A4809" s="21">
        <v>47063</v>
      </c>
      <c r="B4809" s="21"/>
      <c r="C4809">
        <v>15</v>
      </c>
      <c r="D4809">
        <v>4.3</v>
      </c>
      <c r="I4809">
        <v>1.34</v>
      </c>
      <c r="J4809" s="1">
        <v>1261</v>
      </c>
    </row>
    <row r="4810" spans="1:10" ht="14.25" customHeight="1" x14ac:dyDescent="0.25">
      <c r="A4810" s="21">
        <v>47063</v>
      </c>
      <c r="B4810" s="21"/>
      <c r="C4810">
        <v>69.8</v>
      </c>
      <c r="D4810">
        <v>3.6</v>
      </c>
      <c r="E4810">
        <v>164</v>
      </c>
      <c r="F4810">
        <v>116</v>
      </c>
      <c r="G4810">
        <v>20</v>
      </c>
      <c r="H4810">
        <v>116</v>
      </c>
      <c r="I4810">
        <v>1.47</v>
      </c>
      <c r="J4810" s="1">
        <v>7458</v>
      </c>
    </row>
    <row r="4811" spans="1:10" ht="14.25" customHeight="1" x14ac:dyDescent="0.25">
      <c r="A4811" s="21">
        <v>47065</v>
      </c>
      <c r="B4811" s="21"/>
      <c r="C4811">
        <v>307.60000000000002</v>
      </c>
      <c r="D4811">
        <v>5</v>
      </c>
      <c r="E4811">
        <v>839</v>
      </c>
      <c r="F4811">
        <v>423</v>
      </c>
      <c r="G4811">
        <v>34</v>
      </c>
      <c r="H4811">
        <v>336</v>
      </c>
      <c r="I4811">
        <v>2.04</v>
      </c>
      <c r="J4811" s="1">
        <v>22379</v>
      </c>
    </row>
    <row r="4812" spans="1:10" ht="14.25" customHeight="1" x14ac:dyDescent="0.25">
      <c r="A4812" s="21">
        <v>47065</v>
      </c>
      <c r="B4812" s="21"/>
      <c r="C4812">
        <v>533.1</v>
      </c>
      <c r="D4812">
        <v>5.0999999999999996</v>
      </c>
      <c r="E4812">
        <v>861</v>
      </c>
      <c r="F4812">
        <v>674</v>
      </c>
      <c r="G4812">
        <v>84</v>
      </c>
      <c r="H4812">
        <v>674</v>
      </c>
      <c r="I4812">
        <v>1.95</v>
      </c>
      <c r="J4812" s="1">
        <v>39766</v>
      </c>
    </row>
    <row r="4813" spans="1:10" ht="14.25" customHeight="1" x14ac:dyDescent="0.25">
      <c r="A4813" s="21">
        <v>47065</v>
      </c>
      <c r="B4813" s="21"/>
      <c r="C4813">
        <v>243.6</v>
      </c>
      <c r="D4813">
        <v>5.5</v>
      </c>
      <c r="E4813">
        <v>262</v>
      </c>
      <c r="F4813">
        <v>380</v>
      </c>
      <c r="G4813">
        <v>33</v>
      </c>
      <c r="H4813">
        <v>275</v>
      </c>
      <c r="I4813">
        <v>1.81</v>
      </c>
      <c r="J4813" s="1">
        <v>16725</v>
      </c>
    </row>
    <row r="4814" spans="1:10" ht="14.25" customHeight="1" x14ac:dyDescent="0.25">
      <c r="A4814" s="21">
        <v>47065</v>
      </c>
      <c r="B4814" s="21"/>
      <c r="H4814">
        <v>69</v>
      </c>
    </row>
    <row r="4815" spans="1:10" ht="14.25" customHeight="1" x14ac:dyDescent="0.25">
      <c r="A4815" s="21">
        <v>47065</v>
      </c>
      <c r="B4815" s="21"/>
      <c r="E4815">
        <v>58</v>
      </c>
      <c r="H4815">
        <v>128</v>
      </c>
    </row>
    <row r="4816" spans="1:10" ht="14.25" customHeight="1" x14ac:dyDescent="0.25">
      <c r="A4816" s="21">
        <v>47065</v>
      </c>
      <c r="B4816" s="21"/>
      <c r="H4816">
        <v>26</v>
      </c>
    </row>
    <row r="4817" spans="1:10" ht="14.25" customHeight="1" x14ac:dyDescent="0.25">
      <c r="A4817" s="21">
        <v>47065</v>
      </c>
      <c r="B4817" s="21"/>
      <c r="E4817">
        <v>3</v>
      </c>
      <c r="H4817">
        <v>107</v>
      </c>
    </row>
    <row r="4818" spans="1:10" ht="14.25" customHeight="1" x14ac:dyDescent="0.25">
      <c r="A4818" s="21">
        <v>47071</v>
      </c>
      <c r="B4818" s="21"/>
      <c r="C4818">
        <v>11.2</v>
      </c>
      <c r="D4818">
        <v>3.9</v>
      </c>
      <c r="E4818">
        <v>74</v>
      </c>
      <c r="F4818">
        <v>49</v>
      </c>
      <c r="H4818">
        <v>49</v>
      </c>
      <c r="I4818">
        <v>1.24</v>
      </c>
      <c r="J4818" s="1">
        <v>1249</v>
      </c>
    </row>
    <row r="4819" spans="1:10" ht="14.25" customHeight="1" x14ac:dyDescent="0.25">
      <c r="A4819" s="21">
        <v>47073</v>
      </c>
      <c r="B4819" s="21"/>
      <c r="C4819">
        <v>8.1</v>
      </c>
      <c r="D4819">
        <v>3.7</v>
      </c>
      <c r="E4819">
        <v>56</v>
      </c>
      <c r="F4819">
        <v>32</v>
      </c>
      <c r="G4819">
        <v>6</v>
      </c>
      <c r="H4819">
        <v>32</v>
      </c>
      <c r="I4819">
        <v>1.25</v>
      </c>
      <c r="J4819">
        <v>786</v>
      </c>
    </row>
    <row r="4820" spans="1:10" ht="14.25" customHeight="1" x14ac:dyDescent="0.25">
      <c r="A4820" s="21">
        <v>47075</v>
      </c>
      <c r="B4820" s="21"/>
      <c r="C4820">
        <v>0.8</v>
      </c>
      <c r="D4820">
        <v>2.9</v>
      </c>
      <c r="J4820">
        <v>103</v>
      </c>
    </row>
    <row r="4821" spans="1:10" ht="14.25" customHeight="1" x14ac:dyDescent="0.25">
      <c r="A4821" s="21">
        <v>47077</v>
      </c>
      <c r="B4821" s="21"/>
      <c r="C4821">
        <v>2.8</v>
      </c>
      <c r="D4821">
        <v>2.6</v>
      </c>
      <c r="E4821">
        <v>35</v>
      </c>
      <c r="F4821">
        <v>36</v>
      </c>
      <c r="H4821">
        <v>36</v>
      </c>
      <c r="I4821">
        <v>1.05</v>
      </c>
      <c r="J4821">
        <v>396</v>
      </c>
    </row>
    <row r="4822" spans="1:10" ht="14.25" customHeight="1" x14ac:dyDescent="0.25">
      <c r="A4822" s="21">
        <v>47079</v>
      </c>
      <c r="B4822" s="21"/>
      <c r="C4822">
        <v>25.9</v>
      </c>
      <c r="D4822">
        <v>2.9</v>
      </c>
      <c r="E4822">
        <v>142</v>
      </c>
      <c r="F4822">
        <v>64</v>
      </c>
      <c r="H4822">
        <v>64</v>
      </c>
      <c r="I4822">
        <v>1.46</v>
      </c>
      <c r="J4822" s="1">
        <v>3716</v>
      </c>
    </row>
    <row r="4823" spans="1:10" ht="14.25" customHeight="1" x14ac:dyDescent="0.25">
      <c r="A4823" s="21">
        <v>47089</v>
      </c>
      <c r="B4823" s="21"/>
      <c r="C4823">
        <v>25.9</v>
      </c>
      <c r="D4823">
        <v>4</v>
      </c>
      <c r="E4823">
        <v>93</v>
      </c>
      <c r="F4823">
        <v>58</v>
      </c>
      <c r="G4823">
        <v>6</v>
      </c>
      <c r="H4823">
        <v>58</v>
      </c>
      <c r="I4823">
        <v>1.6</v>
      </c>
      <c r="J4823" s="1">
        <v>2351</v>
      </c>
    </row>
    <row r="4824" spans="1:10" ht="14.25" customHeight="1" x14ac:dyDescent="0.25">
      <c r="A4824" s="21">
        <v>47093</v>
      </c>
      <c r="B4824" s="21"/>
      <c r="H4824">
        <v>101</v>
      </c>
    </row>
    <row r="4825" spans="1:10" ht="14.25" customHeight="1" x14ac:dyDescent="0.25">
      <c r="A4825" s="21">
        <v>47093</v>
      </c>
      <c r="B4825" s="21"/>
      <c r="C4825">
        <v>265.60000000000002</v>
      </c>
      <c r="D4825">
        <v>4.8</v>
      </c>
      <c r="E4825">
        <v>463</v>
      </c>
      <c r="F4825">
        <v>354</v>
      </c>
      <c r="G4825">
        <v>30</v>
      </c>
      <c r="H4825">
        <v>354</v>
      </c>
      <c r="I4825">
        <v>1.92</v>
      </c>
      <c r="J4825" s="1">
        <v>22847</v>
      </c>
    </row>
    <row r="4826" spans="1:10" ht="14.25" customHeight="1" x14ac:dyDescent="0.25">
      <c r="A4826" s="21">
        <v>47093</v>
      </c>
      <c r="B4826" s="21"/>
      <c r="I4826">
        <v>1.84</v>
      </c>
    </row>
    <row r="4827" spans="1:10" ht="14.25" customHeight="1" x14ac:dyDescent="0.25">
      <c r="A4827" s="21">
        <v>47093</v>
      </c>
      <c r="B4827" s="21"/>
      <c r="C4827">
        <v>214.2</v>
      </c>
      <c r="D4827">
        <v>5.0999999999999996</v>
      </c>
      <c r="E4827">
        <v>450</v>
      </c>
      <c r="F4827">
        <v>280</v>
      </c>
      <c r="G4827">
        <v>45</v>
      </c>
      <c r="H4827">
        <v>280</v>
      </c>
      <c r="I4827">
        <v>1.8</v>
      </c>
      <c r="J4827" s="1">
        <v>16497</v>
      </c>
    </row>
    <row r="4828" spans="1:10" ht="14.25" customHeight="1" x14ac:dyDescent="0.25">
      <c r="A4828" s="21">
        <v>47093</v>
      </c>
      <c r="B4828" s="21"/>
      <c r="C4828">
        <v>450.1</v>
      </c>
      <c r="D4828">
        <v>5.7</v>
      </c>
      <c r="E4828">
        <v>936</v>
      </c>
      <c r="F4828">
        <v>632</v>
      </c>
      <c r="G4828">
        <v>20</v>
      </c>
      <c r="H4828">
        <v>632</v>
      </c>
      <c r="I4828">
        <v>1.95</v>
      </c>
      <c r="J4828" s="1">
        <v>30393</v>
      </c>
    </row>
    <row r="4829" spans="1:10" ht="14.25" customHeight="1" x14ac:dyDescent="0.25">
      <c r="A4829" s="21">
        <v>47093</v>
      </c>
      <c r="B4829" s="21"/>
      <c r="C4829">
        <v>9.8000000000000007</v>
      </c>
      <c r="D4829">
        <v>3.8</v>
      </c>
      <c r="J4829">
        <v>931</v>
      </c>
    </row>
    <row r="4830" spans="1:10" ht="14.25" customHeight="1" x14ac:dyDescent="0.25">
      <c r="A4830" s="21">
        <v>47093</v>
      </c>
      <c r="B4830" s="21"/>
      <c r="C4830">
        <v>145</v>
      </c>
      <c r="D4830">
        <v>4.5999999999999996</v>
      </c>
      <c r="E4830">
        <v>318</v>
      </c>
      <c r="F4830">
        <v>218</v>
      </c>
      <c r="G4830">
        <v>33</v>
      </c>
      <c r="H4830">
        <v>108</v>
      </c>
      <c r="J4830" s="1">
        <v>13583</v>
      </c>
    </row>
    <row r="4831" spans="1:10" ht="14.25" customHeight="1" x14ac:dyDescent="0.25">
      <c r="A4831" s="21">
        <v>47099</v>
      </c>
      <c r="B4831" s="21"/>
      <c r="C4831">
        <v>16.899999999999999</v>
      </c>
      <c r="D4831">
        <v>3.8</v>
      </c>
      <c r="E4831">
        <v>107</v>
      </c>
      <c r="F4831">
        <v>89</v>
      </c>
      <c r="G4831">
        <v>6</v>
      </c>
      <c r="H4831">
        <v>89</v>
      </c>
      <c r="I4831">
        <v>1.29</v>
      </c>
      <c r="J4831" s="1">
        <v>1796</v>
      </c>
    </row>
    <row r="4832" spans="1:10" ht="14.25" customHeight="1" x14ac:dyDescent="0.25">
      <c r="A4832" s="21">
        <v>47103</v>
      </c>
      <c r="B4832" s="21"/>
      <c r="C4832">
        <v>8.6</v>
      </c>
      <c r="D4832">
        <v>3.3</v>
      </c>
      <c r="E4832">
        <v>54</v>
      </c>
      <c r="F4832">
        <v>49</v>
      </c>
      <c r="G4832">
        <v>6</v>
      </c>
      <c r="H4832">
        <v>49</v>
      </c>
      <c r="I4832">
        <v>1.29</v>
      </c>
      <c r="J4832" s="1">
        <v>1102</v>
      </c>
    </row>
    <row r="4833" spans="1:10" ht="14.25" customHeight="1" x14ac:dyDescent="0.25">
      <c r="A4833" s="21">
        <v>47105</v>
      </c>
      <c r="B4833" s="21"/>
      <c r="C4833">
        <v>26.3</v>
      </c>
      <c r="D4833">
        <v>4.2</v>
      </c>
      <c r="E4833">
        <v>67</v>
      </c>
      <c r="F4833">
        <v>30</v>
      </c>
      <c r="G4833">
        <v>5</v>
      </c>
      <c r="H4833">
        <v>30</v>
      </c>
      <c r="I4833">
        <v>1.55</v>
      </c>
      <c r="J4833" s="1">
        <v>2285</v>
      </c>
    </row>
    <row r="4834" spans="1:10" ht="14.25" customHeight="1" x14ac:dyDescent="0.25">
      <c r="A4834" s="21">
        <v>47107</v>
      </c>
      <c r="B4834" s="21"/>
      <c r="C4834">
        <v>25.2</v>
      </c>
      <c r="D4834">
        <v>4</v>
      </c>
      <c r="E4834">
        <v>164</v>
      </c>
      <c r="F4834">
        <v>88</v>
      </c>
      <c r="G4834">
        <v>4</v>
      </c>
      <c r="H4834">
        <v>88</v>
      </c>
      <c r="I4834">
        <v>1.24</v>
      </c>
      <c r="J4834" s="1">
        <v>2543</v>
      </c>
    </row>
    <row r="4835" spans="1:10" ht="14.25" customHeight="1" x14ac:dyDescent="0.25">
      <c r="A4835" s="21">
        <v>47107</v>
      </c>
      <c r="B4835" s="21"/>
    </row>
    <row r="4836" spans="1:10" ht="14.25" customHeight="1" x14ac:dyDescent="0.25">
      <c r="A4836" s="21">
        <v>47109</v>
      </c>
      <c r="B4836" s="21"/>
      <c r="C4836">
        <v>3.7</v>
      </c>
      <c r="D4836">
        <v>2.5</v>
      </c>
      <c r="J4836">
        <v>653</v>
      </c>
    </row>
    <row r="4837" spans="1:10" ht="14.25" customHeight="1" x14ac:dyDescent="0.25">
      <c r="A4837" s="21">
        <v>47113</v>
      </c>
      <c r="B4837" s="21"/>
      <c r="C4837">
        <v>42.6</v>
      </c>
      <c r="D4837">
        <v>4.5</v>
      </c>
      <c r="E4837">
        <v>10</v>
      </c>
      <c r="F4837">
        <v>115</v>
      </c>
      <c r="G4837">
        <v>16</v>
      </c>
      <c r="H4837">
        <v>115</v>
      </c>
      <c r="I4837">
        <v>1.77</v>
      </c>
      <c r="J4837" s="1">
        <v>3554</v>
      </c>
    </row>
    <row r="4838" spans="1:10" ht="14.25" customHeight="1" x14ac:dyDescent="0.25">
      <c r="A4838" s="21">
        <v>47113</v>
      </c>
      <c r="B4838" s="21"/>
      <c r="C4838">
        <v>415.6</v>
      </c>
      <c r="D4838">
        <v>5.5</v>
      </c>
      <c r="E4838">
        <v>681</v>
      </c>
      <c r="F4838">
        <v>777</v>
      </c>
      <c r="G4838">
        <v>73</v>
      </c>
      <c r="H4838">
        <v>635</v>
      </c>
      <c r="I4838">
        <v>1.87</v>
      </c>
      <c r="J4838" s="1">
        <v>28588</v>
      </c>
    </row>
    <row r="4839" spans="1:10" ht="14.25" customHeight="1" x14ac:dyDescent="0.25">
      <c r="A4839" s="21">
        <v>47115</v>
      </c>
      <c r="B4839" s="21"/>
      <c r="C4839">
        <v>10</v>
      </c>
      <c r="D4839">
        <v>3.6</v>
      </c>
      <c r="J4839" s="1">
        <v>1029</v>
      </c>
    </row>
    <row r="4840" spans="1:10" ht="14.25" customHeight="1" x14ac:dyDescent="0.25">
      <c r="A4840" s="21">
        <v>47119</v>
      </c>
      <c r="B4840" s="21"/>
      <c r="C4840">
        <v>141.9</v>
      </c>
      <c r="D4840">
        <v>4.2</v>
      </c>
      <c r="E4840">
        <v>326</v>
      </c>
      <c r="F4840">
        <v>265</v>
      </c>
      <c r="G4840">
        <v>41</v>
      </c>
      <c r="H4840">
        <v>265</v>
      </c>
      <c r="I4840">
        <v>1.69</v>
      </c>
      <c r="J4840" s="1">
        <v>12573</v>
      </c>
    </row>
    <row r="4841" spans="1:10" ht="14.25" customHeight="1" x14ac:dyDescent="0.25">
      <c r="A4841" s="21">
        <v>47123</v>
      </c>
      <c r="B4841" s="21"/>
      <c r="C4841">
        <v>25.2</v>
      </c>
      <c r="D4841">
        <v>5</v>
      </c>
      <c r="E4841">
        <v>59</v>
      </c>
      <c r="F4841">
        <v>59</v>
      </c>
      <c r="H4841">
        <v>59</v>
      </c>
      <c r="I4841">
        <v>1.25</v>
      </c>
      <c r="J4841" s="1">
        <v>1942</v>
      </c>
    </row>
    <row r="4842" spans="1:10" ht="14.25" customHeight="1" x14ac:dyDescent="0.25">
      <c r="A4842" s="21">
        <v>47125</v>
      </c>
      <c r="B4842" s="21"/>
      <c r="C4842">
        <v>100.5</v>
      </c>
      <c r="D4842">
        <v>4.3</v>
      </c>
      <c r="E4842">
        <v>272</v>
      </c>
      <c r="F4842">
        <v>234</v>
      </c>
      <c r="G4842">
        <v>21</v>
      </c>
      <c r="H4842">
        <v>234</v>
      </c>
      <c r="I4842">
        <v>1.51</v>
      </c>
      <c r="J4842" s="1">
        <v>9528</v>
      </c>
    </row>
    <row r="4843" spans="1:10" ht="14.25" customHeight="1" x14ac:dyDescent="0.25">
      <c r="A4843" s="21">
        <v>47131</v>
      </c>
      <c r="B4843" s="21"/>
      <c r="C4843">
        <v>18.3</v>
      </c>
      <c r="D4843">
        <v>3.1</v>
      </c>
      <c r="E4843">
        <v>78</v>
      </c>
      <c r="F4843">
        <v>63</v>
      </c>
      <c r="H4843">
        <v>63</v>
      </c>
      <c r="I4843">
        <v>1.37</v>
      </c>
      <c r="J4843" s="1">
        <v>2333</v>
      </c>
    </row>
    <row r="4844" spans="1:10" ht="14.25" customHeight="1" x14ac:dyDescent="0.25">
      <c r="A4844" s="21">
        <v>47133</v>
      </c>
      <c r="B4844" s="21"/>
      <c r="C4844">
        <v>18</v>
      </c>
      <c r="D4844">
        <v>4.3</v>
      </c>
      <c r="E4844">
        <v>54</v>
      </c>
      <c r="F4844">
        <v>90</v>
      </c>
      <c r="G4844">
        <v>6</v>
      </c>
      <c r="H4844">
        <v>90</v>
      </c>
      <c r="I4844">
        <v>1.25</v>
      </c>
      <c r="J4844" s="1">
        <v>1680</v>
      </c>
    </row>
    <row r="4845" spans="1:10" ht="14.25" customHeight="1" x14ac:dyDescent="0.25">
      <c r="A4845" s="21">
        <v>47135</v>
      </c>
      <c r="B4845" s="21"/>
      <c r="C4845">
        <v>4.5</v>
      </c>
      <c r="D4845">
        <v>5</v>
      </c>
      <c r="E4845">
        <v>15</v>
      </c>
      <c r="F4845">
        <v>21</v>
      </c>
      <c r="H4845">
        <v>21</v>
      </c>
      <c r="I4845">
        <v>0.95</v>
      </c>
      <c r="J4845">
        <v>334</v>
      </c>
    </row>
    <row r="4846" spans="1:10" ht="14.25" customHeight="1" x14ac:dyDescent="0.25">
      <c r="A4846" s="21">
        <v>47141</v>
      </c>
      <c r="B4846" s="21"/>
      <c r="C4846">
        <v>149.4</v>
      </c>
      <c r="D4846">
        <v>4.4000000000000004</v>
      </c>
      <c r="E4846">
        <v>367</v>
      </c>
      <c r="F4846">
        <v>211</v>
      </c>
      <c r="G4846">
        <v>38</v>
      </c>
      <c r="H4846">
        <v>211</v>
      </c>
      <c r="I4846">
        <v>1.78</v>
      </c>
      <c r="J4846" s="1">
        <v>13256</v>
      </c>
    </row>
    <row r="4847" spans="1:10" ht="14.25" customHeight="1" x14ac:dyDescent="0.25">
      <c r="A4847" s="21">
        <v>47145</v>
      </c>
      <c r="B4847" s="21"/>
      <c r="C4847">
        <v>27.8</v>
      </c>
      <c r="D4847">
        <v>3.7</v>
      </c>
      <c r="E4847">
        <v>74</v>
      </c>
      <c r="F4847">
        <v>52</v>
      </c>
      <c r="G4847">
        <v>6</v>
      </c>
      <c r="H4847">
        <v>52</v>
      </c>
      <c r="I4847">
        <v>1.42</v>
      </c>
      <c r="J4847" s="1">
        <v>2743</v>
      </c>
    </row>
    <row r="4848" spans="1:10" ht="14.25" customHeight="1" x14ac:dyDescent="0.25">
      <c r="A4848" s="21">
        <v>47147</v>
      </c>
      <c r="B4848" s="21"/>
      <c r="C4848">
        <v>25.3</v>
      </c>
      <c r="D4848">
        <v>4.8</v>
      </c>
      <c r="E4848">
        <v>158</v>
      </c>
      <c r="F4848">
        <v>109</v>
      </c>
      <c r="G4848">
        <v>8</v>
      </c>
      <c r="H4848">
        <v>109</v>
      </c>
      <c r="I4848">
        <v>1.64</v>
      </c>
      <c r="J4848" s="1">
        <v>2255</v>
      </c>
    </row>
    <row r="4849" spans="1:10" ht="14.25" customHeight="1" x14ac:dyDescent="0.25">
      <c r="A4849" s="21">
        <v>47149</v>
      </c>
      <c r="B4849" s="21"/>
      <c r="C4849">
        <v>212.4</v>
      </c>
      <c r="D4849">
        <v>4.4000000000000004</v>
      </c>
      <c r="E4849">
        <v>334</v>
      </c>
      <c r="F4849">
        <v>287</v>
      </c>
      <c r="G4849">
        <v>68</v>
      </c>
      <c r="H4849">
        <v>285</v>
      </c>
      <c r="I4849">
        <v>1.56</v>
      </c>
      <c r="J4849" s="1">
        <v>19370</v>
      </c>
    </row>
    <row r="4850" spans="1:10" ht="14.25" customHeight="1" x14ac:dyDescent="0.25">
      <c r="A4850" s="21">
        <v>47149</v>
      </c>
      <c r="B4850" s="21"/>
      <c r="C4850">
        <v>52.2</v>
      </c>
      <c r="D4850">
        <v>3.6</v>
      </c>
      <c r="E4850">
        <v>192</v>
      </c>
      <c r="F4850">
        <v>109</v>
      </c>
      <c r="G4850">
        <v>10</v>
      </c>
      <c r="H4850">
        <v>109</v>
      </c>
      <c r="I4850">
        <v>1.79</v>
      </c>
      <c r="J4850" s="1">
        <v>5875</v>
      </c>
    </row>
    <row r="4851" spans="1:10" ht="14.25" customHeight="1" x14ac:dyDescent="0.25">
      <c r="A4851" s="21">
        <v>47149</v>
      </c>
      <c r="B4851" s="21"/>
    </row>
    <row r="4852" spans="1:10" ht="14.25" customHeight="1" x14ac:dyDescent="0.25">
      <c r="A4852" s="21">
        <v>47149</v>
      </c>
      <c r="B4852" s="21"/>
      <c r="C4852">
        <v>0</v>
      </c>
      <c r="D4852">
        <v>18</v>
      </c>
      <c r="E4852">
        <v>17</v>
      </c>
      <c r="F4852">
        <v>18</v>
      </c>
      <c r="H4852">
        <v>18</v>
      </c>
      <c r="I4852">
        <v>1.17</v>
      </c>
      <c r="J4852">
        <v>1</v>
      </c>
    </row>
    <row r="4853" spans="1:10" ht="14.25" customHeight="1" x14ac:dyDescent="0.25">
      <c r="A4853" s="21">
        <v>47149</v>
      </c>
      <c r="B4853" s="21"/>
    </row>
    <row r="4854" spans="1:10" ht="14.25" customHeight="1" x14ac:dyDescent="0.25">
      <c r="A4854" s="21">
        <v>47151</v>
      </c>
      <c r="B4854" s="21"/>
      <c r="C4854">
        <v>4.5</v>
      </c>
      <c r="D4854">
        <v>3.8</v>
      </c>
      <c r="E4854">
        <v>27</v>
      </c>
      <c r="F4854">
        <v>25</v>
      </c>
      <c r="H4854">
        <v>25</v>
      </c>
      <c r="I4854">
        <v>1.17</v>
      </c>
      <c r="J4854">
        <v>427</v>
      </c>
    </row>
    <row r="4855" spans="1:10" ht="14.25" customHeight="1" x14ac:dyDescent="0.25">
      <c r="A4855" s="21">
        <v>47155</v>
      </c>
      <c r="B4855" s="21"/>
      <c r="C4855">
        <v>38.700000000000003</v>
      </c>
      <c r="D4855">
        <v>3.5</v>
      </c>
      <c r="E4855">
        <v>145</v>
      </c>
      <c r="F4855">
        <v>58</v>
      </c>
      <c r="G4855">
        <v>16</v>
      </c>
      <c r="H4855">
        <v>58</v>
      </c>
      <c r="I4855">
        <v>1.44</v>
      </c>
      <c r="J4855" s="1">
        <v>4538</v>
      </c>
    </row>
    <row r="4856" spans="1:10" ht="14.25" customHeight="1" x14ac:dyDescent="0.25">
      <c r="A4856" s="21">
        <v>47157</v>
      </c>
      <c r="B4856" s="21"/>
      <c r="C4856">
        <v>95.7</v>
      </c>
      <c r="D4856">
        <v>4.4000000000000004</v>
      </c>
      <c r="E4856">
        <v>147</v>
      </c>
      <c r="F4856">
        <v>156</v>
      </c>
      <c r="G4856">
        <v>32</v>
      </c>
      <c r="H4856">
        <v>156</v>
      </c>
      <c r="I4856">
        <v>1.67</v>
      </c>
      <c r="J4856" s="1">
        <v>8019</v>
      </c>
    </row>
    <row r="4857" spans="1:10" ht="14.25" customHeight="1" x14ac:dyDescent="0.25">
      <c r="A4857" s="21">
        <v>47157</v>
      </c>
      <c r="B4857" s="21"/>
      <c r="C4857">
        <v>202.4</v>
      </c>
      <c r="D4857">
        <v>7.8</v>
      </c>
      <c r="E4857">
        <v>321</v>
      </c>
      <c r="F4857">
        <v>288</v>
      </c>
      <c r="H4857">
        <v>288</v>
      </c>
      <c r="I4857">
        <v>2.44</v>
      </c>
      <c r="J4857" s="1">
        <v>10840</v>
      </c>
    </row>
    <row r="4858" spans="1:10" ht="14.25" customHeight="1" x14ac:dyDescent="0.25">
      <c r="A4858" s="21">
        <v>47157</v>
      </c>
      <c r="B4858" s="21"/>
    </row>
    <row r="4859" spans="1:10" ht="14.25" customHeight="1" x14ac:dyDescent="0.25">
      <c r="A4859" s="21">
        <v>47157</v>
      </c>
      <c r="B4859" s="21"/>
      <c r="C4859">
        <v>3.7</v>
      </c>
      <c r="D4859">
        <v>10.5</v>
      </c>
      <c r="E4859">
        <v>7</v>
      </c>
      <c r="F4859">
        <v>112</v>
      </c>
      <c r="H4859">
        <v>112</v>
      </c>
      <c r="I4859">
        <v>1.1499999999999999</v>
      </c>
      <c r="J4859">
        <v>127</v>
      </c>
    </row>
    <row r="4860" spans="1:10" ht="14.25" customHeight="1" x14ac:dyDescent="0.25">
      <c r="A4860" s="21">
        <v>47157</v>
      </c>
      <c r="B4860" s="21"/>
      <c r="C4860">
        <v>585.6</v>
      </c>
      <c r="D4860">
        <v>6.2</v>
      </c>
      <c r="E4860">
        <v>914</v>
      </c>
      <c r="F4860">
        <v>793</v>
      </c>
      <c r="G4860">
        <v>61</v>
      </c>
      <c r="H4860">
        <v>642</v>
      </c>
      <c r="I4860">
        <v>2.0099999999999998</v>
      </c>
      <c r="J4860" s="1">
        <v>36277</v>
      </c>
    </row>
    <row r="4861" spans="1:10" ht="14.25" customHeight="1" x14ac:dyDescent="0.25">
      <c r="A4861" s="21">
        <v>47157</v>
      </c>
      <c r="B4861" s="21"/>
      <c r="C4861">
        <v>951.3</v>
      </c>
      <c r="D4861">
        <v>5.8</v>
      </c>
      <c r="E4861" s="1">
        <v>1179</v>
      </c>
      <c r="F4861" s="1">
        <v>1328</v>
      </c>
      <c r="G4861">
        <v>105</v>
      </c>
      <c r="H4861">
        <v>617</v>
      </c>
      <c r="I4861">
        <v>1.92</v>
      </c>
      <c r="J4861" s="1">
        <v>61866</v>
      </c>
    </row>
    <row r="4862" spans="1:10" ht="14.25" customHeight="1" x14ac:dyDescent="0.25">
      <c r="A4862" s="21">
        <v>47157</v>
      </c>
      <c r="B4862" s="21"/>
      <c r="C4862">
        <v>183.8</v>
      </c>
      <c r="D4862">
        <v>4.7</v>
      </c>
      <c r="E4862">
        <v>315</v>
      </c>
      <c r="F4862">
        <v>325</v>
      </c>
      <c r="H4862">
        <v>325</v>
      </c>
      <c r="I4862">
        <v>1.83</v>
      </c>
      <c r="J4862" s="1">
        <v>14664</v>
      </c>
    </row>
    <row r="4863" spans="1:10" ht="14.25" customHeight="1" x14ac:dyDescent="0.25">
      <c r="A4863" s="21">
        <v>47157</v>
      </c>
      <c r="B4863" s="21"/>
      <c r="H4863">
        <v>246</v>
      </c>
    </row>
    <row r="4864" spans="1:10" ht="14.25" customHeight="1" x14ac:dyDescent="0.25">
      <c r="A4864" s="21">
        <v>47157</v>
      </c>
      <c r="B4864" s="21"/>
      <c r="E4864">
        <v>9</v>
      </c>
      <c r="H4864">
        <v>309</v>
      </c>
    </row>
    <row r="4865" spans="1:10" ht="14.25" customHeight="1" x14ac:dyDescent="0.25">
      <c r="A4865" s="21">
        <v>47157</v>
      </c>
      <c r="B4865" s="21"/>
      <c r="H4865">
        <v>156</v>
      </c>
    </row>
    <row r="4866" spans="1:10" ht="14.25" customHeight="1" x14ac:dyDescent="0.25">
      <c r="A4866" s="21">
        <v>47157</v>
      </c>
      <c r="B4866" s="21"/>
      <c r="H4866">
        <v>71</v>
      </c>
    </row>
    <row r="4867" spans="1:10" ht="14.25" customHeight="1" x14ac:dyDescent="0.25">
      <c r="A4867" s="21">
        <v>47157</v>
      </c>
      <c r="B4867" s="21"/>
      <c r="E4867">
        <v>41</v>
      </c>
      <c r="H4867">
        <v>140</v>
      </c>
    </row>
    <row r="4868" spans="1:10" ht="14.25" customHeight="1" x14ac:dyDescent="0.25">
      <c r="A4868" s="21">
        <v>47159</v>
      </c>
      <c r="B4868" s="21"/>
    </row>
    <row r="4869" spans="1:10" ht="14.25" customHeight="1" x14ac:dyDescent="0.25">
      <c r="A4869" s="21">
        <v>47163</v>
      </c>
      <c r="B4869" s="21"/>
      <c r="C4869">
        <v>43.1</v>
      </c>
      <c r="D4869">
        <v>4.3</v>
      </c>
      <c r="E4869">
        <v>174</v>
      </c>
      <c r="F4869">
        <v>148</v>
      </c>
      <c r="G4869">
        <v>14</v>
      </c>
      <c r="H4869">
        <v>148</v>
      </c>
      <c r="I4869">
        <v>1.65</v>
      </c>
      <c r="J4869" s="1">
        <v>4044</v>
      </c>
    </row>
    <row r="4870" spans="1:10" ht="14.25" customHeight="1" x14ac:dyDescent="0.25">
      <c r="A4870" s="21">
        <v>47163</v>
      </c>
      <c r="B4870" s="21"/>
      <c r="C4870">
        <v>219.5</v>
      </c>
      <c r="D4870">
        <v>4.4000000000000004</v>
      </c>
      <c r="E4870">
        <v>502</v>
      </c>
      <c r="F4870">
        <v>316</v>
      </c>
      <c r="G4870">
        <v>36</v>
      </c>
      <c r="H4870">
        <v>316</v>
      </c>
      <c r="I4870">
        <v>1.88</v>
      </c>
      <c r="J4870" s="1">
        <v>18407</v>
      </c>
    </row>
    <row r="4871" spans="1:10" ht="14.25" customHeight="1" x14ac:dyDescent="0.25">
      <c r="A4871" s="21">
        <v>47163</v>
      </c>
      <c r="B4871" s="21"/>
      <c r="C4871">
        <v>177.2</v>
      </c>
      <c r="D4871">
        <v>4.4000000000000004</v>
      </c>
      <c r="E4871">
        <v>356</v>
      </c>
      <c r="F4871">
        <v>232</v>
      </c>
      <c r="G4871">
        <v>42</v>
      </c>
      <c r="H4871">
        <v>232</v>
      </c>
      <c r="I4871">
        <v>1.65</v>
      </c>
      <c r="J4871" s="1">
        <v>15255</v>
      </c>
    </row>
    <row r="4872" spans="1:10" ht="14.25" customHeight="1" x14ac:dyDescent="0.25">
      <c r="A4872" s="21">
        <v>47165</v>
      </c>
      <c r="B4872" s="21"/>
      <c r="C4872">
        <v>70.3</v>
      </c>
      <c r="D4872">
        <v>4</v>
      </c>
      <c r="E4872">
        <v>212</v>
      </c>
      <c r="F4872">
        <v>126</v>
      </c>
      <c r="G4872">
        <v>18</v>
      </c>
      <c r="H4872">
        <v>126</v>
      </c>
      <c r="I4872">
        <v>1.32</v>
      </c>
      <c r="J4872" s="1">
        <v>6801</v>
      </c>
    </row>
    <row r="4873" spans="1:10" ht="14.25" customHeight="1" x14ac:dyDescent="0.25">
      <c r="A4873" s="21">
        <v>47165</v>
      </c>
      <c r="B4873" s="21"/>
      <c r="C4873">
        <v>71.400000000000006</v>
      </c>
      <c r="D4873">
        <v>3.7</v>
      </c>
      <c r="E4873">
        <v>272</v>
      </c>
      <c r="F4873">
        <v>129</v>
      </c>
      <c r="G4873">
        <v>20</v>
      </c>
      <c r="H4873">
        <v>129</v>
      </c>
      <c r="I4873">
        <v>1.56</v>
      </c>
      <c r="J4873" s="1">
        <v>7454</v>
      </c>
    </row>
    <row r="4874" spans="1:10" ht="14.25" customHeight="1" x14ac:dyDescent="0.25">
      <c r="A4874" s="21">
        <v>47167</v>
      </c>
      <c r="B4874" s="21"/>
      <c r="C4874">
        <v>5.5</v>
      </c>
      <c r="D4874">
        <v>2.2000000000000002</v>
      </c>
      <c r="E4874">
        <v>88</v>
      </c>
      <c r="F4874">
        <v>47</v>
      </c>
      <c r="H4874">
        <v>47</v>
      </c>
      <c r="I4874">
        <v>1.18</v>
      </c>
      <c r="J4874" s="1">
        <v>1166</v>
      </c>
    </row>
    <row r="4875" spans="1:10" ht="14.25" customHeight="1" x14ac:dyDescent="0.25">
      <c r="A4875" s="21">
        <v>47171</v>
      </c>
      <c r="B4875" s="21"/>
      <c r="C4875">
        <v>3.8</v>
      </c>
      <c r="D4875">
        <v>3.2</v>
      </c>
      <c r="E4875">
        <v>32</v>
      </c>
      <c r="F4875">
        <v>10</v>
      </c>
      <c r="H4875">
        <v>10</v>
      </c>
      <c r="I4875">
        <v>1.17</v>
      </c>
      <c r="J4875">
        <v>442</v>
      </c>
    </row>
    <row r="4876" spans="1:10" ht="14.25" customHeight="1" x14ac:dyDescent="0.25">
      <c r="A4876" s="21">
        <v>47177</v>
      </c>
      <c r="B4876" s="21"/>
      <c r="C4876">
        <v>12.3</v>
      </c>
      <c r="D4876">
        <v>2.9</v>
      </c>
      <c r="E4876">
        <v>107</v>
      </c>
      <c r="F4876">
        <v>100</v>
      </c>
      <c r="G4876">
        <v>8</v>
      </c>
      <c r="H4876">
        <v>100</v>
      </c>
      <c r="I4876">
        <v>1.34</v>
      </c>
      <c r="J4876" s="1">
        <v>1824</v>
      </c>
    </row>
    <row r="4877" spans="1:10" ht="14.25" customHeight="1" x14ac:dyDescent="0.25">
      <c r="A4877" s="21">
        <v>47179</v>
      </c>
      <c r="B4877" s="21"/>
      <c r="C4877">
        <v>366.6</v>
      </c>
      <c r="D4877">
        <v>5.2</v>
      </c>
      <c r="E4877">
        <v>614</v>
      </c>
      <c r="F4877">
        <v>514</v>
      </c>
      <c r="G4877">
        <v>56</v>
      </c>
      <c r="H4877">
        <v>445</v>
      </c>
      <c r="I4877">
        <v>1.78</v>
      </c>
      <c r="J4877" s="1">
        <v>26139</v>
      </c>
    </row>
    <row r="4878" spans="1:10" ht="14.25" customHeight="1" x14ac:dyDescent="0.25">
      <c r="A4878" s="21">
        <v>47179</v>
      </c>
      <c r="B4878" s="21"/>
      <c r="C4878">
        <v>45.5</v>
      </c>
      <c r="D4878">
        <v>3.8</v>
      </c>
      <c r="E4878">
        <v>93</v>
      </c>
      <c r="F4878">
        <v>80</v>
      </c>
      <c r="G4878">
        <v>20</v>
      </c>
      <c r="H4878">
        <v>80</v>
      </c>
      <c r="I4878">
        <v>1.33</v>
      </c>
      <c r="J4878" s="1">
        <v>4983</v>
      </c>
    </row>
    <row r="4879" spans="1:10" ht="14.25" customHeight="1" x14ac:dyDescent="0.25">
      <c r="A4879" s="21">
        <v>47179</v>
      </c>
      <c r="B4879" s="21"/>
      <c r="C4879">
        <v>5.7</v>
      </c>
      <c r="D4879">
        <v>4</v>
      </c>
      <c r="J4879" s="1">
        <v>1075</v>
      </c>
    </row>
    <row r="4880" spans="1:10" ht="14.25" customHeight="1" x14ac:dyDescent="0.25">
      <c r="A4880" s="21">
        <v>47181</v>
      </c>
      <c r="B4880" s="21"/>
      <c r="C4880">
        <v>7.5</v>
      </c>
      <c r="D4880">
        <v>6.3</v>
      </c>
      <c r="E4880">
        <v>24</v>
      </c>
      <c r="F4880">
        <v>30</v>
      </c>
      <c r="H4880">
        <v>30</v>
      </c>
      <c r="I4880">
        <v>1.04</v>
      </c>
      <c r="J4880">
        <v>435</v>
      </c>
    </row>
    <row r="4881" spans="1:10" ht="14.25" customHeight="1" x14ac:dyDescent="0.25">
      <c r="A4881" s="21">
        <v>47183</v>
      </c>
      <c r="B4881" s="21"/>
      <c r="C4881">
        <v>7.2</v>
      </c>
      <c r="D4881">
        <v>2.8</v>
      </c>
      <c r="E4881">
        <v>53</v>
      </c>
      <c r="F4881">
        <v>38</v>
      </c>
      <c r="G4881">
        <v>6</v>
      </c>
      <c r="H4881">
        <v>38</v>
      </c>
      <c r="I4881">
        <v>1.26</v>
      </c>
      <c r="J4881" s="1">
        <v>1171</v>
      </c>
    </row>
    <row r="4882" spans="1:10" ht="14.25" customHeight="1" x14ac:dyDescent="0.25">
      <c r="A4882" s="21">
        <v>47185</v>
      </c>
      <c r="B4882" s="21"/>
      <c r="C4882">
        <v>3.7</v>
      </c>
      <c r="D4882">
        <v>2.9</v>
      </c>
      <c r="E4882">
        <v>43</v>
      </c>
      <c r="F4882">
        <v>32</v>
      </c>
      <c r="G4882">
        <v>4</v>
      </c>
      <c r="H4882">
        <v>32</v>
      </c>
      <c r="I4882">
        <v>1.28</v>
      </c>
      <c r="J4882">
        <v>478</v>
      </c>
    </row>
    <row r="4883" spans="1:10" ht="14.25" customHeight="1" x14ac:dyDescent="0.25">
      <c r="A4883" s="21">
        <v>47187</v>
      </c>
      <c r="B4883" s="21"/>
      <c r="C4883">
        <v>86</v>
      </c>
      <c r="D4883">
        <v>4</v>
      </c>
      <c r="E4883">
        <v>359</v>
      </c>
      <c r="F4883">
        <v>185</v>
      </c>
      <c r="G4883">
        <v>28</v>
      </c>
      <c r="H4883">
        <v>185</v>
      </c>
      <c r="I4883">
        <v>1.85</v>
      </c>
      <c r="J4883" s="1">
        <v>8523</v>
      </c>
    </row>
    <row r="4884" spans="1:10" ht="14.25" customHeight="1" x14ac:dyDescent="0.25">
      <c r="A4884" s="21">
        <v>47189</v>
      </c>
      <c r="B4884" s="21"/>
      <c r="C4884">
        <v>34.299999999999997</v>
      </c>
      <c r="D4884">
        <v>3.9</v>
      </c>
      <c r="E4884">
        <v>108</v>
      </c>
      <c r="F4884">
        <v>170</v>
      </c>
      <c r="G4884">
        <v>12</v>
      </c>
      <c r="H4884">
        <v>170</v>
      </c>
      <c r="I4884">
        <v>1.49</v>
      </c>
      <c r="J4884" s="1">
        <v>3402</v>
      </c>
    </row>
    <row r="4885" spans="1:10" ht="14.25" customHeight="1" x14ac:dyDescent="0.25">
      <c r="A4885" s="21">
        <v>47189</v>
      </c>
      <c r="B4885" s="21"/>
    </row>
    <row r="4886" spans="1:10" ht="14.25" customHeight="1" x14ac:dyDescent="0.25">
      <c r="A4886" s="21">
        <v>48001</v>
      </c>
      <c r="B4886" s="21"/>
      <c r="C4886">
        <v>49.6</v>
      </c>
      <c r="D4886">
        <v>5.6</v>
      </c>
      <c r="E4886">
        <v>86</v>
      </c>
      <c r="F4886">
        <v>116</v>
      </c>
      <c r="G4886">
        <v>10</v>
      </c>
      <c r="H4886">
        <v>150</v>
      </c>
      <c r="I4886">
        <v>1.32</v>
      </c>
      <c r="J4886" s="1">
        <v>3425</v>
      </c>
    </row>
    <row r="4887" spans="1:10" ht="14.25" customHeight="1" x14ac:dyDescent="0.25">
      <c r="A4887" s="21">
        <v>48003</v>
      </c>
      <c r="B4887" s="21"/>
      <c r="C4887">
        <v>3.9</v>
      </c>
      <c r="D4887">
        <v>1.7</v>
      </c>
      <c r="E4887">
        <v>36</v>
      </c>
      <c r="F4887">
        <v>30</v>
      </c>
      <c r="H4887">
        <v>30</v>
      </c>
      <c r="I4887">
        <v>1.26</v>
      </c>
      <c r="J4887" s="1">
        <v>1135</v>
      </c>
    </row>
    <row r="4888" spans="1:10" ht="14.25" customHeight="1" x14ac:dyDescent="0.25">
      <c r="A4888" s="21">
        <v>48005</v>
      </c>
      <c r="B4888" s="21"/>
      <c r="C4888">
        <v>107.2</v>
      </c>
      <c r="D4888">
        <v>5</v>
      </c>
      <c r="E4888">
        <v>157</v>
      </c>
      <c r="F4888">
        <v>172</v>
      </c>
      <c r="G4888">
        <v>24</v>
      </c>
      <c r="H4888">
        <v>172</v>
      </c>
      <c r="I4888">
        <v>1.8</v>
      </c>
      <c r="J4888" s="1">
        <v>5860</v>
      </c>
    </row>
    <row r="4889" spans="1:10" ht="14.25" customHeight="1" x14ac:dyDescent="0.25">
      <c r="A4889" s="21">
        <v>48005</v>
      </c>
      <c r="B4889" s="21"/>
      <c r="C4889">
        <v>61</v>
      </c>
      <c r="D4889">
        <v>4.2</v>
      </c>
      <c r="E4889">
        <v>94</v>
      </c>
      <c r="F4889">
        <v>145</v>
      </c>
      <c r="G4889">
        <v>15</v>
      </c>
      <c r="H4889">
        <v>145</v>
      </c>
      <c r="I4889">
        <v>1.66</v>
      </c>
      <c r="J4889" s="1">
        <v>5666</v>
      </c>
    </row>
    <row r="4890" spans="1:10" ht="14.25" customHeight="1" x14ac:dyDescent="0.25">
      <c r="A4890" s="21">
        <v>48013</v>
      </c>
      <c r="B4890" s="21"/>
      <c r="C4890">
        <v>13.5</v>
      </c>
      <c r="D4890">
        <v>3.1</v>
      </c>
      <c r="E4890">
        <v>60</v>
      </c>
      <c r="F4890">
        <v>67</v>
      </c>
      <c r="G4890">
        <v>6</v>
      </c>
      <c r="H4890">
        <v>67</v>
      </c>
      <c r="I4890">
        <v>1.27</v>
      </c>
      <c r="J4890" s="1">
        <v>1711</v>
      </c>
    </row>
    <row r="4891" spans="1:10" ht="14.25" customHeight="1" x14ac:dyDescent="0.25">
      <c r="A4891" s="21">
        <v>48015</v>
      </c>
      <c r="B4891" s="21"/>
      <c r="C4891">
        <v>2.2999999999999998</v>
      </c>
      <c r="D4891">
        <v>8.4</v>
      </c>
      <c r="E4891">
        <v>28</v>
      </c>
      <c r="F4891">
        <v>32</v>
      </c>
      <c r="H4891">
        <v>32</v>
      </c>
      <c r="I4891">
        <v>0.99</v>
      </c>
      <c r="J4891">
        <v>101</v>
      </c>
    </row>
    <row r="4892" spans="1:10" ht="14.25" customHeight="1" x14ac:dyDescent="0.25">
      <c r="A4892" s="21">
        <v>48021</v>
      </c>
      <c r="B4892" s="21"/>
      <c r="C4892">
        <v>1.5</v>
      </c>
      <c r="D4892">
        <v>3.1</v>
      </c>
      <c r="E4892">
        <v>56</v>
      </c>
      <c r="F4892">
        <v>8</v>
      </c>
      <c r="H4892">
        <v>8</v>
      </c>
      <c r="I4892">
        <v>1.07</v>
      </c>
      <c r="J4892">
        <v>184</v>
      </c>
    </row>
    <row r="4893" spans="1:10" ht="14.25" customHeight="1" x14ac:dyDescent="0.25">
      <c r="A4893" s="21">
        <v>48021</v>
      </c>
      <c r="B4893" s="21"/>
      <c r="C4893">
        <v>6.9</v>
      </c>
      <c r="D4893">
        <v>3.3</v>
      </c>
      <c r="J4893">
        <v>772</v>
      </c>
    </row>
    <row r="4894" spans="1:10" ht="14.25" customHeight="1" x14ac:dyDescent="0.25">
      <c r="A4894" s="21">
        <v>48023</v>
      </c>
      <c r="B4894" s="21"/>
      <c r="C4894">
        <v>5.0999999999999996</v>
      </c>
      <c r="D4894">
        <v>7.1</v>
      </c>
      <c r="E4894">
        <v>11</v>
      </c>
      <c r="F4894">
        <v>27</v>
      </c>
      <c r="H4894">
        <v>27</v>
      </c>
      <c r="I4894">
        <v>1.1499999999999999</v>
      </c>
      <c r="J4894">
        <v>271</v>
      </c>
    </row>
    <row r="4895" spans="1:10" ht="14.25" customHeight="1" x14ac:dyDescent="0.25">
      <c r="A4895" s="21">
        <v>48025</v>
      </c>
      <c r="B4895" s="21"/>
      <c r="C4895">
        <v>13.3</v>
      </c>
      <c r="D4895">
        <v>3.1</v>
      </c>
      <c r="E4895">
        <v>48</v>
      </c>
      <c r="F4895">
        <v>40</v>
      </c>
      <c r="G4895">
        <v>8</v>
      </c>
      <c r="H4895">
        <v>40</v>
      </c>
      <c r="I4895">
        <v>1.22</v>
      </c>
      <c r="J4895" s="1">
        <v>1662</v>
      </c>
    </row>
    <row r="4896" spans="1:10" ht="14.25" customHeight="1" x14ac:dyDescent="0.25">
      <c r="A4896" s="21">
        <v>48027</v>
      </c>
      <c r="B4896" s="21"/>
      <c r="C4896">
        <v>452.5</v>
      </c>
      <c r="D4896">
        <v>4.5999999999999996</v>
      </c>
      <c r="E4896" s="1">
        <v>1505</v>
      </c>
      <c r="F4896">
        <v>608</v>
      </c>
      <c r="G4896">
        <v>70</v>
      </c>
      <c r="H4896">
        <v>608</v>
      </c>
      <c r="I4896">
        <v>1.9</v>
      </c>
      <c r="J4896" s="1">
        <v>36407</v>
      </c>
    </row>
    <row r="4897" spans="1:10" ht="14.25" customHeight="1" x14ac:dyDescent="0.25">
      <c r="A4897" s="21">
        <v>48027</v>
      </c>
      <c r="B4897" s="21"/>
      <c r="C4897">
        <v>66</v>
      </c>
      <c r="D4897">
        <v>3.9</v>
      </c>
      <c r="E4897">
        <v>164</v>
      </c>
      <c r="F4897">
        <v>208</v>
      </c>
      <c r="G4897">
        <v>10</v>
      </c>
      <c r="H4897">
        <v>148</v>
      </c>
      <c r="I4897">
        <v>1.59</v>
      </c>
      <c r="J4897" s="1">
        <v>6702</v>
      </c>
    </row>
    <row r="4898" spans="1:10" ht="14.25" customHeight="1" x14ac:dyDescent="0.25">
      <c r="A4898" s="21">
        <v>48027</v>
      </c>
      <c r="B4898" s="21"/>
      <c r="C4898">
        <v>26.1</v>
      </c>
      <c r="D4898">
        <v>2.5</v>
      </c>
      <c r="E4898">
        <v>145</v>
      </c>
      <c r="F4898">
        <v>66</v>
      </c>
      <c r="G4898">
        <v>10</v>
      </c>
      <c r="H4898">
        <v>66</v>
      </c>
      <c r="I4898">
        <v>1.51</v>
      </c>
      <c r="J4898" s="1">
        <v>4415</v>
      </c>
    </row>
    <row r="4899" spans="1:10" ht="14.25" customHeight="1" x14ac:dyDescent="0.25">
      <c r="A4899" s="21">
        <v>48027</v>
      </c>
      <c r="B4899" s="21"/>
    </row>
    <row r="4900" spans="1:10" ht="14.25" customHeight="1" x14ac:dyDescent="0.25">
      <c r="A4900" s="21">
        <v>48029</v>
      </c>
      <c r="B4900" s="21"/>
      <c r="H4900">
        <v>120</v>
      </c>
    </row>
    <row r="4901" spans="1:10" ht="14.25" customHeight="1" x14ac:dyDescent="0.25">
      <c r="A4901" s="21">
        <v>48029</v>
      </c>
      <c r="B4901" s="21"/>
      <c r="C4901">
        <v>2.6</v>
      </c>
      <c r="D4901">
        <v>2</v>
      </c>
      <c r="E4901">
        <v>24</v>
      </c>
      <c r="F4901">
        <v>22</v>
      </c>
      <c r="H4901">
        <v>22</v>
      </c>
      <c r="I4901">
        <v>2.16</v>
      </c>
      <c r="J4901">
        <v>459</v>
      </c>
    </row>
    <row r="4902" spans="1:10" ht="14.25" customHeight="1" x14ac:dyDescent="0.25">
      <c r="A4902" s="21">
        <v>48029</v>
      </c>
      <c r="B4902" s="21"/>
      <c r="C4902">
        <v>8.1</v>
      </c>
      <c r="D4902">
        <v>2</v>
      </c>
      <c r="E4902">
        <v>46</v>
      </c>
      <c r="F4902">
        <v>30</v>
      </c>
      <c r="H4902">
        <v>30</v>
      </c>
      <c r="I4902">
        <v>2.77</v>
      </c>
      <c r="J4902" s="1">
        <v>1467</v>
      </c>
    </row>
    <row r="4903" spans="1:10" ht="14.25" customHeight="1" x14ac:dyDescent="0.25">
      <c r="A4903" s="21">
        <v>48029</v>
      </c>
      <c r="B4903" s="21"/>
      <c r="C4903">
        <v>82.4</v>
      </c>
      <c r="D4903">
        <v>3.9</v>
      </c>
      <c r="E4903">
        <v>82</v>
      </c>
      <c r="F4903">
        <v>185</v>
      </c>
      <c r="G4903">
        <v>18</v>
      </c>
      <c r="H4903">
        <v>185</v>
      </c>
      <c r="I4903">
        <v>1.78</v>
      </c>
      <c r="J4903" s="1">
        <v>8334</v>
      </c>
    </row>
    <row r="4904" spans="1:10" ht="14.25" customHeight="1" x14ac:dyDescent="0.25">
      <c r="A4904" s="21">
        <v>48029</v>
      </c>
      <c r="B4904" s="21"/>
      <c r="C4904">
        <v>124.5</v>
      </c>
      <c r="D4904">
        <v>6</v>
      </c>
      <c r="I4904">
        <v>1.66</v>
      </c>
      <c r="J4904" s="1">
        <v>7551</v>
      </c>
    </row>
    <row r="4905" spans="1:10" ht="14.25" customHeight="1" x14ac:dyDescent="0.25">
      <c r="A4905" s="21">
        <v>48029</v>
      </c>
      <c r="B4905" s="21"/>
      <c r="C4905">
        <v>464.4</v>
      </c>
      <c r="D4905">
        <v>5.9</v>
      </c>
      <c r="E4905" s="1">
        <v>1187</v>
      </c>
      <c r="F4905">
        <v>606</v>
      </c>
      <c r="G4905">
        <v>20</v>
      </c>
      <c r="H4905">
        <v>606</v>
      </c>
      <c r="I4905">
        <v>1.95</v>
      </c>
      <c r="J4905" s="1">
        <v>29631</v>
      </c>
    </row>
    <row r="4906" spans="1:10" ht="14.25" customHeight="1" x14ac:dyDescent="0.25">
      <c r="A4906" s="21">
        <v>48029</v>
      </c>
      <c r="B4906" s="21"/>
      <c r="C4906">
        <v>692.3</v>
      </c>
      <c r="D4906">
        <v>4.5999999999999996</v>
      </c>
      <c r="E4906" s="1">
        <v>1392</v>
      </c>
      <c r="F4906" s="1">
        <v>1457</v>
      </c>
      <c r="G4906">
        <v>151</v>
      </c>
      <c r="H4906" s="1">
        <v>1457</v>
      </c>
      <c r="I4906">
        <v>1.8</v>
      </c>
      <c r="J4906" s="1">
        <v>58575</v>
      </c>
    </row>
    <row r="4907" spans="1:10" ht="14.25" customHeight="1" x14ac:dyDescent="0.25">
      <c r="A4907" s="21">
        <v>48029</v>
      </c>
      <c r="B4907" s="21"/>
    </row>
    <row r="4908" spans="1:10" ht="14.25" customHeight="1" x14ac:dyDescent="0.25">
      <c r="A4908" s="21">
        <v>48029</v>
      </c>
      <c r="B4908" s="21"/>
      <c r="C4908" s="2">
        <v>1168</v>
      </c>
      <c r="D4908">
        <v>5.3</v>
      </c>
      <c r="E4908" s="1">
        <v>1340</v>
      </c>
      <c r="F4908" s="1">
        <v>1560</v>
      </c>
      <c r="G4908">
        <v>207</v>
      </c>
      <c r="H4908" s="1">
        <v>1560</v>
      </c>
      <c r="I4908">
        <v>1.89</v>
      </c>
      <c r="J4908" s="1">
        <v>83063</v>
      </c>
    </row>
    <row r="4909" spans="1:10" ht="14.25" customHeight="1" x14ac:dyDescent="0.25">
      <c r="A4909" s="21">
        <v>48029</v>
      </c>
      <c r="B4909" s="21"/>
      <c r="C4909">
        <v>5.9</v>
      </c>
      <c r="D4909">
        <v>1.8</v>
      </c>
      <c r="E4909">
        <v>22</v>
      </c>
      <c r="F4909">
        <v>20</v>
      </c>
      <c r="H4909">
        <v>20</v>
      </c>
      <c r="I4909">
        <v>2.46</v>
      </c>
      <c r="J4909" s="1">
        <v>1216</v>
      </c>
    </row>
    <row r="4910" spans="1:10" ht="14.25" customHeight="1" x14ac:dyDescent="0.25">
      <c r="A4910" s="21">
        <v>48029</v>
      </c>
      <c r="B4910" s="21"/>
      <c r="C4910">
        <v>157</v>
      </c>
      <c r="D4910">
        <v>4.7</v>
      </c>
      <c r="E4910">
        <v>179</v>
      </c>
      <c r="F4910">
        <v>227</v>
      </c>
      <c r="G4910">
        <v>28</v>
      </c>
      <c r="H4910">
        <v>227</v>
      </c>
      <c r="I4910">
        <v>1.82</v>
      </c>
      <c r="J4910" s="1">
        <v>12864</v>
      </c>
    </row>
    <row r="4911" spans="1:10" ht="14.25" customHeight="1" x14ac:dyDescent="0.25">
      <c r="A4911" s="21">
        <v>48029</v>
      </c>
      <c r="B4911" s="21"/>
      <c r="C4911">
        <v>3.4</v>
      </c>
      <c r="D4911">
        <v>1.5</v>
      </c>
      <c r="E4911">
        <v>8</v>
      </c>
      <c r="F4911">
        <v>26</v>
      </c>
      <c r="H4911">
        <v>26</v>
      </c>
      <c r="I4911">
        <v>2.09</v>
      </c>
      <c r="J4911">
        <v>853</v>
      </c>
    </row>
    <row r="4912" spans="1:10" ht="14.25" customHeight="1" x14ac:dyDescent="0.25">
      <c r="A4912" s="21">
        <v>48029</v>
      </c>
      <c r="B4912" s="21"/>
      <c r="C4912">
        <v>34.4</v>
      </c>
      <c r="D4912">
        <v>144.4</v>
      </c>
      <c r="E4912">
        <v>2</v>
      </c>
      <c r="F4912">
        <v>50</v>
      </c>
      <c r="H4912">
        <v>50</v>
      </c>
      <c r="I4912">
        <v>0.93</v>
      </c>
      <c r="J4912">
        <v>87</v>
      </c>
    </row>
    <row r="4913" spans="1:10" ht="14.25" customHeight="1" x14ac:dyDescent="0.25">
      <c r="A4913" s="21">
        <v>48029</v>
      </c>
      <c r="B4913" s="21"/>
      <c r="H4913">
        <v>110</v>
      </c>
    </row>
    <row r="4914" spans="1:10" ht="14.25" customHeight="1" x14ac:dyDescent="0.25">
      <c r="A4914" s="21">
        <v>48029</v>
      </c>
      <c r="B4914" s="21"/>
      <c r="H4914">
        <v>362</v>
      </c>
    </row>
    <row r="4915" spans="1:10" ht="14.25" customHeight="1" x14ac:dyDescent="0.25">
      <c r="A4915" s="21">
        <v>48029</v>
      </c>
      <c r="B4915" s="21"/>
      <c r="H4915">
        <v>362</v>
      </c>
    </row>
    <row r="4916" spans="1:10" ht="14.25" customHeight="1" x14ac:dyDescent="0.25">
      <c r="A4916" s="21">
        <v>48029</v>
      </c>
      <c r="B4916" s="21"/>
    </row>
    <row r="4917" spans="1:10" ht="14.25" customHeight="1" x14ac:dyDescent="0.25">
      <c r="A4917" s="21">
        <v>48029</v>
      </c>
      <c r="B4917" s="21"/>
      <c r="E4917">
        <v>1</v>
      </c>
      <c r="H4917">
        <v>153</v>
      </c>
    </row>
    <row r="4918" spans="1:10" ht="14.25" customHeight="1" x14ac:dyDescent="0.25">
      <c r="A4918" s="21">
        <v>48029</v>
      </c>
      <c r="B4918" s="21"/>
      <c r="E4918">
        <v>5</v>
      </c>
      <c r="H4918">
        <v>330</v>
      </c>
    </row>
    <row r="4919" spans="1:10" ht="14.25" customHeight="1" x14ac:dyDescent="0.25">
      <c r="A4919" s="21">
        <v>48029</v>
      </c>
      <c r="B4919" s="21"/>
      <c r="E4919">
        <v>1</v>
      </c>
      <c r="H4919">
        <v>26</v>
      </c>
    </row>
    <row r="4920" spans="1:10" ht="14.25" customHeight="1" x14ac:dyDescent="0.25">
      <c r="A4920" s="21">
        <v>48029</v>
      </c>
      <c r="B4920" s="21"/>
      <c r="E4920">
        <v>1</v>
      </c>
      <c r="H4920">
        <v>36</v>
      </c>
    </row>
    <row r="4921" spans="1:10" ht="14.25" customHeight="1" x14ac:dyDescent="0.25">
      <c r="A4921" s="21">
        <v>48029</v>
      </c>
      <c r="B4921" s="21"/>
      <c r="C4921">
        <v>229.2</v>
      </c>
      <c r="D4921">
        <v>4.0999999999999996</v>
      </c>
      <c r="E4921">
        <v>421</v>
      </c>
      <c r="F4921">
        <v>377</v>
      </c>
      <c r="G4921">
        <v>49</v>
      </c>
      <c r="H4921">
        <v>377</v>
      </c>
      <c r="I4921">
        <v>1.74</v>
      </c>
      <c r="J4921" s="1">
        <v>20679</v>
      </c>
    </row>
    <row r="4922" spans="1:10" ht="14.25" customHeight="1" x14ac:dyDescent="0.25">
      <c r="A4922" s="21">
        <v>48029</v>
      </c>
      <c r="B4922" s="21"/>
      <c r="E4922">
        <v>1</v>
      </c>
      <c r="H4922">
        <v>382</v>
      </c>
    </row>
    <row r="4923" spans="1:10" ht="14.25" customHeight="1" x14ac:dyDescent="0.25">
      <c r="A4923" s="21">
        <v>48029</v>
      </c>
      <c r="B4923" s="21"/>
      <c r="C4923">
        <v>7</v>
      </c>
      <c r="D4923">
        <v>2</v>
      </c>
      <c r="E4923">
        <v>60</v>
      </c>
      <c r="F4923">
        <v>50</v>
      </c>
      <c r="H4923">
        <v>50</v>
      </c>
      <c r="I4923">
        <v>0.92</v>
      </c>
      <c r="J4923" s="1">
        <v>1269</v>
      </c>
    </row>
    <row r="4924" spans="1:10" ht="14.25" customHeight="1" x14ac:dyDescent="0.25">
      <c r="A4924" s="21">
        <v>48029</v>
      </c>
      <c r="B4924" s="21"/>
      <c r="H4924">
        <v>150</v>
      </c>
    </row>
    <row r="4925" spans="1:10" ht="14.25" customHeight="1" x14ac:dyDescent="0.25">
      <c r="A4925" s="21">
        <v>48029</v>
      </c>
      <c r="B4925" s="21"/>
      <c r="E4925">
        <v>2</v>
      </c>
      <c r="H4925">
        <v>6</v>
      </c>
    </row>
    <row r="4926" spans="1:10" ht="14.25" customHeight="1" x14ac:dyDescent="0.25">
      <c r="A4926" s="21">
        <v>48029</v>
      </c>
      <c r="B4926" s="21"/>
      <c r="E4926">
        <v>3</v>
      </c>
      <c r="H4926">
        <v>6</v>
      </c>
    </row>
    <row r="4927" spans="1:10" ht="14.25" customHeight="1" x14ac:dyDescent="0.25">
      <c r="A4927" s="21">
        <v>48029</v>
      </c>
      <c r="B4927" s="21"/>
    </row>
    <row r="4928" spans="1:10" ht="14.25" customHeight="1" x14ac:dyDescent="0.25">
      <c r="A4928" s="21">
        <v>48029</v>
      </c>
      <c r="B4928" s="21"/>
      <c r="E4928">
        <v>6</v>
      </c>
      <c r="H4928">
        <v>8</v>
      </c>
    </row>
    <row r="4929" spans="1:10" ht="14.25" customHeight="1" x14ac:dyDescent="0.25">
      <c r="A4929" s="21">
        <v>48029</v>
      </c>
      <c r="B4929" s="21"/>
    </row>
    <row r="4930" spans="1:10" ht="14.25" customHeight="1" x14ac:dyDescent="0.25">
      <c r="A4930" s="21">
        <v>48029</v>
      </c>
      <c r="B4930" s="21"/>
    </row>
    <row r="4931" spans="1:10" ht="14.25" customHeight="1" x14ac:dyDescent="0.25">
      <c r="A4931" s="21">
        <v>48029</v>
      </c>
      <c r="B4931" s="21"/>
    </row>
    <row r="4932" spans="1:10" ht="14.25" customHeight="1" x14ac:dyDescent="0.25">
      <c r="A4932" s="21">
        <v>48037</v>
      </c>
      <c r="B4932" s="21"/>
      <c r="C4932">
        <v>73.099999999999994</v>
      </c>
      <c r="D4932">
        <v>4.8</v>
      </c>
      <c r="E4932">
        <v>138</v>
      </c>
      <c r="F4932">
        <v>185</v>
      </c>
      <c r="G4932">
        <v>26</v>
      </c>
      <c r="H4932">
        <v>185</v>
      </c>
      <c r="I4932">
        <v>1.71</v>
      </c>
      <c r="J4932" s="1">
        <v>6086</v>
      </c>
    </row>
    <row r="4933" spans="1:10" ht="14.25" customHeight="1" x14ac:dyDescent="0.25">
      <c r="A4933" s="21">
        <v>48037</v>
      </c>
      <c r="B4933" s="21"/>
      <c r="C4933">
        <v>159.19999999999999</v>
      </c>
      <c r="D4933">
        <v>4.4000000000000004</v>
      </c>
      <c r="E4933">
        <v>285</v>
      </c>
      <c r="F4933">
        <v>354</v>
      </c>
      <c r="G4933">
        <v>32</v>
      </c>
      <c r="H4933">
        <v>354</v>
      </c>
      <c r="I4933">
        <v>1.78</v>
      </c>
      <c r="J4933" s="1">
        <v>14351</v>
      </c>
    </row>
    <row r="4934" spans="1:10" ht="14.25" customHeight="1" x14ac:dyDescent="0.25">
      <c r="A4934" s="21">
        <v>48039</v>
      </c>
      <c r="B4934" s="21"/>
      <c r="E4934">
        <v>8</v>
      </c>
    </row>
    <row r="4935" spans="1:10" ht="14.25" customHeight="1" x14ac:dyDescent="0.25">
      <c r="A4935" s="21">
        <v>48039</v>
      </c>
      <c r="B4935" s="21"/>
      <c r="C4935">
        <v>32</v>
      </c>
      <c r="D4935">
        <v>3.2</v>
      </c>
      <c r="E4935">
        <v>122</v>
      </c>
      <c r="F4935">
        <v>80</v>
      </c>
      <c r="G4935">
        <v>8</v>
      </c>
      <c r="H4935">
        <v>80</v>
      </c>
      <c r="I4935">
        <v>1.34</v>
      </c>
      <c r="J4935" s="1">
        <v>3834</v>
      </c>
    </row>
    <row r="4936" spans="1:10" ht="14.25" customHeight="1" x14ac:dyDescent="0.25">
      <c r="A4936" s="21">
        <v>48039</v>
      </c>
      <c r="B4936" s="21"/>
      <c r="C4936">
        <v>38.1</v>
      </c>
      <c r="D4936">
        <v>3.7</v>
      </c>
      <c r="E4936">
        <v>41</v>
      </c>
      <c r="F4936">
        <v>49</v>
      </c>
      <c r="G4936">
        <v>8</v>
      </c>
      <c r="H4936">
        <v>49</v>
      </c>
      <c r="I4936">
        <v>1.59</v>
      </c>
      <c r="J4936" s="1">
        <v>2574</v>
      </c>
    </row>
    <row r="4937" spans="1:10" ht="14.25" customHeight="1" x14ac:dyDescent="0.25">
      <c r="A4937" s="21">
        <v>48039</v>
      </c>
      <c r="B4937" s="21"/>
      <c r="H4937">
        <v>64</v>
      </c>
    </row>
    <row r="4938" spans="1:10" ht="14.25" customHeight="1" x14ac:dyDescent="0.25">
      <c r="A4938" s="21">
        <v>48041</v>
      </c>
      <c r="B4938" s="21"/>
      <c r="C4938">
        <v>22.9</v>
      </c>
      <c r="D4938">
        <v>3.5</v>
      </c>
      <c r="E4938">
        <v>63</v>
      </c>
      <c r="F4938">
        <v>114</v>
      </c>
      <c r="G4938">
        <v>12</v>
      </c>
      <c r="H4938">
        <v>114</v>
      </c>
      <c r="I4938">
        <v>1.88</v>
      </c>
      <c r="J4938" s="1">
        <v>2396</v>
      </c>
    </row>
    <row r="4939" spans="1:10" ht="14.25" customHeight="1" x14ac:dyDescent="0.25">
      <c r="A4939" s="21">
        <v>48041</v>
      </c>
      <c r="B4939" s="21"/>
      <c r="C4939">
        <v>148.69999999999999</v>
      </c>
      <c r="D4939">
        <v>4.4000000000000004</v>
      </c>
      <c r="E4939">
        <v>513</v>
      </c>
      <c r="F4939">
        <v>209</v>
      </c>
      <c r="G4939">
        <v>20</v>
      </c>
      <c r="H4939">
        <v>209</v>
      </c>
      <c r="I4939">
        <v>1.8</v>
      </c>
      <c r="J4939" s="1">
        <v>13682</v>
      </c>
    </row>
    <row r="4940" spans="1:10" ht="14.25" customHeight="1" x14ac:dyDescent="0.25">
      <c r="A4940" s="21">
        <v>48041</v>
      </c>
      <c r="B4940" s="21"/>
      <c r="C4940">
        <v>1.5</v>
      </c>
      <c r="D4940">
        <v>2</v>
      </c>
      <c r="E4940">
        <v>29</v>
      </c>
      <c r="F4940">
        <v>16</v>
      </c>
      <c r="H4940">
        <v>16</v>
      </c>
      <c r="I4940">
        <v>2.63</v>
      </c>
      <c r="J4940">
        <v>268</v>
      </c>
    </row>
    <row r="4941" spans="1:10" ht="14.25" customHeight="1" x14ac:dyDescent="0.25">
      <c r="A4941" s="21">
        <v>48041</v>
      </c>
      <c r="B4941" s="21"/>
      <c r="C4941">
        <v>68.400000000000006</v>
      </c>
      <c r="D4941">
        <v>3.2</v>
      </c>
      <c r="E4941">
        <v>225</v>
      </c>
      <c r="F4941">
        <v>119</v>
      </c>
      <c r="G4941">
        <v>16</v>
      </c>
      <c r="H4941">
        <v>119</v>
      </c>
      <c r="I4941">
        <v>1.83</v>
      </c>
      <c r="J4941" s="1">
        <v>8565</v>
      </c>
    </row>
    <row r="4942" spans="1:10" ht="14.25" customHeight="1" x14ac:dyDescent="0.25">
      <c r="A4942" s="21">
        <v>48041</v>
      </c>
      <c r="B4942" s="21"/>
      <c r="E4942">
        <v>4</v>
      </c>
    </row>
    <row r="4943" spans="1:10" ht="14.25" customHeight="1" x14ac:dyDescent="0.25">
      <c r="A4943" s="21">
        <v>48049</v>
      </c>
      <c r="B4943" s="21"/>
      <c r="C4943">
        <v>24.1</v>
      </c>
      <c r="D4943">
        <v>4</v>
      </c>
      <c r="E4943">
        <v>96</v>
      </c>
      <c r="F4943">
        <v>63</v>
      </c>
      <c r="G4943">
        <v>12</v>
      </c>
      <c r="H4943">
        <v>63</v>
      </c>
      <c r="I4943">
        <v>1.64</v>
      </c>
      <c r="J4943" s="1">
        <v>2777</v>
      </c>
    </row>
    <row r="4944" spans="1:10" ht="14.25" customHeight="1" x14ac:dyDescent="0.25">
      <c r="A4944" s="21">
        <v>48053</v>
      </c>
      <c r="B4944" s="21"/>
      <c r="C4944">
        <v>20</v>
      </c>
      <c r="D4944">
        <v>3.1</v>
      </c>
      <c r="E4944">
        <v>114</v>
      </c>
      <c r="F4944">
        <v>46</v>
      </c>
      <c r="G4944">
        <v>8</v>
      </c>
      <c r="H4944">
        <v>46</v>
      </c>
      <c r="I4944">
        <v>1.42</v>
      </c>
      <c r="J4944" s="1">
        <v>2567</v>
      </c>
    </row>
    <row r="4945" spans="1:10" ht="14.25" customHeight="1" x14ac:dyDescent="0.25">
      <c r="A4945" s="21">
        <v>48061</v>
      </c>
      <c r="B4945" s="21"/>
      <c r="C4945">
        <v>64.2</v>
      </c>
      <c r="D4945">
        <v>4.0999999999999996</v>
      </c>
      <c r="E4945">
        <v>78</v>
      </c>
      <c r="F4945">
        <v>112</v>
      </c>
      <c r="G4945">
        <v>14</v>
      </c>
      <c r="H4945">
        <v>112</v>
      </c>
      <c r="I4945">
        <v>1.84</v>
      </c>
      <c r="J4945" s="1">
        <v>6119</v>
      </c>
    </row>
    <row r="4946" spans="1:10" ht="14.25" customHeight="1" x14ac:dyDescent="0.25">
      <c r="A4946" s="21">
        <v>48061</v>
      </c>
      <c r="B4946" s="21"/>
      <c r="C4946">
        <v>10.199999999999999</v>
      </c>
      <c r="D4946">
        <v>4</v>
      </c>
      <c r="J4946" s="1">
        <v>1037</v>
      </c>
    </row>
    <row r="4947" spans="1:10" ht="14.25" customHeight="1" x14ac:dyDescent="0.25">
      <c r="A4947" s="21">
        <v>48061</v>
      </c>
      <c r="B4947" s="21"/>
      <c r="C4947">
        <v>117.8</v>
      </c>
      <c r="D4947">
        <v>5.2</v>
      </c>
      <c r="E4947">
        <v>123</v>
      </c>
      <c r="F4947">
        <v>214</v>
      </c>
      <c r="G4947">
        <v>18</v>
      </c>
      <c r="H4947">
        <v>214</v>
      </c>
      <c r="I4947">
        <v>1.88</v>
      </c>
      <c r="J4947" s="1">
        <v>9006</v>
      </c>
    </row>
    <row r="4948" spans="1:10" ht="14.25" customHeight="1" x14ac:dyDescent="0.25">
      <c r="A4948" s="21">
        <v>48061</v>
      </c>
      <c r="B4948" s="21"/>
      <c r="C4948">
        <v>103.7</v>
      </c>
      <c r="D4948">
        <v>4.4000000000000004</v>
      </c>
      <c r="E4948">
        <v>131</v>
      </c>
      <c r="F4948">
        <v>243</v>
      </c>
      <c r="G4948">
        <v>24</v>
      </c>
      <c r="H4948">
        <v>243</v>
      </c>
      <c r="I4948">
        <v>1.65</v>
      </c>
      <c r="J4948" s="1">
        <v>9346</v>
      </c>
    </row>
    <row r="4949" spans="1:10" ht="14.25" customHeight="1" x14ac:dyDescent="0.25">
      <c r="A4949" s="21">
        <v>48061</v>
      </c>
      <c r="B4949" s="21"/>
      <c r="C4949">
        <v>212.1</v>
      </c>
      <c r="D4949">
        <v>4.5</v>
      </c>
      <c r="E4949">
        <v>299</v>
      </c>
      <c r="F4949">
        <v>378</v>
      </c>
      <c r="G4949">
        <v>40</v>
      </c>
      <c r="H4949">
        <v>378</v>
      </c>
      <c r="I4949">
        <v>1.71</v>
      </c>
      <c r="J4949" s="1">
        <v>17726</v>
      </c>
    </row>
    <row r="4950" spans="1:10" ht="14.25" customHeight="1" x14ac:dyDescent="0.25">
      <c r="A4950" s="21">
        <v>48067</v>
      </c>
      <c r="B4950" s="21"/>
      <c r="E4950">
        <v>4</v>
      </c>
      <c r="H4950">
        <v>43</v>
      </c>
    </row>
    <row r="4951" spans="1:10" ht="14.25" customHeight="1" x14ac:dyDescent="0.25">
      <c r="A4951" s="21">
        <v>48073</v>
      </c>
      <c r="B4951" s="21"/>
      <c r="C4951">
        <v>7.8</v>
      </c>
      <c r="D4951">
        <v>2.4</v>
      </c>
      <c r="E4951">
        <v>38</v>
      </c>
      <c r="F4951">
        <v>32</v>
      </c>
      <c r="H4951">
        <v>32</v>
      </c>
      <c r="I4951">
        <v>1.31</v>
      </c>
      <c r="J4951" s="1">
        <v>1347</v>
      </c>
    </row>
    <row r="4952" spans="1:10" ht="14.25" customHeight="1" x14ac:dyDescent="0.25">
      <c r="A4952" s="21">
        <v>48075</v>
      </c>
      <c r="B4952" s="21"/>
      <c r="C4952">
        <v>6.2</v>
      </c>
      <c r="D4952">
        <v>5</v>
      </c>
      <c r="E4952">
        <v>17</v>
      </c>
      <c r="F4952">
        <v>37</v>
      </c>
      <c r="H4952">
        <v>37</v>
      </c>
      <c r="I4952">
        <v>1.22</v>
      </c>
      <c r="J4952">
        <v>519</v>
      </c>
    </row>
    <row r="4953" spans="1:10" ht="14.25" customHeight="1" x14ac:dyDescent="0.25">
      <c r="A4953" s="21">
        <v>48085</v>
      </c>
      <c r="B4953" s="21"/>
      <c r="C4953">
        <v>87.1</v>
      </c>
      <c r="D4953">
        <v>4.5</v>
      </c>
      <c r="E4953">
        <v>267</v>
      </c>
      <c r="F4953">
        <v>118</v>
      </c>
      <c r="G4953">
        <v>16</v>
      </c>
      <c r="H4953">
        <v>118</v>
      </c>
      <c r="I4953">
        <v>1.78</v>
      </c>
      <c r="J4953" s="1">
        <v>7027</v>
      </c>
    </row>
    <row r="4954" spans="1:10" ht="14.25" customHeight="1" x14ac:dyDescent="0.25">
      <c r="A4954" s="21">
        <v>48085</v>
      </c>
      <c r="B4954" s="21"/>
      <c r="C4954">
        <v>2.8</v>
      </c>
      <c r="D4954">
        <v>1.8</v>
      </c>
      <c r="E4954">
        <v>102</v>
      </c>
      <c r="F4954">
        <v>18</v>
      </c>
      <c r="H4954">
        <v>18</v>
      </c>
      <c r="I4954">
        <v>2.98</v>
      </c>
      <c r="J4954">
        <v>567</v>
      </c>
    </row>
    <row r="4955" spans="1:10" ht="14.25" customHeight="1" x14ac:dyDescent="0.25">
      <c r="A4955" s="21">
        <v>48085</v>
      </c>
      <c r="B4955" s="21"/>
      <c r="C4955">
        <v>46.3</v>
      </c>
      <c r="D4955">
        <v>4.4000000000000004</v>
      </c>
      <c r="E4955">
        <v>83</v>
      </c>
      <c r="F4955">
        <v>118</v>
      </c>
      <c r="G4955">
        <v>12</v>
      </c>
      <c r="H4955">
        <v>118</v>
      </c>
      <c r="I4955">
        <v>1.78</v>
      </c>
      <c r="J4955" s="1">
        <v>4498</v>
      </c>
    </row>
    <row r="4956" spans="1:10" ht="14.25" customHeight="1" x14ac:dyDescent="0.25">
      <c r="A4956" s="21">
        <v>48085</v>
      </c>
      <c r="B4956" s="21"/>
      <c r="C4956">
        <v>24.2</v>
      </c>
      <c r="D4956">
        <v>2.8</v>
      </c>
      <c r="E4956">
        <v>137</v>
      </c>
      <c r="F4956">
        <v>44</v>
      </c>
      <c r="G4956">
        <v>8</v>
      </c>
      <c r="H4956">
        <v>44</v>
      </c>
      <c r="I4956">
        <v>1.57</v>
      </c>
      <c r="J4956" s="1">
        <v>3380</v>
      </c>
    </row>
    <row r="4957" spans="1:10" ht="14.25" customHeight="1" x14ac:dyDescent="0.25">
      <c r="A4957" s="21">
        <v>48085</v>
      </c>
      <c r="B4957" s="21"/>
      <c r="C4957">
        <v>346.7</v>
      </c>
      <c r="D4957">
        <v>5.7</v>
      </c>
      <c r="E4957">
        <v>627</v>
      </c>
      <c r="F4957">
        <v>441</v>
      </c>
      <c r="H4957">
        <v>441</v>
      </c>
      <c r="I4957">
        <v>1.97</v>
      </c>
      <c r="J4957" s="1">
        <v>23262</v>
      </c>
    </row>
    <row r="4958" spans="1:10" ht="14.25" customHeight="1" x14ac:dyDescent="0.25">
      <c r="A4958" s="21">
        <v>48085</v>
      </c>
      <c r="B4958" s="21"/>
      <c r="C4958">
        <v>197.9</v>
      </c>
      <c r="D4958">
        <v>4</v>
      </c>
      <c r="E4958">
        <v>573</v>
      </c>
      <c r="F4958">
        <v>321</v>
      </c>
      <c r="G4958">
        <v>26</v>
      </c>
      <c r="H4958">
        <v>321</v>
      </c>
      <c r="I4958">
        <v>1.77</v>
      </c>
      <c r="J4958" s="1">
        <v>20384</v>
      </c>
    </row>
    <row r="4959" spans="1:10" ht="14.25" customHeight="1" x14ac:dyDescent="0.25">
      <c r="A4959" s="21">
        <v>48085</v>
      </c>
      <c r="B4959" s="21"/>
      <c r="C4959">
        <v>119.3</v>
      </c>
      <c r="D4959">
        <v>4.5</v>
      </c>
      <c r="E4959">
        <v>260</v>
      </c>
      <c r="F4959">
        <v>157</v>
      </c>
      <c r="G4959">
        <v>16</v>
      </c>
      <c r="H4959">
        <v>157</v>
      </c>
      <c r="I4959">
        <v>1.58</v>
      </c>
      <c r="J4959" s="1">
        <v>10426</v>
      </c>
    </row>
    <row r="4960" spans="1:10" ht="14.25" customHeight="1" x14ac:dyDescent="0.25">
      <c r="A4960" s="21">
        <v>48085</v>
      </c>
      <c r="B4960" s="21"/>
      <c r="C4960">
        <v>82.6</v>
      </c>
      <c r="D4960">
        <v>5.8</v>
      </c>
      <c r="E4960">
        <v>165</v>
      </c>
      <c r="F4960">
        <v>114</v>
      </c>
      <c r="H4960">
        <v>114</v>
      </c>
      <c r="I4960">
        <v>3.6</v>
      </c>
      <c r="J4960" s="1">
        <v>5233</v>
      </c>
    </row>
    <row r="4961" spans="1:10" ht="14.25" customHeight="1" x14ac:dyDescent="0.25">
      <c r="A4961" s="21">
        <v>48085</v>
      </c>
      <c r="B4961" s="21"/>
      <c r="C4961">
        <v>88.9</v>
      </c>
      <c r="D4961">
        <v>4.2</v>
      </c>
      <c r="E4961">
        <v>209</v>
      </c>
      <c r="F4961">
        <v>143</v>
      </c>
      <c r="G4961">
        <v>16</v>
      </c>
      <c r="H4961">
        <v>143</v>
      </c>
      <c r="I4961">
        <v>1.48</v>
      </c>
      <c r="J4961" s="1">
        <v>8594</v>
      </c>
    </row>
    <row r="4962" spans="1:10" ht="14.25" customHeight="1" x14ac:dyDescent="0.25">
      <c r="A4962" s="21">
        <v>48085</v>
      </c>
      <c r="B4962" s="21"/>
      <c r="C4962">
        <v>7.4</v>
      </c>
      <c r="D4962">
        <v>2.1</v>
      </c>
      <c r="E4962">
        <v>83</v>
      </c>
      <c r="F4962">
        <v>23</v>
      </c>
      <c r="H4962">
        <v>23</v>
      </c>
      <c r="I4962">
        <v>2.4300000000000002</v>
      </c>
      <c r="J4962" s="1">
        <v>1290</v>
      </c>
    </row>
    <row r="4963" spans="1:10" ht="14.25" customHeight="1" x14ac:dyDescent="0.25">
      <c r="A4963" s="21">
        <v>48085</v>
      </c>
      <c r="B4963" s="21"/>
      <c r="E4963">
        <v>3</v>
      </c>
    </row>
    <row r="4964" spans="1:10" ht="14.25" customHeight="1" x14ac:dyDescent="0.25">
      <c r="A4964" s="21">
        <v>48085</v>
      </c>
      <c r="B4964" s="21"/>
      <c r="E4964">
        <v>3</v>
      </c>
    </row>
    <row r="4965" spans="1:10" ht="14.25" customHeight="1" x14ac:dyDescent="0.25">
      <c r="A4965" s="21">
        <v>48085</v>
      </c>
      <c r="B4965" s="21"/>
    </row>
    <row r="4966" spans="1:10" ht="14.25" customHeight="1" x14ac:dyDescent="0.25">
      <c r="A4966" s="21">
        <v>48085</v>
      </c>
      <c r="B4966" s="21"/>
      <c r="E4966">
        <v>3</v>
      </c>
      <c r="H4966">
        <v>7</v>
      </c>
    </row>
    <row r="4967" spans="1:10" ht="14.25" customHeight="1" x14ac:dyDescent="0.25">
      <c r="A4967" s="21">
        <v>48085</v>
      </c>
      <c r="B4967" s="21"/>
      <c r="C4967">
        <v>4</v>
      </c>
      <c r="D4967">
        <v>4.7</v>
      </c>
      <c r="J4967">
        <v>310</v>
      </c>
    </row>
    <row r="4968" spans="1:10" ht="14.25" customHeight="1" x14ac:dyDescent="0.25">
      <c r="A4968" s="21">
        <v>48089</v>
      </c>
      <c r="B4968" s="21"/>
      <c r="C4968">
        <v>9.1999999999999993</v>
      </c>
      <c r="D4968">
        <v>4.5</v>
      </c>
      <c r="J4968">
        <v>751</v>
      </c>
    </row>
    <row r="4969" spans="1:10" ht="14.25" customHeight="1" x14ac:dyDescent="0.25">
      <c r="A4969" s="21">
        <v>48089</v>
      </c>
      <c r="B4969" s="21"/>
      <c r="C4969">
        <v>7.7</v>
      </c>
      <c r="D4969">
        <v>4.0999999999999996</v>
      </c>
      <c r="E4969">
        <v>51</v>
      </c>
      <c r="F4969">
        <v>40</v>
      </c>
      <c r="H4969">
        <v>40</v>
      </c>
      <c r="I4969">
        <v>1.1299999999999999</v>
      </c>
      <c r="J4969">
        <v>823</v>
      </c>
    </row>
    <row r="4970" spans="1:10" ht="14.25" customHeight="1" x14ac:dyDescent="0.25">
      <c r="A4970" s="21">
        <v>48089</v>
      </c>
      <c r="B4970" s="21"/>
      <c r="C4970">
        <v>1</v>
      </c>
      <c r="D4970">
        <v>3.4</v>
      </c>
      <c r="J4970">
        <v>104</v>
      </c>
    </row>
    <row r="4971" spans="1:10" ht="14.25" customHeight="1" x14ac:dyDescent="0.25">
      <c r="A4971" s="21">
        <v>48091</v>
      </c>
      <c r="B4971" s="21"/>
      <c r="E4971">
        <v>3</v>
      </c>
      <c r="H4971">
        <v>132</v>
      </c>
    </row>
    <row r="4972" spans="1:10" ht="14.25" customHeight="1" x14ac:dyDescent="0.25">
      <c r="A4972" s="21">
        <v>48091</v>
      </c>
      <c r="B4972" s="21"/>
      <c r="C4972">
        <v>43.5</v>
      </c>
      <c r="D4972">
        <v>3.9</v>
      </c>
      <c r="E4972">
        <v>114</v>
      </c>
      <c r="F4972">
        <v>112</v>
      </c>
      <c r="G4972">
        <v>16</v>
      </c>
      <c r="H4972">
        <v>112</v>
      </c>
      <c r="I4972">
        <v>1.55</v>
      </c>
      <c r="J4972" s="1">
        <v>4420</v>
      </c>
    </row>
    <row r="4973" spans="1:10" ht="14.25" customHeight="1" x14ac:dyDescent="0.25">
      <c r="A4973" s="21">
        <v>48097</v>
      </c>
      <c r="B4973" s="21"/>
      <c r="C4973">
        <v>15.3</v>
      </c>
      <c r="D4973">
        <v>3.8</v>
      </c>
      <c r="E4973">
        <v>64</v>
      </c>
      <c r="F4973">
        <v>36</v>
      </c>
      <c r="G4973">
        <v>5</v>
      </c>
      <c r="H4973">
        <v>36</v>
      </c>
      <c r="I4973">
        <v>1.39</v>
      </c>
      <c r="J4973" s="1">
        <v>1593</v>
      </c>
    </row>
    <row r="4974" spans="1:10" ht="14.25" customHeight="1" x14ac:dyDescent="0.25">
      <c r="A4974" s="21">
        <v>48113</v>
      </c>
      <c r="B4974" s="21"/>
      <c r="C4974">
        <v>69.5</v>
      </c>
      <c r="D4974">
        <v>5.3</v>
      </c>
      <c r="E4974">
        <v>20</v>
      </c>
      <c r="F4974">
        <v>94</v>
      </c>
      <c r="G4974">
        <v>20</v>
      </c>
      <c r="H4974">
        <v>94</v>
      </c>
      <c r="I4974">
        <v>2.12</v>
      </c>
      <c r="J4974" s="1">
        <v>4809</v>
      </c>
    </row>
    <row r="4975" spans="1:10" ht="14.25" customHeight="1" x14ac:dyDescent="0.25">
      <c r="A4975" s="21">
        <v>48113</v>
      </c>
      <c r="B4975" s="21"/>
      <c r="C4975">
        <v>178.8</v>
      </c>
      <c r="D4975">
        <v>5.2</v>
      </c>
      <c r="E4975">
        <v>355</v>
      </c>
      <c r="F4975">
        <v>317</v>
      </c>
      <c r="G4975">
        <v>32</v>
      </c>
      <c r="H4975">
        <v>317</v>
      </c>
      <c r="I4975">
        <v>1.74</v>
      </c>
      <c r="J4975" s="1">
        <v>13736</v>
      </c>
    </row>
    <row r="4976" spans="1:10" ht="14.25" customHeight="1" x14ac:dyDescent="0.25">
      <c r="A4976" s="21">
        <v>48113</v>
      </c>
      <c r="B4976" s="21"/>
      <c r="C4976">
        <v>74.900000000000006</v>
      </c>
      <c r="D4976">
        <v>4.3</v>
      </c>
      <c r="E4976">
        <v>211</v>
      </c>
      <c r="F4976">
        <v>121</v>
      </c>
      <c r="G4976">
        <v>14</v>
      </c>
      <c r="H4976">
        <v>121</v>
      </c>
      <c r="I4976">
        <v>1.63</v>
      </c>
      <c r="J4976" s="1">
        <v>7034</v>
      </c>
    </row>
    <row r="4977" spans="1:10" ht="14.25" customHeight="1" x14ac:dyDescent="0.25">
      <c r="A4977" s="21">
        <v>48113</v>
      </c>
      <c r="B4977" s="21"/>
      <c r="C4977">
        <v>65.3</v>
      </c>
      <c r="D4977">
        <v>3.9</v>
      </c>
      <c r="E4977">
        <v>187</v>
      </c>
      <c r="F4977">
        <v>187</v>
      </c>
      <c r="G4977">
        <v>20</v>
      </c>
      <c r="H4977">
        <v>187</v>
      </c>
      <c r="I4977">
        <v>1.63</v>
      </c>
      <c r="J4977" s="1">
        <v>6755</v>
      </c>
    </row>
    <row r="4978" spans="1:10" ht="14.25" customHeight="1" x14ac:dyDescent="0.25">
      <c r="A4978" s="21">
        <v>48113</v>
      </c>
      <c r="B4978" s="21"/>
      <c r="C4978">
        <v>79.400000000000006</v>
      </c>
      <c r="D4978">
        <v>4.0999999999999996</v>
      </c>
      <c r="E4978">
        <v>160</v>
      </c>
      <c r="F4978">
        <v>202</v>
      </c>
      <c r="G4978">
        <v>24</v>
      </c>
      <c r="H4978">
        <v>202</v>
      </c>
      <c r="I4978">
        <v>1.86</v>
      </c>
      <c r="J4978" s="1">
        <v>7445</v>
      </c>
    </row>
    <row r="4979" spans="1:10" ht="14.25" customHeight="1" x14ac:dyDescent="0.25">
      <c r="A4979" s="21">
        <v>48113</v>
      </c>
      <c r="B4979" s="21"/>
      <c r="C4979">
        <v>506.6</v>
      </c>
      <c r="D4979">
        <v>6.3</v>
      </c>
      <c r="E4979">
        <v>684</v>
      </c>
      <c r="F4979">
        <v>776</v>
      </c>
      <c r="G4979">
        <v>36</v>
      </c>
      <c r="H4979">
        <v>776</v>
      </c>
      <c r="I4979">
        <v>2.0299999999999998</v>
      </c>
      <c r="J4979" s="1">
        <v>30537</v>
      </c>
    </row>
    <row r="4980" spans="1:10" ht="14.25" customHeight="1" x14ac:dyDescent="0.25">
      <c r="A4980" s="21">
        <v>48113</v>
      </c>
      <c r="B4980" s="21"/>
      <c r="C4980">
        <v>24.2</v>
      </c>
      <c r="D4980">
        <v>3.4</v>
      </c>
      <c r="E4980">
        <v>50</v>
      </c>
      <c r="F4980">
        <v>53</v>
      </c>
      <c r="H4980">
        <v>53</v>
      </c>
      <c r="I4980">
        <v>2.99</v>
      </c>
      <c r="J4980" s="1">
        <v>2628</v>
      </c>
    </row>
    <row r="4981" spans="1:10" ht="14.25" customHeight="1" x14ac:dyDescent="0.25">
      <c r="A4981" s="21">
        <v>48113</v>
      </c>
      <c r="B4981" s="21"/>
      <c r="C4981">
        <v>51.6</v>
      </c>
      <c r="D4981">
        <v>3.9</v>
      </c>
      <c r="E4981">
        <v>155</v>
      </c>
      <c r="F4981">
        <v>80</v>
      </c>
      <c r="G4981">
        <v>8</v>
      </c>
      <c r="H4981">
        <v>80</v>
      </c>
      <c r="I4981">
        <v>1.42</v>
      </c>
      <c r="J4981" s="1">
        <v>6002</v>
      </c>
    </row>
    <row r="4982" spans="1:10" ht="14.25" customHeight="1" x14ac:dyDescent="0.25">
      <c r="A4982" s="21">
        <v>48113</v>
      </c>
      <c r="B4982" s="21"/>
      <c r="C4982">
        <v>16.7</v>
      </c>
      <c r="D4982">
        <v>4.4000000000000004</v>
      </c>
      <c r="J4982" s="1">
        <v>1434</v>
      </c>
    </row>
    <row r="4983" spans="1:10" ht="14.25" customHeight="1" x14ac:dyDescent="0.25">
      <c r="A4983" s="21">
        <v>48113</v>
      </c>
      <c r="B4983" s="21"/>
      <c r="C4983">
        <v>4.9000000000000004</v>
      </c>
      <c r="D4983">
        <v>1.8</v>
      </c>
      <c r="I4983">
        <v>2.23</v>
      </c>
      <c r="J4983">
        <v>982</v>
      </c>
    </row>
    <row r="4984" spans="1:10" ht="14.25" customHeight="1" x14ac:dyDescent="0.25">
      <c r="A4984" s="21">
        <v>48113</v>
      </c>
      <c r="B4984" s="21"/>
      <c r="C4984">
        <v>117.3</v>
      </c>
      <c r="D4984">
        <v>4.4000000000000004</v>
      </c>
      <c r="E4984">
        <v>287</v>
      </c>
      <c r="F4984">
        <v>204</v>
      </c>
      <c r="G4984">
        <v>14</v>
      </c>
      <c r="H4984">
        <v>204</v>
      </c>
      <c r="I4984">
        <v>1.58</v>
      </c>
      <c r="J4984" s="1">
        <v>10124</v>
      </c>
    </row>
    <row r="4985" spans="1:10" ht="14.25" customHeight="1" x14ac:dyDescent="0.25">
      <c r="A4985" s="21">
        <v>48113</v>
      </c>
      <c r="B4985" s="21"/>
      <c r="C4985">
        <v>221.3</v>
      </c>
      <c r="D4985">
        <v>5.4</v>
      </c>
      <c r="E4985">
        <v>406</v>
      </c>
      <c r="F4985">
        <v>378</v>
      </c>
      <c r="H4985">
        <v>378</v>
      </c>
      <c r="I4985">
        <v>2.0699999999999998</v>
      </c>
      <c r="J4985" s="1">
        <v>15989</v>
      </c>
    </row>
    <row r="4986" spans="1:10" ht="14.25" customHeight="1" x14ac:dyDescent="0.25">
      <c r="A4986" s="21">
        <v>48113</v>
      </c>
      <c r="B4986" s="21"/>
      <c r="C4986">
        <v>368</v>
      </c>
      <c r="D4986">
        <v>5.9</v>
      </c>
      <c r="E4986" s="1">
        <v>1511</v>
      </c>
      <c r="F4986">
        <v>459</v>
      </c>
      <c r="G4986">
        <v>72</v>
      </c>
      <c r="H4986">
        <v>459</v>
      </c>
      <c r="I4986">
        <v>2.14</v>
      </c>
      <c r="J4986" s="1">
        <v>23313</v>
      </c>
    </row>
    <row r="4987" spans="1:10" ht="14.25" customHeight="1" x14ac:dyDescent="0.25">
      <c r="A4987" s="21">
        <v>48113</v>
      </c>
      <c r="B4987" s="21"/>
      <c r="C4987">
        <v>71.5</v>
      </c>
      <c r="D4987">
        <v>4.2</v>
      </c>
      <c r="I4987">
        <v>1.43</v>
      </c>
      <c r="J4987" s="1">
        <v>6557</v>
      </c>
    </row>
    <row r="4988" spans="1:10" ht="14.25" customHeight="1" x14ac:dyDescent="0.25">
      <c r="A4988" s="21">
        <v>48113</v>
      </c>
      <c r="B4988" s="21"/>
      <c r="C4988">
        <v>0.3</v>
      </c>
      <c r="D4988">
        <v>2.4</v>
      </c>
      <c r="J4988">
        <v>42</v>
      </c>
    </row>
    <row r="4989" spans="1:10" ht="14.25" customHeight="1" x14ac:dyDescent="0.25">
      <c r="A4989" s="21">
        <v>48113</v>
      </c>
      <c r="B4989" s="21"/>
      <c r="C4989">
        <v>5.6</v>
      </c>
      <c r="D4989">
        <v>1.9</v>
      </c>
      <c r="E4989">
        <v>47</v>
      </c>
      <c r="F4989">
        <v>24</v>
      </c>
      <c r="H4989">
        <v>24</v>
      </c>
      <c r="I4989">
        <v>2.33</v>
      </c>
      <c r="J4989" s="1">
        <v>1071</v>
      </c>
    </row>
    <row r="4990" spans="1:10" ht="14.25" customHeight="1" x14ac:dyDescent="0.25">
      <c r="A4990" s="21">
        <v>48113</v>
      </c>
      <c r="B4990" s="21"/>
      <c r="C4990">
        <v>28.2</v>
      </c>
      <c r="D4990">
        <v>4</v>
      </c>
      <c r="E4990">
        <v>113</v>
      </c>
      <c r="F4990">
        <v>119</v>
      </c>
      <c r="G4990">
        <v>12</v>
      </c>
      <c r="H4990">
        <v>119</v>
      </c>
      <c r="I4990">
        <v>2.17</v>
      </c>
      <c r="J4990" s="1">
        <v>2600</v>
      </c>
    </row>
    <row r="4991" spans="1:10" ht="14.25" customHeight="1" x14ac:dyDescent="0.25">
      <c r="A4991" s="21">
        <v>48113</v>
      </c>
      <c r="B4991" s="21"/>
      <c r="C4991">
        <v>340.6</v>
      </c>
      <c r="D4991">
        <v>5.4</v>
      </c>
      <c r="E4991">
        <v>806</v>
      </c>
      <c r="F4991">
        <v>567</v>
      </c>
      <c r="G4991">
        <v>48</v>
      </c>
      <c r="H4991">
        <v>567</v>
      </c>
      <c r="I4991">
        <v>1.91</v>
      </c>
      <c r="J4991" s="1">
        <v>25050</v>
      </c>
    </row>
    <row r="4992" spans="1:10" ht="14.25" customHeight="1" x14ac:dyDescent="0.25">
      <c r="A4992" s="21">
        <v>48113</v>
      </c>
      <c r="B4992" s="21"/>
      <c r="C4992">
        <v>135.30000000000001</v>
      </c>
      <c r="D4992">
        <v>4.5999999999999996</v>
      </c>
      <c r="E4992">
        <v>281</v>
      </c>
      <c r="F4992">
        <v>172</v>
      </c>
      <c r="G4992">
        <v>25</v>
      </c>
      <c r="H4992">
        <v>172</v>
      </c>
      <c r="I4992">
        <v>1.73</v>
      </c>
      <c r="J4992" s="1">
        <v>11297</v>
      </c>
    </row>
    <row r="4993" spans="1:10" ht="14.25" customHeight="1" x14ac:dyDescent="0.25">
      <c r="A4993" s="21">
        <v>48113</v>
      </c>
      <c r="B4993" s="21"/>
      <c r="C4993">
        <v>606.29999999999995</v>
      </c>
      <c r="D4993">
        <v>3.1</v>
      </c>
      <c r="E4993">
        <v>995</v>
      </c>
      <c r="F4993">
        <v>824</v>
      </c>
      <c r="G4993">
        <v>128</v>
      </c>
      <c r="H4993">
        <v>824</v>
      </c>
      <c r="I4993">
        <v>2.1800000000000002</v>
      </c>
      <c r="J4993" s="1">
        <v>74926</v>
      </c>
    </row>
    <row r="4994" spans="1:10" ht="14.25" customHeight="1" x14ac:dyDescent="0.25">
      <c r="A4994" s="21">
        <v>48113</v>
      </c>
      <c r="B4994" s="21"/>
      <c r="C4994">
        <v>576</v>
      </c>
      <c r="D4994">
        <v>4.8</v>
      </c>
      <c r="E4994" s="1">
        <v>1224</v>
      </c>
      <c r="F4994">
        <v>777</v>
      </c>
      <c r="G4994">
        <v>35</v>
      </c>
      <c r="H4994">
        <v>777</v>
      </c>
      <c r="I4994">
        <v>1.79</v>
      </c>
      <c r="J4994" s="1">
        <v>49381</v>
      </c>
    </row>
    <row r="4995" spans="1:10" ht="14.25" customHeight="1" x14ac:dyDescent="0.25">
      <c r="A4995" s="21">
        <v>48113</v>
      </c>
      <c r="B4995" s="21"/>
    </row>
    <row r="4996" spans="1:10" ht="14.25" customHeight="1" x14ac:dyDescent="0.25">
      <c r="A4996" s="21">
        <v>48113</v>
      </c>
      <c r="B4996" s="21"/>
      <c r="C4996">
        <v>53.3</v>
      </c>
      <c r="D4996">
        <v>4.3</v>
      </c>
      <c r="E4996">
        <v>84</v>
      </c>
      <c r="F4996">
        <v>70</v>
      </c>
      <c r="G4996">
        <v>8</v>
      </c>
      <c r="H4996">
        <v>70</v>
      </c>
      <c r="I4996">
        <v>1.52</v>
      </c>
      <c r="J4996" s="1">
        <v>4559</v>
      </c>
    </row>
    <row r="4997" spans="1:10" ht="14.25" customHeight="1" x14ac:dyDescent="0.25">
      <c r="A4997" s="21">
        <v>48113</v>
      </c>
      <c r="B4997" s="21"/>
    </row>
    <row r="4998" spans="1:10" ht="14.25" customHeight="1" x14ac:dyDescent="0.25">
      <c r="A4998" s="21">
        <v>48113</v>
      </c>
      <c r="B4998" s="21"/>
      <c r="C4998">
        <v>20.6</v>
      </c>
      <c r="D4998">
        <v>3</v>
      </c>
      <c r="E4998">
        <v>59</v>
      </c>
      <c r="F4998">
        <v>32</v>
      </c>
      <c r="G4998">
        <v>4</v>
      </c>
      <c r="H4998">
        <v>32</v>
      </c>
      <c r="I4998">
        <v>3.15</v>
      </c>
      <c r="J4998" s="1">
        <v>2543</v>
      </c>
    </row>
    <row r="4999" spans="1:10" ht="14.25" customHeight="1" x14ac:dyDescent="0.25">
      <c r="A4999" s="21">
        <v>48113</v>
      </c>
      <c r="B4999" s="21"/>
      <c r="C4999">
        <v>6</v>
      </c>
      <c r="D4999">
        <v>3.2</v>
      </c>
      <c r="E4999">
        <v>77</v>
      </c>
      <c r="F4999">
        <v>84</v>
      </c>
      <c r="G4999">
        <v>8</v>
      </c>
      <c r="H4999">
        <v>84</v>
      </c>
      <c r="I4999">
        <v>2.12</v>
      </c>
      <c r="J4999">
        <v>687</v>
      </c>
    </row>
    <row r="5000" spans="1:10" ht="14.25" customHeight="1" x14ac:dyDescent="0.25">
      <c r="A5000" s="21">
        <v>48113</v>
      </c>
      <c r="B5000" s="21"/>
      <c r="C5000">
        <v>4.5</v>
      </c>
      <c r="D5000">
        <v>3.9</v>
      </c>
      <c r="I5000">
        <v>1.04</v>
      </c>
      <c r="J5000">
        <v>427</v>
      </c>
    </row>
    <row r="5001" spans="1:10" ht="14.25" customHeight="1" x14ac:dyDescent="0.25">
      <c r="A5001" s="21">
        <v>48113</v>
      </c>
      <c r="B5001" s="21"/>
      <c r="C5001">
        <v>18</v>
      </c>
      <c r="D5001">
        <v>4.0999999999999996</v>
      </c>
      <c r="J5001" s="1">
        <v>1597</v>
      </c>
    </row>
    <row r="5002" spans="1:10" ht="14.25" customHeight="1" x14ac:dyDescent="0.25">
      <c r="A5002" s="21">
        <v>48113</v>
      </c>
      <c r="B5002" s="21"/>
      <c r="C5002">
        <v>4.7</v>
      </c>
      <c r="D5002">
        <v>3</v>
      </c>
      <c r="I5002">
        <v>1.54</v>
      </c>
      <c r="J5002">
        <v>573</v>
      </c>
    </row>
    <row r="5003" spans="1:10" ht="14.25" customHeight="1" x14ac:dyDescent="0.25">
      <c r="A5003" s="21">
        <v>48113</v>
      </c>
      <c r="B5003" s="21"/>
    </row>
    <row r="5004" spans="1:10" ht="14.25" customHeight="1" x14ac:dyDescent="0.25">
      <c r="A5004" s="21">
        <v>48113</v>
      </c>
      <c r="B5004" s="21"/>
      <c r="E5004">
        <v>16</v>
      </c>
      <c r="H5004">
        <v>5</v>
      </c>
    </row>
    <row r="5005" spans="1:10" ht="14.25" customHeight="1" x14ac:dyDescent="0.25">
      <c r="A5005" s="21">
        <v>48113</v>
      </c>
      <c r="B5005" s="21"/>
      <c r="E5005">
        <v>2</v>
      </c>
    </row>
    <row r="5006" spans="1:10" ht="14.25" customHeight="1" x14ac:dyDescent="0.25">
      <c r="A5006" s="21">
        <v>48113</v>
      </c>
      <c r="B5006" s="21"/>
    </row>
    <row r="5007" spans="1:10" ht="14.25" customHeight="1" x14ac:dyDescent="0.25">
      <c r="A5007" s="21">
        <v>48113</v>
      </c>
      <c r="B5007" s="21"/>
    </row>
    <row r="5008" spans="1:10" ht="14.25" customHeight="1" x14ac:dyDescent="0.25">
      <c r="A5008" s="21">
        <v>48113</v>
      </c>
      <c r="B5008" s="21"/>
    </row>
    <row r="5009" spans="1:10" ht="14.25" customHeight="1" x14ac:dyDescent="0.25">
      <c r="A5009" s="21">
        <v>48113</v>
      </c>
      <c r="B5009" s="21"/>
    </row>
    <row r="5010" spans="1:10" ht="14.25" customHeight="1" x14ac:dyDescent="0.25">
      <c r="A5010" s="21">
        <v>48113</v>
      </c>
      <c r="B5010" s="21"/>
      <c r="C5010">
        <v>16.600000000000001</v>
      </c>
      <c r="D5010">
        <v>26.8</v>
      </c>
      <c r="J5010">
        <v>227</v>
      </c>
    </row>
    <row r="5011" spans="1:10" ht="14.25" customHeight="1" x14ac:dyDescent="0.25">
      <c r="A5011" s="21">
        <v>48113</v>
      </c>
      <c r="B5011" s="21"/>
      <c r="C5011">
        <v>3.1</v>
      </c>
      <c r="D5011">
        <v>2</v>
      </c>
      <c r="E5011">
        <v>56</v>
      </c>
      <c r="F5011">
        <v>9</v>
      </c>
      <c r="H5011">
        <v>9</v>
      </c>
      <c r="I5011">
        <v>2.21</v>
      </c>
      <c r="J5011">
        <v>560</v>
      </c>
    </row>
    <row r="5012" spans="1:10" ht="14.25" customHeight="1" x14ac:dyDescent="0.25">
      <c r="A5012" s="21">
        <v>48113</v>
      </c>
      <c r="B5012" s="21"/>
      <c r="C5012">
        <v>8.1999999999999993</v>
      </c>
      <c r="D5012">
        <v>2.1</v>
      </c>
      <c r="E5012">
        <v>94</v>
      </c>
      <c r="F5012">
        <v>24</v>
      </c>
      <c r="H5012">
        <v>24</v>
      </c>
      <c r="I5012">
        <v>2.61</v>
      </c>
      <c r="J5012" s="1">
        <v>1430</v>
      </c>
    </row>
    <row r="5013" spans="1:10" ht="14.25" customHeight="1" x14ac:dyDescent="0.25">
      <c r="A5013" s="21">
        <v>48113</v>
      </c>
      <c r="B5013" s="21"/>
      <c r="C5013">
        <v>4.2</v>
      </c>
      <c r="D5013">
        <v>2</v>
      </c>
      <c r="E5013">
        <v>48</v>
      </c>
      <c r="F5013">
        <v>20</v>
      </c>
      <c r="H5013">
        <v>20</v>
      </c>
      <c r="I5013">
        <v>3.17</v>
      </c>
      <c r="J5013">
        <v>763</v>
      </c>
    </row>
    <row r="5014" spans="1:10" ht="14.25" customHeight="1" x14ac:dyDescent="0.25">
      <c r="A5014" s="21">
        <v>48113</v>
      </c>
      <c r="B5014" s="21"/>
      <c r="E5014">
        <v>8</v>
      </c>
      <c r="H5014">
        <v>96</v>
      </c>
    </row>
    <row r="5015" spans="1:10" ht="14.25" customHeight="1" x14ac:dyDescent="0.25">
      <c r="A5015" s="21">
        <v>48115</v>
      </c>
      <c r="B5015" s="21"/>
      <c r="C5015">
        <v>3.1</v>
      </c>
      <c r="D5015">
        <v>3.7</v>
      </c>
      <c r="E5015">
        <v>22</v>
      </c>
      <c r="F5015">
        <v>22</v>
      </c>
      <c r="H5015">
        <v>22</v>
      </c>
      <c r="I5015">
        <v>1</v>
      </c>
      <c r="J5015">
        <v>305</v>
      </c>
    </row>
    <row r="5016" spans="1:10" ht="14.25" customHeight="1" x14ac:dyDescent="0.25">
      <c r="A5016" s="21">
        <v>48117</v>
      </c>
      <c r="B5016" s="21"/>
      <c r="C5016">
        <v>5.3</v>
      </c>
      <c r="D5016">
        <v>4.5</v>
      </c>
      <c r="E5016">
        <v>39</v>
      </c>
      <c r="F5016">
        <v>32</v>
      </c>
      <c r="G5016">
        <v>2</v>
      </c>
      <c r="H5016">
        <v>32</v>
      </c>
      <c r="I5016">
        <v>1.1000000000000001</v>
      </c>
      <c r="J5016">
        <v>531</v>
      </c>
    </row>
    <row r="5017" spans="1:10" ht="14.25" customHeight="1" x14ac:dyDescent="0.25">
      <c r="A5017" s="21">
        <v>48121</v>
      </c>
      <c r="B5017" s="21"/>
      <c r="C5017">
        <v>28.1</v>
      </c>
      <c r="D5017">
        <v>3.7</v>
      </c>
      <c r="E5017">
        <v>126</v>
      </c>
      <c r="F5017">
        <v>68</v>
      </c>
      <c r="H5017">
        <v>68</v>
      </c>
      <c r="I5017">
        <v>2.25</v>
      </c>
      <c r="J5017" s="1">
        <v>4127</v>
      </c>
    </row>
    <row r="5018" spans="1:10" ht="14.25" customHeight="1" x14ac:dyDescent="0.25">
      <c r="A5018" s="21">
        <v>48121</v>
      </c>
      <c r="B5018" s="21"/>
    </row>
    <row r="5019" spans="1:10" ht="14.25" customHeight="1" x14ac:dyDescent="0.25">
      <c r="A5019" s="21">
        <v>48121</v>
      </c>
      <c r="B5019" s="21"/>
      <c r="C5019">
        <v>6.7</v>
      </c>
      <c r="D5019">
        <v>2.2000000000000002</v>
      </c>
      <c r="E5019">
        <v>57</v>
      </c>
      <c r="F5019">
        <v>22</v>
      </c>
      <c r="H5019">
        <v>22</v>
      </c>
      <c r="I5019">
        <v>2.86</v>
      </c>
      <c r="J5019" s="1">
        <v>1113</v>
      </c>
    </row>
    <row r="5020" spans="1:10" ht="14.25" customHeight="1" x14ac:dyDescent="0.25">
      <c r="A5020" s="21">
        <v>48121</v>
      </c>
      <c r="B5020" s="21"/>
      <c r="C5020">
        <v>125.9</v>
      </c>
      <c r="D5020">
        <v>4.9000000000000004</v>
      </c>
      <c r="E5020">
        <v>236</v>
      </c>
      <c r="F5020">
        <v>185</v>
      </c>
      <c r="G5020">
        <v>29</v>
      </c>
      <c r="H5020">
        <v>185</v>
      </c>
      <c r="I5020">
        <v>1.71</v>
      </c>
      <c r="J5020" s="1">
        <v>9442</v>
      </c>
    </row>
    <row r="5021" spans="1:10" ht="14.25" customHeight="1" x14ac:dyDescent="0.25">
      <c r="A5021" s="21">
        <v>48121</v>
      </c>
      <c r="B5021" s="21"/>
      <c r="C5021">
        <v>115.1</v>
      </c>
      <c r="D5021">
        <v>4.3</v>
      </c>
      <c r="E5021">
        <v>226</v>
      </c>
      <c r="F5021">
        <v>196</v>
      </c>
      <c r="G5021">
        <v>20</v>
      </c>
      <c r="H5021">
        <v>196</v>
      </c>
      <c r="I5021">
        <v>1.67</v>
      </c>
      <c r="J5021" s="1">
        <v>10568</v>
      </c>
    </row>
    <row r="5022" spans="1:10" ht="14.25" customHeight="1" x14ac:dyDescent="0.25">
      <c r="A5022" s="21">
        <v>48121</v>
      </c>
      <c r="B5022" s="21"/>
      <c r="C5022">
        <v>46</v>
      </c>
      <c r="D5022">
        <v>4.3</v>
      </c>
      <c r="E5022">
        <v>131</v>
      </c>
      <c r="F5022">
        <v>89</v>
      </c>
      <c r="G5022">
        <v>16</v>
      </c>
      <c r="H5022">
        <v>89</v>
      </c>
      <c r="I5022">
        <v>1.46</v>
      </c>
      <c r="J5022" s="1">
        <v>3864</v>
      </c>
    </row>
    <row r="5023" spans="1:10" ht="14.25" customHeight="1" x14ac:dyDescent="0.25">
      <c r="A5023" s="21">
        <v>48121</v>
      </c>
      <c r="B5023" s="21"/>
      <c r="C5023">
        <v>70.400000000000006</v>
      </c>
      <c r="D5023">
        <v>4.3</v>
      </c>
      <c r="E5023">
        <v>212</v>
      </c>
      <c r="F5023">
        <v>138</v>
      </c>
      <c r="G5023">
        <v>12</v>
      </c>
      <c r="H5023">
        <v>138</v>
      </c>
      <c r="I5023">
        <v>1.53</v>
      </c>
      <c r="J5023" s="1">
        <v>6565</v>
      </c>
    </row>
    <row r="5024" spans="1:10" ht="14.25" customHeight="1" x14ac:dyDescent="0.25">
      <c r="A5024" s="21">
        <v>48121</v>
      </c>
      <c r="B5024" s="21"/>
      <c r="E5024">
        <v>2</v>
      </c>
      <c r="F5024">
        <v>4</v>
      </c>
      <c r="H5024">
        <v>4</v>
      </c>
      <c r="I5024">
        <v>1.17</v>
      </c>
    </row>
    <row r="5025" spans="1:10" ht="14.25" customHeight="1" x14ac:dyDescent="0.25">
      <c r="A5025" s="21">
        <v>48121</v>
      </c>
      <c r="B5025" s="21"/>
      <c r="C5025">
        <v>52</v>
      </c>
      <c r="D5025">
        <v>2.7</v>
      </c>
      <c r="E5025">
        <v>170</v>
      </c>
      <c r="F5025">
        <v>99</v>
      </c>
      <c r="G5025">
        <v>8</v>
      </c>
      <c r="H5025">
        <v>99</v>
      </c>
      <c r="I5025">
        <v>1.66</v>
      </c>
      <c r="J5025" s="1">
        <v>8321</v>
      </c>
    </row>
    <row r="5026" spans="1:10" ht="14.25" customHeight="1" x14ac:dyDescent="0.25">
      <c r="A5026" s="21">
        <v>48121</v>
      </c>
      <c r="B5026" s="21"/>
      <c r="C5026">
        <v>3.6</v>
      </c>
      <c r="D5026">
        <v>1.9</v>
      </c>
      <c r="E5026">
        <v>18</v>
      </c>
      <c r="F5026">
        <v>40</v>
      </c>
      <c r="H5026">
        <v>40</v>
      </c>
      <c r="I5026">
        <v>0.92</v>
      </c>
      <c r="J5026">
        <v>648</v>
      </c>
    </row>
    <row r="5027" spans="1:10" ht="14.25" customHeight="1" x14ac:dyDescent="0.25">
      <c r="A5027" s="21">
        <v>48121</v>
      </c>
      <c r="B5027" s="21"/>
      <c r="E5027">
        <v>4</v>
      </c>
      <c r="H5027">
        <v>54</v>
      </c>
    </row>
    <row r="5028" spans="1:10" ht="14.25" customHeight="1" x14ac:dyDescent="0.25">
      <c r="A5028" s="21">
        <v>48121</v>
      </c>
      <c r="B5028" s="21"/>
      <c r="C5028">
        <v>7.6</v>
      </c>
      <c r="D5028">
        <v>4.2</v>
      </c>
      <c r="E5028">
        <v>40</v>
      </c>
      <c r="F5028">
        <v>22</v>
      </c>
      <c r="H5028">
        <v>22</v>
      </c>
      <c r="I5028">
        <v>2.94</v>
      </c>
      <c r="J5028">
        <v>660</v>
      </c>
    </row>
    <row r="5029" spans="1:10" ht="14.25" customHeight="1" x14ac:dyDescent="0.25">
      <c r="A5029" s="21">
        <v>48121</v>
      </c>
      <c r="B5029" s="21"/>
    </row>
    <row r="5030" spans="1:10" ht="14.25" customHeight="1" x14ac:dyDescent="0.25">
      <c r="A5030" s="21">
        <v>48121</v>
      </c>
      <c r="B5030" s="21"/>
      <c r="E5030">
        <v>34</v>
      </c>
      <c r="H5030">
        <v>2</v>
      </c>
    </row>
    <row r="5031" spans="1:10" ht="14.25" customHeight="1" x14ac:dyDescent="0.25">
      <c r="A5031" s="21">
        <v>48121</v>
      </c>
      <c r="B5031" s="21"/>
      <c r="H5031">
        <v>12</v>
      </c>
    </row>
    <row r="5032" spans="1:10" ht="14.25" customHeight="1" x14ac:dyDescent="0.25">
      <c r="A5032" s="21">
        <v>48123</v>
      </c>
      <c r="B5032" s="21"/>
      <c r="C5032">
        <v>7.9</v>
      </c>
      <c r="D5032">
        <v>3.5</v>
      </c>
      <c r="E5032">
        <v>50</v>
      </c>
      <c r="F5032">
        <v>44</v>
      </c>
      <c r="H5032">
        <v>44</v>
      </c>
      <c r="I5032">
        <v>1.22</v>
      </c>
      <c r="J5032">
        <v>909</v>
      </c>
    </row>
    <row r="5033" spans="1:10" ht="14.25" customHeight="1" x14ac:dyDescent="0.25">
      <c r="A5033" s="21">
        <v>48127</v>
      </c>
      <c r="B5033" s="21"/>
      <c r="C5033">
        <v>6.3</v>
      </c>
      <c r="D5033">
        <v>5.0999999999999996</v>
      </c>
      <c r="E5033">
        <v>26</v>
      </c>
      <c r="H5033">
        <v>25</v>
      </c>
      <c r="I5033">
        <v>0.89</v>
      </c>
      <c r="J5033">
        <v>503</v>
      </c>
    </row>
    <row r="5034" spans="1:10" ht="14.25" customHeight="1" x14ac:dyDescent="0.25">
      <c r="A5034" s="21">
        <v>48133</v>
      </c>
      <c r="B5034" s="21"/>
      <c r="C5034">
        <v>8.9</v>
      </c>
      <c r="D5034">
        <v>5.8</v>
      </c>
      <c r="E5034">
        <v>38</v>
      </c>
      <c r="F5034">
        <v>36</v>
      </c>
      <c r="H5034">
        <v>36</v>
      </c>
      <c r="I5034">
        <v>1.17</v>
      </c>
      <c r="J5034">
        <v>559</v>
      </c>
    </row>
    <row r="5035" spans="1:10" ht="14.25" customHeight="1" x14ac:dyDescent="0.25">
      <c r="A5035" s="21">
        <v>48135</v>
      </c>
      <c r="B5035" s="21"/>
      <c r="C5035">
        <v>188.7</v>
      </c>
      <c r="D5035">
        <v>5.0999999999999996</v>
      </c>
      <c r="E5035">
        <v>309</v>
      </c>
      <c r="F5035">
        <v>331</v>
      </c>
      <c r="G5035">
        <v>20</v>
      </c>
      <c r="H5035">
        <v>331</v>
      </c>
      <c r="I5035">
        <v>1.64</v>
      </c>
      <c r="J5035" s="1">
        <v>14115</v>
      </c>
    </row>
    <row r="5036" spans="1:10" ht="14.25" customHeight="1" x14ac:dyDescent="0.25">
      <c r="A5036" s="21">
        <v>48135</v>
      </c>
      <c r="B5036" s="21"/>
      <c r="C5036">
        <v>62.2</v>
      </c>
      <c r="D5036">
        <v>5</v>
      </c>
      <c r="E5036">
        <v>134</v>
      </c>
      <c r="F5036">
        <v>192</v>
      </c>
      <c r="G5036">
        <v>10</v>
      </c>
      <c r="H5036">
        <v>154</v>
      </c>
      <c r="I5036">
        <v>1.76</v>
      </c>
      <c r="J5036" s="1">
        <v>6189</v>
      </c>
    </row>
    <row r="5037" spans="1:10" ht="14.25" customHeight="1" x14ac:dyDescent="0.25">
      <c r="A5037" s="21">
        <v>48135</v>
      </c>
      <c r="B5037" s="21"/>
      <c r="C5037">
        <v>0.8</v>
      </c>
      <c r="D5037">
        <v>2.5</v>
      </c>
      <c r="J5037">
        <v>110</v>
      </c>
    </row>
    <row r="5038" spans="1:10" ht="14.25" customHeight="1" x14ac:dyDescent="0.25">
      <c r="A5038" s="21">
        <v>48135</v>
      </c>
      <c r="B5038" s="21"/>
      <c r="H5038">
        <v>50</v>
      </c>
    </row>
    <row r="5039" spans="1:10" ht="14.25" customHeight="1" x14ac:dyDescent="0.25">
      <c r="A5039" s="21">
        <v>48135</v>
      </c>
      <c r="B5039" s="21"/>
      <c r="C5039">
        <v>16.8</v>
      </c>
      <c r="D5039">
        <v>28.4</v>
      </c>
      <c r="E5039">
        <v>2</v>
      </c>
      <c r="H5039">
        <v>25</v>
      </c>
      <c r="I5039">
        <v>3.27</v>
      </c>
      <c r="J5039">
        <v>216</v>
      </c>
    </row>
    <row r="5040" spans="1:10" ht="14.25" customHeight="1" x14ac:dyDescent="0.25">
      <c r="A5040" s="21">
        <v>48139</v>
      </c>
      <c r="B5040" s="21"/>
      <c r="C5040">
        <v>6.3</v>
      </c>
      <c r="D5040">
        <v>3</v>
      </c>
      <c r="E5040">
        <v>50</v>
      </c>
      <c r="F5040">
        <v>60</v>
      </c>
      <c r="G5040">
        <v>6</v>
      </c>
      <c r="H5040">
        <v>60</v>
      </c>
      <c r="I5040">
        <v>1.37</v>
      </c>
      <c r="J5040">
        <v>646</v>
      </c>
    </row>
    <row r="5041" spans="1:10" ht="14.25" customHeight="1" x14ac:dyDescent="0.25">
      <c r="A5041" s="21">
        <v>48139</v>
      </c>
      <c r="B5041" s="21"/>
      <c r="C5041">
        <v>71.2</v>
      </c>
      <c r="D5041">
        <v>3.8</v>
      </c>
      <c r="E5041">
        <v>224</v>
      </c>
      <c r="F5041">
        <v>106</v>
      </c>
      <c r="G5041">
        <v>12</v>
      </c>
      <c r="H5041">
        <v>106</v>
      </c>
      <c r="I5041">
        <v>1.43</v>
      </c>
      <c r="J5041" s="1">
        <v>7341</v>
      </c>
    </row>
    <row r="5042" spans="1:10" ht="14.25" customHeight="1" x14ac:dyDescent="0.25">
      <c r="A5042" s="21">
        <v>48141</v>
      </c>
      <c r="B5042" s="21"/>
      <c r="C5042">
        <v>329.7</v>
      </c>
      <c r="D5042">
        <v>4.8</v>
      </c>
      <c r="E5042">
        <v>281</v>
      </c>
      <c r="F5042">
        <v>514</v>
      </c>
      <c r="G5042">
        <v>64</v>
      </c>
      <c r="H5042">
        <v>287</v>
      </c>
      <c r="I5042">
        <v>1.82</v>
      </c>
      <c r="J5042" s="1">
        <v>25527</v>
      </c>
    </row>
    <row r="5043" spans="1:10" ht="14.25" customHeight="1" x14ac:dyDescent="0.25">
      <c r="A5043" s="21">
        <v>48141</v>
      </c>
      <c r="B5043" s="21"/>
      <c r="C5043">
        <v>163.80000000000001</v>
      </c>
      <c r="D5043">
        <v>4.2</v>
      </c>
      <c r="E5043">
        <v>274</v>
      </c>
      <c r="F5043">
        <v>308</v>
      </c>
      <c r="G5043">
        <v>20</v>
      </c>
      <c r="H5043">
        <v>308</v>
      </c>
      <c r="I5043">
        <v>1.54</v>
      </c>
      <c r="J5043" s="1">
        <v>15171</v>
      </c>
    </row>
    <row r="5044" spans="1:10" ht="14.25" customHeight="1" x14ac:dyDescent="0.25">
      <c r="A5044" s="21">
        <v>48141</v>
      </c>
      <c r="B5044" s="21"/>
      <c r="C5044">
        <v>202.8</v>
      </c>
      <c r="D5044">
        <v>4.9000000000000004</v>
      </c>
      <c r="E5044">
        <v>732</v>
      </c>
      <c r="F5044">
        <v>290</v>
      </c>
      <c r="G5044">
        <v>60</v>
      </c>
      <c r="H5044">
        <v>290</v>
      </c>
      <c r="I5044">
        <v>1.64</v>
      </c>
      <c r="J5044" s="1">
        <v>15825</v>
      </c>
    </row>
    <row r="5045" spans="1:10" ht="14.25" customHeight="1" x14ac:dyDescent="0.25">
      <c r="A5045" s="21">
        <v>48141</v>
      </c>
      <c r="B5045" s="21"/>
      <c r="C5045">
        <v>3.6</v>
      </c>
      <c r="D5045">
        <v>2.2999999999999998</v>
      </c>
      <c r="E5045">
        <v>41</v>
      </c>
      <c r="F5045">
        <v>40</v>
      </c>
      <c r="H5045">
        <v>40</v>
      </c>
      <c r="I5045">
        <v>2.65</v>
      </c>
      <c r="J5045">
        <v>567</v>
      </c>
    </row>
    <row r="5046" spans="1:10" ht="14.25" customHeight="1" x14ac:dyDescent="0.25">
      <c r="A5046" s="21">
        <v>48141</v>
      </c>
      <c r="B5046" s="21"/>
      <c r="C5046">
        <v>95.6</v>
      </c>
      <c r="D5046">
        <v>4.7</v>
      </c>
      <c r="E5046">
        <v>230</v>
      </c>
      <c r="F5046">
        <v>234</v>
      </c>
      <c r="G5046">
        <v>23</v>
      </c>
      <c r="H5046">
        <v>234</v>
      </c>
      <c r="I5046">
        <v>1.67</v>
      </c>
      <c r="J5046" s="1">
        <v>7477</v>
      </c>
    </row>
    <row r="5047" spans="1:10" ht="14.25" customHeight="1" x14ac:dyDescent="0.25">
      <c r="A5047" s="21">
        <v>48141</v>
      </c>
      <c r="B5047" s="21"/>
      <c r="C5047">
        <v>151.4</v>
      </c>
      <c r="D5047">
        <v>4.5</v>
      </c>
      <c r="E5047">
        <v>154</v>
      </c>
      <c r="F5047">
        <v>182</v>
      </c>
      <c r="G5047">
        <v>24</v>
      </c>
      <c r="H5047">
        <v>182</v>
      </c>
      <c r="I5047">
        <v>1.63</v>
      </c>
      <c r="J5047" s="1">
        <v>12879</v>
      </c>
    </row>
    <row r="5048" spans="1:10" ht="14.25" customHeight="1" x14ac:dyDescent="0.25">
      <c r="A5048" s="21">
        <v>48141</v>
      </c>
      <c r="B5048" s="21"/>
    </row>
    <row r="5049" spans="1:10" ht="14.25" customHeight="1" x14ac:dyDescent="0.25">
      <c r="A5049" s="21">
        <v>48141</v>
      </c>
      <c r="B5049" s="21"/>
      <c r="C5049">
        <v>46.2</v>
      </c>
      <c r="D5049">
        <v>4</v>
      </c>
      <c r="E5049">
        <v>70</v>
      </c>
      <c r="F5049">
        <v>106</v>
      </c>
      <c r="G5049">
        <v>12</v>
      </c>
      <c r="H5049">
        <v>106</v>
      </c>
      <c r="I5049">
        <v>1.5</v>
      </c>
      <c r="J5049" s="1">
        <v>4389</v>
      </c>
    </row>
    <row r="5050" spans="1:10" ht="14.25" customHeight="1" x14ac:dyDescent="0.25">
      <c r="A5050" s="21">
        <v>48141</v>
      </c>
      <c r="B5050" s="21"/>
      <c r="C5050">
        <v>1</v>
      </c>
      <c r="D5050">
        <v>1.8</v>
      </c>
      <c r="E5050">
        <v>24</v>
      </c>
      <c r="F5050">
        <v>9</v>
      </c>
      <c r="H5050">
        <v>8</v>
      </c>
      <c r="I5050">
        <v>0.95</v>
      </c>
      <c r="J5050">
        <v>234</v>
      </c>
    </row>
    <row r="5051" spans="1:10" ht="14.25" customHeight="1" x14ac:dyDescent="0.25">
      <c r="A5051" s="21">
        <v>48141</v>
      </c>
      <c r="B5051" s="21"/>
    </row>
    <row r="5052" spans="1:10" ht="14.25" customHeight="1" x14ac:dyDescent="0.25">
      <c r="A5052" s="21">
        <v>48141</v>
      </c>
      <c r="B5052" s="21"/>
      <c r="C5052">
        <v>5.0999999999999996</v>
      </c>
      <c r="D5052">
        <v>16.3</v>
      </c>
      <c r="E5052">
        <v>1</v>
      </c>
      <c r="F5052">
        <v>33</v>
      </c>
      <c r="H5052">
        <v>33</v>
      </c>
      <c r="I5052">
        <v>1.89</v>
      </c>
      <c r="J5052">
        <v>231</v>
      </c>
    </row>
    <row r="5053" spans="1:10" ht="14.25" customHeight="1" x14ac:dyDescent="0.25">
      <c r="A5053" s="21">
        <v>48141</v>
      </c>
      <c r="B5053" s="21"/>
      <c r="C5053">
        <v>2.9</v>
      </c>
      <c r="D5053">
        <v>2.1</v>
      </c>
      <c r="I5053">
        <v>2.08</v>
      </c>
      <c r="J5053">
        <v>507</v>
      </c>
    </row>
    <row r="5054" spans="1:10" ht="14.25" customHeight="1" x14ac:dyDescent="0.25">
      <c r="A5054" s="21">
        <v>48143</v>
      </c>
      <c r="B5054" s="21"/>
      <c r="C5054">
        <v>9.6999999999999993</v>
      </c>
      <c r="D5054">
        <v>2.7</v>
      </c>
      <c r="E5054">
        <v>50</v>
      </c>
      <c r="F5054">
        <v>50</v>
      </c>
      <c r="G5054">
        <v>5</v>
      </c>
      <c r="H5054">
        <v>50</v>
      </c>
      <c r="I5054">
        <v>1.3</v>
      </c>
      <c r="J5054" s="1">
        <v>1468</v>
      </c>
    </row>
    <row r="5055" spans="1:10" ht="14.25" customHeight="1" x14ac:dyDescent="0.25">
      <c r="A5055" s="21">
        <v>48145</v>
      </c>
      <c r="B5055" s="21"/>
      <c r="C5055">
        <v>1.2</v>
      </c>
      <c r="D5055">
        <v>3.2</v>
      </c>
      <c r="E5055">
        <v>22</v>
      </c>
      <c r="F5055">
        <v>36</v>
      </c>
      <c r="H5055">
        <v>36</v>
      </c>
      <c r="I5055">
        <v>0.94</v>
      </c>
      <c r="J5055">
        <v>138</v>
      </c>
    </row>
    <row r="5056" spans="1:10" ht="14.25" customHeight="1" x14ac:dyDescent="0.25">
      <c r="A5056" s="21">
        <v>48149</v>
      </c>
      <c r="B5056" s="21"/>
      <c r="C5056">
        <v>10.1</v>
      </c>
      <c r="D5056">
        <v>3.8</v>
      </c>
      <c r="E5056">
        <v>94</v>
      </c>
      <c r="F5056">
        <v>38</v>
      </c>
      <c r="H5056">
        <v>38</v>
      </c>
      <c r="I5056">
        <v>1.48</v>
      </c>
      <c r="J5056">
        <v>967</v>
      </c>
    </row>
    <row r="5057" spans="1:10" ht="14.25" customHeight="1" x14ac:dyDescent="0.25">
      <c r="A5057" s="21">
        <v>48157</v>
      </c>
      <c r="B5057" s="21"/>
      <c r="C5057">
        <v>76.3</v>
      </c>
      <c r="D5057">
        <v>3</v>
      </c>
      <c r="E5057">
        <v>260</v>
      </c>
      <c r="F5057">
        <v>145</v>
      </c>
      <c r="G5057">
        <v>14</v>
      </c>
      <c r="H5057">
        <v>145</v>
      </c>
      <c r="I5057">
        <v>1.75</v>
      </c>
      <c r="J5057" s="1">
        <v>10467</v>
      </c>
    </row>
    <row r="5058" spans="1:10" ht="14.25" customHeight="1" x14ac:dyDescent="0.25">
      <c r="A5058" s="21">
        <v>48157</v>
      </c>
      <c r="B5058" s="21"/>
      <c r="C5058">
        <v>2.2999999999999998</v>
      </c>
      <c r="D5058">
        <v>1.8</v>
      </c>
      <c r="E5058">
        <v>52</v>
      </c>
      <c r="F5058">
        <v>6</v>
      </c>
      <c r="H5058">
        <v>6</v>
      </c>
      <c r="I5058">
        <v>2.16</v>
      </c>
      <c r="J5058">
        <v>475</v>
      </c>
    </row>
    <row r="5059" spans="1:10" ht="14.25" customHeight="1" x14ac:dyDescent="0.25">
      <c r="A5059" s="21">
        <v>48157</v>
      </c>
      <c r="B5059" s="21"/>
      <c r="C5059">
        <v>203.8</v>
      </c>
      <c r="D5059">
        <v>4.8</v>
      </c>
      <c r="E5059">
        <v>463</v>
      </c>
      <c r="F5059">
        <v>347</v>
      </c>
      <c r="G5059">
        <v>48</v>
      </c>
      <c r="H5059">
        <v>347</v>
      </c>
      <c r="I5059">
        <v>1.85</v>
      </c>
      <c r="J5059" s="1">
        <v>16995</v>
      </c>
    </row>
    <row r="5060" spans="1:10" ht="14.25" customHeight="1" x14ac:dyDescent="0.25">
      <c r="A5060" s="21">
        <v>48157</v>
      </c>
      <c r="B5060" s="21"/>
      <c r="C5060">
        <v>53.5</v>
      </c>
      <c r="D5060">
        <v>4.3</v>
      </c>
      <c r="E5060">
        <v>205</v>
      </c>
      <c r="F5060">
        <v>128</v>
      </c>
      <c r="G5060">
        <v>18</v>
      </c>
      <c r="H5060">
        <v>128</v>
      </c>
      <c r="I5060">
        <v>1.55</v>
      </c>
      <c r="J5060" s="1">
        <v>5421</v>
      </c>
    </row>
    <row r="5061" spans="1:10" ht="14.25" customHeight="1" x14ac:dyDescent="0.25">
      <c r="A5061" s="21">
        <v>48157</v>
      </c>
      <c r="B5061" s="21"/>
      <c r="C5061">
        <v>50.7</v>
      </c>
      <c r="D5061">
        <v>4.7</v>
      </c>
      <c r="E5061">
        <v>66</v>
      </c>
      <c r="F5061">
        <v>100</v>
      </c>
      <c r="G5061">
        <v>16</v>
      </c>
      <c r="H5061">
        <v>100</v>
      </c>
      <c r="I5061">
        <v>1.71</v>
      </c>
      <c r="J5061" s="1">
        <v>4380</v>
      </c>
    </row>
    <row r="5062" spans="1:10" ht="14.25" customHeight="1" x14ac:dyDescent="0.25">
      <c r="A5062" s="21">
        <v>48157</v>
      </c>
      <c r="B5062" s="21"/>
      <c r="C5062">
        <v>103.9</v>
      </c>
      <c r="D5062">
        <v>3.3</v>
      </c>
      <c r="E5062">
        <v>301</v>
      </c>
      <c r="F5062">
        <v>208</v>
      </c>
      <c r="G5062">
        <v>32</v>
      </c>
      <c r="H5062">
        <v>208</v>
      </c>
      <c r="I5062">
        <v>1.77</v>
      </c>
      <c r="J5062" s="1">
        <v>12800</v>
      </c>
    </row>
    <row r="5063" spans="1:10" ht="14.25" customHeight="1" x14ac:dyDescent="0.25">
      <c r="A5063" s="21">
        <v>48157</v>
      </c>
      <c r="B5063" s="21"/>
      <c r="H5063">
        <v>57</v>
      </c>
    </row>
    <row r="5064" spans="1:10" ht="14.25" customHeight="1" x14ac:dyDescent="0.25">
      <c r="A5064" s="21">
        <v>48157</v>
      </c>
      <c r="B5064" s="21"/>
      <c r="C5064">
        <v>1.2</v>
      </c>
      <c r="D5064">
        <v>3.8</v>
      </c>
      <c r="I5064">
        <v>0.99</v>
      </c>
      <c r="J5064">
        <v>116</v>
      </c>
    </row>
    <row r="5065" spans="1:10" ht="14.25" customHeight="1" x14ac:dyDescent="0.25">
      <c r="A5065" s="21">
        <v>48157</v>
      </c>
      <c r="B5065" s="21"/>
    </row>
    <row r="5066" spans="1:10" ht="14.25" customHeight="1" x14ac:dyDescent="0.25">
      <c r="A5066" s="21">
        <v>48159</v>
      </c>
      <c r="B5066" s="21"/>
      <c r="C5066">
        <v>4.7</v>
      </c>
      <c r="D5066">
        <v>3.5</v>
      </c>
      <c r="J5066">
        <v>491</v>
      </c>
    </row>
    <row r="5067" spans="1:10" ht="14.25" customHeight="1" x14ac:dyDescent="0.25">
      <c r="A5067" s="21">
        <v>48161</v>
      </c>
      <c r="B5067" s="21"/>
      <c r="C5067">
        <v>2.8</v>
      </c>
      <c r="D5067">
        <v>3.1</v>
      </c>
      <c r="E5067">
        <v>21</v>
      </c>
      <c r="F5067">
        <v>37</v>
      </c>
      <c r="H5067">
        <v>37</v>
      </c>
      <c r="I5067">
        <v>0.92</v>
      </c>
      <c r="J5067">
        <v>330</v>
      </c>
    </row>
    <row r="5068" spans="1:10" ht="14.25" customHeight="1" x14ac:dyDescent="0.25">
      <c r="A5068" s="21">
        <v>48163</v>
      </c>
      <c r="B5068" s="21"/>
      <c r="C5068">
        <v>0.2</v>
      </c>
      <c r="D5068">
        <v>2.2999999999999998</v>
      </c>
      <c r="J5068">
        <v>31</v>
      </c>
    </row>
    <row r="5069" spans="1:10" ht="14.25" customHeight="1" x14ac:dyDescent="0.25">
      <c r="A5069" s="21">
        <v>48163</v>
      </c>
      <c r="B5069" s="21"/>
      <c r="C5069">
        <v>4.7</v>
      </c>
      <c r="D5069">
        <v>6.3</v>
      </c>
      <c r="E5069">
        <v>26</v>
      </c>
      <c r="H5069">
        <v>24</v>
      </c>
      <c r="I5069">
        <v>0.94</v>
      </c>
      <c r="J5069">
        <v>316</v>
      </c>
    </row>
    <row r="5070" spans="1:10" ht="14.25" customHeight="1" x14ac:dyDescent="0.25">
      <c r="A5070" s="21">
        <v>48167</v>
      </c>
      <c r="B5070" s="21"/>
      <c r="E5070">
        <v>9</v>
      </c>
    </row>
    <row r="5071" spans="1:10" ht="14.25" customHeight="1" x14ac:dyDescent="0.25">
      <c r="A5071" s="21">
        <v>48167</v>
      </c>
      <c r="B5071" s="21"/>
      <c r="C5071">
        <v>431.5</v>
      </c>
      <c r="D5071">
        <v>4.5</v>
      </c>
      <c r="E5071" s="1">
        <v>1148</v>
      </c>
      <c r="F5071">
        <v>653</v>
      </c>
      <c r="H5071">
        <v>653</v>
      </c>
      <c r="I5071">
        <v>1.81</v>
      </c>
      <c r="J5071" s="1">
        <v>33481</v>
      </c>
    </row>
    <row r="5072" spans="1:10" ht="14.25" customHeight="1" x14ac:dyDescent="0.25">
      <c r="A5072" s="21">
        <v>48167</v>
      </c>
      <c r="B5072" s="21"/>
      <c r="H5072">
        <v>310</v>
      </c>
    </row>
    <row r="5073" spans="1:10" ht="14.25" customHeight="1" x14ac:dyDescent="0.25">
      <c r="A5073" s="21">
        <v>48167</v>
      </c>
      <c r="B5073" s="21"/>
      <c r="H5073">
        <v>20</v>
      </c>
    </row>
    <row r="5074" spans="1:10" ht="14.25" customHeight="1" x14ac:dyDescent="0.25">
      <c r="A5074" s="21">
        <v>48171</v>
      </c>
      <c r="B5074" s="21"/>
      <c r="C5074">
        <v>18.899999999999999</v>
      </c>
      <c r="D5074">
        <v>3.5</v>
      </c>
      <c r="E5074">
        <v>140</v>
      </c>
      <c r="F5074">
        <v>57</v>
      </c>
      <c r="G5074">
        <v>10</v>
      </c>
      <c r="H5074">
        <v>57</v>
      </c>
      <c r="I5074">
        <v>1.71</v>
      </c>
      <c r="J5074" s="1">
        <v>2186</v>
      </c>
    </row>
    <row r="5075" spans="1:10" ht="14.25" customHeight="1" x14ac:dyDescent="0.25">
      <c r="A5075" s="21">
        <v>48177</v>
      </c>
      <c r="B5075" s="21"/>
      <c r="C5075">
        <v>5.6</v>
      </c>
      <c r="D5075">
        <v>3</v>
      </c>
      <c r="E5075">
        <v>36</v>
      </c>
      <c r="F5075">
        <v>34</v>
      </c>
      <c r="H5075">
        <v>34</v>
      </c>
      <c r="I5075">
        <v>1.41</v>
      </c>
      <c r="J5075">
        <v>756</v>
      </c>
    </row>
    <row r="5076" spans="1:10" ht="14.25" customHeight="1" x14ac:dyDescent="0.25">
      <c r="A5076" s="21">
        <v>48179</v>
      </c>
      <c r="B5076" s="21"/>
      <c r="C5076">
        <v>12.6</v>
      </c>
      <c r="D5076">
        <v>3.2</v>
      </c>
      <c r="E5076">
        <v>50</v>
      </c>
      <c r="F5076">
        <v>97</v>
      </c>
      <c r="G5076">
        <v>8</v>
      </c>
      <c r="H5076">
        <v>97</v>
      </c>
      <c r="I5076">
        <v>1.56</v>
      </c>
      <c r="J5076" s="1">
        <v>1514</v>
      </c>
    </row>
    <row r="5077" spans="1:10" ht="14.25" customHeight="1" x14ac:dyDescent="0.25">
      <c r="A5077" s="21">
        <v>48181</v>
      </c>
      <c r="B5077" s="21"/>
      <c r="C5077">
        <v>249.6</v>
      </c>
      <c r="D5077">
        <v>4.5999999999999996</v>
      </c>
      <c r="E5077">
        <v>294</v>
      </c>
      <c r="F5077">
        <v>329</v>
      </c>
      <c r="G5077">
        <v>52</v>
      </c>
      <c r="H5077">
        <v>329</v>
      </c>
      <c r="I5077">
        <v>1.6</v>
      </c>
      <c r="J5077" s="1">
        <v>19430</v>
      </c>
    </row>
    <row r="5078" spans="1:10" ht="14.25" customHeight="1" x14ac:dyDescent="0.25">
      <c r="A5078" s="21">
        <v>48181</v>
      </c>
      <c r="B5078" s="21"/>
      <c r="C5078">
        <v>59.9</v>
      </c>
      <c r="D5078">
        <v>4.4000000000000004</v>
      </c>
      <c r="E5078">
        <v>92</v>
      </c>
      <c r="F5078">
        <v>214</v>
      </c>
      <c r="G5078">
        <v>10</v>
      </c>
      <c r="H5078">
        <v>214</v>
      </c>
      <c r="I5078">
        <v>1.61</v>
      </c>
      <c r="J5078" s="1">
        <v>4958</v>
      </c>
    </row>
    <row r="5079" spans="1:10" ht="14.25" customHeight="1" x14ac:dyDescent="0.25">
      <c r="A5079" s="21">
        <v>48181</v>
      </c>
      <c r="B5079" s="21"/>
      <c r="C5079">
        <v>0.2</v>
      </c>
      <c r="D5079">
        <v>6.8</v>
      </c>
      <c r="J5079">
        <v>10</v>
      </c>
    </row>
    <row r="5080" spans="1:10" ht="14.25" customHeight="1" x14ac:dyDescent="0.25">
      <c r="A5080" s="21">
        <v>48181</v>
      </c>
      <c r="B5080" s="21"/>
      <c r="C5080">
        <v>3.1</v>
      </c>
      <c r="D5080">
        <v>2.2999999999999998</v>
      </c>
      <c r="E5080">
        <v>49</v>
      </c>
      <c r="F5080">
        <v>12</v>
      </c>
      <c r="H5080">
        <v>12</v>
      </c>
      <c r="I5080">
        <v>2.1</v>
      </c>
      <c r="J5080">
        <v>492</v>
      </c>
    </row>
    <row r="5081" spans="1:10" ht="14.25" customHeight="1" x14ac:dyDescent="0.25">
      <c r="A5081" s="21">
        <v>48183</v>
      </c>
      <c r="B5081" s="21"/>
      <c r="C5081">
        <v>0</v>
      </c>
      <c r="D5081">
        <v>2.8</v>
      </c>
      <c r="J5081">
        <v>5</v>
      </c>
    </row>
    <row r="5082" spans="1:10" ht="14.25" customHeight="1" x14ac:dyDescent="0.25">
      <c r="A5082" s="21">
        <v>48183</v>
      </c>
      <c r="B5082" s="21"/>
      <c r="C5082">
        <v>147.6</v>
      </c>
      <c r="D5082">
        <v>3.7</v>
      </c>
      <c r="E5082">
        <v>50</v>
      </c>
      <c r="F5082">
        <v>328</v>
      </c>
      <c r="G5082">
        <v>33</v>
      </c>
      <c r="H5082">
        <v>328</v>
      </c>
      <c r="J5082" s="1">
        <v>14644</v>
      </c>
    </row>
    <row r="5083" spans="1:10" ht="14.25" customHeight="1" x14ac:dyDescent="0.25">
      <c r="A5083" s="21">
        <v>48183</v>
      </c>
      <c r="B5083" s="21"/>
      <c r="C5083">
        <v>131</v>
      </c>
      <c r="D5083">
        <v>4.5999999999999996</v>
      </c>
      <c r="E5083">
        <v>216</v>
      </c>
      <c r="F5083">
        <v>224</v>
      </c>
      <c r="G5083">
        <v>24</v>
      </c>
      <c r="H5083">
        <v>224</v>
      </c>
      <c r="I5083">
        <v>1.91</v>
      </c>
      <c r="J5083" s="1">
        <v>11078</v>
      </c>
    </row>
    <row r="5084" spans="1:10" ht="14.25" customHeight="1" x14ac:dyDescent="0.25">
      <c r="A5084" s="21">
        <v>48187</v>
      </c>
      <c r="B5084" s="21"/>
      <c r="C5084">
        <v>30</v>
      </c>
      <c r="D5084">
        <v>3.6</v>
      </c>
      <c r="E5084">
        <v>189</v>
      </c>
      <c r="F5084">
        <v>117</v>
      </c>
      <c r="G5084">
        <v>9</v>
      </c>
      <c r="H5084">
        <v>117</v>
      </c>
      <c r="I5084">
        <v>1.58</v>
      </c>
      <c r="J5084" s="1">
        <v>3420</v>
      </c>
    </row>
    <row r="5085" spans="1:10" ht="14.25" customHeight="1" x14ac:dyDescent="0.25">
      <c r="A5085" s="21">
        <v>48187</v>
      </c>
      <c r="B5085" s="21"/>
      <c r="E5085">
        <v>5</v>
      </c>
      <c r="H5085">
        <v>6</v>
      </c>
    </row>
    <row r="5086" spans="1:10" ht="14.25" customHeight="1" x14ac:dyDescent="0.25">
      <c r="A5086" s="21">
        <v>48189</v>
      </c>
      <c r="B5086" s="21"/>
      <c r="C5086">
        <v>15.1</v>
      </c>
      <c r="D5086">
        <v>3.7</v>
      </c>
      <c r="E5086">
        <v>72</v>
      </c>
      <c r="F5086">
        <v>49</v>
      </c>
      <c r="G5086">
        <v>5</v>
      </c>
      <c r="H5086">
        <v>49</v>
      </c>
      <c r="I5086">
        <v>1.57</v>
      </c>
      <c r="J5086" s="1">
        <v>1716</v>
      </c>
    </row>
    <row r="5087" spans="1:10" ht="14.25" customHeight="1" x14ac:dyDescent="0.25">
      <c r="A5087" s="21">
        <v>48199</v>
      </c>
      <c r="B5087" s="21"/>
    </row>
    <row r="5088" spans="1:10" ht="14.25" customHeight="1" x14ac:dyDescent="0.25">
      <c r="A5088" s="21">
        <v>48201</v>
      </c>
      <c r="B5088" s="21"/>
      <c r="C5088">
        <v>3.5</v>
      </c>
      <c r="D5088">
        <v>2</v>
      </c>
      <c r="E5088">
        <v>71</v>
      </c>
      <c r="F5088">
        <v>16</v>
      </c>
      <c r="H5088">
        <v>16</v>
      </c>
      <c r="I5088">
        <v>2.08</v>
      </c>
      <c r="J5088">
        <v>640</v>
      </c>
    </row>
    <row r="5089" spans="1:10" ht="14.25" customHeight="1" x14ac:dyDescent="0.25">
      <c r="A5089" s="21">
        <v>48201</v>
      </c>
      <c r="B5089" s="21"/>
      <c r="C5089">
        <v>372.4</v>
      </c>
      <c r="D5089">
        <v>4.7</v>
      </c>
      <c r="E5089">
        <v>543</v>
      </c>
      <c r="F5089">
        <v>528</v>
      </c>
      <c r="G5089">
        <v>66</v>
      </c>
      <c r="H5089">
        <v>528</v>
      </c>
      <c r="I5089">
        <v>1.69</v>
      </c>
      <c r="J5089" s="1">
        <v>29828</v>
      </c>
    </row>
    <row r="5090" spans="1:10" ht="14.25" customHeight="1" x14ac:dyDescent="0.25">
      <c r="A5090" s="21">
        <v>48201</v>
      </c>
      <c r="B5090" s="21"/>
      <c r="C5090">
        <v>67.099999999999994</v>
      </c>
      <c r="D5090">
        <v>4</v>
      </c>
      <c r="E5090">
        <v>167</v>
      </c>
      <c r="F5090">
        <v>178</v>
      </c>
      <c r="G5090">
        <v>14</v>
      </c>
      <c r="H5090">
        <v>178</v>
      </c>
      <c r="I5090">
        <v>1.58</v>
      </c>
      <c r="J5090" s="1">
        <v>6672</v>
      </c>
    </row>
    <row r="5091" spans="1:10" ht="14.25" customHeight="1" x14ac:dyDescent="0.25">
      <c r="A5091" s="21">
        <v>48201</v>
      </c>
      <c r="B5091" s="21"/>
      <c r="C5091">
        <v>59.9</v>
      </c>
      <c r="D5091">
        <v>4.2</v>
      </c>
      <c r="I5091">
        <v>1.63</v>
      </c>
      <c r="J5091" s="1">
        <v>6047</v>
      </c>
    </row>
    <row r="5092" spans="1:10" ht="14.25" customHeight="1" x14ac:dyDescent="0.25">
      <c r="A5092" s="21">
        <v>48201</v>
      </c>
      <c r="B5092" s="21"/>
      <c r="C5092">
        <v>146.69999999999999</v>
      </c>
      <c r="D5092">
        <v>4.0999999999999996</v>
      </c>
      <c r="E5092">
        <v>229</v>
      </c>
      <c r="F5092">
        <v>255</v>
      </c>
      <c r="G5092">
        <v>24</v>
      </c>
      <c r="H5092">
        <v>255</v>
      </c>
      <c r="I5092">
        <v>1.75</v>
      </c>
      <c r="J5092" s="1">
        <v>13644</v>
      </c>
    </row>
    <row r="5093" spans="1:10" ht="14.25" customHeight="1" x14ac:dyDescent="0.25">
      <c r="A5093" s="21">
        <v>48201</v>
      </c>
      <c r="B5093" s="21"/>
      <c r="C5093">
        <v>128.69999999999999</v>
      </c>
      <c r="D5093">
        <v>8</v>
      </c>
      <c r="E5093">
        <v>293</v>
      </c>
      <c r="F5093">
        <v>257</v>
      </c>
      <c r="G5093">
        <v>4</v>
      </c>
      <c r="H5093">
        <v>257</v>
      </c>
      <c r="I5093">
        <v>1.22</v>
      </c>
      <c r="J5093" s="1">
        <v>14055</v>
      </c>
    </row>
    <row r="5094" spans="1:10" ht="14.25" customHeight="1" x14ac:dyDescent="0.25">
      <c r="A5094" s="21">
        <v>48201</v>
      </c>
      <c r="B5094" s="21"/>
      <c r="C5094">
        <v>228</v>
      </c>
      <c r="D5094">
        <v>3.9</v>
      </c>
      <c r="E5094">
        <v>605</v>
      </c>
      <c r="F5094">
        <v>444</v>
      </c>
      <c r="G5094">
        <v>60</v>
      </c>
      <c r="H5094">
        <v>444</v>
      </c>
      <c r="I5094">
        <v>1.9</v>
      </c>
      <c r="J5094" s="1">
        <v>23043</v>
      </c>
    </row>
    <row r="5095" spans="1:10" ht="14.25" customHeight="1" x14ac:dyDescent="0.25">
      <c r="A5095" s="21">
        <v>48201</v>
      </c>
      <c r="B5095" s="21"/>
      <c r="C5095">
        <v>9.6999999999999993</v>
      </c>
      <c r="D5095">
        <v>3.5</v>
      </c>
      <c r="J5095" s="1">
        <v>1121</v>
      </c>
    </row>
    <row r="5096" spans="1:10" ht="14.25" customHeight="1" x14ac:dyDescent="0.25">
      <c r="A5096" s="21">
        <v>48201</v>
      </c>
      <c r="B5096" s="21"/>
      <c r="C5096">
        <v>384.1</v>
      </c>
      <c r="D5096">
        <v>5.0999999999999996</v>
      </c>
      <c r="E5096">
        <v>541</v>
      </c>
      <c r="F5096">
        <v>532</v>
      </c>
      <c r="G5096">
        <v>86</v>
      </c>
      <c r="H5096">
        <v>532</v>
      </c>
      <c r="I5096">
        <v>1.63</v>
      </c>
      <c r="J5096" s="1">
        <v>29895</v>
      </c>
    </row>
    <row r="5097" spans="1:10" ht="14.25" customHeight="1" x14ac:dyDescent="0.25">
      <c r="A5097" s="21">
        <v>48201</v>
      </c>
      <c r="B5097" s="21"/>
      <c r="C5097">
        <v>49.6</v>
      </c>
      <c r="D5097">
        <v>5.7</v>
      </c>
      <c r="E5097">
        <v>107</v>
      </c>
      <c r="F5097">
        <v>133</v>
      </c>
      <c r="G5097">
        <v>14</v>
      </c>
      <c r="H5097">
        <v>133</v>
      </c>
      <c r="I5097">
        <v>1.75</v>
      </c>
      <c r="J5097" s="1">
        <v>3166</v>
      </c>
    </row>
    <row r="5098" spans="1:10" ht="14.25" customHeight="1" x14ac:dyDescent="0.25">
      <c r="A5098" s="21">
        <v>48201</v>
      </c>
      <c r="B5098" s="21"/>
      <c r="C5098">
        <v>107</v>
      </c>
      <c r="D5098">
        <v>4.8</v>
      </c>
      <c r="E5098">
        <v>218</v>
      </c>
      <c r="F5098">
        <v>194</v>
      </c>
      <c r="G5098">
        <v>20</v>
      </c>
      <c r="H5098">
        <v>194</v>
      </c>
      <c r="I5098">
        <v>1.63</v>
      </c>
      <c r="J5098" s="1">
        <v>8438</v>
      </c>
    </row>
    <row r="5099" spans="1:10" ht="14.25" customHeight="1" x14ac:dyDescent="0.25">
      <c r="A5099" s="21">
        <v>48201</v>
      </c>
      <c r="B5099" s="21"/>
      <c r="C5099">
        <v>169.3</v>
      </c>
      <c r="D5099">
        <v>4.5</v>
      </c>
      <c r="E5099">
        <v>279</v>
      </c>
      <c r="F5099">
        <v>288</v>
      </c>
      <c r="G5099">
        <v>38</v>
      </c>
      <c r="H5099">
        <v>288</v>
      </c>
      <c r="I5099">
        <v>1.68</v>
      </c>
      <c r="J5099" s="1">
        <v>15465</v>
      </c>
    </row>
    <row r="5100" spans="1:10" ht="14.25" customHeight="1" x14ac:dyDescent="0.25">
      <c r="A5100" s="21">
        <v>48201</v>
      </c>
      <c r="B5100" s="21"/>
      <c r="C5100">
        <v>147.1</v>
      </c>
      <c r="D5100">
        <v>5.2</v>
      </c>
      <c r="E5100">
        <v>266</v>
      </c>
      <c r="F5100">
        <v>230</v>
      </c>
      <c r="G5100">
        <v>28</v>
      </c>
      <c r="H5100">
        <v>230</v>
      </c>
      <c r="I5100">
        <v>1.76</v>
      </c>
      <c r="J5100" s="1">
        <v>11650</v>
      </c>
    </row>
    <row r="5101" spans="1:10" ht="14.25" customHeight="1" x14ac:dyDescent="0.25">
      <c r="A5101" s="21">
        <v>48201</v>
      </c>
      <c r="B5101" s="21"/>
      <c r="C5101">
        <v>1.6</v>
      </c>
      <c r="D5101">
        <v>2.6</v>
      </c>
      <c r="I5101">
        <v>3.41</v>
      </c>
      <c r="J5101">
        <v>218</v>
      </c>
    </row>
    <row r="5102" spans="1:10" ht="14.25" customHeight="1" x14ac:dyDescent="0.25">
      <c r="A5102" s="21">
        <v>48201</v>
      </c>
      <c r="B5102" s="21"/>
      <c r="C5102">
        <v>19.8</v>
      </c>
      <c r="D5102">
        <v>8.1999999999999993</v>
      </c>
      <c r="E5102">
        <v>103</v>
      </c>
      <c r="F5102">
        <v>97</v>
      </c>
      <c r="H5102">
        <v>97</v>
      </c>
      <c r="I5102">
        <v>1.78</v>
      </c>
      <c r="J5102">
        <v>982</v>
      </c>
    </row>
    <row r="5103" spans="1:10" ht="14.25" customHeight="1" x14ac:dyDescent="0.25">
      <c r="A5103" s="21">
        <v>48201</v>
      </c>
      <c r="B5103" s="21"/>
      <c r="C5103">
        <v>20.399999999999999</v>
      </c>
      <c r="D5103">
        <v>2</v>
      </c>
      <c r="E5103">
        <v>92</v>
      </c>
      <c r="F5103">
        <v>49</v>
      </c>
      <c r="H5103">
        <v>49</v>
      </c>
      <c r="I5103">
        <v>2.5099999999999998</v>
      </c>
      <c r="J5103" s="1">
        <v>3717</v>
      </c>
    </row>
    <row r="5104" spans="1:10" ht="14.25" customHeight="1" x14ac:dyDescent="0.25">
      <c r="A5104" s="21">
        <v>48201</v>
      </c>
      <c r="B5104" s="21"/>
      <c r="C5104">
        <v>10.8</v>
      </c>
      <c r="D5104">
        <v>4</v>
      </c>
      <c r="J5104">
        <v>990</v>
      </c>
    </row>
    <row r="5105" spans="1:10" ht="14.25" customHeight="1" x14ac:dyDescent="0.25">
      <c r="A5105" s="21">
        <v>48201</v>
      </c>
      <c r="B5105" s="21"/>
      <c r="C5105">
        <v>198.8</v>
      </c>
      <c r="D5105">
        <v>4.5999999999999996</v>
      </c>
      <c r="E5105">
        <v>381</v>
      </c>
      <c r="F5105">
        <v>313</v>
      </c>
      <c r="G5105">
        <v>32</v>
      </c>
      <c r="H5105">
        <v>313</v>
      </c>
      <c r="I5105">
        <v>1.78</v>
      </c>
      <c r="J5105" s="1">
        <v>18255</v>
      </c>
    </row>
    <row r="5106" spans="1:10" ht="14.25" customHeight="1" x14ac:dyDescent="0.25">
      <c r="A5106" s="21">
        <v>48201</v>
      </c>
      <c r="B5106" s="21"/>
      <c r="C5106">
        <v>1.1000000000000001</v>
      </c>
      <c r="D5106">
        <v>2.2000000000000002</v>
      </c>
      <c r="E5106">
        <v>8</v>
      </c>
      <c r="F5106">
        <v>37</v>
      </c>
      <c r="H5106">
        <v>37</v>
      </c>
      <c r="I5106">
        <v>2.94</v>
      </c>
      <c r="J5106">
        <v>184</v>
      </c>
    </row>
    <row r="5107" spans="1:10" ht="14.25" customHeight="1" x14ac:dyDescent="0.25">
      <c r="A5107" s="21">
        <v>48201</v>
      </c>
      <c r="B5107" s="21"/>
      <c r="C5107">
        <v>651.29999999999995</v>
      </c>
      <c r="D5107">
        <v>6.5</v>
      </c>
      <c r="E5107" s="1">
        <v>1433</v>
      </c>
      <c r="F5107">
        <v>956</v>
      </c>
      <c r="G5107">
        <v>37</v>
      </c>
      <c r="H5107">
        <v>956</v>
      </c>
      <c r="I5107">
        <v>2.31</v>
      </c>
      <c r="J5107" s="1">
        <v>36931</v>
      </c>
    </row>
    <row r="5108" spans="1:10" ht="14.25" customHeight="1" x14ac:dyDescent="0.25">
      <c r="A5108" s="21">
        <v>48201</v>
      </c>
      <c r="B5108" s="21"/>
      <c r="C5108">
        <v>144</v>
      </c>
      <c r="D5108">
        <v>4.5</v>
      </c>
      <c r="E5108">
        <v>246</v>
      </c>
      <c r="F5108">
        <v>190</v>
      </c>
      <c r="G5108">
        <v>24</v>
      </c>
      <c r="H5108">
        <v>190</v>
      </c>
      <c r="I5108">
        <v>1.75</v>
      </c>
      <c r="J5108" s="1">
        <v>12906</v>
      </c>
    </row>
    <row r="5109" spans="1:10" ht="14.25" customHeight="1" x14ac:dyDescent="0.25">
      <c r="A5109" s="21">
        <v>48201</v>
      </c>
      <c r="B5109" s="21"/>
      <c r="C5109">
        <v>4.4000000000000004</v>
      </c>
      <c r="D5109">
        <v>13.7</v>
      </c>
      <c r="J5109">
        <v>117</v>
      </c>
    </row>
    <row r="5110" spans="1:10" ht="14.25" customHeight="1" x14ac:dyDescent="0.25">
      <c r="A5110" s="21">
        <v>48201</v>
      </c>
      <c r="B5110" s="21"/>
      <c r="C5110">
        <v>172.6</v>
      </c>
      <c r="D5110">
        <v>5.5</v>
      </c>
      <c r="E5110">
        <v>235</v>
      </c>
      <c r="F5110">
        <v>236</v>
      </c>
      <c r="G5110">
        <v>24</v>
      </c>
      <c r="H5110">
        <v>236</v>
      </c>
      <c r="I5110">
        <v>1.7</v>
      </c>
      <c r="J5110" s="1">
        <v>11980</v>
      </c>
    </row>
    <row r="5111" spans="1:10" ht="14.25" customHeight="1" x14ac:dyDescent="0.25">
      <c r="A5111" s="21">
        <v>48201</v>
      </c>
      <c r="B5111" s="21"/>
      <c r="C5111">
        <v>596.9</v>
      </c>
      <c r="D5111">
        <v>7.2</v>
      </c>
      <c r="E5111" s="1">
        <v>2132</v>
      </c>
      <c r="F5111">
        <v>670</v>
      </c>
      <c r="G5111">
        <v>52</v>
      </c>
      <c r="H5111">
        <v>670</v>
      </c>
      <c r="I5111">
        <v>2.1800000000000002</v>
      </c>
      <c r="J5111" s="1">
        <v>30374</v>
      </c>
    </row>
    <row r="5112" spans="1:10" ht="14.25" customHeight="1" x14ac:dyDescent="0.25">
      <c r="A5112" s="21">
        <v>48201</v>
      </c>
      <c r="B5112" s="21"/>
      <c r="C5112">
        <v>695.6</v>
      </c>
      <c r="D5112">
        <v>5.8</v>
      </c>
      <c r="E5112" s="1">
        <v>1342</v>
      </c>
      <c r="F5112">
        <v>994</v>
      </c>
      <c r="G5112">
        <v>38</v>
      </c>
      <c r="H5112">
        <v>994</v>
      </c>
      <c r="I5112">
        <v>2.73</v>
      </c>
      <c r="J5112" s="1">
        <v>45540</v>
      </c>
    </row>
    <row r="5113" spans="1:10" ht="14.25" customHeight="1" x14ac:dyDescent="0.25">
      <c r="A5113" s="21">
        <v>48201</v>
      </c>
      <c r="B5113" s="21"/>
      <c r="C5113">
        <v>113.7</v>
      </c>
      <c r="D5113">
        <v>4.7</v>
      </c>
      <c r="E5113">
        <v>204</v>
      </c>
      <c r="F5113">
        <v>248</v>
      </c>
      <c r="G5113">
        <v>24</v>
      </c>
      <c r="H5113">
        <v>248</v>
      </c>
      <c r="I5113">
        <v>1.63</v>
      </c>
      <c r="J5113" s="1">
        <v>11587</v>
      </c>
    </row>
    <row r="5114" spans="1:10" ht="14.25" customHeight="1" x14ac:dyDescent="0.25">
      <c r="A5114" s="21">
        <v>48201</v>
      </c>
      <c r="B5114" s="21"/>
      <c r="H5114">
        <v>238</v>
      </c>
    </row>
    <row r="5115" spans="1:10" ht="14.25" customHeight="1" x14ac:dyDescent="0.25">
      <c r="A5115" s="21">
        <v>48201</v>
      </c>
      <c r="B5115" s="21"/>
      <c r="C5115">
        <v>406.9</v>
      </c>
      <c r="D5115">
        <v>6.4</v>
      </c>
      <c r="E5115">
        <v>850</v>
      </c>
      <c r="F5115">
        <v>637</v>
      </c>
      <c r="G5115">
        <v>144</v>
      </c>
      <c r="H5115">
        <v>637</v>
      </c>
      <c r="I5115">
        <v>2.76</v>
      </c>
      <c r="J5115" s="1">
        <v>23114</v>
      </c>
    </row>
    <row r="5116" spans="1:10" ht="14.25" customHeight="1" x14ac:dyDescent="0.25">
      <c r="A5116" s="21">
        <v>48201</v>
      </c>
      <c r="B5116" s="21"/>
      <c r="E5116">
        <v>71</v>
      </c>
      <c r="H5116">
        <v>139</v>
      </c>
      <c r="I5116">
        <v>1.72</v>
      </c>
    </row>
    <row r="5117" spans="1:10" ht="14.25" customHeight="1" x14ac:dyDescent="0.25">
      <c r="A5117" s="21">
        <v>48201</v>
      </c>
      <c r="B5117" s="21"/>
      <c r="C5117">
        <v>2.8</v>
      </c>
      <c r="D5117">
        <v>2.2000000000000002</v>
      </c>
      <c r="E5117">
        <v>18</v>
      </c>
      <c r="F5117">
        <v>19</v>
      </c>
      <c r="H5117">
        <v>19</v>
      </c>
      <c r="J5117">
        <v>477</v>
      </c>
    </row>
    <row r="5118" spans="1:10" ht="14.25" customHeight="1" x14ac:dyDescent="0.25">
      <c r="A5118" s="21">
        <v>48201</v>
      </c>
      <c r="B5118" s="21"/>
      <c r="C5118">
        <v>50.8</v>
      </c>
      <c r="D5118">
        <v>4.8</v>
      </c>
      <c r="E5118">
        <v>87</v>
      </c>
      <c r="F5118">
        <v>61</v>
      </c>
      <c r="G5118">
        <v>8</v>
      </c>
      <c r="H5118">
        <v>61</v>
      </c>
      <c r="I5118">
        <v>1.73</v>
      </c>
      <c r="J5118" s="1">
        <v>3880</v>
      </c>
    </row>
    <row r="5119" spans="1:10" ht="14.25" customHeight="1" x14ac:dyDescent="0.25">
      <c r="A5119" s="21">
        <v>48201</v>
      </c>
      <c r="B5119" s="21"/>
      <c r="E5119">
        <v>2</v>
      </c>
      <c r="H5119">
        <v>64</v>
      </c>
    </row>
    <row r="5120" spans="1:10" ht="14.25" customHeight="1" x14ac:dyDescent="0.25">
      <c r="A5120" s="21">
        <v>48201</v>
      </c>
      <c r="B5120" s="21"/>
      <c r="C5120">
        <v>34</v>
      </c>
      <c r="D5120">
        <v>4.3</v>
      </c>
      <c r="J5120" s="1">
        <v>2862</v>
      </c>
    </row>
    <row r="5121" spans="1:10" ht="14.25" customHeight="1" x14ac:dyDescent="0.25">
      <c r="A5121" s="21">
        <v>48201</v>
      </c>
      <c r="B5121" s="21"/>
      <c r="C5121">
        <v>2.1</v>
      </c>
      <c r="D5121">
        <v>2.2000000000000002</v>
      </c>
      <c r="E5121">
        <v>32</v>
      </c>
      <c r="F5121">
        <v>10</v>
      </c>
      <c r="H5121">
        <v>10</v>
      </c>
      <c r="I5121">
        <v>2.15</v>
      </c>
      <c r="J5121">
        <v>354</v>
      </c>
    </row>
    <row r="5122" spans="1:10" ht="14.25" customHeight="1" x14ac:dyDescent="0.25">
      <c r="A5122" s="21">
        <v>48201</v>
      </c>
      <c r="B5122" s="21"/>
      <c r="C5122">
        <v>29.3</v>
      </c>
      <c r="D5122">
        <v>25.2</v>
      </c>
      <c r="J5122">
        <v>424</v>
      </c>
    </row>
    <row r="5123" spans="1:10" ht="14.25" customHeight="1" x14ac:dyDescent="0.25">
      <c r="A5123" s="21">
        <v>48201</v>
      </c>
      <c r="B5123" s="21"/>
    </row>
    <row r="5124" spans="1:10" ht="14.25" customHeight="1" x14ac:dyDescent="0.25">
      <c r="A5124" s="21">
        <v>48201</v>
      </c>
      <c r="B5124" s="21"/>
      <c r="C5124">
        <v>0.5</v>
      </c>
      <c r="D5124">
        <v>2.5</v>
      </c>
      <c r="J5124">
        <v>68</v>
      </c>
    </row>
    <row r="5125" spans="1:10" ht="14.25" customHeight="1" x14ac:dyDescent="0.25">
      <c r="A5125" s="21">
        <v>48201</v>
      </c>
      <c r="B5125" s="21"/>
      <c r="C5125">
        <v>40.5</v>
      </c>
      <c r="D5125">
        <v>4</v>
      </c>
      <c r="E5125">
        <v>75</v>
      </c>
      <c r="F5125">
        <v>86</v>
      </c>
      <c r="G5125">
        <v>12</v>
      </c>
      <c r="H5125">
        <v>86</v>
      </c>
      <c r="I5125">
        <v>1.69</v>
      </c>
      <c r="J5125" s="1">
        <v>4069</v>
      </c>
    </row>
    <row r="5126" spans="1:10" ht="14.25" customHeight="1" x14ac:dyDescent="0.25">
      <c r="A5126" s="21">
        <v>48201</v>
      </c>
      <c r="B5126" s="21"/>
      <c r="C5126">
        <v>855.5</v>
      </c>
      <c r="D5126">
        <v>4.0999999999999996</v>
      </c>
      <c r="E5126" s="1">
        <v>1981</v>
      </c>
      <c r="F5126" s="1">
        <v>1310</v>
      </c>
      <c r="G5126">
        <v>157</v>
      </c>
      <c r="H5126">
        <v>547</v>
      </c>
      <c r="I5126">
        <v>1.89</v>
      </c>
      <c r="J5126" s="1">
        <v>80012</v>
      </c>
    </row>
    <row r="5127" spans="1:10" ht="14.25" customHeight="1" x14ac:dyDescent="0.25">
      <c r="A5127" s="21">
        <v>48201</v>
      </c>
      <c r="B5127" s="21"/>
      <c r="E5127">
        <v>1</v>
      </c>
      <c r="H5127">
        <v>250</v>
      </c>
    </row>
    <row r="5128" spans="1:10" ht="14.25" customHeight="1" x14ac:dyDescent="0.25">
      <c r="A5128" s="21">
        <v>48201</v>
      </c>
      <c r="B5128" s="21"/>
      <c r="C5128">
        <v>420.1</v>
      </c>
      <c r="D5128">
        <v>5.8</v>
      </c>
      <c r="E5128" s="1">
        <v>1345</v>
      </c>
      <c r="F5128">
        <v>615</v>
      </c>
      <c r="G5128">
        <v>30</v>
      </c>
      <c r="H5128">
        <v>444</v>
      </c>
      <c r="I5128">
        <v>1.75</v>
      </c>
      <c r="J5128" s="1">
        <v>28163</v>
      </c>
    </row>
    <row r="5129" spans="1:10" ht="14.25" customHeight="1" x14ac:dyDescent="0.25">
      <c r="A5129" s="21">
        <v>48201</v>
      </c>
      <c r="B5129" s="21"/>
      <c r="H5129">
        <v>207</v>
      </c>
    </row>
    <row r="5130" spans="1:10" ht="14.25" customHeight="1" x14ac:dyDescent="0.25">
      <c r="A5130" s="21">
        <v>48201</v>
      </c>
      <c r="B5130" s="21"/>
    </row>
    <row r="5131" spans="1:10" ht="14.25" customHeight="1" x14ac:dyDescent="0.25">
      <c r="A5131" s="21">
        <v>48201</v>
      </c>
      <c r="B5131" s="21"/>
      <c r="C5131">
        <v>111.1</v>
      </c>
      <c r="D5131">
        <v>4.0999999999999996</v>
      </c>
      <c r="E5131">
        <v>269</v>
      </c>
      <c r="F5131">
        <v>193</v>
      </c>
      <c r="G5131">
        <v>25</v>
      </c>
      <c r="H5131">
        <v>193</v>
      </c>
      <c r="I5131">
        <v>1.79</v>
      </c>
      <c r="J5131" s="1">
        <v>11827</v>
      </c>
    </row>
    <row r="5132" spans="1:10" ht="14.25" customHeight="1" x14ac:dyDescent="0.25">
      <c r="A5132" s="21">
        <v>48201</v>
      </c>
      <c r="B5132" s="21"/>
      <c r="C5132">
        <v>20.5</v>
      </c>
      <c r="D5132">
        <v>10.1</v>
      </c>
      <c r="J5132">
        <v>744</v>
      </c>
    </row>
    <row r="5133" spans="1:10" ht="14.25" customHeight="1" x14ac:dyDescent="0.25">
      <c r="A5133" s="21">
        <v>48201</v>
      </c>
      <c r="B5133" s="21"/>
    </row>
    <row r="5134" spans="1:10" ht="14.25" customHeight="1" x14ac:dyDescent="0.25">
      <c r="A5134" s="21">
        <v>48201</v>
      </c>
      <c r="B5134" s="21"/>
      <c r="C5134">
        <v>63.4</v>
      </c>
      <c r="D5134">
        <v>3.9</v>
      </c>
      <c r="I5134">
        <v>1.65</v>
      </c>
      <c r="J5134" s="1">
        <v>5328</v>
      </c>
    </row>
    <row r="5135" spans="1:10" ht="14.25" customHeight="1" x14ac:dyDescent="0.25">
      <c r="A5135" s="21">
        <v>48201</v>
      </c>
      <c r="B5135" s="21"/>
      <c r="E5135">
        <v>16</v>
      </c>
      <c r="H5135">
        <v>850</v>
      </c>
    </row>
    <row r="5136" spans="1:10" ht="14.25" customHeight="1" x14ac:dyDescent="0.25">
      <c r="A5136" s="21">
        <v>48201</v>
      </c>
      <c r="B5136" s="21"/>
    </row>
    <row r="5137" spans="1:10" ht="14.25" customHeight="1" x14ac:dyDescent="0.25">
      <c r="A5137" s="21">
        <v>48201</v>
      </c>
      <c r="B5137" s="21"/>
      <c r="C5137">
        <v>1.8</v>
      </c>
      <c r="D5137">
        <v>3.5</v>
      </c>
      <c r="I5137">
        <v>0.86</v>
      </c>
      <c r="J5137">
        <v>149</v>
      </c>
    </row>
    <row r="5138" spans="1:10" ht="14.25" customHeight="1" x14ac:dyDescent="0.25">
      <c r="A5138" s="21">
        <v>48201</v>
      </c>
      <c r="B5138" s="21"/>
    </row>
    <row r="5139" spans="1:10" ht="14.25" customHeight="1" x14ac:dyDescent="0.25">
      <c r="A5139" s="21">
        <v>48201</v>
      </c>
      <c r="B5139" s="21"/>
      <c r="C5139">
        <v>2.2000000000000002</v>
      </c>
      <c r="D5139">
        <v>1</v>
      </c>
      <c r="E5139">
        <v>39</v>
      </c>
      <c r="F5139">
        <v>14</v>
      </c>
      <c r="H5139">
        <v>14</v>
      </c>
      <c r="I5139">
        <v>1.08</v>
      </c>
      <c r="J5139">
        <v>786</v>
      </c>
    </row>
    <row r="5140" spans="1:10" ht="14.25" customHeight="1" x14ac:dyDescent="0.25">
      <c r="A5140" s="21">
        <v>48201</v>
      </c>
      <c r="B5140" s="21"/>
      <c r="H5140">
        <v>81</v>
      </c>
    </row>
    <row r="5141" spans="1:10" ht="14.25" customHeight="1" x14ac:dyDescent="0.25">
      <c r="A5141" s="21">
        <v>48201</v>
      </c>
      <c r="B5141" s="21"/>
    </row>
    <row r="5142" spans="1:10" ht="14.25" customHeight="1" x14ac:dyDescent="0.25">
      <c r="A5142" s="21">
        <v>48201</v>
      </c>
      <c r="B5142" s="21"/>
      <c r="C5142">
        <v>1.8</v>
      </c>
      <c r="D5142">
        <v>2.8</v>
      </c>
      <c r="E5142">
        <v>92</v>
      </c>
      <c r="F5142">
        <v>12</v>
      </c>
      <c r="H5142">
        <v>12</v>
      </c>
      <c r="I5142">
        <v>1.21</v>
      </c>
      <c r="J5142">
        <v>232</v>
      </c>
    </row>
    <row r="5143" spans="1:10" ht="14.25" customHeight="1" x14ac:dyDescent="0.25">
      <c r="A5143" s="21">
        <v>48201</v>
      </c>
      <c r="B5143" s="21"/>
      <c r="C5143">
        <v>2.6</v>
      </c>
      <c r="D5143">
        <v>3.5</v>
      </c>
      <c r="E5143">
        <v>40</v>
      </c>
      <c r="F5143">
        <v>16</v>
      </c>
      <c r="H5143">
        <v>16</v>
      </c>
      <c r="I5143">
        <v>1.82</v>
      </c>
      <c r="J5143">
        <v>274</v>
      </c>
    </row>
    <row r="5144" spans="1:10" ht="14.25" customHeight="1" x14ac:dyDescent="0.25">
      <c r="A5144" s="21">
        <v>48201</v>
      </c>
      <c r="B5144" s="21"/>
      <c r="E5144">
        <v>10</v>
      </c>
      <c r="H5144">
        <v>12</v>
      </c>
    </row>
    <row r="5145" spans="1:10" ht="14.25" customHeight="1" x14ac:dyDescent="0.25">
      <c r="A5145" s="21">
        <v>48201</v>
      </c>
      <c r="B5145" s="21"/>
      <c r="E5145">
        <v>23</v>
      </c>
      <c r="H5145">
        <v>14</v>
      </c>
    </row>
    <row r="5146" spans="1:10" ht="14.25" customHeight="1" x14ac:dyDescent="0.25">
      <c r="A5146" s="21">
        <v>48201</v>
      </c>
      <c r="B5146" s="21"/>
    </row>
    <row r="5147" spans="1:10" ht="14.25" customHeight="1" x14ac:dyDescent="0.25">
      <c r="A5147" s="21">
        <v>48201</v>
      </c>
      <c r="B5147" s="21"/>
      <c r="H5147">
        <v>45</v>
      </c>
    </row>
    <row r="5148" spans="1:10" ht="14.25" customHeight="1" x14ac:dyDescent="0.25">
      <c r="A5148" s="21">
        <v>48201</v>
      </c>
      <c r="B5148" s="21"/>
      <c r="H5148">
        <v>147</v>
      </c>
    </row>
    <row r="5149" spans="1:10" ht="14.25" customHeight="1" x14ac:dyDescent="0.25">
      <c r="A5149" s="21">
        <v>48201</v>
      </c>
      <c r="B5149" s="21"/>
    </row>
    <row r="5150" spans="1:10" ht="14.25" customHeight="1" x14ac:dyDescent="0.25">
      <c r="A5150" s="21">
        <v>48201</v>
      </c>
      <c r="B5150" s="21"/>
    </row>
    <row r="5151" spans="1:10" ht="14.25" customHeight="1" x14ac:dyDescent="0.25">
      <c r="A5151" s="21">
        <v>48201</v>
      </c>
      <c r="B5151" s="21"/>
    </row>
    <row r="5152" spans="1:10" ht="14.25" customHeight="1" x14ac:dyDescent="0.25">
      <c r="A5152" s="21">
        <v>48201</v>
      </c>
      <c r="B5152" s="21"/>
      <c r="H5152">
        <v>91</v>
      </c>
    </row>
    <row r="5153" spans="1:10" ht="14.25" customHeight="1" x14ac:dyDescent="0.25">
      <c r="A5153" s="21">
        <v>48201</v>
      </c>
      <c r="B5153" s="21"/>
      <c r="E5153">
        <v>9</v>
      </c>
    </row>
    <row r="5154" spans="1:10" ht="14.25" customHeight="1" x14ac:dyDescent="0.25">
      <c r="A5154" s="21">
        <v>48201</v>
      </c>
      <c r="B5154" s="21"/>
    </row>
    <row r="5155" spans="1:10" ht="14.25" customHeight="1" x14ac:dyDescent="0.25">
      <c r="A5155" s="21">
        <v>48201</v>
      </c>
      <c r="B5155" s="21"/>
    </row>
    <row r="5156" spans="1:10" ht="14.25" customHeight="1" x14ac:dyDescent="0.25">
      <c r="A5156" s="21">
        <v>48201</v>
      </c>
      <c r="B5156" s="21"/>
      <c r="H5156">
        <v>23</v>
      </c>
    </row>
    <row r="5157" spans="1:10" ht="14.25" customHeight="1" x14ac:dyDescent="0.25">
      <c r="A5157" s="21">
        <v>48201</v>
      </c>
      <c r="B5157" s="21"/>
      <c r="E5157">
        <v>1</v>
      </c>
    </row>
    <row r="5158" spans="1:10" ht="14.25" customHeight="1" x14ac:dyDescent="0.25">
      <c r="A5158" s="21">
        <v>48201</v>
      </c>
      <c r="B5158" s="21"/>
      <c r="C5158">
        <v>7.6</v>
      </c>
      <c r="D5158">
        <v>24.5</v>
      </c>
      <c r="J5158">
        <v>113</v>
      </c>
    </row>
    <row r="5159" spans="1:10" ht="14.25" customHeight="1" x14ac:dyDescent="0.25">
      <c r="A5159" s="21">
        <v>48201</v>
      </c>
      <c r="B5159" s="21"/>
      <c r="C5159">
        <v>3.4</v>
      </c>
      <c r="D5159">
        <v>2.7</v>
      </c>
      <c r="E5159">
        <v>63</v>
      </c>
      <c r="F5159">
        <v>4</v>
      </c>
      <c r="H5159">
        <v>4</v>
      </c>
      <c r="I5159">
        <v>1.66</v>
      </c>
      <c r="J5159">
        <v>468</v>
      </c>
    </row>
    <row r="5160" spans="1:10" ht="14.25" customHeight="1" x14ac:dyDescent="0.25">
      <c r="A5160" s="21">
        <v>48201</v>
      </c>
      <c r="B5160" s="21"/>
      <c r="C5160">
        <v>2.5</v>
      </c>
      <c r="D5160">
        <v>2</v>
      </c>
      <c r="J5160">
        <v>459</v>
      </c>
    </row>
    <row r="5161" spans="1:10" ht="14.25" customHeight="1" x14ac:dyDescent="0.25">
      <c r="A5161" s="21">
        <v>48201</v>
      </c>
      <c r="B5161" s="21"/>
      <c r="E5161">
        <v>2</v>
      </c>
    </row>
    <row r="5162" spans="1:10" ht="14.25" customHeight="1" x14ac:dyDescent="0.25">
      <c r="A5162" s="21">
        <v>48201</v>
      </c>
      <c r="B5162" s="21"/>
      <c r="C5162">
        <v>4.3</v>
      </c>
      <c r="D5162">
        <v>2.2000000000000002</v>
      </c>
      <c r="E5162">
        <v>90</v>
      </c>
      <c r="F5162">
        <v>21</v>
      </c>
      <c r="H5162">
        <v>21</v>
      </c>
      <c r="I5162">
        <v>2.31</v>
      </c>
      <c r="J5162">
        <v>701</v>
      </c>
    </row>
    <row r="5163" spans="1:10" ht="14.25" customHeight="1" x14ac:dyDescent="0.25">
      <c r="A5163" s="21">
        <v>48203</v>
      </c>
      <c r="B5163" s="21"/>
      <c r="C5163">
        <v>181.3</v>
      </c>
      <c r="D5163">
        <v>3.6</v>
      </c>
      <c r="E5163">
        <v>307</v>
      </c>
      <c r="F5163">
        <v>336</v>
      </c>
      <c r="G5163">
        <v>42</v>
      </c>
      <c r="H5163">
        <v>149</v>
      </c>
      <c r="I5163">
        <v>1.66</v>
      </c>
      <c r="J5163" s="1">
        <v>18634</v>
      </c>
    </row>
    <row r="5164" spans="1:10" ht="14.25" customHeight="1" x14ac:dyDescent="0.25">
      <c r="A5164" s="21">
        <v>48209</v>
      </c>
      <c r="B5164" s="21"/>
      <c r="C5164">
        <v>31.1</v>
      </c>
      <c r="D5164">
        <v>3.6</v>
      </c>
      <c r="E5164">
        <v>155</v>
      </c>
      <c r="F5164">
        <v>157</v>
      </c>
      <c r="G5164">
        <v>10</v>
      </c>
      <c r="H5164">
        <v>157</v>
      </c>
      <c r="I5164">
        <v>1.41</v>
      </c>
      <c r="J5164" s="1">
        <v>3636</v>
      </c>
    </row>
    <row r="5165" spans="1:10" ht="14.25" customHeight="1" x14ac:dyDescent="0.25">
      <c r="A5165" s="21">
        <v>48209</v>
      </c>
      <c r="B5165" s="21"/>
      <c r="C5165">
        <v>89.8</v>
      </c>
      <c r="D5165">
        <v>4.4000000000000004</v>
      </c>
      <c r="E5165">
        <v>138</v>
      </c>
      <c r="F5165">
        <v>142</v>
      </c>
      <c r="G5165">
        <v>32</v>
      </c>
      <c r="H5165">
        <v>142</v>
      </c>
      <c r="I5165">
        <v>1.81</v>
      </c>
      <c r="J5165" s="1">
        <v>7947</v>
      </c>
    </row>
    <row r="5166" spans="1:10" ht="14.25" customHeight="1" x14ac:dyDescent="0.25">
      <c r="A5166" s="21">
        <v>48209</v>
      </c>
      <c r="B5166" s="21"/>
      <c r="C5166">
        <v>1.6</v>
      </c>
      <c r="D5166">
        <v>2.7</v>
      </c>
      <c r="E5166">
        <v>23</v>
      </c>
      <c r="F5166">
        <v>28</v>
      </c>
      <c r="H5166">
        <v>28</v>
      </c>
      <c r="I5166">
        <v>2.12</v>
      </c>
      <c r="J5166">
        <v>241</v>
      </c>
    </row>
    <row r="5167" spans="1:10" ht="14.25" customHeight="1" x14ac:dyDescent="0.25">
      <c r="A5167" s="21">
        <v>48209</v>
      </c>
      <c r="B5167" s="21"/>
    </row>
    <row r="5168" spans="1:10" ht="14.25" customHeight="1" x14ac:dyDescent="0.25">
      <c r="A5168" s="21">
        <v>48209</v>
      </c>
      <c r="B5168" s="21"/>
      <c r="E5168">
        <v>3</v>
      </c>
    </row>
    <row r="5169" spans="1:10" ht="14.25" customHeight="1" x14ac:dyDescent="0.25">
      <c r="A5169" s="21">
        <v>48211</v>
      </c>
      <c r="B5169" s="21"/>
      <c r="C5169">
        <v>2.9</v>
      </c>
      <c r="D5169">
        <v>5.3</v>
      </c>
      <c r="E5169">
        <v>10</v>
      </c>
      <c r="F5169">
        <v>15</v>
      </c>
      <c r="H5169">
        <v>15</v>
      </c>
      <c r="I5169">
        <v>0.9</v>
      </c>
      <c r="J5169">
        <v>200</v>
      </c>
    </row>
    <row r="5170" spans="1:10" ht="14.25" customHeight="1" x14ac:dyDescent="0.25">
      <c r="A5170" s="21">
        <v>48213</v>
      </c>
      <c r="B5170" s="21"/>
      <c r="C5170">
        <v>45.4</v>
      </c>
      <c r="D5170">
        <v>3.1</v>
      </c>
      <c r="E5170">
        <v>126</v>
      </c>
      <c r="F5170">
        <v>127</v>
      </c>
      <c r="G5170">
        <v>10</v>
      </c>
      <c r="H5170">
        <v>127</v>
      </c>
      <c r="I5170">
        <v>1.27</v>
      </c>
      <c r="J5170" s="1">
        <v>5862</v>
      </c>
    </row>
    <row r="5171" spans="1:10" ht="14.25" customHeight="1" x14ac:dyDescent="0.25">
      <c r="A5171" s="21">
        <v>48215</v>
      </c>
      <c r="B5171" s="21"/>
      <c r="C5171">
        <v>100.4</v>
      </c>
      <c r="D5171">
        <v>4.5</v>
      </c>
      <c r="E5171">
        <v>77</v>
      </c>
      <c r="F5171">
        <v>270</v>
      </c>
      <c r="G5171">
        <v>16</v>
      </c>
      <c r="H5171">
        <v>270</v>
      </c>
      <c r="I5171">
        <v>1.67</v>
      </c>
      <c r="J5171" s="1">
        <v>8654</v>
      </c>
    </row>
    <row r="5172" spans="1:10" ht="14.25" customHeight="1" x14ac:dyDescent="0.25">
      <c r="A5172" s="21">
        <v>48215</v>
      </c>
      <c r="B5172" s="21"/>
      <c r="C5172">
        <v>89.4</v>
      </c>
      <c r="D5172">
        <v>4.2</v>
      </c>
      <c r="E5172">
        <v>104</v>
      </c>
      <c r="F5172">
        <v>186</v>
      </c>
      <c r="G5172">
        <v>16</v>
      </c>
      <c r="H5172">
        <v>186</v>
      </c>
      <c r="I5172">
        <v>1.59</v>
      </c>
      <c r="J5172" s="1">
        <v>8523</v>
      </c>
    </row>
    <row r="5173" spans="1:10" ht="14.25" customHeight="1" x14ac:dyDescent="0.25">
      <c r="A5173" s="21">
        <v>48215</v>
      </c>
      <c r="B5173" s="21"/>
      <c r="C5173">
        <v>353.4</v>
      </c>
      <c r="D5173">
        <v>4.8</v>
      </c>
      <c r="E5173">
        <v>403</v>
      </c>
      <c r="F5173">
        <v>788</v>
      </c>
      <c r="G5173">
        <v>81</v>
      </c>
      <c r="H5173">
        <v>76</v>
      </c>
      <c r="I5173">
        <v>1.64</v>
      </c>
      <c r="J5173" s="1">
        <v>25903</v>
      </c>
    </row>
    <row r="5174" spans="1:10" ht="14.25" customHeight="1" x14ac:dyDescent="0.25">
      <c r="A5174" s="21">
        <v>48215</v>
      </c>
      <c r="B5174" s="21"/>
      <c r="C5174">
        <v>180.7</v>
      </c>
      <c r="D5174">
        <v>4.5</v>
      </c>
      <c r="E5174">
        <v>212</v>
      </c>
      <c r="F5174">
        <v>320</v>
      </c>
      <c r="G5174">
        <v>40</v>
      </c>
      <c r="H5174">
        <v>320</v>
      </c>
      <c r="I5174">
        <v>1.63</v>
      </c>
      <c r="J5174" s="1">
        <v>15201</v>
      </c>
    </row>
    <row r="5175" spans="1:10" ht="14.25" customHeight="1" x14ac:dyDescent="0.25">
      <c r="A5175" s="21">
        <v>48215</v>
      </c>
      <c r="B5175" s="21"/>
      <c r="C5175">
        <v>2.7</v>
      </c>
      <c r="D5175">
        <v>2</v>
      </c>
      <c r="E5175">
        <v>12</v>
      </c>
      <c r="F5175">
        <v>14</v>
      </c>
      <c r="H5175">
        <v>14</v>
      </c>
      <c r="I5175">
        <v>2.2000000000000002</v>
      </c>
      <c r="J5175">
        <v>490</v>
      </c>
    </row>
    <row r="5176" spans="1:10" ht="14.25" customHeight="1" x14ac:dyDescent="0.25">
      <c r="A5176" s="21">
        <v>48215</v>
      </c>
      <c r="B5176" s="21"/>
      <c r="C5176">
        <v>300.2</v>
      </c>
      <c r="D5176">
        <v>4.7</v>
      </c>
      <c r="E5176">
        <v>773</v>
      </c>
      <c r="F5176">
        <v>394</v>
      </c>
      <c r="G5176">
        <v>58</v>
      </c>
      <c r="H5176">
        <v>235</v>
      </c>
      <c r="I5176">
        <v>2.0499999999999998</v>
      </c>
      <c r="J5176" s="1">
        <v>25921</v>
      </c>
    </row>
    <row r="5177" spans="1:10" ht="14.25" customHeight="1" x14ac:dyDescent="0.25">
      <c r="A5177" s="21">
        <v>48215</v>
      </c>
      <c r="B5177" s="21"/>
      <c r="E5177">
        <v>5</v>
      </c>
      <c r="H5177">
        <v>441</v>
      </c>
    </row>
    <row r="5178" spans="1:10" ht="14.25" customHeight="1" x14ac:dyDescent="0.25">
      <c r="A5178" s="21">
        <v>48215</v>
      </c>
      <c r="B5178" s="21"/>
      <c r="H5178">
        <v>60</v>
      </c>
    </row>
    <row r="5179" spans="1:10" ht="14.25" customHeight="1" x14ac:dyDescent="0.25">
      <c r="A5179" s="21">
        <v>48215</v>
      </c>
      <c r="B5179" s="21"/>
      <c r="E5179">
        <v>24</v>
      </c>
      <c r="H5179">
        <v>151</v>
      </c>
    </row>
    <row r="5180" spans="1:10" ht="14.25" customHeight="1" x14ac:dyDescent="0.25">
      <c r="A5180" s="21">
        <v>48215</v>
      </c>
      <c r="B5180" s="21"/>
    </row>
    <row r="5181" spans="1:10" ht="14.25" customHeight="1" x14ac:dyDescent="0.25">
      <c r="A5181" s="21">
        <v>48217</v>
      </c>
      <c r="B5181" s="21"/>
      <c r="C5181">
        <v>6.8</v>
      </c>
      <c r="D5181">
        <v>3.1</v>
      </c>
      <c r="J5181">
        <v>800</v>
      </c>
    </row>
    <row r="5182" spans="1:10" ht="14.25" customHeight="1" x14ac:dyDescent="0.25">
      <c r="A5182" s="21">
        <v>48219</v>
      </c>
      <c r="B5182" s="21"/>
      <c r="C5182">
        <v>5.8</v>
      </c>
      <c r="D5182">
        <v>3.4</v>
      </c>
      <c r="E5182">
        <v>25</v>
      </c>
      <c r="F5182">
        <v>48</v>
      </c>
      <c r="H5182">
        <v>48</v>
      </c>
      <c r="I5182">
        <v>1.22</v>
      </c>
      <c r="J5182">
        <v>751</v>
      </c>
    </row>
    <row r="5183" spans="1:10" ht="14.25" customHeight="1" x14ac:dyDescent="0.25">
      <c r="A5183" s="21">
        <v>48221</v>
      </c>
      <c r="B5183" s="21"/>
      <c r="C5183">
        <v>30</v>
      </c>
      <c r="D5183">
        <v>3.6</v>
      </c>
      <c r="E5183">
        <v>121</v>
      </c>
      <c r="F5183">
        <v>48</v>
      </c>
      <c r="G5183">
        <v>12</v>
      </c>
      <c r="H5183">
        <v>48</v>
      </c>
      <c r="I5183">
        <v>1.57</v>
      </c>
      <c r="J5183" s="1">
        <v>3245</v>
      </c>
    </row>
    <row r="5184" spans="1:10" ht="14.25" customHeight="1" x14ac:dyDescent="0.25">
      <c r="A5184" s="21">
        <v>48223</v>
      </c>
      <c r="B5184" s="21"/>
      <c r="C5184">
        <v>24.3</v>
      </c>
      <c r="D5184">
        <v>3.6</v>
      </c>
      <c r="E5184">
        <v>87</v>
      </c>
      <c r="F5184">
        <v>56</v>
      </c>
      <c r="G5184">
        <v>14</v>
      </c>
      <c r="H5184">
        <v>56</v>
      </c>
      <c r="I5184">
        <v>1.48</v>
      </c>
      <c r="J5184" s="1">
        <v>2825</v>
      </c>
    </row>
    <row r="5185" spans="1:10" ht="14.25" customHeight="1" x14ac:dyDescent="0.25">
      <c r="A5185" s="21">
        <v>48225</v>
      </c>
      <c r="B5185" s="21"/>
      <c r="C5185">
        <v>4.9000000000000004</v>
      </c>
      <c r="D5185">
        <v>2.7</v>
      </c>
      <c r="J5185">
        <v>763</v>
      </c>
    </row>
    <row r="5186" spans="1:10" ht="14.25" customHeight="1" x14ac:dyDescent="0.25">
      <c r="A5186" s="21">
        <v>48227</v>
      </c>
      <c r="B5186" s="21"/>
      <c r="C5186">
        <v>17.3</v>
      </c>
      <c r="D5186">
        <v>2.7</v>
      </c>
      <c r="E5186">
        <v>50</v>
      </c>
      <c r="F5186">
        <v>75</v>
      </c>
      <c r="G5186">
        <v>8</v>
      </c>
      <c r="H5186">
        <v>75</v>
      </c>
      <c r="I5186">
        <v>1.25</v>
      </c>
      <c r="J5186" s="1">
        <v>2469</v>
      </c>
    </row>
    <row r="5187" spans="1:10" ht="14.25" customHeight="1" x14ac:dyDescent="0.25">
      <c r="A5187" s="21">
        <v>48231</v>
      </c>
      <c r="B5187" s="21"/>
      <c r="C5187">
        <v>69.599999999999994</v>
      </c>
      <c r="D5187">
        <v>4.9000000000000004</v>
      </c>
      <c r="E5187">
        <v>305</v>
      </c>
      <c r="F5187">
        <v>122</v>
      </c>
      <c r="G5187">
        <v>16</v>
      </c>
      <c r="H5187">
        <v>122</v>
      </c>
      <c r="I5187">
        <v>1.39</v>
      </c>
      <c r="J5187" s="1">
        <v>5624</v>
      </c>
    </row>
    <row r="5188" spans="1:10" ht="14.25" customHeight="1" x14ac:dyDescent="0.25">
      <c r="A5188" s="21">
        <v>48237</v>
      </c>
      <c r="B5188" s="21"/>
      <c r="C5188">
        <v>3.4</v>
      </c>
      <c r="D5188">
        <v>5.7</v>
      </c>
      <c r="E5188">
        <v>27</v>
      </c>
      <c r="F5188">
        <v>17</v>
      </c>
      <c r="H5188">
        <v>17</v>
      </c>
      <c r="I5188">
        <v>1.08</v>
      </c>
      <c r="J5188">
        <v>239</v>
      </c>
    </row>
    <row r="5189" spans="1:10" ht="14.25" customHeight="1" x14ac:dyDescent="0.25">
      <c r="A5189" s="21">
        <v>48241</v>
      </c>
      <c r="B5189" s="21"/>
      <c r="C5189">
        <v>4.8</v>
      </c>
      <c r="D5189">
        <v>3.1</v>
      </c>
      <c r="E5189">
        <v>53</v>
      </c>
      <c r="F5189">
        <v>40</v>
      </c>
      <c r="G5189">
        <v>6</v>
      </c>
      <c r="H5189">
        <v>40</v>
      </c>
      <c r="I5189">
        <v>1.08</v>
      </c>
      <c r="J5189">
        <v>726</v>
      </c>
    </row>
    <row r="5190" spans="1:10" ht="14.25" customHeight="1" x14ac:dyDescent="0.25">
      <c r="A5190" s="21">
        <v>48245</v>
      </c>
      <c r="B5190" s="21"/>
      <c r="C5190">
        <v>170.9</v>
      </c>
      <c r="D5190">
        <v>4.5</v>
      </c>
      <c r="E5190">
        <v>248</v>
      </c>
      <c r="F5190">
        <v>370</v>
      </c>
      <c r="G5190">
        <v>25</v>
      </c>
      <c r="H5190">
        <v>370</v>
      </c>
      <c r="I5190">
        <v>1.6</v>
      </c>
      <c r="J5190" s="1">
        <v>14360</v>
      </c>
    </row>
    <row r="5191" spans="1:10" ht="14.25" customHeight="1" x14ac:dyDescent="0.25">
      <c r="A5191" s="21">
        <v>48245</v>
      </c>
      <c r="B5191" s="21"/>
      <c r="C5191">
        <v>83.5</v>
      </c>
      <c r="D5191">
        <v>4.4000000000000004</v>
      </c>
      <c r="E5191">
        <v>183</v>
      </c>
      <c r="F5191">
        <v>185</v>
      </c>
      <c r="G5191">
        <v>24</v>
      </c>
      <c r="H5191">
        <v>185</v>
      </c>
      <c r="I5191">
        <v>1.59</v>
      </c>
      <c r="J5191" s="1">
        <v>7687</v>
      </c>
    </row>
    <row r="5192" spans="1:10" ht="14.25" customHeight="1" x14ac:dyDescent="0.25">
      <c r="A5192" s="21">
        <v>48245</v>
      </c>
      <c r="B5192" s="21"/>
      <c r="C5192">
        <v>11</v>
      </c>
      <c r="D5192">
        <v>5.2</v>
      </c>
      <c r="J5192">
        <v>771</v>
      </c>
    </row>
    <row r="5193" spans="1:10" ht="14.25" customHeight="1" x14ac:dyDescent="0.25">
      <c r="A5193" s="21">
        <v>48245</v>
      </c>
      <c r="B5193" s="21"/>
      <c r="C5193">
        <v>182.8</v>
      </c>
      <c r="D5193">
        <v>4.3</v>
      </c>
      <c r="E5193">
        <v>305</v>
      </c>
      <c r="F5193">
        <v>370</v>
      </c>
      <c r="G5193">
        <v>39</v>
      </c>
      <c r="H5193">
        <v>370</v>
      </c>
      <c r="I5193">
        <v>1.69</v>
      </c>
      <c r="J5193" s="1">
        <v>16212</v>
      </c>
    </row>
    <row r="5194" spans="1:10" ht="14.25" customHeight="1" x14ac:dyDescent="0.25">
      <c r="A5194" s="21">
        <v>48245</v>
      </c>
      <c r="B5194" s="21"/>
    </row>
    <row r="5195" spans="1:10" ht="14.25" customHeight="1" x14ac:dyDescent="0.25">
      <c r="A5195" s="21">
        <v>48245</v>
      </c>
      <c r="B5195" s="21"/>
    </row>
    <row r="5196" spans="1:10" ht="14.25" customHeight="1" x14ac:dyDescent="0.25">
      <c r="A5196" s="21">
        <v>48245</v>
      </c>
      <c r="B5196" s="21"/>
      <c r="E5196">
        <v>3</v>
      </c>
    </row>
    <row r="5197" spans="1:10" ht="14.25" customHeight="1" x14ac:dyDescent="0.25">
      <c r="A5197" s="21">
        <v>48249</v>
      </c>
      <c r="B5197" s="21"/>
      <c r="C5197">
        <v>20.7</v>
      </c>
      <c r="D5197">
        <v>3.4</v>
      </c>
      <c r="E5197">
        <v>46</v>
      </c>
      <c r="F5197">
        <v>72</v>
      </c>
      <c r="G5197">
        <v>8</v>
      </c>
      <c r="H5197">
        <v>72</v>
      </c>
      <c r="I5197">
        <v>1.26</v>
      </c>
      <c r="J5197" s="1">
        <v>2255</v>
      </c>
    </row>
    <row r="5198" spans="1:10" ht="14.25" customHeight="1" x14ac:dyDescent="0.25">
      <c r="A5198" s="21">
        <v>48251</v>
      </c>
      <c r="B5198" s="21"/>
      <c r="C5198">
        <v>23.6</v>
      </c>
      <c r="D5198">
        <v>2.5</v>
      </c>
      <c r="E5198">
        <v>87</v>
      </c>
      <c r="F5198">
        <v>92</v>
      </c>
      <c r="G5198">
        <v>7</v>
      </c>
      <c r="H5198">
        <v>92</v>
      </c>
      <c r="I5198">
        <v>1.38</v>
      </c>
      <c r="J5198" s="1">
        <v>3680</v>
      </c>
    </row>
    <row r="5199" spans="1:10" ht="14.25" customHeight="1" x14ac:dyDescent="0.25">
      <c r="A5199" s="21">
        <v>48251</v>
      </c>
      <c r="B5199" s="21"/>
      <c r="C5199">
        <v>125.8</v>
      </c>
      <c r="D5199">
        <v>4.5999999999999996</v>
      </c>
      <c r="E5199">
        <v>180</v>
      </c>
      <c r="F5199">
        <v>213</v>
      </c>
      <c r="G5199">
        <v>28</v>
      </c>
      <c r="H5199">
        <v>213</v>
      </c>
      <c r="I5199">
        <v>1.66</v>
      </c>
      <c r="J5199" s="1">
        <v>10669</v>
      </c>
    </row>
    <row r="5200" spans="1:10" ht="14.25" customHeight="1" x14ac:dyDescent="0.25">
      <c r="A5200" s="21">
        <v>48251</v>
      </c>
      <c r="B5200" s="21"/>
      <c r="C5200">
        <v>2</v>
      </c>
      <c r="D5200">
        <v>1.8</v>
      </c>
      <c r="E5200">
        <v>21</v>
      </c>
      <c r="F5200">
        <v>24</v>
      </c>
      <c r="H5200">
        <v>24</v>
      </c>
      <c r="I5200">
        <v>0.9</v>
      </c>
      <c r="J5200">
        <v>423</v>
      </c>
    </row>
    <row r="5201" spans="1:10" ht="14.25" customHeight="1" x14ac:dyDescent="0.25">
      <c r="A5201" s="21">
        <v>48253</v>
      </c>
      <c r="B5201" s="21"/>
      <c r="C5201">
        <v>5</v>
      </c>
      <c r="D5201">
        <v>6.1</v>
      </c>
      <c r="E5201">
        <v>7</v>
      </c>
      <c r="F5201">
        <v>7</v>
      </c>
      <c r="H5201">
        <v>7</v>
      </c>
      <c r="I5201">
        <v>0.94</v>
      </c>
      <c r="J5201">
        <v>302</v>
      </c>
    </row>
    <row r="5202" spans="1:10" ht="14.25" customHeight="1" x14ac:dyDescent="0.25">
      <c r="A5202" s="21">
        <v>48253</v>
      </c>
      <c r="B5202" s="21"/>
      <c r="C5202">
        <v>0.6</v>
      </c>
      <c r="D5202">
        <v>3</v>
      </c>
      <c r="I5202">
        <v>0.93</v>
      </c>
      <c r="J5202">
        <v>69</v>
      </c>
    </row>
    <row r="5203" spans="1:10" ht="14.25" customHeight="1" x14ac:dyDescent="0.25">
      <c r="A5203" s="21">
        <v>48253</v>
      </c>
      <c r="B5203" s="21"/>
      <c r="C5203">
        <v>1.1000000000000001</v>
      </c>
      <c r="D5203">
        <v>4.8</v>
      </c>
      <c r="I5203">
        <v>0.89</v>
      </c>
      <c r="J5203">
        <v>88</v>
      </c>
    </row>
    <row r="5204" spans="1:10" ht="14.25" customHeight="1" x14ac:dyDescent="0.25">
      <c r="A5204" s="21">
        <v>48257</v>
      </c>
      <c r="B5204" s="21"/>
      <c r="C5204">
        <v>9.9</v>
      </c>
      <c r="D5204">
        <v>3</v>
      </c>
      <c r="J5204" s="1">
        <v>1240</v>
      </c>
    </row>
    <row r="5205" spans="1:10" ht="14.25" customHeight="1" x14ac:dyDescent="0.25">
      <c r="A5205" s="21">
        <v>48257</v>
      </c>
      <c r="B5205" s="21"/>
      <c r="C5205">
        <v>10</v>
      </c>
      <c r="D5205">
        <v>2.7</v>
      </c>
      <c r="E5205">
        <v>41</v>
      </c>
      <c r="F5205">
        <v>63</v>
      </c>
      <c r="G5205">
        <v>8</v>
      </c>
      <c r="H5205">
        <v>63</v>
      </c>
      <c r="I5205">
        <v>1.22</v>
      </c>
      <c r="J5205" s="1">
        <v>1343</v>
      </c>
    </row>
    <row r="5206" spans="1:10" ht="14.25" customHeight="1" x14ac:dyDescent="0.25">
      <c r="A5206" s="21">
        <v>48265</v>
      </c>
      <c r="B5206" s="21"/>
      <c r="C5206">
        <v>29.1</v>
      </c>
      <c r="D5206">
        <v>3.2</v>
      </c>
      <c r="E5206">
        <v>234</v>
      </c>
      <c r="F5206">
        <v>84</v>
      </c>
      <c r="G5206">
        <v>12</v>
      </c>
      <c r="H5206">
        <v>84</v>
      </c>
      <c r="I5206">
        <v>1.53</v>
      </c>
      <c r="J5206" s="1">
        <v>3497</v>
      </c>
    </row>
    <row r="5207" spans="1:10" ht="14.25" customHeight="1" x14ac:dyDescent="0.25">
      <c r="A5207" s="21">
        <v>48273</v>
      </c>
      <c r="B5207" s="21"/>
      <c r="C5207">
        <v>26.8</v>
      </c>
      <c r="D5207">
        <v>3.9</v>
      </c>
      <c r="E5207">
        <v>44</v>
      </c>
      <c r="F5207">
        <v>50</v>
      </c>
      <c r="G5207">
        <v>10</v>
      </c>
      <c r="H5207">
        <v>50</v>
      </c>
      <c r="I5207">
        <v>1.18</v>
      </c>
      <c r="J5207" s="1">
        <v>2625</v>
      </c>
    </row>
    <row r="5208" spans="1:10" ht="14.25" customHeight="1" x14ac:dyDescent="0.25">
      <c r="A5208" s="21">
        <v>48275</v>
      </c>
      <c r="B5208" s="21"/>
      <c r="C5208">
        <v>1.1000000000000001</v>
      </c>
      <c r="D5208">
        <v>4.2</v>
      </c>
      <c r="E5208">
        <v>26</v>
      </c>
      <c r="F5208">
        <v>28</v>
      </c>
      <c r="H5208">
        <v>28</v>
      </c>
      <c r="I5208">
        <v>0.99</v>
      </c>
      <c r="J5208">
        <v>97</v>
      </c>
    </row>
    <row r="5209" spans="1:10" ht="14.25" customHeight="1" x14ac:dyDescent="0.25">
      <c r="A5209" s="21">
        <v>48277</v>
      </c>
      <c r="B5209" s="21"/>
      <c r="C5209">
        <v>55</v>
      </c>
      <c r="D5209">
        <v>3.2</v>
      </c>
      <c r="E5209">
        <v>157</v>
      </c>
      <c r="F5209">
        <v>230</v>
      </c>
      <c r="G5209">
        <v>20</v>
      </c>
      <c r="H5209">
        <v>154</v>
      </c>
      <c r="I5209">
        <v>1.56</v>
      </c>
      <c r="J5209" s="1">
        <v>6611</v>
      </c>
    </row>
    <row r="5210" spans="1:10" ht="14.25" customHeight="1" x14ac:dyDescent="0.25">
      <c r="A5210" s="21">
        <v>48277</v>
      </c>
      <c r="B5210" s="21"/>
    </row>
    <row r="5211" spans="1:10" ht="14.25" customHeight="1" x14ac:dyDescent="0.25">
      <c r="A5211" s="21">
        <v>48279</v>
      </c>
      <c r="B5211" s="21"/>
      <c r="C5211">
        <v>2.2000000000000002</v>
      </c>
      <c r="D5211">
        <v>3.6</v>
      </c>
      <c r="E5211">
        <v>14</v>
      </c>
      <c r="F5211">
        <v>42</v>
      </c>
      <c r="H5211">
        <v>42</v>
      </c>
      <c r="I5211">
        <v>0.92</v>
      </c>
      <c r="J5211">
        <v>269</v>
      </c>
    </row>
    <row r="5212" spans="1:10" ht="14.25" customHeight="1" x14ac:dyDescent="0.25">
      <c r="A5212" s="21">
        <v>48291</v>
      </c>
      <c r="B5212" s="21"/>
      <c r="C5212">
        <v>47.6</v>
      </c>
      <c r="D5212">
        <v>1</v>
      </c>
      <c r="J5212" s="1">
        <v>17128</v>
      </c>
    </row>
    <row r="5213" spans="1:10" ht="14.25" customHeight="1" x14ac:dyDescent="0.25">
      <c r="A5213" s="21">
        <v>48291</v>
      </c>
      <c r="B5213" s="21"/>
      <c r="C5213">
        <v>3.2</v>
      </c>
      <c r="D5213">
        <v>4.0999999999999996</v>
      </c>
      <c r="J5213">
        <v>280</v>
      </c>
    </row>
    <row r="5214" spans="1:10" ht="14.25" customHeight="1" x14ac:dyDescent="0.25">
      <c r="A5214" s="21">
        <v>48291</v>
      </c>
      <c r="B5214" s="21"/>
      <c r="C5214">
        <v>1.5</v>
      </c>
      <c r="D5214">
        <v>4</v>
      </c>
      <c r="E5214">
        <v>34</v>
      </c>
      <c r="F5214">
        <v>16</v>
      </c>
      <c r="H5214">
        <v>16</v>
      </c>
      <c r="I5214">
        <v>1.26</v>
      </c>
      <c r="J5214">
        <v>67</v>
      </c>
    </row>
    <row r="5215" spans="1:10" ht="14.25" customHeight="1" x14ac:dyDescent="0.25">
      <c r="A5215" s="21">
        <v>48291</v>
      </c>
      <c r="B5215" s="21"/>
    </row>
    <row r="5216" spans="1:10" ht="14.25" customHeight="1" x14ac:dyDescent="0.25">
      <c r="A5216" s="21">
        <v>48293</v>
      </c>
      <c r="B5216" s="21"/>
      <c r="C5216">
        <v>4.7</v>
      </c>
      <c r="D5216">
        <v>3.3</v>
      </c>
      <c r="E5216">
        <v>29</v>
      </c>
      <c r="F5216">
        <v>49</v>
      </c>
      <c r="G5216">
        <v>6</v>
      </c>
      <c r="H5216">
        <v>49</v>
      </c>
      <c r="I5216">
        <v>1.38</v>
      </c>
      <c r="J5216">
        <v>523</v>
      </c>
    </row>
    <row r="5217" spans="1:10" ht="14.25" customHeight="1" x14ac:dyDescent="0.25">
      <c r="A5217" s="21">
        <v>48299</v>
      </c>
      <c r="B5217" s="21"/>
      <c r="C5217">
        <v>1.4</v>
      </c>
      <c r="D5217">
        <v>2.9</v>
      </c>
      <c r="E5217">
        <v>9</v>
      </c>
      <c r="F5217">
        <v>25</v>
      </c>
      <c r="H5217">
        <v>25</v>
      </c>
      <c r="I5217">
        <v>1.06</v>
      </c>
      <c r="J5217">
        <v>181</v>
      </c>
    </row>
    <row r="5218" spans="1:10" ht="14.25" customHeight="1" x14ac:dyDescent="0.25">
      <c r="A5218" s="21">
        <v>48303</v>
      </c>
      <c r="B5218" s="21"/>
      <c r="C5218">
        <v>7.7</v>
      </c>
      <c r="D5218">
        <v>2.6</v>
      </c>
      <c r="E5218">
        <v>82</v>
      </c>
      <c r="F5218">
        <v>92</v>
      </c>
      <c r="G5218">
        <v>7</v>
      </c>
      <c r="H5218">
        <v>92</v>
      </c>
      <c r="I5218">
        <v>2.59</v>
      </c>
      <c r="J5218" s="1">
        <v>1064</v>
      </c>
    </row>
    <row r="5219" spans="1:10" ht="14.25" customHeight="1" x14ac:dyDescent="0.25">
      <c r="A5219" s="21">
        <v>48303</v>
      </c>
      <c r="B5219" s="21"/>
      <c r="C5219">
        <v>273.2</v>
      </c>
      <c r="D5219">
        <v>5.5</v>
      </c>
      <c r="E5219">
        <v>413</v>
      </c>
      <c r="F5219">
        <v>380</v>
      </c>
      <c r="G5219">
        <v>48</v>
      </c>
      <c r="H5219">
        <v>380</v>
      </c>
      <c r="I5219">
        <v>2.0299999999999998</v>
      </c>
      <c r="J5219" s="1">
        <v>18153</v>
      </c>
    </row>
    <row r="5220" spans="1:10" ht="14.25" customHeight="1" x14ac:dyDescent="0.25">
      <c r="A5220" s="21">
        <v>48303</v>
      </c>
      <c r="B5220" s="21"/>
      <c r="C5220">
        <v>24.1</v>
      </c>
      <c r="D5220">
        <v>3.4</v>
      </c>
      <c r="E5220">
        <v>61</v>
      </c>
      <c r="F5220">
        <v>73</v>
      </c>
      <c r="G5220">
        <v>15</v>
      </c>
      <c r="H5220">
        <v>73</v>
      </c>
      <c r="I5220">
        <v>2.02</v>
      </c>
      <c r="J5220" s="1">
        <v>2595</v>
      </c>
    </row>
    <row r="5221" spans="1:10" ht="14.25" customHeight="1" x14ac:dyDescent="0.25">
      <c r="A5221" s="21">
        <v>48303</v>
      </c>
      <c r="B5221" s="21"/>
      <c r="C5221">
        <v>323.7</v>
      </c>
      <c r="D5221">
        <v>5.8</v>
      </c>
      <c r="E5221">
        <v>498</v>
      </c>
      <c r="F5221">
        <v>476</v>
      </c>
      <c r="G5221">
        <v>104</v>
      </c>
      <c r="H5221">
        <v>476</v>
      </c>
      <c r="I5221">
        <v>2.15</v>
      </c>
      <c r="J5221" s="1">
        <v>20784</v>
      </c>
    </row>
    <row r="5222" spans="1:10" ht="14.25" customHeight="1" x14ac:dyDescent="0.25">
      <c r="A5222" s="21">
        <v>48303</v>
      </c>
      <c r="B5222" s="21"/>
      <c r="H5222">
        <v>275</v>
      </c>
    </row>
    <row r="5223" spans="1:10" ht="14.25" customHeight="1" x14ac:dyDescent="0.25">
      <c r="A5223" s="21">
        <v>48303</v>
      </c>
      <c r="B5223" s="21"/>
      <c r="H5223">
        <v>550</v>
      </c>
    </row>
    <row r="5224" spans="1:10" ht="14.25" customHeight="1" x14ac:dyDescent="0.25">
      <c r="A5224" s="21">
        <v>48309</v>
      </c>
      <c r="B5224" s="21"/>
      <c r="C5224">
        <v>161.4</v>
      </c>
      <c r="D5224">
        <v>4.0999999999999996</v>
      </c>
      <c r="E5224">
        <v>385</v>
      </c>
      <c r="F5224">
        <v>225</v>
      </c>
      <c r="G5224">
        <v>30</v>
      </c>
      <c r="H5224">
        <v>225</v>
      </c>
      <c r="I5224">
        <v>1.71</v>
      </c>
      <c r="J5224" s="1">
        <v>14985</v>
      </c>
    </row>
    <row r="5225" spans="1:10" ht="14.25" customHeight="1" x14ac:dyDescent="0.25">
      <c r="A5225" s="21">
        <v>48309</v>
      </c>
      <c r="B5225" s="21"/>
      <c r="C5225">
        <v>144.1</v>
      </c>
      <c r="D5225">
        <v>4.2</v>
      </c>
      <c r="E5225">
        <v>284</v>
      </c>
      <c r="F5225">
        <v>212</v>
      </c>
      <c r="G5225">
        <v>12</v>
      </c>
      <c r="H5225">
        <v>212</v>
      </c>
      <c r="I5225">
        <v>1.69</v>
      </c>
      <c r="J5225" s="1">
        <v>13605</v>
      </c>
    </row>
    <row r="5226" spans="1:10" ht="14.25" customHeight="1" x14ac:dyDescent="0.25">
      <c r="A5226" s="21">
        <v>48309</v>
      </c>
      <c r="B5226" s="21"/>
      <c r="E5226">
        <v>19</v>
      </c>
      <c r="H5226">
        <v>237</v>
      </c>
    </row>
    <row r="5227" spans="1:10" ht="14.25" customHeight="1" x14ac:dyDescent="0.25">
      <c r="A5227" s="21">
        <v>48309</v>
      </c>
      <c r="B5227" s="21"/>
      <c r="E5227">
        <v>1</v>
      </c>
    </row>
    <row r="5228" spans="1:10" ht="14.25" customHeight="1" x14ac:dyDescent="0.25">
      <c r="A5228" s="21">
        <v>48309</v>
      </c>
      <c r="B5228" s="21"/>
    </row>
    <row r="5229" spans="1:10" ht="14.25" customHeight="1" x14ac:dyDescent="0.25">
      <c r="A5229" s="21">
        <v>48321</v>
      </c>
      <c r="B5229" s="21"/>
      <c r="C5229">
        <v>15</v>
      </c>
      <c r="D5229">
        <v>4.5</v>
      </c>
      <c r="E5229">
        <v>82</v>
      </c>
      <c r="F5229">
        <v>46</v>
      </c>
      <c r="G5229">
        <v>6</v>
      </c>
      <c r="H5229">
        <v>46</v>
      </c>
      <c r="I5229">
        <v>1.35</v>
      </c>
      <c r="J5229" s="1">
        <v>1352</v>
      </c>
    </row>
    <row r="5230" spans="1:10" ht="14.25" customHeight="1" x14ac:dyDescent="0.25">
      <c r="A5230" s="21">
        <v>48323</v>
      </c>
      <c r="B5230" s="21"/>
      <c r="C5230">
        <v>38.5</v>
      </c>
      <c r="D5230">
        <v>3.8</v>
      </c>
      <c r="E5230">
        <v>98</v>
      </c>
      <c r="F5230">
        <v>86</v>
      </c>
      <c r="G5230">
        <v>10</v>
      </c>
      <c r="H5230">
        <v>86</v>
      </c>
      <c r="I5230">
        <v>1.4</v>
      </c>
      <c r="J5230" s="1">
        <v>4130</v>
      </c>
    </row>
    <row r="5231" spans="1:10" ht="14.25" customHeight="1" x14ac:dyDescent="0.25">
      <c r="A5231" s="21">
        <v>48329</v>
      </c>
      <c r="B5231" s="21"/>
      <c r="C5231">
        <v>128.80000000000001</v>
      </c>
      <c r="D5231">
        <v>5.2</v>
      </c>
      <c r="E5231">
        <v>315</v>
      </c>
      <c r="F5231">
        <v>226</v>
      </c>
      <c r="H5231">
        <v>226</v>
      </c>
      <c r="I5231">
        <v>1.71</v>
      </c>
      <c r="J5231" s="1">
        <v>10400</v>
      </c>
    </row>
    <row r="5232" spans="1:10" ht="14.25" customHeight="1" x14ac:dyDescent="0.25">
      <c r="A5232" s="21">
        <v>48329</v>
      </c>
      <c r="B5232" s="21"/>
      <c r="H5232">
        <v>256</v>
      </c>
    </row>
    <row r="5233" spans="1:10" ht="14.25" customHeight="1" x14ac:dyDescent="0.25">
      <c r="A5233" s="21">
        <v>48331</v>
      </c>
      <c r="B5233" s="21"/>
      <c r="C5233">
        <v>7</v>
      </c>
      <c r="D5233">
        <v>3.5</v>
      </c>
      <c r="J5233">
        <v>722</v>
      </c>
    </row>
    <row r="5234" spans="1:10" ht="14.25" customHeight="1" x14ac:dyDescent="0.25">
      <c r="A5234" s="21">
        <v>48331</v>
      </c>
      <c r="B5234" s="21"/>
      <c r="C5234">
        <v>0.2</v>
      </c>
      <c r="D5234">
        <v>2.6</v>
      </c>
      <c r="I5234">
        <v>1.1000000000000001</v>
      </c>
      <c r="J5234">
        <v>28</v>
      </c>
    </row>
    <row r="5235" spans="1:10" ht="14.25" customHeight="1" x14ac:dyDescent="0.25">
      <c r="A5235" s="21">
        <v>48337</v>
      </c>
      <c r="B5235" s="21"/>
      <c r="C5235">
        <v>3.9</v>
      </c>
      <c r="D5235">
        <v>4.0999999999999996</v>
      </c>
      <c r="E5235">
        <v>11</v>
      </c>
      <c r="F5235">
        <v>18</v>
      </c>
      <c r="H5235">
        <v>18</v>
      </c>
      <c r="I5235">
        <v>1.21</v>
      </c>
      <c r="J5235">
        <v>353</v>
      </c>
    </row>
    <row r="5236" spans="1:10" ht="14.25" customHeight="1" x14ac:dyDescent="0.25">
      <c r="A5236" s="21">
        <v>48337</v>
      </c>
      <c r="B5236" s="21"/>
      <c r="C5236">
        <v>9.1</v>
      </c>
      <c r="D5236">
        <v>7</v>
      </c>
      <c r="E5236">
        <v>5</v>
      </c>
      <c r="F5236">
        <v>37</v>
      </c>
      <c r="I5236">
        <v>0.79</v>
      </c>
      <c r="J5236">
        <v>477</v>
      </c>
    </row>
    <row r="5237" spans="1:10" ht="14.25" customHeight="1" x14ac:dyDescent="0.25">
      <c r="A5237" s="21">
        <v>48339</v>
      </c>
      <c r="B5237" s="21"/>
      <c r="C5237">
        <v>125.7</v>
      </c>
      <c r="D5237">
        <v>4.4000000000000004</v>
      </c>
      <c r="E5237">
        <v>314</v>
      </c>
      <c r="F5237">
        <v>216</v>
      </c>
      <c r="G5237">
        <v>43</v>
      </c>
      <c r="H5237">
        <v>216</v>
      </c>
      <c r="I5237">
        <v>1.73</v>
      </c>
      <c r="J5237" s="1">
        <v>11026</v>
      </c>
    </row>
    <row r="5238" spans="1:10" ht="14.25" customHeight="1" x14ac:dyDescent="0.25">
      <c r="A5238" s="21">
        <v>48339</v>
      </c>
      <c r="B5238" s="21"/>
      <c r="C5238">
        <v>167.3</v>
      </c>
      <c r="D5238">
        <v>4.4000000000000004</v>
      </c>
      <c r="E5238">
        <v>250</v>
      </c>
      <c r="F5238">
        <v>276</v>
      </c>
      <c r="G5238">
        <v>38</v>
      </c>
      <c r="H5238">
        <v>276</v>
      </c>
      <c r="I5238">
        <v>1.64</v>
      </c>
      <c r="J5238" s="1">
        <v>14401</v>
      </c>
    </row>
    <row r="5239" spans="1:10" ht="14.25" customHeight="1" x14ac:dyDescent="0.25">
      <c r="A5239" s="21">
        <v>48339</v>
      </c>
      <c r="B5239" s="21"/>
      <c r="C5239">
        <v>4.5</v>
      </c>
      <c r="D5239">
        <v>2</v>
      </c>
      <c r="E5239">
        <v>29</v>
      </c>
      <c r="F5239">
        <v>30</v>
      </c>
      <c r="H5239">
        <v>30</v>
      </c>
      <c r="I5239">
        <v>2.4700000000000002</v>
      </c>
      <c r="J5239">
        <v>796</v>
      </c>
    </row>
    <row r="5240" spans="1:10" ht="14.25" customHeight="1" x14ac:dyDescent="0.25">
      <c r="A5240" s="21">
        <v>48339</v>
      </c>
      <c r="B5240" s="21"/>
      <c r="E5240">
        <v>2</v>
      </c>
      <c r="H5240">
        <v>265</v>
      </c>
    </row>
    <row r="5241" spans="1:10" ht="14.25" customHeight="1" x14ac:dyDescent="0.25">
      <c r="A5241" s="21">
        <v>48339</v>
      </c>
      <c r="B5241" s="21"/>
      <c r="H5241">
        <v>54</v>
      </c>
    </row>
    <row r="5242" spans="1:10" ht="14.25" customHeight="1" x14ac:dyDescent="0.25">
      <c r="A5242" s="21">
        <v>48339</v>
      </c>
      <c r="B5242" s="21"/>
      <c r="C5242">
        <v>59.7</v>
      </c>
      <c r="D5242">
        <v>3.4</v>
      </c>
      <c r="E5242">
        <v>213</v>
      </c>
      <c r="F5242">
        <v>146</v>
      </c>
      <c r="G5242">
        <v>16</v>
      </c>
      <c r="H5242">
        <v>146</v>
      </c>
      <c r="I5242">
        <v>1.81</v>
      </c>
      <c r="J5242" s="1">
        <v>7808</v>
      </c>
    </row>
    <row r="5243" spans="1:10" ht="14.25" customHeight="1" x14ac:dyDescent="0.25">
      <c r="A5243" s="21">
        <v>48339</v>
      </c>
      <c r="B5243" s="21"/>
      <c r="C5243">
        <v>1.5</v>
      </c>
      <c r="D5243">
        <v>2.9</v>
      </c>
      <c r="J5243">
        <v>191</v>
      </c>
    </row>
    <row r="5244" spans="1:10" ht="14.25" customHeight="1" x14ac:dyDescent="0.25">
      <c r="A5244" s="21">
        <v>48339</v>
      </c>
      <c r="B5244" s="21"/>
      <c r="E5244">
        <v>5</v>
      </c>
    </row>
    <row r="5245" spans="1:10" ht="14.25" customHeight="1" x14ac:dyDescent="0.25">
      <c r="A5245" s="21">
        <v>48339</v>
      </c>
      <c r="B5245" s="21"/>
    </row>
    <row r="5246" spans="1:10" ht="14.25" customHeight="1" x14ac:dyDescent="0.25">
      <c r="A5246" s="21">
        <v>48339</v>
      </c>
      <c r="B5246" s="21"/>
      <c r="C5246">
        <v>0.5</v>
      </c>
      <c r="D5246">
        <v>6.1</v>
      </c>
      <c r="E5246">
        <v>18</v>
      </c>
      <c r="F5246">
        <v>6</v>
      </c>
      <c r="H5246">
        <v>6</v>
      </c>
      <c r="I5246">
        <v>1.1299999999999999</v>
      </c>
      <c r="J5246">
        <v>32</v>
      </c>
    </row>
    <row r="5247" spans="1:10" ht="14.25" customHeight="1" x14ac:dyDescent="0.25">
      <c r="A5247" s="21">
        <v>48347</v>
      </c>
      <c r="B5247" s="21"/>
      <c r="C5247">
        <v>36.200000000000003</v>
      </c>
      <c r="D5247">
        <v>3.6</v>
      </c>
      <c r="E5247">
        <v>93</v>
      </c>
      <c r="F5247">
        <v>121</v>
      </c>
      <c r="G5247">
        <v>16</v>
      </c>
      <c r="H5247">
        <v>121</v>
      </c>
      <c r="I5247">
        <v>1.41</v>
      </c>
      <c r="J5247" s="1">
        <v>3973</v>
      </c>
    </row>
    <row r="5248" spans="1:10" ht="14.25" customHeight="1" x14ac:dyDescent="0.25">
      <c r="A5248" s="21">
        <v>48347</v>
      </c>
      <c r="B5248" s="21"/>
      <c r="C5248">
        <v>41.2</v>
      </c>
      <c r="D5248">
        <v>3.7</v>
      </c>
      <c r="E5248">
        <v>136</v>
      </c>
      <c r="F5248">
        <v>155</v>
      </c>
      <c r="G5248">
        <v>11</v>
      </c>
      <c r="H5248">
        <v>155</v>
      </c>
      <c r="I5248">
        <v>1.65</v>
      </c>
      <c r="J5248" s="1">
        <v>4294</v>
      </c>
    </row>
    <row r="5249" spans="1:10" ht="14.25" customHeight="1" x14ac:dyDescent="0.25">
      <c r="A5249" s="21">
        <v>48349</v>
      </c>
      <c r="B5249" s="21"/>
      <c r="C5249">
        <v>15.8</v>
      </c>
      <c r="D5249">
        <v>2.9</v>
      </c>
      <c r="E5249">
        <v>74</v>
      </c>
      <c r="F5249">
        <v>49</v>
      </c>
      <c r="G5249">
        <v>9</v>
      </c>
      <c r="H5249">
        <v>49</v>
      </c>
      <c r="I5249">
        <v>1.54</v>
      </c>
      <c r="J5249" s="1">
        <v>2309</v>
      </c>
    </row>
    <row r="5250" spans="1:10" ht="14.25" customHeight="1" x14ac:dyDescent="0.25">
      <c r="A5250" s="21">
        <v>48353</v>
      </c>
      <c r="B5250" s="21"/>
      <c r="C5250">
        <v>10.6</v>
      </c>
      <c r="D5250">
        <v>4.7</v>
      </c>
      <c r="E5250">
        <v>36</v>
      </c>
      <c r="F5250">
        <v>39</v>
      </c>
      <c r="G5250">
        <v>5</v>
      </c>
      <c r="H5250">
        <v>39</v>
      </c>
      <c r="I5250">
        <v>1.17</v>
      </c>
      <c r="J5250">
        <v>917</v>
      </c>
    </row>
    <row r="5251" spans="1:10" ht="14.25" customHeight="1" x14ac:dyDescent="0.25">
      <c r="A5251" s="21">
        <v>48355</v>
      </c>
      <c r="B5251" s="21"/>
      <c r="C5251">
        <v>368.7</v>
      </c>
      <c r="D5251">
        <v>5.4</v>
      </c>
      <c r="E5251">
        <v>406</v>
      </c>
      <c r="F5251">
        <v>484</v>
      </c>
      <c r="G5251">
        <v>52</v>
      </c>
      <c r="H5251">
        <v>484</v>
      </c>
      <c r="I5251">
        <v>1.94</v>
      </c>
      <c r="J5251" s="1">
        <v>25594</v>
      </c>
    </row>
    <row r="5252" spans="1:10" ht="14.25" customHeight="1" x14ac:dyDescent="0.25">
      <c r="A5252" s="21">
        <v>48355</v>
      </c>
      <c r="B5252" s="21"/>
      <c r="C5252">
        <v>268.39999999999998</v>
      </c>
      <c r="D5252">
        <v>5</v>
      </c>
      <c r="E5252">
        <v>316</v>
      </c>
      <c r="F5252">
        <v>395</v>
      </c>
      <c r="G5252">
        <v>45</v>
      </c>
      <c r="H5252">
        <v>250</v>
      </c>
      <c r="I5252">
        <v>1.69</v>
      </c>
      <c r="J5252" s="1">
        <v>21942</v>
      </c>
    </row>
    <row r="5253" spans="1:10" ht="14.25" customHeight="1" x14ac:dyDescent="0.25">
      <c r="A5253" s="21">
        <v>48355</v>
      </c>
      <c r="B5253" s="21"/>
      <c r="C5253">
        <v>5.4</v>
      </c>
      <c r="D5253">
        <v>2.2999999999999998</v>
      </c>
      <c r="E5253">
        <v>68</v>
      </c>
      <c r="F5253">
        <v>33</v>
      </c>
      <c r="H5253">
        <v>33</v>
      </c>
      <c r="I5253">
        <v>2.0499999999999998</v>
      </c>
      <c r="J5253">
        <v>849</v>
      </c>
    </row>
    <row r="5254" spans="1:10" ht="14.25" customHeight="1" x14ac:dyDescent="0.25">
      <c r="A5254" s="21">
        <v>48355</v>
      </c>
      <c r="B5254" s="21"/>
      <c r="H5254">
        <v>341</v>
      </c>
    </row>
    <row r="5255" spans="1:10" ht="14.25" customHeight="1" x14ac:dyDescent="0.25">
      <c r="A5255" s="21">
        <v>48355</v>
      </c>
      <c r="B5255" s="21"/>
      <c r="H5255">
        <v>151</v>
      </c>
    </row>
    <row r="5256" spans="1:10" ht="14.25" customHeight="1" x14ac:dyDescent="0.25">
      <c r="A5256" s="21">
        <v>48355</v>
      </c>
      <c r="B5256" s="21"/>
      <c r="H5256">
        <v>152</v>
      </c>
    </row>
    <row r="5257" spans="1:10" ht="14.25" customHeight="1" x14ac:dyDescent="0.25">
      <c r="A5257" s="21">
        <v>48355</v>
      </c>
      <c r="B5257" s="21"/>
      <c r="H5257">
        <v>72</v>
      </c>
    </row>
    <row r="5258" spans="1:10" ht="14.25" customHeight="1" x14ac:dyDescent="0.25">
      <c r="A5258" s="21">
        <v>48361</v>
      </c>
      <c r="B5258" s="21"/>
      <c r="C5258">
        <v>6.8</v>
      </c>
      <c r="D5258">
        <v>3.7</v>
      </c>
      <c r="J5258">
        <v>675</v>
      </c>
    </row>
    <row r="5259" spans="1:10" ht="14.25" customHeight="1" x14ac:dyDescent="0.25">
      <c r="A5259" s="21">
        <v>48363</v>
      </c>
      <c r="B5259" s="21"/>
      <c r="C5259">
        <v>16.2</v>
      </c>
      <c r="D5259">
        <v>4.3</v>
      </c>
      <c r="E5259">
        <v>63</v>
      </c>
      <c r="F5259">
        <v>48</v>
      </c>
      <c r="G5259">
        <v>8</v>
      </c>
      <c r="H5259">
        <v>48</v>
      </c>
      <c r="I5259">
        <v>1.21</v>
      </c>
      <c r="J5259" s="1">
        <v>1481</v>
      </c>
    </row>
    <row r="5260" spans="1:10" ht="14.25" customHeight="1" x14ac:dyDescent="0.25">
      <c r="A5260" s="21">
        <v>48365</v>
      </c>
      <c r="B5260" s="21"/>
      <c r="C5260">
        <v>5.8</v>
      </c>
      <c r="D5260">
        <v>3.1</v>
      </c>
      <c r="E5260">
        <v>23</v>
      </c>
      <c r="F5260">
        <v>42</v>
      </c>
      <c r="H5260">
        <v>42</v>
      </c>
      <c r="I5260">
        <v>1</v>
      </c>
      <c r="J5260">
        <v>695</v>
      </c>
    </row>
    <row r="5261" spans="1:10" ht="14.25" customHeight="1" x14ac:dyDescent="0.25">
      <c r="A5261" s="21">
        <v>48367</v>
      </c>
      <c r="B5261" s="21"/>
      <c r="C5261">
        <v>48</v>
      </c>
      <c r="D5261">
        <v>3.7</v>
      </c>
      <c r="E5261">
        <v>187</v>
      </c>
      <c r="F5261">
        <v>82</v>
      </c>
      <c r="G5261">
        <v>20</v>
      </c>
      <c r="H5261">
        <v>82</v>
      </c>
      <c r="I5261">
        <v>1.5</v>
      </c>
      <c r="J5261" s="1">
        <v>5086</v>
      </c>
    </row>
    <row r="5262" spans="1:10" ht="14.25" customHeight="1" x14ac:dyDescent="0.25">
      <c r="A5262" s="21">
        <v>48373</v>
      </c>
      <c r="B5262" s="21"/>
      <c r="C5262">
        <v>16.8</v>
      </c>
      <c r="D5262">
        <v>3.4</v>
      </c>
      <c r="E5262">
        <v>81</v>
      </c>
      <c r="F5262">
        <v>52</v>
      </c>
      <c r="G5262">
        <v>8</v>
      </c>
      <c r="H5262">
        <v>52</v>
      </c>
      <c r="I5262">
        <v>1.38</v>
      </c>
      <c r="J5262" s="1">
        <v>2008</v>
      </c>
    </row>
    <row r="5263" spans="1:10" ht="14.25" customHeight="1" x14ac:dyDescent="0.25">
      <c r="A5263" s="21">
        <v>48375</v>
      </c>
      <c r="B5263" s="21"/>
      <c r="C5263">
        <v>223.1</v>
      </c>
      <c r="D5263">
        <v>4.4000000000000004</v>
      </c>
      <c r="E5263">
        <v>646</v>
      </c>
      <c r="F5263">
        <v>354</v>
      </c>
      <c r="H5263">
        <v>354</v>
      </c>
      <c r="I5263">
        <v>1.67</v>
      </c>
      <c r="J5263" s="1">
        <v>19290</v>
      </c>
    </row>
    <row r="5264" spans="1:10" ht="14.25" customHeight="1" x14ac:dyDescent="0.25">
      <c r="A5264" s="21">
        <v>48375</v>
      </c>
      <c r="B5264" s="21"/>
      <c r="C5264">
        <v>186.3</v>
      </c>
      <c r="D5264">
        <v>4.5999999999999996</v>
      </c>
      <c r="E5264">
        <v>201</v>
      </c>
      <c r="F5264">
        <v>347</v>
      </c>
      <c r="G5264">
        <v>51</v>
      </c>
      <c r="H5264">
        <v>347</v>
      </c>
      <c r="I5264">
        <v>1.76</v>
      </c>
      <c r="J5264" s="1">
        <v>15488</v>
      </c>
    </row>
    <row r="5265" spans="1:10" ht="14.25" customHeight="1" x14ac:dyDescent="0.25">
      <c r="A5265" s="21">
        <v>48375</v>
      </c>
      <c r="B5265" s="21"/>
      <c r="C5265">
        <v>11.2</v>
      </c>
      <c r="D5265">
        <v>1.8</v>
      </c>
      <c r="E5265">
        <v>48</v>
      </c>
      <c r="F5265">
        <v>32</v>
      </c>
      <c r="H5265">
        <v>1</v>
      </c>
      <c r="I5265">
        <v>2.27</v>
      </c>
      <c r="J5265" s="1">
        <v>2251</v>
      </c>
    </row>
    <row r="5266" spans="1:10" ht="14.25" customHeight="1" x14ac:dyDescent="0.25">
      <c r="A5266" s="21">
        <v>48375</v>
      </c>
      <c r="B5266" s="21"/>
    </row>
    <row r="5267" spans="1:10" ht="14.25" customHeight="1" x14ac:dyDescent="0.25">
      <c r="A5267" s="21">
        <v>48381</v>
      </c>
      <c r="B5267" s="21"/>
      <c r="C5267">
        <v>0.7</v>
      </c>
      <c r="D5267">
        <v>1.4</v>
      </c>
      <c r="J5267">
        <v>176</v>
      </c>
    </row>
    <row r="5268" spans="1:10" ht="14.25" customHeight="1" x14ac:dyDescent="0.25">
      <c r="A5268" s="21">
        <v>48387</v>
      </c>
      <c r="B5268" s="21"/>
      <c r="C5268">
        <v>6.7</v>
      </c>
      <c r="D5268">
        <v>4</v>
      </c>
      <c r="J5268">
        <v>618</v>
      </c>
    </row>
    <row r="5269" spans="1:10" ht="14.25" customHeight="1" x14ac:dyDescent="0.25">
      <c r="A5269" s="21">
        <v>48397</v>
      </c>
      <c r="B5269" s="21"/>
      <c r="C5269">
        <v>30.4</v>
      </c>
      <c r="D5269">
        <v>4.5999999999999996</v>
      </c>
      <c r="E5269">
        <v>158</v>
      </c>
      <c r="F5269">
        <v>53</v>
      </c>
      <c r="G5269">
        <v>6</v>
      </c>
      <c r="H5269">
        <v>53</v>
      </c>
      <c r="I5269">
        <v>1.57</v>
      </c>
      <c r="J5269" s="1">
        <v>2741</v>
      </c>
    </row>
    <row r="5270" spans="1:10" ht="14.25" customHeight="1" x14ac:dyDescent="0.25">
      <c r="A5270" s="21">
        <v>48397</v>
      </c>
      <c r="B5270" s="21"/>
      <c r="C5270">
        <v>1.4</v>
      </c>
      <c r="D5270">
        <v>2.5</v>
      </c>
      <c r="E5270">
        <v>4</v>
      </c>
      <c r="F5270">
        <v>8</v>
      </c>
      <c r="H5270">
        <v>8</v>
      </c>
      <c r="I5270">
        <v>0.9</v>
      </c>
      <c r="J5270">
        <v>199</v>
      </c>
    </row>
    <row r="5271" spans="1:10" ht="14.25" customHeight="1" x14ac:dyDescent="0.25">
      <c r="A5271" s="21">
        <v>48401</v>
      </c>
      <c r="B5271" s="21"/>
      <c r="C5271">
        <v>8.6</v>
      </c>
      <c r="D5271">
        <v>3.1</v>
      </c>
      <c r="E5271">
        <v>40</v>
      </c>
      <c r="F5271">
        <v>41</v>
      </c>
      <c r="H5271">
        <v>41</v>
      </c>
      <c r="I5271">
        <v>1.05</v>
      </c>
      <c r="J5271" s="1">
        <v>1154</v>
      </c>
    </row>
    <row r="5272" spans="1:10" ht="14.25" customHeight="1" x14ac:dyDescent="0.25">
      <c r="A5272" s="21">
        <v>48409</v>
      </c>
      <c r="B5272" s="21"/>
      <c r="C5272">
        <v>7.5</v>
      </c>
      <c r="D5272">
        <v>4.9000000000000004</v>
      </c>
      <c r="J5272">
        <v>553</v>
      </c>
    </row>
    <row r="5273" spans="1:10" ht="14.25" customHeight="1" x14ac:dyDescent="0.25">
      <c r="A5273" s="21">
        <v>48419</v>
      </c>
      <c r="B5273" s="21"/>
      <c r="C5273">
        <v>7.2</v>
      </c>
      <c r="D5273">
        <v>2.9</v>
      </c>
      <c r="J5273">
        <v>916</v>
      </c>
    </row>
    <row r="5274" spans="1:10" ht="14.25" customHeight="1" x14ac:dyDescent="0.25">
      <c r="A5274" s="21">
        <v>48423</v>
      </c>
      <c r="B5274" s="21"/>
      <c r="C5274">
        <v>14.1</v>
      </c>
      <c r="D5274">
        <v>2.4</v>
      </c>
      <c r="E5274">
        <v>106</v>
      </c>
      <c r="F5274">
        <v>20</v>
      </c>
      <c r="H5274">
        <v>20</v>
      </c>
      <c r="I5274">
        <v>2.9</v>
      </c>
      <c r="J5274" s="1">
        <v>2144</v>
      </c>
    </row>
    <row r="5275" spans="1:10" ht="14.25" customHeight="1" x14ac:dyDescent="0.25">
      <c r="A5275" s="21">
        <v>48423</v>
      </c>
      <c r="B5275" s="21"/>
      <c r="C5275">
        <v>7.2</v>
      </c>
      <c r="D5275">
        <v>4.0999999999999996</v>
      </c>
      <c r="E5275">
        <v>127</v>
      </c>
      <c r="F5275">
        <v>104</v>
      </c>
      <c r="H5275">
        <v>104</v>
      </c>
      <c r="I5275">
        <v>1.22</v>
      </c>
      <c r="J5275">
        <v>637</v>
      </c>
    </row>
    <row r="5276" spans="1:10" ht="14.25" customHeight="1" x14ac:dyDescent="0.25">
      <c r="A5276" s="21">
        <v>48423</v>
      </c>
      <c r="B5276" s="21"/>
      <c r="C5276">
        <v>280</v>
      </c>
      <c r="D5276">
        <v>4.7</v>
      </c>
      <c r="E5276">
        <v>714</v>
      </c>
      <c r="F5276">
        <v>433</v>
      </c>
      <c r="G5276">
        <v>138</v>
      </c>
      <c r="H5276">
        <v>433</v>
      </c>
      <c r="I5276">
        <v>1.94</v>
      </c>
      <c r="J5276" s="1">
        <v>24434</v>
      </c>
    </row>
    <row r="5277" spans="1:10" ht="14.25" customHeight="1" x14ac:dyDescent="0.25">
      <c r="A5277" s="21">
        <v>48423</v>
      </c>
      <c r="B5277" s="21"/>
      <c r="C5277">
        <v>306.5</v>
      </c>
      <c r="D5277">
        <v>5.0999999999999996</v>
      </c>
      <c r="E5277">
        <v>316</v>
      </c>
      <c r="F5277">
        <v>339</v>
      </c>
      <c r="G5277">
        <v>54</v>
      </c>
      <c r="H5277">
        <v>339</v>
      </c>
      <c r="I5277">
        <v>1.97</v>
      </c>
      <c r="J5277" s="1">
        <v>22144</v>
      </c>
    </row>
    <row r="5278" spans="1:10" ht="14.25" customHeight="1" x14ac:dyDescent="0.25">
      <c r="A5278" s="21">
        <v>48423</v>
      </c>
      <c r="B5278" s="21"/>
      <c r="H5278">
        <v>402</v>
      </c>
    </row>
    <row r="5279" spans="1:10" ht="14.25" customHeight="1" x14ac:dyDescent="0.25">
      <c r="A5279" s="21">
        <v>48423</v>
      </c>
      <c r="B5279" s="21"/>
    </row>
    <row r="5280" spans="1:10" ht="14.25" customHeight="1" x14ac:dyDescent="0.25">
      <c r="A5280" s="21">
        <v>48425</v>
      </c>
      <c r="B5280" s="21"/>
      <c r="C5280">
        <v>2</v>
      </c>
      <c r="D5280">
        <v>2.9</v>
      </c>
      <c r="E5280">
        <v>58</v>
      </c>
      <c r="F5280">
        <v>16</v>
      </c>
      <c r="H5280">
        <v>16</v>
      </c>
      <c r="I5280">
        <v>1.07</v>
      </c>
      <c r="J5280">
        <v>261</v>
      </c>
    </row>
    <row r="5281" spans="1:10" ht="14.25" customHeight="1" x14ac:dyDescent="0.25">
      <c r="A5281" s="21">
        <v>48427</v>
      </c>
      <c r="B5281" s="21"/>
      <c r="C5281">
        <v>8.1999999999999993</v>
      </c>
      <c r="D5281">
        <v>3.7</v>
      </c>
      <c r="E5281">
        <v>48</v>
      </c>
      <c r="F5281">
        <v>48</v>
      </c>
      <c r="H5281">
        <v>48</v>
      </c>
      <c r="I5281">
        <v>1.17</v>
      </c>
      <c r="J5281">
        <v>880</v>
      </c>
    </row>
    <row r="5282" spans="1:10" ht="14.25" customHeight="1" x14ac:dyDescent="0.25">
      <c r="A5282" s="21">
        <v>48429</v>
      </c>
      <c r="B5282" s="21"/>
      <c r="C5282">
        <v>2.9</v>
      </c>
      <c r="D5282">
        <v>4.0999999999999996</v>
      </c>
      <c r="E5282">
        <v>16</v>
      </c>
      <c r="F5282">
        <v>14</v>
      </c>
      <c r="H5282">
        <v>14</v>
      </c>
      <c r="I5282">
        <v>1.02</v>
      </c>
      <c r="J5282">
        <v>260</v>
      </c>
    </row>
    <row r="5283" spans="1:10" ht="14.25" customHeight="1" x14ac:dyDescent="0.25">
      <c r="A5283" s="21">
        <v>48439</v>
      </c>
      <c r="B5283" s="21"/>
      <c r="C5283">
        <v>112.6</v>
      </c>
      <c r="D5283">
        <v>4</v>
      </c>
      <c r="E5283">
        <v>218</v>
      </c>
      <c r="F5283">
        <v>201</v>
      </c>
      <c r="G5283">
        <v>18</v>
      </c>
      <c r="H5283">
        <v>201</v>
      </c>
      <c r="I5283">
        <v>1.58</v>
      </c>
      <c r="J5283" s="1">
        <v>11440</v>
      </c>
    </row>
    <row r="5284" spans="1:10" ht="14.25" customHeight="1" x14ac:dyDescent="0.25">
      <c r="A5284" s="21">
        <v>48439</v>
      </c>
      <c r="B5284" s="21"/>
      <c r="C5284">
        <v>154.4</v>
      </c>
      <c r="D5284">
        <v>5.3</v>
      </c>
      <c r="E5284">
        <v>215</v>
      </c>
      <c r="F5284">
        <v>200</v>
      </c>
      <c r="G5284">
        <v>44</v>
      </c>
      <c r="H5284">
        <v>200</v>
      </c>
      <c r="I5284">
        <v>2.11</v>
      </c>
      <c r="J5284" s="1">
        <v>9488</v>
      </c>
    </row>
    <row r="5285" spans="1:10" ht="14.25" customHeight="1" x14ac:dyDescent="0.25">
      <c r="A5285" s="21">
        <v>48439</v>
      </c>
      <c r="B5285" s="21"/>
      <c r="C5285">
        <v>144.69999999999999</v>
      </c>
      <c r="D5285">
        <v>4.5</v>
      </c>
      <c r="E5285">
        <v>310</v>
      </c>
      <c r="F5285">
        <v>275</v>
      </c>
      <c r="G5285">
        <v>20</v>
      </c>
      <c r="H5285">
        <v>275</v>
      </c>
      <c r="I5285">
        <v>1.52</v>
      </c>
      <c r="J5285" s="1">
        <v>12611</v>
      </c>
    </row>
    <row r="5286" spans="1:10" ht="14.25" customHeight="1" x14ac:dyDescent="0.25">
      <c r="A5286" s="21">
        <v>48439</v>
      </c>
      <c r="B5286" s="21"/>
      <c r="C5286">
        <v>269.8</v>
      </c>
      <c r="D5286">
        <v>5.0999999999999996</v>
      </c>
      <c r="E5286">
        <v>321</v>
      </c>
      <c r="F5286">
        <v>335</v>
      </c>
      <c r="G5286">
        <v>45</v>
      </c>
      <c r="H5286">
        <v>335</v>
      </c>
      <c r="I5286">
        <v>1.71</v>
      </c>
      <c r="J5286" s="1">
        <v>17979</v>
      </c>
    </row>
    <row r="5287" spans="1:10" ht="14.25" customHeight="1" x14ac:dyDescent="0.25">
      <c r="A5287" s="21">
        <v>48439</v>
      </c>
      <c r="B5287" s="21"/>
      <c r="C5287">
        <v>109.6</v>
      </c>
      <c r="D5287">
        <v>3.4</v>
      </c>
      <c r="E5287">
        <v>334</v>
      </c>
      <c r="F5287">
        <v>245</v>
      </c>
      <c r="G5287">
        <v>18</v>
      </c>
      <c r="H5287">
        <v>245</v>
      </c>
      <c r="I5287">
        <v>1.66</v>
      </c>
      <c r="J5287" s="1">
        <v>13216</v>
      </c>
    </row>
    <row r="5288" spans="1:10" ht="14.25" customHeight="1" x14ac:dyDescent="0.25">
      <c r="A5288" s="21">
        <v>48439</v>
      </c>
      <c r="B5288" s="21"/>
      <c r="C5288">
        <v>12.2</v>
      </c>
      <c r="D5288">
        <v>3.3</v>
      </c>
      <c r="E5288">
        <v>103</v>
      </c>
      <c r="F5288">
        <v>34</v>
      </c>
      <c r="G5288">
        <v>4</v>
      </c>
      <c r="H5288">
        <v>34</v>
      </c>
      <c r="I5288">
        <v>1.98</v>
      </c>
      <c r="J5288" s="1">
        <v>1351</v>
      </c>
    </row>
    <row r="5289" spans="1:10" ht="14.25" customHeight="1" x14ac:dyDescent="0.25">
      <c r="A5289" s="21">
        <v>48439</v>
      </c>
      <c r="B5289" s="21"/>
      <c r="C5289">
        <v>10.1</v>
      </c>
      <c r="D5289">
        <v>2.2000000000000002</v>
      </c>
      <c r="E5289">
        <v>105</v>
      </c>
      <c r="F5289">
        <v>30</v>
      </c>
      <c r="G5289">
        <v>4</v>
      </c>
      <c r="H5289">
        <v>30</v>
      </c>
      <c r="I5289">
        <v>2.82</v>
      </c>
      <c r="J5289" s="1">
        <v>1669</v>
      </c>
    </row>
    <row r="5290" spans="1:10" ht="14.25" customHeight="1" x14ac:dyDescent="0.25">
      <c r="A5290" s="21">
        <v>48439</v>
      </c>
      <c r="B5290" s="21"/>
      <c r="C5290">
        <v>2.9</v>
      </c>
      <c r="D5290">
        <v>2.2999999999999998</v>
      </c>
      <c r="J5290">
        <v>454</v>
      </c>
    </row>
    <row r="5291" spans="1:10" ht="14.25" customHeight="1" x14ac:dyDescent="0.25">
      <c r="A5291" s="21">
        <v>48439</v>
      </c>
      <c r="B5291" s="21"/>
      <c r="C5291">
        <v>3.7</v>
      </c>
      <c r="D5291">
        <v>1.7</v>
      </c>
      <c r="E5291">
        <v>103</v>
      </c>
      <c r="F5291">
        <v>17</v>
      </c>
      <c r="H5291">
        <v>17</v>
      </c>
      <c r="I5291">
        <v>2.4500000000000002</v>
      </c>
      <c r="J5291">
        <v>778</v>
      </c>
    </row>
    <row r="5292" spans="1:10" ht="14.25" customHeight="1" x14ac:dyDescent="0.25">
      <c r="A5292" s="21">
        <v>48439</v>
      </c>
      <c r="B5292" s="21"/>
      <c r="C5292">
        <v>13</v>
      </c>
      <c r="D5292">
        <v>3.1</v>
      </c>
      <c r="E5292">
        <v>41</v>
      </c>
      <c r="F5292">
        <v>31</v>
      </c>
      <c r="G5292">
        <v>6</v>
      </c>
      <c r="H5292">
        <v>31</v>
      </c>
      <c r="I5292">
        <v>1.24</v>
      </c>
      <c r="J5292" s="1">
        <v>1522</v>
      </c>
    </row>
    <row r="5293" spans="1:10" ht="14.25" customHeight="1" x14ac:dyDescent="0.25">
      <c r="A5293" s="21">
        <v>48439</v>
      </c>
      <c r="B5293" s="21"/>
      <c r="C5293">
        <v>78.900000000000006</v>
      </c>
      <c r="D5293">
        <v>4.5</v>
      </c>
      <c r="E5293">
        <v>168</v>
      </c>
      <c r="F5293">
        <v>137</v>
      </c>
      <c r="G5293">
        <v>20</v>
      </c>
      <c r="H5293">
        <v>137</v>
      </c>
      <c r="I5293">
        <v>1.65</v>
      </c>
      <c r="J5293" s="1">
        <v>6416</v>
      </c>
    </row>
    <row r="5294" spans="1:10" ht="14.25" customHeight="1" x14ac:dyDescent="0.25">
      <c r="A5294" s="21">
        <v>48439</v>
      </c>
      <c r="B5294" s="21"/>
      <c r="C5294">
        <v>148.30000000000001</v>
      </c>
      <c r="D5294">
        <v>5</v>
      </c>
      <c r="E5294">
        <v>312</v>
      </c>
      <c r="F5294">
        <v>194</v>
      </c>
      <c r="G5294">
        <v>18</v>
      </c>
      <c r="H5294">
        <v>194</v>
      </c>
      <c r="I5294">
        <v>1.67</v>
      </c>
      <c r="J5294" s="1">
        <v>11410</v>
      </c>
    </row>
    <row r="5295" spans="1:10" ht="14.25" customHeight="1" x14ac:dyDescent="0.25">
      <c r="A5295" s="21">
        <v>48439</v>
      </c>
      <c r="B5295" s="21"/>
      <c r="C5295">
        <v>392.8</v>
      </c>
      <c r="D5295">
        <v>5.2</v>
      </c>
      <c r="E5295">
        <v>761</v>
      </c>
      <c r="F5295">
        <v>422</v>
      </c>
      <c r="G5295">
        <v>36</v>
      </c>
      <c r="H5295">
        <v>422</v>
      </c>
      <c r="I5295">
        <v>1.7</v>
      </c>
      <c r="J5295" s="1">
        <v>29141</v>
      </c>
    </row>
    <row r="5296" spans="1:10" ht="14.25" customHeight="1" x14ac:dyDescent="0.25">
      <c r="A5296" s="21">
        <v>48439</v>
      </c>
      <c r="B5296" s="21"/>
      <c r="C5296">
        <v>512.29999999999995</v>
      </c>
      <c r="D5296">
        <v>5.2</v>
      </c>
      <c r="E5296">
        <v>778</v>
      </c>
      <c r="F5296">
        <v>651</v>
      </c>
      <c r="G5296">
        <v>22</v>
      </c>
      <c r="H5296">
        <v>651</v>
      </c>
      <c r="I5296">
        <v>1.85</v>
      </c>
      <c r="J5296" s="1">
        <v>36876</v>
      </c>
    </row>
    <row r="5297" spans="1:10" ht="14.25" customHeight="1" x14ac:dyDescent="0.25">
      <c r="A5297" s="21">
        <v>48439</v>
      </c>
      <c r="B5297" s="21"/>
      <c r="C5297">
        <v>252.9</v>
      </c>
      <c r="D5297">
        <v>4.8</v>
      </c>
      <c r="E5297">
        <v>340</v>
      </c>
      <c r="F5297">
        <v>377</v>
      </c>
      <c r="G5297">
        <v>39</v>
      </c>
      <c r="H5297">
        <v>377</v>
      </c>
      <c r="I5297">
        <v>1.96</v>
      </c>
      <c r="J5297" s="1">
        <v>21332</v>
      </c>
    </row>
    <row r="5298" spans="1:10" ht="14.25" customHeight="1" x14ac:dyDescent="0.25">
      <c r="A5298" s="21">
        <v>48439</v>
      </c>
      <c r="B5298" s="21"/>
      <c r="C5298">
        <v>1.1000000000000001</v>
      </c>
      <c r="D5298">
        <v>2.1</v>
      </c>
      <c r="I5298">
        <v>3.13</v>
      </c>
      <c r="J5298">
        <v>201</v>
      </c>
    </row>
    <row r="5299" spans="1:10" ht="14.25" customHeight="1" x14ac:dyDescent="0.25">
      <c r="A5299" s="21">
        <v>48439</v>
      </c>
      <c r="B5299" s="21"/>
      <c r="C5299">
        <v>144.69999999999999</v>
      </c>
      <c r="D5299">
        <v>4.8</v>
      </c>
      <c r="E5299">
        <v>189</v>
      </c>
      <c r="F5299">
        <v>254</v>
      </c>
      <c r="G5299">
        <v>22</v>
      </c>
      <c r="H5299">
        <v>254</v>
      </c>
      <c r="I5299">
        <v>1.61</v>
      </c>
      <c r="J5299" s="1">
        <v>11807</v>
      </c>
    </row>
    <row r="5300" spans="1:10" ht="14.25" customHeight="1" x14ac:dyDescent="0.25">
      <c r="A5300" s="21">
        <v>48439</v>
      </c>
      <c r="B5300" s="21"/>
    </row>
    <row r="5301" spans="1:10" ht="14.25" customHeight="1" x14ac:dyDescent="0.25">
      <c r="A5301" s="21">
        <v>48439</v>
      </c>
      <c r="B5301" s="21"/>
      <c r="C5301">
        <v>13.1</v>
      </c>
      <c r="D5301">
        <v>4.5999999999999996</v>
      </c>
      <c r="E5301">
        <v>5</v>
      </c>
      <c r="F5301">
        <v>47</v>
      </c>
      <c r="H5301">
        <v>47</v>
      </c>
      <c r="I5301">
        <v>2.62</v>
      </c>
      <c r="J5301" s="1">
        <v>1042</v>
      </c>
    </row>
    <row r="5302" spans="1:10" ht="14.25" customHeight="1" x14ac:dyDescent="0.25">
      <c r="A5302" s="21">
        <v>48439</v>
      </c>
      <c r="B5302" s="21"/>
      <c r="C5302">
        <v>10.7</v>
      </c>
      <c r="D5302">
        <v>2.2999999999999998</v>
      </c>
      <c r="E5302">
        <v>68</v>
      </c>
      <c r="F5302">
        <v>24</v>
      </c>
      <c r="H5302">
        <v>24</v>
      </c>
      <c r="I5302">
        <v>2.4700000000000002</v>
      </c>
      <c r="J5302" s="1">
        <v>1704</v>
      </c>
    </row>
    <row r="5303" spans="1:10" ht="14.25" customHeight="1" x14ac:dyDescent="0.25">
      <c r="A5303" s="21">
        <v>48439</v>
      </c>
      <c r="B5303" s="21"/>
      <c r="H5303">
        <v>110</v>
      </c>
    </row>
    <row r="5304" spans="1:10" ht="14.25" customHeight="1" x14ac:dyDescent="0.25">
      <c r="A5304" s="21">
        <v>48439</v>
      </c>
      <c r="B5304" s="21"/>
    </row>
    <row r="5305" spans="1:10" ht="14.25" customHeight="1" x14ac:dyDescent="0.25">
      <c r="A5305" s="21">
        <v>48439</v>
      </c>
      <c r="B5305" s="21"/>
      <c r="C5305">
        <v>60.5</v>
      </c>
      <c r="D5305">
        <v>3.9</v>
      </c>
      <c r="E5305">
        <v>120</v>
      </c>
      <c r="F5305">
        <v>101</v>
      </c>
      <c r="G5305">
        <v>12</v>
      </c>
      <c r="H5305">
        <v>101</v>
      </c>
      <c r="I5305">
        <v>1.39</v>
      </c>
      <c r="J5305" s="1">
        <v>6567</v>
      </c>
    </row>
    <row r="5306" spans="1:10" ht="14.25" customHeight="1" x14ac:dyDescent="0.25">
      <c r="A5306" s="21">
        <v>48439</v>
      </c>
      <c r="B5306" s="21"/>
      <c r="E5306">
        <v>13</v>
      </c>
      <c r="H5306">
        <v>54</v>
      </c>
    </row>
    <row r="5307" spans="1:10" ht="14.25" customHeight="1" x14ac:dyDescent="0.25">
      <c r="A5307" s="21">
        <v>48439</v>
      </c>
      <c r="B5307" s="21"/>
      <c r="H5307">
        <v>54</v>
      </c>
    </row>
    <row r="5308" spans="1:10" ht="14.25" customHeight="1" x14ac:dyDescent="0.25">
      <c r="A5308" s="21">
        <v>48439</v>
      </c>
      <c r="B5308" s="21"/>
      <c r="C5308">
        <v>2.8</v>
      </c>
      <c r="D5308">
        <v>2.8</v>
      </c>
      <c r="E5308">
        <v>18</v>
      </c>
      <c r="F5308">
        <v>36</v>
      </c>
      <c r="H5308">
        <v>36</v>
      </c>
      <c r="I5308">
        <v>2.87</v>
      </c>
      <c r="J5308">
        <v>370</v>
      </c>
    </row>
    <row r="5309" spans="1:10" ht="14.25" customHeight="1" x14ac:dyDescent="0.25">
      <c r="A5309" s="21">
        <v>48439</v>
      </c>
      <c r="B5309" s="21"/>
      <c r="E5309">
        <v>5</v>
      </c>
    </row>
    <row r="5310" spans="1:10" ht="14.25" customHeight="1" x14ac:dyDescent="0.25">
      <c r="A5310" s="21">
        <v>48439</v>
      </c>
      <c r="B5310" s="21"/>
      <c r="C5310">
        <v>42.8</v>
      </c>
      <c r="D5310">
        <v>4.0999999999999996</v>
      </c>
      <c r="E5310">
        <v>87</v>
      </c>
      <c r="F5310">
        <v>75</v>
      </c>
      <c r="G5310">
        <v>8</v>
      </c>
      <c r="H5310">
        <v>75</v>
      </c>
      <c r="I5310">
        <v>1.56</v>
      </c>
      <c r="J5310" s="1">
        <v>4241</v>
      </c>
    </row>
    <row r="5311" spans="1:10" ht="14.25" customHeight="1" x14ac:dyDescent="0.25">
      <c r="A5311" s="21">
        <v>48439</v>
      </c>
      <c r="B5311" s="21"/>
      <c r="H5311">
        <v>338</v>
      </c>
    </row>
    <row r="5312" spans="1:10" ht="14.25" customHeight="1" x14ac:dyDescent="0.25">
      <c r="A5312" s="21">
        <v>48439</v>
      </c>
      <c r="B5312" s="21"/>
      <c r="C5312">
        <v>0.8</v>
      </c>
      <c r="D5312">
        <v>2.1</v>
      </c>
      <c r="E5312">
        <v>4</v>
      </c>
      <c r="F5312">
        <v>23</v>
      </c>
      <c r="H5312">
        <v>23</v>
      </c>
      <c r="I5312">
        <v>3.52</v>
      </c>
      <c r="J5312">
        <v>139</v>
      </c>
    </row>
    <row r="5313" spans="1:10" ht="14.25" customHeight="1" x14ac:dyDescent="0.25">
      <c r="A5313" s="21">
        <v>48439</v>
      </c>
      <c r="B5313" s="21"/>
    </row>
    <row r="5314" spans="1:10" ht="14.25" customHeight="1" x14ac:dyDescent="0.25">
      <c r="A5314" s="21">
        <v>48439</v>
      </c>
      <c r="B5314" s="21"/>
    </row>
    <row r="5315" spans="1:10" ht="14.25" customHeight="1" x14ac:dyDescent="0.25">
      <c r="A5315" s="21">
        <v>48439</v>
      </c>
      <c r="B5315" s="21"/>
    </row>
    <row r="5316" spans="1:10" ht="14.25" customHeight="1" x14ac:dyDescent="0.25">
      <c r="A5316" s="21">
        <v>48439</v>
      </c>
      <c r="B5316" s="21"/>
      <c r="E5316">
        <v>3</v>
      </c>
    </row>
    <row r="5317" spans="1:10" ht="14.25" customHeight="1" x14ac:dyDescent="0.25">
      <c r="A5317" s="21">
        <v>48439</v>
      </c>
      <c r="B5317" s="21"/>
      <c r="E5317">
        <v>4</v>
      </c>
    </row>
    <row r="5318" spans="1:10" ht="14.25" customHeight="1" x14ac:dyDescent="0.25">
      <c r="A5318" s="21">
        <v>48441</v>
      </c>
      <c r="B5318" s="21"/>
      <c r="C5318">
        <v>59</v>
      </c>
      <c r="D5318">
        <v>4.0999999999999996</v>
      </c>
      <c r="E5318">
        <v>129</v>
      </c>
      <c r="F5318">
        <v>196</v>
      </c>
      <c r="G5318">
        <v>20</v>
      </c>
      <c r="H5318">
        <v>196</v>
      </c>
      <c r="I5318">
        <v>1.85</v>
      </c>
      <c r="J5318" s="1">
        <v>5844</v>
      </c>
    </row>
    <row r="5319" spans="1:10" ht="14.25" customHeight="1" x14ac:dyDescent="0.25">
      <c r="A5319" s="21">
        <v>48441</v>
      </c>
      <c r="B5319" s="21"/>
      <c r="C5319">
        <v>226.2</v>
      </c>
      <c r="D5319">
        <v>5.2</v>
      </c>
      <c r="E5319">
        <v>485</v>
      </c>
      <c r="F5319">
        <v>335</v>
      </c>
      <c r="G5319">
        <v>46</v>
      </c>
      <c r="H5319">
        <v>335</v>
      </c>
      <c r="I5319">
        <v>1.81</v>
      </c>
      <c r="J5319" s="1">
        <v>16533</v>
      </c>
    </row>
    <row r="5320" spans="1:10" ht="14.25" customHeight="1" x14ac:dyDescent="0.25">
      <c r="A5320" s="21">
        <v>48445</v>
      </c>
      <c r="B5320" s="21"/>
      <c r="C5320">
        <v>4.0999999999999996</v>
      </c>
      <c r="D5320">
        <v>3.7</v>
      </c>
      <c r="E5320">
        <v>12</v>
      </c>
      <c r="F5320">
        <v>26</v>
      </c>
      <c r="H5320">
        <v>26</v>
      </c>
      <c r="I5320">
        <v>0.98</v>
      </c>
      <c r="J5320">
        <v>430</v>
      </c>
    </row>
    <row r="5321" spans="1:10" ht="14.25" customHeight="1" x14ac:dyDescent="0.25">
      <c r="A5321" s="21">
        <v>48449</v>
      </c>
      <c r="B5321" s="21"/>
      <c r="C5321">
        <v>26.5</v>
      </c>
      <c r="D5321">
        <v>3.7</v>
      </c>
      <c r="E5321">
        <v>129</v>
      </c>
      <c r="F5321">
        <v>49</v>
      </c>
      <c r="G5321">
        <v>8</v>
      </c>
      <c r="H5321">
        <v>49</v>
      </c>
      <c r="I5321">
        <v>1.43</v>
      </c>
      <c r="J5321" s="1">
        <v>2971</v>
      </c>
    </row>
    <row r="5322" spans="1:10" ht="14.25" customHeight="1" x14ac:dyDescent="0.25">
      <c r="A5322" s="21">
        <v>48451</v>
      </c>
      <c r="B5322" s="21"/>
      <c r="C5322">
        <v>182.4</v>
      </c>
      <c r="D5322">
        <v>4.8</v>
      </c>
      <c r="E5322">
        <v>312</v>
      </c>
      <c r="F5322">
        <v>352</v>
      </c>
      <c r="G5322">
        <v>23</v>
      </c>
      <c r="H5322">
        <v>352</v>
      </c>
      <c r="I5322">
        <v>1.62</v>
      </c>
      <c r="J5322" s="1">
        <v>14200</v>
      </c>
    </row>
    <row r="5323" spans="1:10" ht="14.25" customHeight="1" x14ac:dyDescent="0.25">
      <c r="A5323" s="21">
        <v>48451</v>
      </c>
      <c r="B5323" s="21"/>
      <c r="C5323">
        <v>39.700000000000003</v>
      </c>
      <c r="D5323">
        <v>4.2</v>
      </c>
      <c r="E5323">
        <v>115</v>
      </c>
      <c r="F5323">
        <v>131</v>
      </c>
      <c r="G5323">
        <v>12</v>
      </c>
      <c r="H5323">
        <v>131</v>
      </c>
      <c r="I5323">
        <v>1.75</v>
      </c>
      <c r="J5323" s="1">
        <v>3820</v>
      </c>
    </row>
    <row r="5324" spans="1:10" ht="14.25" customHeight="1" x14ac:dyDescent="0.25">
      <c r="A5324" s="21">
        <v>48453</v>
      </c>
      <c r="B5324" s="21"/>
      <c r="C5324">
        <v>331.1</v>
      </c>
      <c r="D5324">
        <v>5</v>
      </c>
      <c r="E5324">
        <v>723</v>
      </c>
      <c r="F5324">
        <v>505</v>
      </c>
      <c r="G5324">
        <v>70</v>
      </c>
      <c r="H5324">
        <v>350</v>
      </c>
      <c r="I5324">
        <v>2.08</v>
      </c>
      <c r="J5324" s="1">
        <v>26462</v>
      </c>
    </row>
    <row r="5325" spans="1:10" ht="14.25" customHeight="1" x14ac:dyDescent="0.25">
      <c r="A5325" s="21">
        <v>48453</v>
      </c>
      <c r="B5325" s="21"/>
      <c r="C5325">
        <v>261.60000000000002</v>
      </c>
      <c r="D5325">
        <v>5.7</v>
      </c>
      <c r="E5325">
        <v>470</v>
      </c>
      <c r="F5325">
        <v>430</v>
      </c>
      <c r="G5325">
        <v>83</v>
      </c>
      <c r="H5325">
        <v>430</v>
      </c>
      <c r="I5325">
        <v>2.04</v>
      </c>
      <c r="J5325" s="1">
        <v>18629</v>
      </c>
    </row>
    <row r="5326" spans="1:10" ht="14.25" customHeight="1" x14ac:dyDescent="0.25">
      <c r="A5326" s="21">
        <v>48453</v>
      </c>
      <c r="B5326" s="21"/>
    </row>
    <row r="5327" spans="1:10" ht="14.25" customHeight="1" x14ac:dyDescent="0.25">
      <c r="A5327" s="21">
        <v>48453</v>
      </c>
      <c r="B5327" s="21"/>
      <c r="C5327">
        <v>2.7</v>
      </c>
      <c r="D5327">
        <v>1.8</v>
      </c>
      <c r="E5327">
        <v>47</v>
      </c>
      <c r="F5327">
        <v>21</v>
      </c>
      <c r="H5327">
        <v>21</v>
      </c>
      <c r="I5327">
        <v>2.4500000000000002</v>
      </c>
      <c r="J5327">
        <v>535</v>
      </c>
    </row>
    <row r="5328" spans="1:10" ht="14.25" customHeight="1" x14ac:dyDescent="0.25">
      <c r="A5328" s="21">
        <v>48453</v>
      </c>
      <c r="B5328" s="21"/>
      <c r="C5328">
        <v>43.2</v>
      </c>
      <c r="D5328">
        <v>3.8</v>
      </c>
      <c r="E5328">
        <v>98</v>
      </c>
      <c r="F5328">
        <v>106</v>
      </c>
      <c r="G5328">
        <v>16</v>
      </c>
      <c r="H5328">
        <v>106</v>
      </c>
      <c r="I5328">
        <v>1.42</v>
      </c>
      <c r="J5328" s="1">
        <v>4933</v>
      </c>
    </row>
    <row r="5329" spans="1:10" ht="14.25" customHeight="1" x14ac:dyDescent="0.25">
      <c r="A5329" s="21">
        <v>48453</v>
      </c>
      <c r="B5329" s="21"/>
      <c r="C5329">
        <v>279.7</v>
      </c>
      <c r="D5329">
        <v>5.2</v>
      </c>
      <c r="E5329">
        <v>502</v>
      </c>
      <c r="F5329">
        <v>377</v>
      </c>
      <c r="G5329">
        <v>24</v>
      </c>
      <c r="H5329">
        <v>350</v>
      </c>
      <c r="I5329">
        <v>1.71</v>
      </c>
      <c r="J5329" s="1">
        <v>22544</v>
      </c>
    </row>
    <row r="5330" spans="1:10" ht="14.25" customHeight="1" x14ac:dyDescent="0.25">
      <c r="A5330" s="21">
        <v>48453</v>
      </c>
      <c r="B5330" s="21"/>
      <c r="H5330">
        <v>58</v>
      </c>
    </row>
    <row r="5331" spans="1:10" ht="14.25" customHeight="1" x14ac:dyDescent="0.25">
      <c r="A5331" s="21">
        <v>48453</v>
      </c>
      <c r="B5331" s="21"/>
      <c r="C5331">
        <v>254.2</v>
      </c>
      <c r="D5331">
        <v>5</v>
      </c>
      <c r="E5331">
        <v>401</v>
      </c>
      <c r="F5331">
        <v>299</v>
      </c>
      <c r="G5331">
        <v>30</v>
      </c>
      <c r="H5331">
        <v>299</v>
      </c>
      <c r="I5331">
        <v>1.83</v>
      </c>
      <c r="J5331" s="1">
        <v>19649</v>
      </c>
    </row>
    <row r="5332" spans="1:10" ht="14.25" customHeight="1" x14ac:dyDescent="0.25">
      <c r="A5332" s="21">
        <v>48453</v>
      </c>
      <c r="B5332" s="21"/>
      <c r="E5332">
        <v>21</v>
      </c>
    </row>
    <row r="5333" spans="1:10" ht="14.25" customHeight="1" x14ac:dyDescent="0.25">
      <c r="A5333" s="21">
        <v>48453</v>
      </c>
      <c r="B5333" s="21"/>
      <c r="C5333">
        <v>192</v>
      </c>
      <c r="D5333">
        <v>5.8</v>
      </c>
      <c r="E5333">
        <v>326</v>
      </c>
      <c r="F5333">
        <v>226</v>
      </c>
      <c r="G5333">
        <v>60</v>
      </c>
      <c r="H5333">
        <v>211</v>
      </c>
      <c r="I5333">
        <v>2.0499999999999998</v>
      </c>
      <c r="J5333" s="1">
        <v>11484</v>
      </c>
    </row>
    <row r="5334" spans="1:10" ht="14.25" customHeight="1" x14ac:dyDescent="0.25">
      <c r="A5334" s="21">
        <v>48453</v>
      </c>
      <c r="B5334" s="21"/>
    </row>
    <row r="5335" spans="1:10" ht="14.25" customHeight="1" x14ac:dyDescent="0.25">
      <c r="A5335" s="21">
        <v>48453</v>
      </c>
      <c r="B5335" s="21"/>
    </row>
    <row r="5336" spans="1:10" ht="14.25" customHeight="1" x14ac:dyDescent="0.25">
      <c r="A5336" s="21">
        <v>48453</v>
      </c>
      <c r="B5336" s="21"/>
      <c r="C5336">
        <v>1.7</v>
      </c>
      <c r="D5336">
        <v>1.2</v>
      </c>
      <c r="E5336">
        <v>40</v>
      </c>
      <c r="F5336">
        <v>8</v>
      </c>
      <c r="H5336">
        <v>8</v>
      </c>
      <c r="I5336">
        <v>4.2300000000000004</v>
      </c>
      <c r="J5336">
        <v>515</v>
      </c>
    </row>
    <row r="5337" spans="1:10" ht="14.25" customHeight="1" x14ac:dyDescent="0.25">
      <c r="A5337" s="21">
        <v>48453</v>
      </c>
      <c r="B5337" s="21"/>
      <c r="C5337">
        <v>3.3</v>
      </c>
      <c r="D5337">
        <v>2.2999999999999998</v>
      </c>
      <c r="E5337">
        <v>3</v>
      </c>
      <c r="F5337">
        <v>25</v>
      </c>
      <c r="G5337">
        <v>6</v>
      </c>
      <c r="H5337">
        <v>25</v>
      </c>
      <c r="J5337">
        <v>523</v>
      </c>
    </row>
    <row r="5338" spans="1:10" ht="14.25" customHeight="1" x14ac:dyDescent="0.25">
      <c r="A5338" s="21">
        <v>48453</v>
      </c>
      <c r="B5338" s="21"/>
      <c r="C5338">
        <v>5.4</v>
      </c>
      <c r="D5338">
        <v>2.4</v>
      </c>
      <c r="E5338">
        <v>55</v>
      </c>
      <c r="F5338">
        <v>23</v>
      </c>
      <c r="H5338">
        <v>23</v>
      </c>
      <c r="I5338">
        <v>2.2999999999999998</v>
      </c>
      <c r="J5338">
        <v>816</v>
      </c>
    </row>
    <row r="5339" spans="1:10" ht="14.25" customHeight="1" x14ac:dyDescent="0.25">
      <c r="A5339" s="21">
        <v>48455</v>
      </c>
      <c r="B5339" s="21"/>
      <c r="C5339">
        <v>0.4</v>
      </c>
      <c r="D5339">
        <v>3.3</v>
      </c>
      <c r="J5339">
        <v>47</v>
      </c>
    </row>
    <row r="5340" spans="1:10" ht="14.25" customHeight="1" x14ac:dyDescent="0.25">
      <c r="A5340" s="21">
        <v>48457</v>
      </c>
      <c r="B5340" s="21"/>
      <c r="C5340">
        <v>2.4</v>
      </c>
      <c r="D5340">
        <v>2.8</v>
      </c>
      <c r="E5340">
        <v>21</v>
      </c>
      <c r="F5340">
        <v>25</v>
      </c>
      <c r="H5340">
        <v>25</v>
      </c>
      <c r="I5340">
        <v>0.98</v>
      </c>
      <c r="J5340">
        <v>305</v>
      </c>
    </row>
    <row r="5341" spans="1:10" ht="14.25" customHeight="1" x14ac:dyDescent="0.25">
      <c r="A5341" s="21">
        <v>48459</v>
      </c>
      <c r="B5341" s="21"/>
      <c r="C5341">
        <v>4.8</v>
      </c>
      <c r="D5341">
        <v>3.6</v>
      </c>
      <c r="J5341">
        <v>480</v>
      </c>
    </row>
    <row r="5342" spans="1:10" ht="14.25" customHeight="1" x14ac:dyDescent="0.25">
      <c r="A5342" s="21">
        <v>48465</v>
      </c>
      <c r="B5342" s="21"/>
      <c r="C5342">
        <v>17.5</v>
      </c>
      <c r="D5342">
        <v>6.4</v>
      </c>
      <c r="E5342">
        <v>117</v>
      </c>
      <c r="F5342">
        <v>47</v>
      </c>
      <c r="G5342">
        <v>7</v>
      </c>
      <c r="H5342">
        <v>47</v>
      </c>
      <c r="I5342">
        <v>1.35</v>
      </c>
      <c r="J5342" s="1">
        <v>1222</v>
      </c>
    </row>
    <row r="5343" spans="1:10" ht="14.25" customHeight="1" x14ac:dyDescent="0.25">
      <c r="A5343" s="21">
        <v>48467</v>
      </c>
      <c r="B5343" s="21"/>
      <c r="C5343">
        <v>3.1</v>
      </c>
      <c r="D5343">
        <v>2.2000000000000002</v>
      </c>
      <c r="J5343">
        <v>518</v>
      </c>
    </row>
    <row r="5344" spans="1:10" ht="14.25" customHeight="1" x14ac:dyDescent="0.25">
      <c r="A5344" s="21">
        <v>48467</v>
      </c>
      <c r="B5344" s="21"/>
      <c r="I5344">
        <v>0.84</v>
      </c>
    </row>
    <row r="5345" spans="1:10" ht="14.25" customHeight="1" x14ac:dyDescent="0.25">
      <c r="A5345" s="21">
        <v>48469</v>
      </c>
      <c r="B5345" s="21"/>
      <c r="C5345">
        <v>92.9</v>
      </c>
      <c r="D5345">
        <v>4.3</v>
      </c>
      <c r="E5345">
        <v>108</v>
      </c>
      <c r="F5345">
        <v>206</v>
      </c>
      <c r="G5345">
        <v>32</v>
      </c>
      <c r="H5345">
        <v>206</v>
      </c>
      <c r="I5345">
        <v>1.61</v>
      </c>
      <c r="J5345" s="1">
        <v>8017</v>
      </c>
    </row>
    <row r="5346" spans="1:10" ht="14.25" customHeight="1" x14ac:dyDescent="0.25">
      <c r="A5346" s="21">
        <v>48469</v>
      </c>
      <c r="B5346" s="21"/>
      <c r="C5346">
        <v>70.900000000000006</v>
      </c>
      <c r="D5346">
        <v>4.9000000000000004</v>
      </c>
      <c r="E5346">
        <v>179</v>
      </c>
      <c r="F5346">
        <v>307</v>
      </c>
      <c r="G5346">
        <v>14</v>
      </c>
      <c r="H5346">
        <v>307</v>
      </c>
      <c r="I5346">
        <v>1.61</v>
      </c>
      <c r="J5346" s="1">
        <v>5570</v>
      </c>
    </row>
    <row r="5347" spans="1:10" ht="14.25" customHeight="1" x14ac:dyDescent="0.25">
      <c r="A5347" s="21">
        <v>48469</v>
      </c>
      <c r="B5347" s="21"/>
      <c r="H5347">
        <v>115</v>
      </c>
    </row>
    <row r="5348" spans="1:10" ht="14.25" customHeight="1" x14ac:dyDescent="0.25">
      <c r="A5348" s="21">
        <v>48469</v>
      </c>
      <c r="B5348" s="21"/>
    </row>
    <row r="5349" spans="1:10" ht="14.25" customHeight="1" x14ac:dyDescent="0.25">
      <c r="A5349" s="21">
        <v>48471</v>
      </c>
      <c r="B5349" s="21"/>
      <c r="C5349">
        <v>55</v>
      </c>
      <c r="D5349">
        <v>4.5999999999999996</v>
      </c>
      <c r="E5349">
        <v>107</v>
      </c>
      <c r="F5349">
        <v>90</v>
      </c>
      <c r="G5349">
        <v>6</v>
      </c>
      <c r="H5349">
        <v>90</v>
      </c>
      <c r="I5349">
        <v>1.37</v>
      </c>
      <c r="J5349" s="1">
        <v>4374</v>
      </c>
    </row>
    <row r="5350" spans="1:10" ht="14.25" customHeight="1" x14ac:dyDescent="0.25">
      <c r="A5350" s="21">
        <v>48477</v>
      </c>
      <c r="B5350" s="21"/>
      <c r="C5350">
        <v>11.1</v>
      </c>
      <c r="D5350">
        <v>2.2999999999999998</v>
      </c>
      <c r="E5350">
        <v>48</v>
      </c>
      <c r="F5350">
        <v>50</v>
      </c>
      <c r="G5350">
        <v>5</v>
      </c>
      <c r="H5350">
        <v>50</v>
      </c>
      <c r="I5350">
        <v>1.32</v>
      </c>
      <c r="J5350" s="1">
        <v>1739</v>
      </c>
    </row>
    <row r="5351" spans="1:10" ht="14.25" customHeight="1" x14ac:dyDescent="0.25">
      <c r="A5351" s="21">
        <v>48479</v>
      </c>
      <c r="B5351" s="21"/>
      <c r="C5351">
        <v>190</v>
      </c>
      <c r="D5351">
        <v>5.6</v>
      </c>
      <c r="E5351">
        <v>216</v>
      </c>
      <c r="F5351">
        <v>294</v>
      </c>
      <c r="G5351">
        <v>40</v>
      </c>
      <c r="H5351">
        <v>294</v>
      </c>
      <c r="I5351">
        <v>1.88</v>
      </c>
      <c r="J5351" s="1">
        <v>13264</v>
      </c>
    </row>
    <row r="5352" spans="1:10" ht="14.25" customHeight="1" x14ac:dyDescent="0.25">
      <c r="A5352" s="21">
        <v>48479</v>
      </c>
      <c r="B5352" s="21"/>
      <c r="C5352">
        <v>101.1</v>
      </c>
      <c r="D5352">
        <v>5</v>
      </c>
      <c r="E5352">
        <v>162</v>
      </c>
      <c r="F5352">
        <v>171</v>
      </c>
      <c r="G5352">
        <v>24</v>
      </c>
      <c r="H5352">
        <v>171</v>
      </c>
      <c r="I5352">
        <v>1.87</v>
      </c>
      <c r="J5352" s="1">
        <v>7894</v>
      </c>
    </row>
    <row r="5353" spans="1:10" ht="14.25" customHeight="1" x14ac:dyDescent="0.25">
      <c r="A5353" s="21">
        <v>48481</v>
      </c>
      <c r="B5353" s="21"/>
      <c r="C5353">
        <v>7.5</v>
      </c>
      <c r="D5353">
        <v>4.3</v>
      </c>
      <c r="E5353">
        <v>48</v>
      </c>
      <c r="F5353">
        <v>26</v>
      </c>
      <c r="G5353">
        <v>4</v>
      </c>
      <c r="H5353">
        <v>26</v>
      </c>
      <c r="I5353">
        <v>1.1200000000000001</v>
      </c>
      <c r="J5353">
        <v>638</v>
      </c>
    </row>
    <row r="5354" spans="1:10" ht="14.25" customHeight="1" x14ac:dyDescent="0.25">
      <c r="A5354" s="21">
        <v>48481</v>
      </c>
      <c r="B5354" s="21"/>
      <c r="C5354">
        <v>9.6</v>
      </c>
      <c r="D5354">
        <v>5.6</v>
      </c>
      <c r="J5354">
        <v>624</v>
      </c>
    </row>
    <row r="5355" spans="1:10" ht="14.25" customHeight="1" x14ac:dyDescent="0.25">
      <c r="A5355" s="21">
        <v>48481</v>
      </c>
      <c r="B5355" s="21"/>
    </row>
    <row r="5356" spans="1:10" ht="14.25" customHeight="1" x14ac:dyDescent="0.25">
      <c r="A5356" s="21">
        <v>48485</v>
      </c>
      <c r="B5356" s="21"/>
      <c r="C5356">
        <v>9.1999999999999993</v>
      </c>
      <c r="D5356">
        <v>2.9</v>
      </c>
      <c r="E5356">
        <v>51</v>
      </c>
      <c r="F5356">
        <v>41</v>
      </c>
      <c r="H5356">
        <v>41</v>
      </c>
      <c r="I5356">
        <v>2.2599999999999998</v>
      </c>
      <c r="J5356" s="1">
        <v>1169</v>
      </c>
    </row>
    <row r="5357" spans="1:10" ht="14.25" customHeight="1" x14ac:dyDescent="0.25">
      <c r="A5357" s="21">
        <v>48485</v>
      </c>
      <c r="B5357" s="21"/>
      <c r="C5357">
        <v>162.1</v>
      </c>
      <c r="D5357">
        <v>4.3</v>
      </c>
      <c r="E5357">
        <v>345</v>
      </c>
      <c r="F5357">
        <v>250</v>
      </c>
      <c r="G5357">
        <v>12</v>
      </c>
      <c r="H5357">
        <v>250</v>
      </c>
      <c r="I5357">
        <v>1.67</v>
      </c>
      <c r="J5357" s="1">
        <v>14853</v>
      </c>
    </row>
    <row r="5358" spans="1:10" ht="14.25" customHeight="1" x14ac:dyDescent="0.25">
      <c r="A5358" s="21">
        <v>48487</v>
      </c>
      <c r="B5358" s="21"/>
      <c r="C5358">
        <v>7.6</v>
      </c>
      <c r="D5358">
        <v>3.9</v>
      </c>
      <c r="E5358">
        <v>47</v>
      </c>
      <c r="F5358">
        <v>28</v>
      </c>
      <c r="H5358">
        <v>28</v>
      </c>
      <c r="I5358">
        <v>1.1599999999999999</v>
      </c>
      <c r="J5358">
        <v>715</v>
      </c>
    </row>
    <row r="5359" spans="1:10" ht="14.25" customHeight="1" x14ac:dyDescent="0.25">
      <c r="A5359" s="21">
        <v>48487</v>
      </c>
      <c r="B5359" s="21"/>
    </row>
    <row r="5360" spans="1:10" ht="14.25" customHeight="1" x14ac:dyDescent="0.25">
      <c r="A5360" s="21">
        <v>48491</v>
      </c>
      <c r="B5360" s="21"/>
      <c r="C5360">
        <v>111.3</v>
      </c>
      <c r="D5360">
        <v>4.5</v>
      </c>
      <c r="E5360">
        <v>228</v>
      </c>
      <c r="F5360">
        <v>157</v>
      </c>
      <c r="G5360">
        <v>18</v>
      </c>
      <c r="H5360">
        <v>157</v>
      </c>
      <c r="I5360">
        <v>1.84</v>
      </c>
      <c r="J5360" s="1">
        <v>9782</v>
      </c>
    </row>
    <row r="5361" spans="1:10" ht="14.25" customHeight="1" x14ac:dyDescent="0.25">
      <c r="A5361" s="21">
        <v>48491</v>
      </c>
      <c r="B5361" s="21"/>
      <c r="C5361">
        <v>99.9</v>
      </c>
      <c r="D5361">
        <v>3.8</v>
      </c>
      <c r="E5361">
        <v>446</v>
      </c>
      <c r="F5361">
        <v>167</v>
      </c>
      <c r="G5361">
        <v>44</v>
      </c>
      <c r="H5361">
        <v>101</v>
      </c>
      <c r="I5361">
        <v>1.83</v>
      </c>
      <c r="J5361" s="1">
        <v>10117</v>
      </c>
    </row>
    <row r="5362" spans="1:10" ht="14.25" customHeight="1" x14ac:dyDescent="0.25">
      <c r="A5362" s="21">
        <v>48491</v>
      </c>
      <c r="B5362" s="21"/>
      <c r="C5362">
        <v>92.9</v>
      </c>
      <c r="D5362">
        <v>4.7</v>
      </c>
      <c r="E5362">
        <v>132</v>
      </c>
      <c r="F5362">
        <v>119</v>
      </c>
      <c r="G5362">
        <v>26</v>
      </c>
      <c r="H5362">
        <v>119</v>
      </c>
      <c r="I5362">
        <v>1.78</v>
      </c>
      <c r="J5362" s="1">
        <v>7351</v>
      </c>
    </row>
    <row r="5363" spans="1:10" ht="14.25" customHeight="1" x14ac:dyDescent="0.25">
      <c r="A5363" s="21">
        <v>48491</v>
      </c>
      <c r="B5363" s="21"/>
      <c r="C5363">
        <v>47.8</v>
      </c>
      <c r="D5363">
        <v>3.2</v>
      </c>
      <c r="E5363">
        <v>188</v>
      </c>
      <c r="F5363">
        <v>93</v>
      </c>
      <c r="G5363">
        <v>12</v>
      </c>
      <c r="H5363">
        <v>93</v>
      </c>
      <c r="I5363">
        <v>1.61</v>
      </c>
      <c r="J5363" s="1">
        <v>5925</v>
      </c>
    </row>
    <row r="5364" spans="1:10" ht="14.25" customHeight="1" x14ac:dyDescent="0.25">
      <c r="A5364" s="21">
        <v>48491</v>
      </c>
      <c r="B5364" s="21"/>
      <c r="E5364">
        <v>9</v>
      </c>
      <c r="H5364">
        <v>111</v>
      </c>
    </row>
    <row r="5365" spans="1:10" ht="14.25" customHeight="1" x14ac:dyDescent="0.25">
      <c r="A5365" s="21">
        <v>48491</v>
      </c>
      <c r="B5365" s="21"/>
      <c r="C5365">
        <v>0</v>
      </c>
      <c r="D5365">
        <v>1.3</v>
      </c>
      <c r="E5365">
        <v>5</v>
      </c>
      <c r="F5365">
        <v>8</v>
      </c>
      <c r="H5365">
        <v>8</v>
      </c>
      <c r="I5365">
        <v>0.96</v>
      </c>
      <c r="J5365">
        <v>6</v>
      </c>
    </row>
    <row r="5366" spans="1:10" ht="14.25" customHeight="1" x14ac:dyDescent="0.25">
      <c r="A5366" s="21">
        <v>48491</v>
      </c>
      <c r="B5366" s="21"/>
      <c r="H5366">
        <v>54</v>
      </c>
    </row>
    <row r="5367" spans="1:10" ht="14.25" customHeight="1" x14ac:dyDescent="0.25">
      <c r="A5367" s="21">
        <v>48491</v>
      </c>
      <c r="B5367" s="21"/>
      <c r="H5367">
        <v>46</v>
      </c>
    </row>
    <row r="5368" spans="1:10" ht="14.25" customHeight="1" x14ac:dyDescent="0.25">
      <c r="A5368" s="21">
        <v>48491</v>
      </c>
      <c r="B5368" s="21"/>
    </row>
    <row r="5369" spans="1:10" ht="14.25" customHeight="1" x14ac:dyDescent="0.25">
      <c r="A5369" s="21">
        <v>48491</v>
      </c>
      <c r="B5369" s="21"/>
    </row>
    <row r="5370" spans="1:10" ht="14.25" customHeight="1" x14ac:dyDescent="0.25">
      <c r="A5370" s="21">
        <v>48493</v>
      </c>
      <c r="B5370" s="21"/>
      <c r="C5370">
        <v>7.8</v>
      </c>
      <c r="D5370">
        <v>3.6</v>
      </c>
      <c r="E5370">
        <v>96</v>
      </c>
      <c r="F5370">
        <v>44</v>
      </c>
      <c r="G5370">
        <v>4</v>
      </c>
      <c r="H5370">
        <v>44</v>
      </c>
      <c r="I5370">
        <v>1.28</v>
      </c>
      <c r="J5370">
        <v>790</v>
      </c>
    </row>
    <row r="5371" spans="1:10" ht="14.25" customHeight="1" x14ac:dyDescent="0.25">
      <c r="A5371" s="21">
        <v>48497</v>
      </c>
      <c r="B5371" s="21"/>
      <c r="C5371">
        <v>52.9</v>
      </c>
      <c r="D5371">
        <v>4</v>
      </c>
      <c r="E5371">
        <v>228</v>
      </c>
      <c r="F5371">
        <v>81</v>
      </c>
      <c r="G5371">
        <v>21</v>
      </c>
      <c r="H5371">
        <v>49</v>
      </c>
      <c r="I5371">
        <v>1.52</v>
      </c>
      <c r="J5371" s="1">
        <v>5148</v>
      </c>
    </row>
    <row r="5372" spans="1:10" ht="14.25" customHeight="1" x14ac:dyDescent="0.25">
      <c r="A5372" s="21">
        <v>48497</v>
      </c>
      <c r="B5372" s="21"/>
    </row>
    <row r="5373" spans="1:10" ht="14.25" customHeight="1" x14ac:dyDescent="0.25">
      <c r="A5373" s="21">
        <v>48497</v>
      </c>
      <c r="B5373" s="21"/>
    </row>
    <row r="5374" spans="1:10" ht="14.25" customHeight="1" x14ac:dyDescent="0.25">
      <c r="A5374" s="21">
        <v>48503</v>
      </c>
      <c r="B5374" s="21"/>
      <c r="C5374">
        <v>6.5</v>
      </c>
      <c r="D5374">
        <v>4</v>
      </c>
      <c r="E5374">
        <v>37</v>
      </c>
      <c r="F5374">
        <v>25</v>
      </c>
      <c r="H5374">
        <v>25</v>
      </c>
      <c r="I5374">
        <v>1.3</v>
      </c>
      <c r="J5374">
        <v>593</v>
      </c>
    </row>
    <row r="5375" spans="1:10" ht="14.25" customHeight="1" x14ac:dyDescent="0.25">
      <c r="A5375" s="21">
        <v>49003</v>
      </c>
      <c r="B5375" s="21"/>
      <c r="C5375">
        <v>2.2999999999999998</v>
      </c>
      <c r="D5375">
        <v>2.4</v>
      </c>
      <c r="E5375">
        <v>24</v>
      </c>
      <c r="F5375">
        <v>16</v>
      </c>
      <c r="H5375">
        <v>16</v>
      </c>
      <c r="I5375">
        <v>1.32</v>
      </c>
      <c r="J5375">
        <v>424</v>
      </c>
    </row>
    <row r="5376" spans="1:10" ht="14.25" customHeight="1" x14ac:dyDescent="0.25">
      <c r="A5376" s="21">
        <v>49003</v>
      </c>
      <c r="B5376" s="21"/>
      <c r="C5376">
        <v>7.1</v>
      </c>
      <c r="D5376">
        <v>2.9</v>
      </c>
      <c r="E5376">
        <v>62</v>
      </c>
      <c r="F5376">
        <v>40</v>
      </c>
      <c r="H5376">
        <v>40</v>
      </c>
      <c r="I5376">
        <v>1.33</v>
      </c>
      <c r="J5376" s="1">
        <v>1082</v>
      </c>
    </row>
    <row r="5377" spans="1:10" ht="14.25" customHeight="1" x14ac:dyDescent="0.25">
      <c r="A5377" s="21">
        <v>49005</v>
      </c>
      <c r="B5377" s="21"/>
      <c r="C5377">
        <v>38</v>
      </c>
      <c r="D5377">
        <v>2.9</v>
      </c>
      <c r="E5377">
        <v>240</v>
      </c>
      <c r="F5377">
        <v>130</v>
      </c>
      <c r="G5377">
        <v>14</v>
      </c>
      <c r="H5377">
        <v>130</v>
      </c>
      <c r="I5377">
        <v>1.76</v>
      </c>
      <c r="J5377" s="1">
        <v>5834</v>
      </c>
    </row>
    <row r="5378" spans="1:10" ht="14.25" customHeight="1" x14ac:dyDescent="0.25">
      <c r="A5378" s="21">
        <v>49005</v>
      </c>
      <c r="B5378" s="21"/>
      <c r="C5378">
        <v>3.8</v>
      </c>
      <c r="D5378">
        <v>2.2999999999999998</v>
      </c>
      <c r="E5378">
        <v>35</v>
      </c>
      <c r="F5378">
        <v>28</v>
      </c>
      <c r="H5378">
        <v>22</v>
      </c>
      <c r="I5378">
        <v>2.29</v>
      </c>
      <c r="J5378">
        <v>693</v>
      </c>
    </row>
    <row r="5379" spans="1:10" ht="14.25" customHeight="1" x14ac:dyDescent="0.25">
      <c r="A5379" s="21">
        <v>49007</v>
      </c>
      <c r="B5379" s="21"/>
      <c r="C5379">
        <v>11.3</v>
      </c>
      <c r="D5379">
        <v>3.6</v>
      </c>
      <c r="E5379">
        <v>96</v>
      </c>
      <c r="F5379">
        <v>39</v>
      </c>
      <c r="G5379">
        <v>6</v>
      </c>
      <c r="H5379">
        <v>39</v>
      </c>
      <c r="I5379">
        <v>1.45</v>
      </c>
      <c r="J5379" s="1">
        <v>1304</v>
      </c>
    </row>
    <row r="5380" spans="1:10" ht="14.25" customHeight="1" x14ac:dyDescent="0.25">
      <c r="A5380" s="21">
        <v>49011</v>
      </c>
      <c r="B5380" s="21"/>
      <c r="C5380">
        <v>39.9</v>
      </c>
      <c r="D5380">
        <v>4</v>
      </c>
      <c r="E5380">
        <v>332</v>
      </c>
      <c r="F5380">
        <v>170</v>
      </c>
      <c r="G5380">
        <v>14</v>
      </c>
      <c r="H5380">
        <v>170</v>
      </c>
      <c r="I5380">
        <v>1.76</v>
      </c>
      <c r="J5380" s="1">
        <v>4707</v>
      </c>
    </row>
    <row r="5381" spans="1:10" ht="14.25" customHeight="1" x14ac:dyDescent="0.25">
      <c r="A5381" s="21">
        <v>49011</v>
      </c>
      <c r="B5381" s="21"/>
      <c r="C5381">
        <v>30.9</v>
      </c>
      <c r="D5381">
        <v>3.5</v>
      </c>
      <c r="E5381">
        <v>160</v>
      </c>
      <c r="F5381">
        <v>82</v>
      </c>
      <c r="G5381">
        <v>8</v>
      </c>
      <c r="H5381">
        <v>82</v>
      </c>
      <c r="I5381">
        <v>1.91</v>
      </c>
      <c r="J5381" s="1">
        <v>3606</v>
      </c>
    </row>
    <row r="5382" spans="1:10" ht="14.25" customHeight="1" x14ac:dyDescent="0.25">
      <c r="A5382" s="21">
        <v>49011</v>
      </c>
      <c r="B5382" s="21"/>
      <c r="E5382">
        <v>25</v>
      </c>
      <c r="H5382">
        <v>43</v>
      </c>
      <c r="I5382">
        <v>1.81</v>
      </c>
    </row>
    <row r="5383" spans="1:10" ht="14.25" customHeight="1" x14ac:dyDescent="0.25">
      <c r="A5383" s="21">
        <v>49011</v>
      </c>
      <c r="B5383" s="21"/>
    </row>
    <row r="5384" spans="1:10" ht="14.25" customHeight="1" x14ac:dyDescent="0.25">
      <c r="A5384" s="21">
        <v>49013</v>
      </c>
      <c r="B5384" s="21"/>
      <c r="C5384">
        <v>10.199999999999999</v>
      </c>
      <c r="D5384">
        <v>3.4</v>
      </c>
      <c r="E5384">
        <v>84</v>
      </c>
      <c r="F5384">
        <v>32</v>
      </c>
      <c r="G5384">
        <v>4</v>
      </c>
      <c r="H5384">
        <v>32</v>
      </c>
      <c r="I5384">
        <v>1.63</v>
      </c>
      <c r="J5384" s="1">
        <v>1475</v>
      </c>
    </row>
    <row r="5385" spans="1:10" ht="14.25" customHeight="1" x14ac:dyDescent="0.25">
      <c r="A5385" s="21">
        <v>49021</v>
      </c>
      <c r="B5385" s="21"/>
      <c r="C5385">
        <v>14.3</v>
      </c>
      <c r="D5385">
        <v>3.4</v>
      </c>
      <c r="E5385">
        <v>94</v>
      </c>
      <c r="F5385">
        <v>48</v>
      </c>
      <c r="G5385">
        <v>6</v>
      </c>
      <c r="H5385">
        <v>48</v>
      </c>
      <c r="I5385">
        <v>1.54</v>
      </c>
      <c r="J5385" s="1">
        <v>1934</v>
      </c>
    </row>
    <row r="5386" spans="1:10" ht="14.25" customHeight="1" x14ac:dyDescent="0.25">
      <c r="A5386" s="21">
        <v>49035</v>
      </c>
      <c r="B5386" s="21"/>
      <c r="C5386">
        <v>34.6</v>
      </c>
      <c r="D5386">
        <v>3.2</v>
      </c>
      <c r="E5386">
        <v>264</v>
      </c>
      <c r="F5386">
        <v>87</v>
      </c>
      <c r="G5386">
        <v>4</v>
      </c>
      <c r="H5386">
        <v>87</v>
      </c>
      <c r="I5386">
        <v>1.45</v>
      </c>
      <c r="J5386" s="1">
        <v>5255</v>
      </c>
    </row>
    <row r="5387" spans="1:10" ht="14.25" customHeight="1" x14ac:dyDescent="0.25">
      <c r="A5387" s="21">
        <v>49035</v>
      </c>
      <c r="B5387" s="21"/>
      <c r="C5387">
        <v>17.899999999999999</v>
      </c>
      <c r="D5387">
        <v>3.2</v>
      </c>
      <c r="E5387">
        <v>165</v>
      </c>
      <c r="F5387">
        <v>58</v>
      </c>
      <c r="G5387">
        <v>4</v>
      </c>
      <c r="H5387">
        <v>58</v>
      </c>
      <c r="I5387">
        <v>1.62</v>
      </c>
      <c r="J5387" s="1">
        <v>2780</v>
      </c>
    </row>
    <row r="5388" spans="1:10" ht="14.25" customHeight="1" x14ac:dyDescent="0.25">
      <c r="A5388" s="21">
        <v>49035</v>
      </c>
      <c r="B5388" s="21"/>
      <c r="C5388">
        <v>137.69999999999999</v>
      </c>
      <c r="D5388">
        <v>4.0999999999999996</v>
      </c>
      <c r="E5388">
        <v>446</v>
      </c>
      <c r="F5388">
        <v>233</v>
      </c>
      <c r="G5388">
        <v>18</v>
      </c>
      <c r="H5388">
        <v>233</v>
      </c>
      <c r="I5388">
        <v>1.95</v>
      </c>
      <c r="J5388" s="1">
        <v>13017</v>
      </c>
    </row>
    <row r="5389" spans="1:10" ht="14.25" customHeight="1" x14ac:dyDescent="0.25">
      <c r="A5389" s="21">
        <v>49035</v>
      </c>
      <c r="B5389" s="21"/>
      <c r="C5389">
        <v>8.1</v>
      </c>
      <c r="D5389">
        <v>1.7</v>
      </c>
      <c r="E5389">
        <v>67</v>
      </c>
      <c r="F5389">
        <v>40</v>
      </c>
      <c r="H5389">
        <v>40</v>
      </c>
      <c r="I5389">
        <v>2.52</v>
      </c>
      <c r="J5389" s="1">
        <v>1739</v>
      </c>
    </row>
    <row r="5390" spans="1:10" ht="14.25" customHeight="1" x14ac:dyDescent="0.25">
      <c r="A5390" s="21">
        <v>49035</v>
      </c>
      <c r="B5390" s="21"/>
      <c r="C5390">
        <v>76</v>
      </c>
      <c r="D5390">
        <v>3.8</v>
      </c>
      <c r="E5390">
        <v>275</v>
      </c>
      <c r="F5390">
        <v>278</v>
      </c>
      <c r="G5390">
        <v>46</v>
      </c>
      <c r="H5390">
        <v>171</v>
      </c>
      <c r="I5390">
        <v>1.75</v>
      </c>
      <c r="J5390" s="1">
        <v>9346</v>
      </c>
    </row>
    <row r="5391" spans="1:10" ht="14.25" customHeight="1" x14ac:dyDescent="0.25">
      <c r="A5391" s="21">
        <v>49035</v>
      </c>
      <c r="B5391" s="21"/>
      <c r="C5391">
        <v>414.8</v>
      </c>
      <c r="D5391">
        <v>5</v>
      </c>
      <c r="E5391" s="1">
        <v>1563</v>
      </c>
      <c r="F5391">
        <v>523</v>
      </c>
      <c r="G5391">
        <v>38</v>
      </c>
      <c r="H5391">
        <v>472</v>
      </c>
      <c r="I5391">
        <v>2.3199999999999998</v>
      </c>
      <c r="J5391" s="1">
        <v>32440</v>
      </c>
    </row>
    <row r="5392" spans="1:10" ht="14.25" customHeight="1" x14ac:dyDescent="0.25">
      <c r="A5392" s="21">
        <v>49035</v>
      </c>
      <c r="B5392" s="21"/>
      <c r="C5392">
        <v>304</v>
      </c>
      <c r="D5392">
        <v>4.5999999999999996</v>
      </c>
      <c r="E5392">
        <v>988</v>
      </c>
      <c r="F5392">
        <v>478</v>
      </c>
      <c r="G5392">
        <v>24</v>
      </c>
      <c r="H5392">
        <v>478</v>
      </c>
      <c r="I5392">
        <v>2.17</v>
      </c>
      <c r="J5392" s="1">
        <v>25975</v>
      </c>
    </row>
    <row r="5393" spans="1:10" ht="14.25" customHeight="1" x14ac:dyDescent="0.25">
      <c r="A5393" s="21">
        <v>49035</v>
      </c>
      <c r="B5393" s="21"/>
      <c r="C5393">
        <v>88.7</v>
      </c>
      <c r="D5393">
        <v>4</v>
      </c>
      <c r="E5393">
        <v>207</v>
      </c>
      <c r="F5393">
        <v>216</v>
      </c>
      <c r="G5393">
        <v>28</v>
      </c>
      <c r="H5393">
        <v>216</v>
      </c>
      <c r="I5393">
        <v>1.81</v>
      </c>
      <c r="J5393" s="1">
        <v>8691</v>
      </c>
    </row>
    <row r="5394" spans="1:10" ht="14.25" customHeight="1" x14ac:dyDescent="0.25">
      <c r="A5394" s="21">
        <v>49035</v>
      </c>
      <c r="B5394" s="21"/>
      <c r="C5394">
        <v>22</v>
      </c>
      <c r="D5394">
        <v>3.3</v>
      </c>
      <c r="E5394">
        <v>125</v>
      </c>
      <c r="F5394">
        <v>100</v>
      </c>
      <c r="G5394">
        <v>20</v>
      </c>
      <c r="H5394">
        <v>100</v>
      </c>
      <c r="I5394">
        <v>1.89</v>
      </c>
      <c r="J5394" s="1">
        <v>2697</v>
      </c>
    </row>
    <row r="5395" spans="1:10" ht="14.25" customHeight="1" x14ac:dyDescent="0.25">
      <c r="A5395" s="21">
        <v>49035</v>
      </c>
      <c r="B5395" s="21"/>
      <c r="H5395">
        <v>103</v>
      </c>
    </row>
    <row r="5396" spans="1:10" ht="14.25" customHeight="1" x14ac:dyDescent="0.25">
      <c r="A5396" s="21">
        <v>49035</v>
      </c>
      <c r="B5396" s="21"/>
      <c r="E5396">
        <v>47</v>
      </c>
      <c r="H5396">
        <v>65</v>
      </c>
    </row>
    <row r="5397" spans="1:10" ht="14.25" customHeight="1" x14ac:dyDescent="0.25">
      <c r="A5397" s="21">
        <v>49035</v>
      </c>
      <c r="B5397" s="21"/>
      <c r="C5397">
        <v>11.4</v>
      </c>
      <c r="D5397">
        <v>3.2</v>
      </c>
      <c r="E5397">
        <v>62</v>
      </c>
      <c r="F5397">
        <v>30</v>
      </c>
      <c r="G5397">
        <v>4</v>
      </c>
      <c r="H5397">
        <v>30</v>
      </c>
      <c r="I5397">
        <v>1.71</v>
      </c>
      <c r="J5397" s="1">
        <v>1876</v>
      </c>
    </row>
    <row r="5398" spans="1:10" ht="14.25" customHeight="1" x14ac:dyDescent="0.25">
      <c r="A5398" s="21">
        <v>49041</v>
      </c>
      <c r="B5398" s="21"/>
      <c r="C5398">
        <v>6</v>
      </c>
      <c r="D5398">
        <v>2.9</v>
      </c>
      <c r="E5398">
        <v>48</v>
      </c>
      <c r="F5398">
        <v>24</v>
      </c>
      <c r="H5398">
        <v>24</v>
      </c>
      <c r="I5398">
        <v>1.42</v>
      </c>
      <c r="J5398">
        <v>886</v>
      </c>
    </row>
    <row r="5399" spans="1:10" ht="14.25" customHeight="1" x14ac:dyDescent="0.25">
      <c r="A5399" s="21">
        <v>49043</v>
      </c>
      <c r="B5399" s="21"/>
      <c r="C5399">
        <v>9.1</v>
      </c>
      <c r="D5399">
        <v>2.2999999999999998</v>
      </c>
      <c r="E5399">
        <v>112</v>
      </c>
      <c r="F5399">
        <v>37</v>
      </c>
      <c r="G5399">
        <v>4</v>
      </c>
      <c r="H5399">
        <v>37</v>
      </c>
      <c r="I5399">
        <v>1.7</v>
      </c>
      <c r="J5399" s="1">
        <v>1848</v>
      </c>
    </row>
    <row r="5400" spans="1:10" ht="14.25" customHeight="1" x14ac:dyDescent="0.25">
      <c r="A5400" s="21">
        <v>49045</v>
      </c>
      <c r="B5400" s="21"/>
      <c r="C5400">
        <v>9.6</v>
      </c>
      <c r="D5400">
        <v>2.7</v>
      </c>
      <c r="E5400">
        <v>86</v>
      </c>
      <c r="F5400">
        <v>36</v>
      </c>
      <c r="G5400">
        <v>4</v>
      </c>
      <c r="H5400">
        <v>36</v>
      </c>
      <c r="I5400">
        <v>1.3</v>
      </c>
      <c r="J5400" s="1">
        <v>1620</v>
      </c>
    </row>
    <row r="5401" spans="1:10" ht="14.25" customHeight="1" x14ac:dyDescent="0.25">
      <c r="A5401" s="21">
        <v>49047</v>
      </c>
      <c r="B5401" s="21"/>
      <c r="C5401">
        <v>8.6999999999999993</v>
      </c>
      <c r="D5401">
        <v>2.6</v>
      </c>
      <c r="E5401">
        <v>50</v>
      </c>
      <c r="F5401">
        <v>39</v>
      </c>
      <c r="G5401">
        <v>4</v>
      </c>
      <c r="H5401">
        <v>39</v>
      </c>
      <c r="I5401">
        <v>1.33</v>
      </c>
      <c r="J5401" s="1">
        <v>1355</v>
      </c>
    </row>
    <row r="5402" spans="1:10" ht="14.25" customHeight="1" x14ac:dyDescent="0.25">
      <c r="A5402" s="21">
        <v>49049</v>
      </c>
      <c r="B5402" s="21"/>
      <c r="C5402">
        <v>36.799999999999997</v>
      </c>
      <c r="D5402">
        <v>3.5</v>
      </c>
      <c r="E5402">
        <v>253</v>
      </c>
      <c r="F5402">
        <v>91</v>
      </c>
      <c r="G5402">
        <v>18</v>
      </c>
      <c r="H5402">
        <v>91</v>
      </c>
      <c r="I5402">
        <v>1.58</v>
      </c>
      <c r="J5402" s="1">
        <v>5231</v>
      </c>
    </row>
    <row r="5403" spans="1:10" ht="14.25" customHeight="1" x14ac:dyDescent="0.25">
      <c r="A5403" s="21">
        <v>49049</v>
      </c>
      <c r="B5403" s="21"/>
      <c r="C5403">
        <v>44.8</v>
      </c>
      <c r="D5403">
        <v>4.4000000000000004</v>
      </c>
      <c r="E5403">
        <v>138</v>
      </c>
      <c r="F5403">
        <v>117</v>
      </c>
      <c r="G5403">
        <v>20</v>
      </c>
      <c r="H5403">
        <v>117</v>
      </c>
      <c r="I5403">
        <v>2.14</v>
      </c>
      <c r="J5403" s="1">
        <v>4289</v>
      </c>
    </row>
    <row r="5404" spans="1:10" ht="14.25" customHeight="1" x14ac:dyDescent="0.25">
      <c r="A5404" s="21">
        <v>49049</v>
      </c>
      <c r="B5404" s="21"/>
      <c r="C5404">
        <v>4.5</v>
      </c>
      <c r="D5404">
        <v>3.9</v>
      </c>
      <c r="E5404">
        <v>31</v>
      </c>
      <c r="F5404">
        <v>22</v>
      </c>
      <c r="H5404">
        <v>22</v>
      </c>
      <c r="I5404">
        <v>1.97</v>
      </c>
      <c r="J5404">
        <v>901</v>
      </c>
    </row>
    <row r="5405" spans="1:10" ht="14.25" customHeight="1" x14ac:dyDescent="0.25">
      <c r="A5405" s="21">
        <v>49049</v>
      </c>
      <c r="B5405" s="21"/>
      <c r="C5405">
        <v>28.2</v>
      </c>
      <c r="D5405">
        <v>3.3</v>
      </c>
      <c r="E5405">
        <v>110</v>
      </c>
      <c r="F5405">
        <v>124</v>
      </c>
      <c r="G5405">
        <v>12</v>
      </c>
      <c r="H5405">
        <v>124</v>
      </c>
      <c r="I5405">
        <v>1.73</v>
      </c>
      <c r="J5405" s="1">
        <v>3374</v>
      </c>
    </row>
    <row r="5406" spans="1:10" ht="14.25" customHeight="1" x14ac:dyDescent="0.25">
      <c r="A5406" s="21">
        <v>49049</v>
      </c>
      <c r="B5406" s="21"/>
      <c r="C5406">
        <v>190.2</v>
      </c>
      <c r="D5406">
        <v>4.4000000000000004</v>
      </c>
      <c r="E5406">
        <v>548</v>
      </c>
      <c r="F5406">
        <v>315</v>
      </c>
      <c r="G5406">
        <v>72</v>
      </c>
      <c r="H5406">
        <v>315</v>
      </c>
      <c r="I5406">
        <v>2.08</v>
      </c>
      <c r="J5406" s="1">
        <v>17489</v>
      </c>
    </row>
    <row r="5407" spans="1:10" ht="14.25" customHeight="1" x14ac:dyDescent="0.25">
      <c r="A5407" s="21">
        <v>49049</v>
      </c>
      <c r="B5407" s="21"/>
      <c r="E5407">
        <v>76</v>
      </c>
      <c r="H5407">
        <v>40</v>
      </c>
    </row>
    <row r="5408" spans="1:10" ht="14.25" customHeight="1" x14ac:dyDescent="0.25">
      <c r="A5408" s="21">
        <v>49049</v>
      </c>
      <c r="B5408" s="21"/>
    </row>
    <row r="5409" spans="1:10" ht="14.25" customHeight="1" x14ac:dyDescent="0.25">
      <c r="A5409" s="21">
        <v>49053</v>
      </c>
      <c r="B5409" s="21"/>
      <c r="C5409">
        <v>155.5</v>
      </c>
      <c r="D5409">
        <v>3.6</v>
      </c>
      <c r="E5409">
        <v>567</v>
      </c>
      <c r="F5409">
        <v>246</v>
      </c>
      <c r="G5409">
        <v>32</v>
      </c>
      <c r="H5409">
        <v>164</v>
      </c>
      <c r="I5409">
        <v>1.98</v>
      </c>
      <c r="J5409" s="1">
        <v>15581</v>
      </c>
    </row>
    <row r="5410" spans="1:10" ht="14.25" customHeight="1" x14ac:dyDescent="0.25">
      <c r="A5410" s="21">
        <v>49053</v>
      </c>
      <c r="B5410" s="21"/>
    </row>
    <row r="5411" spans="1:10" ht="14.25" customHeight="1" x14ac:dyDescent="0.25">
      <c r="A5411" s="21">
        <v>49057</v>
      </c>
      <c r="B5411" s="21"/>
      <c r="C5411">
        <v>130.69999999999999</v>
      </c>
      <c r="D5411">
        <v>3.4</v>
      </c>
      <c r="E5411">
        <v>522</v>
      </c>
      <c r="F5411">
        <v>247</v>
      </c>
      <c r="G5411">
        <v>50</v>
      </c>
      <c r="H5411">
        <v>247</v>
      </c>
      <c r="I5411">
        <v>1.96</v>
      </c>
      <c r="J5411" s="1">
        <v>15574</v>
      </c>
    </row>
    <row r="5412" spans="1:10" ht="14.25" customHeight="1" x14ac:dyDescent="0.25">
      <c r="A5412" s="21">
        <v>49057</v>
      </c>
      <c r="B5412" s="21"/>
      <c r="C5412">
        <v>77.599999999999994</v>
      </c>
      <c r="D5412">
        <v>4.0999999999999996</v>
      </c>
      <c r="E5412">
        <v>194</v>
      </c>
      <c r="F5412">
        <v>170</v>
      </c>
      <c r="G5412">
        <v>14</v>
      </c>
      <c r="H5412">
        <v>170</v>
      </c>
      <c r="I5412">
        <v>1.96</v>
      </c>
      <c r="J5412" s="1">
        <v>7639</v>
      </c>
    </row>
    <row r="5413" spans="1:10" ht="14.25" customHeight="1" x14ac:dyDescent="0.25">
      <c r="A5413" s="21">
        <v>50003</v>
      </c>
      <c r="B5413" s="21"/>
      <c r="C5413">
        <v>31.8</v>
      </c>
      <c r="D5413">
        <v>3.7</v>
      </c>
      <c r="E5413">
        <v>170</v>
      </c>
      <c r="F5413">
        <v>78</v>
      </c>
      <c r="G5413">
        <v>10</v>
      </c>
      <c r="H5413">
        <v>78</v>
      </c>
      <c r="I5413">
        <v>1.29</v>
      </c>
      <c r="J5413" s="1">
        <v>3394</v>
      </c>
    </row>
    <row r="5414" spans="1:10" ht="14.25" customHeight="1" x14ac:dyDescent="0.25">
      <c r="A5414" s="21">
        <v>50007</v>
      </c>
      <c r="B5414" s="21"/>
      <c r="C5414">
        <v>315.10000000000002</v>
      </c>
      <c r="D5414">
        <v>5.9</v>
      </c>
      <c r="E5414" s="1">
        <v>1473</v>
      </c>
      <c r="F5414">
        <v>422</v>
      </c>
      <c r="G5414">
        <v>21</v>
      </c>
      <c r="H5414">
        <v>422</v>
      </c>
      <c r="I5414">
        <v>1.9</v>
      </c>
      <c r="J5414" s="1">
        <v>20605</v>
      </c>
    </row>
    <row r="5415" spans="1:10" ht="14.25" customHeight="1" x14ac:dyDescent="0.25">
      <c r="A5415" s="21">
        <v>50007</v>
      </c>
      <c r="B5415" s="21"/>
    </row>
    <row r="5416" spans="1:10" ht="14.25" customHeight="1" x14ac:dyDescent="0.25">
      <c r="A5416" s="21">
        <v>50011</v>
      </c>
      <c r="B5416" s="21"/>
      <c r="C5416">
        <v>19.399999999999999</v>
      </c>
      <c r="D5416">
        <v>3.4</v>
      </c>
      <c r="E5416">
        <v>154</v>
      </c>
      <c r="F5416">
        <v>53</v>
      </c>
      <c r="H5416">
        <v>53</v>
      </c>
      <c r="I5416">
        <v>1.34</v>
      </c>
      <c r="J5416" s="1">
        <v>2334</v>
      </c>
    </row>
    <row r="5417" spans="1:10" ht="14.25" customHeight="1" x14ac:dyDescent="0.25">
      <c r="A5417" s="21">
        <v>50021</v>
      </c>
      <c r="B5417" s="21"/>
      <c r="C5417">
        <v>88.1</v>
      </c>
      <c r="D5417">
        <v>4.8</v>
      </c>
      <c r="E5417">
        <v>261</v>
      </c>
      <c r="F5417">
        <v>124</v>
      </c>
      <c r="G5417">
        <v>13</v>
      </c>
      <c r="H5417">
        <v>124</v>
      </c>
      <c r="I5417">
        <v>1.4</v>
      </c>
      <c r="J5417" s="1">
        <v>6860</v>
      </c>
    </row>
    <row r="5418" spans="1:10" ht="14.25" customHeight="1" x14ac:dyDescent="0.25">
      <c r="A5418" s="21">
        <v>50023</v>
      </c>
      <c r="B5418" s="21"/>
      <c r="C5418">
        <v>54.6</v>
      </c>
      <c r="D5418">
        <v>5.3</v>
      </c>
      <c r="E5418">
        <v>243</v>
      </c>
      <c r="F5418">
        <v>76</v>
      </c>
      <c r="G5418">
        <v>14</v>
      </c>
      <c r="H5418">
        <v>76</v>
      </c>
      <c r="I5418">
        <v>1.43</v>
      </c>
      <c r="J5418" s="1">
        <v>3864</v>
      </c>
    </row>
    <row r="5419" spans="1:10" ht="14.25" customHeight="1" x14ac:dyDescent="0.25">
      <c r="A5419" s="21">
        <v>50025</v>
      </c>
      <c r="B5419" s="21"/>
      <c r="C5419">
        <v>14.9</v>
      </c>
      <c r="D5419">
        <v>4.2</v>
      </c>
      <c r="E5419">
        <v>134</v>
      </c>
      <c r="F5419">
        <v>47</v>
      </c>
      <c r="H5419">
        <v>47</v>
      </c>
      <c r="I5419">
        <v>1.3</v>
      </c>
      <c r="J5419" s="1">
        <v>1483</v>
      </c>
    </row>
    <row r="5420" spans="1:10" ht="14.25" customHeight="1" x14ac:dyDescent="0.25">
      <c r="A5420" s="21">
        <v>51001</v>
      </c>
      <c r="B5420" s="21"/>
      <c r="C5420">
        <v>22.3</v>
      </c>
      <c r="D5420">
        <v>3.4</v>
      </c>
      <c r="E5420">
        <v>116</v>
      </c>
      <c r="F5420">
        <v>46</v>
      </c>
      <c r="G5420">
        <v>10</v>
      </c>
      <c r="H5420">
        <v>46</v>
      </c>
      <c r="I5420">
        <v>1.37</v>
      </c>
      <c r="J5420" s="1">
        <v>2622</v>
      </c>
    </row>
    <row r="5421" spans="1:10" ht="14.25" customHeight="1" x14ac:dyDescent="0.25">
      <c r="A5421" s="21">
        <v>51003</v>
      </c>
      <c r="B5421" s="21"/>
      <c r="C5421">
        <v>92.3</v>
      </c>
      <c r="D5421">
        <v>3.8</v>
      </c>
      <c r="E5421">
        <v>449</v>
      </c>
      <c r="F5421">
        <v>150</v>
      </c>
      <c r="G5421">
        <v>12</v>
      </c>
      <c r="H5421">
        <v>150</v>
      </c>
      <c r="I5421">
        <v>1.55</v>
      </c>
      <c r="J5421" s="1">
        <v>9789</v>
      </c>
    </row>
    <row r="5422" spans="1:10" ht="14.25" customHeight="1" x14ac:dyDescent="0.25">
      <c r="A5422" s="21">
        <v>51005</v>
      </c>
      <c r="B5422" s="21"/>
      <c r="C5422">
        <v>15.2</v>
      </c>
      <c r="D5422">
        <v>3.7</v>
      </c>
      <c r="E5422">
        <v>70</v>
      </c>
      <c r="F5422">
        <v>95</v>
      </c>
      <c r="G5422">
        <v>10</v>
      </c>
      <c r="H5422">
        <v>95</v>
      </c>
      <c r="I5422">
        <v>1.33</v>
      </c>
      <c r="J5422" s="1">
        <v>1494</v>
      </c>
    </row>
    <row r="5423" spans="1:10" ht="14.25" customHeight="1" x14ac:dyDescent="0.25">
      <c r="A5423" s="21">
        <v>51009</v>
      </c>
      <c r="B5423" s="21"/>
    </row>
    <row r="5424" spans="1:10" ht="14.25" customHeight="1" x14ac:dyDescent="0.25">
      <c r="A5424" s="21">
        <v>51013</v>
      </c>
      <c r="B5424" s="21"/>
      <c r="C5424">
        <v>243.4</v>
      </c>
      <c r="D5424">
        <v>4.4000000000000004</v>
      </c>
      <c r="E5424" s="1">
        <v>1261</v>
      </c>
      <c r="F5424">
        <v>305</v>
      </c>
      <c r="G5424">
        <v>32</v>
      </c>
      <c r="H5424">
        <v>305</v>
      </c>
      <c r="I5424">
        <v>1.81</v>
      </c>
      <c r="J5424" s="1">
        <v>22172</v>
      </c>
    </row>
    <row r="5425" spans="1:10" ht="14.25" customHeight="1" x14ac:dyDescent="0.25">
      <c r="A5425" s="21">
        <v>51015</v>
      </c>
      <c r="B5425" s="21"/>
      <c r="C5425">
        <v>97.2</v>
      </c>
      <c r="D5425">
        <v>3.6</v>
      </c>
      <c r="E5425">
        <v>405</v>
      </c>
      <c r="F5425">
        <v>209</v>
      </c>
      <c r="G5425">
        <v>8</v>
      </c>
      <c r="H5425">
        <v>209</v>
      </c>
      <c r="I5425">
        <v>1.54</v>
      </c>
      <c r="J5425" s="1">
        <v>10439</v>
      </c>
    </row>
    <row r="5426" spans="1:10" ht="14.25" customHeight="1" x14ac:dyDescent="0.25">
      <c r="A5426" s="21">
        <v>51019</v>
      </c>
      <c r="B5426" s="21"/>
      <c r="C5426">
        <v>13.9</v>
      </c>
      <c r="D5426">
        <v>3</v>
      </c>
      <c r="E5426">
        <v>44</v>
      </c>
      <c r="F5426">
        <v>34</v>
      </c>
      <c r="G5426">
        <v>6</v>
      </c>
      <c r="H5426">
        <v>34</v>
      </c>
      <c r="I5426">
        <v>1.17</v>
      </c>
      <c r="J5426" s="1">
        <v>1701</v>
      </c>
    </row>
    <row r="5427" spans="1:10" ht="14.25" customHeight="1" x14ac:dyDescent="0.25">
      <c r="A5427" s="21">
        <v>51027</v>
      </c>
      <c r="B5427" s="21"/>
      <c r="C5427">
        <v>14.2</v>
      </c>
      <c r="D5427">
        <v>4.9000000000000004</v>
      </c>
      <c r="E5427">
        <v>30</v>
      </c>
      <c r="F5427">
        <v>49</v>
      </c>
      <c r="G5427">
        <v>12</v>
      </c>
      <c r="H5427">
        <v>49</v>
      </c>
      <c r="I5427">
        <v>1.1499999999999999</v>
      </c>
      <c r="J5427" s="1">
        <v>1055</v>
      </c>
    </row>
    <row r="5428" spans="1:10" ht="14.25" customHeight="1" x14ac:dyDescent="0.25">
      <c r="A5428" s="21">
        <v>51041</v>
      </c>
      <c r="B5428" s="21"/>
      <c r="C5428">
        <v>404.4</v>
      </c>
      <c r="D5428">
        <v>5.0999999999999996</v>
      </c>
      <c r="E5428">
        <v>676</v>
      </c>
      <c r="F5428">
        <v>612</v>
      </c>
      <c r="G5428">
        <v>79</v>
      </c>
      <c r="H5428">
        <v>292</v>
      </c>
      <c r="I5428">
        <v>1.7</v>
      </c>
      <c r="J5428" s="1">
        <v>30197</v>
      </c>
    </row>
    <row r="5429" spans="1:10" ht="14.25" customHeight="1" x14ac:dyDescent="0.25">
      <c r="A5429" s="21">
        <v>51041</v>
      </c>
      <c r="B5429" s="21"/>
      <c r="C5429">
        <v>101.1</v>
      </c>
      <c r="D5429">
        <v>4.4000000000000004</v>
      </c>
      <c r="E5429">
        <v>310</v>
      </c>
      <c r="F5429">
        <v>130</v>
      </c>
      <c r="G5429">
        <v>16</v>
      </c>
      <c r="H5429">
        <v>130</v>
      </c>
      <c r="I5429">
        <v>1.72</v>
      </c>
      <c r="J5429" s="1">
        <v>9571</v>
      </c>
    </row>
    <row r="5430" spans="1:10" ht="14.25" customHeight="1" x14ac:dyDescent="0.25">
      <c r="A5430" s="21">
        <v>51047</v>
      </c>
      <c r="B5430" s="21"/>
      <c r="C5430">
        <v>30.9</v>
      </c>
      <c r="D5430">
        <v>3.7</v>
      </c>
      <c r="E5430">
        <v>192</v>
      </c>
      <c r="F5430">
        <v>70</v>
      </c>
      <c r="G5430">
        <v>6</v>
      </c>
      <c r="H5430">
        <v>70</v>
      </c>
      <c r="I5430">
        <v>1.46</v>
      </c>
      <c r="J5430" s="1">
        <v>3274</v>
      </c>
    </row>
    <row r="5431" spans="1:10" ht="14.25" customHeight="1" x14ac:dyDescent="0.25">
      <c r="A5431" s="21">
        <v>51057</v>
      </c>
      <c r="B5431" s="21"/>
      <c r="C5431">
        <v>14.9</v>
      </c>
      <c r="D5431">
        <v>3.6</v>
      </c>
      <c r="E5431">
        <v>79</v>
      </c>
      <c r="F5431">
        <v>67</v>
      </c>
      <c r="G5431">
        <v>7</v>
      </c>
      <c r="H5431">
        <v>67</v>
      </c>
      <c r="I5431">
        <v>1.47</v>
      </c>
      <c r="J5431" s="1">
        <v>1514</v>
      </c>
    </row>
    <row r="5432" spans="1:10" ht="14.25" customHeight="1" x14ac:dyDescent="0.25">
      <c r="A5432" s="21">
        <v>51059</v>
      </c>
      <c r="B5432" s="21"/>
      <c r="C5432">
        <v>95.9</v>
      </c>
      <c r="D5432">
        <v>4.0999999999999996</v>
      </c>
      <c r="E5432">
        <v>528</v>
      </c>
      <c r="F5432">
        <v>182</v>
      </c>
      <c r="H5432">
        <v>182</v>
      </c>
      <c r="I5432">
        <v>1.7</v>
      </c>
      <c r="J5432" s="1">
        <v>10841</v>
      </c>
    </row>
    <row r="5433" spans="1:10" ht="14.25" customHeight="1" x14ac:dyDescent="0.25">
      <c r="A5433" s="21">
        <v>51059</v>
      </c>
      <c r="B5433" s="21"/>
      <c r="C5433">
        <v>137.80000000000001</v>
      </c>
      <c r="D5433">
        <v>4.2</v>
      </c>
      <c r="E5433">
        <v>477</v>
      </c>
      <c r="F5433">
        <v>203</v>
      </c>
      <c r="G5433">
        <v>16</v>
      </c>
      <c r="H5433">
        <v>203</v>
      </c>
      <c r="I5433">
        <v>1.83</v>
      </c>
      <c r="J5433" s="1">
        <v>13482</v>
      </c>
    </row>
    <row r="5434" spans="1:10" ht="14.25" customHeight="1" x14ac:dyDescent="0.25">
      <c r="A5434" s="21">
        <v>51059</v>
      </c>
      <c r="B5434" s="21"/>
      <c r="C5434">
        <v>611.5</v>
      </c>
      <c r="D5434">
        <v>5.5</v>
      </c>
      <c r="E5434" s="1">
        <v>1692</v>
      </c>
      <c r="F5434">
        <v>803</v>
      </c>
      <c r="G5434">
        <v>106</v>
      </c>
      <c r="H5434">
        <v>803</v>
      </c>
      <c r="I5434">
        <v>2.2000000000000002</v>
      </c>
      <c r="J5434" s="1">
        <v>44246</v>
      </c>
    </row>
    <row r="5435" spans="1:10" ht="14.25" customHeight="1" x14ac:dyDescent="0.25">
      <c r="A5435" s="21">
        <v>51059</v>
      </c>
      <c r="B5435" s="21"/>
      <c r="C5435">
        <v>59.3</v>
      </c>
      <c r="D5435">
        <v>3.9</v>
      </c>
      <c r="E5435">
        <v>301</v>
      </c>
      <c r="F5435">
        <v>140</v>
      </c>
      <c r="G5435">
        <v>20</v>
      </c>
      <c r="H5435">
        <v>140</v>
      </c>
      <c r="I5435">
        <v>1.57</v>
      </c>
      <c r="J5435" s="1">
        <v>5556</v>
      </c>
    </row>
    <row r="5436" spans="1:10" ht="14.25" customHeight="1" x14ac:dyDescent="0.25">
      <c r="A5436" s="21">
        <v>51059</v>
      </c>
      <c r="B5436" s="21"/>
    </row>
    <row r="5437" spans="1:10" ht="14.25" customHeight="1" x14ac:dyDescent="0.25">
      <c r="A5437" s="21">
        <v>51059</v>
      </c>
      <c r="B5437" s="21"/>
      <c r="H5437">
        <v>923</v>
      </c>
    </row>
    <row r="5438" spans="1:10" ht="14.25" customHeight="1" x14ac:dyDescent="0.25">
      <c r="A5438" s="21">
        <v>51061</v>
      </c>
      <c r="B5438" s="21"/>
      <c r="C5438">
        <v>42.5</v>
      </c>
      <c r="D5438">
        <v>3.8</v>
      </c>
      <c r="E5438">
        <v>196</v>
      </c>
      <c r="F5438">
        <v>97</v>
      </c>
      <c r="G5438">
        <v>8</v>
      </c>
      <c r="H5438">
        <v>97</v>
      </c>
      <c r="I5438">
        <v>1.42</v>
      </c>
      <c r="J5438" s="1">
        <v>4674</v>
      </c>
    </row>
    <row r="5439" spans="1:10" ht="14.25" customHeight="1" x14ac:dyDescent="0.25">
      <c r="A5439" s="21">
        <v>51067</v>
      </c>
      <c r="B5439" s="21"/>
      <c r="C5439">
        <v>13.5</v>
      </c>
      <c r="D5439">
        <v>3.6</v>
      </c>
      <c r="E5439">
        <v>55</v>
      </c>
      <c r="F5439">
        <v>37</v>
      </c>
      <c r="G5439">
        <v>4</v>
      </c>
      <c r="H5439">
        <v>37</v>
      </c>
      <c r="I5439">
        <v>1.22</v>
      </c>
      <c r="J5439" s="1">
        <v>1353</v>
      </c>
    </row>
    <row r="5440" spans="1:10" ht="14.25" customHeight="1" x14ac:dyDescent="0.25">
      <c r="A5440" s="21">
        <v>51073</v>
      </c>
      <c r="B5440" s="21"/>
      <c r="C5440">
        <v>28.3</v>
      </c>
      <c r="D5440">
        <v>3.8</v>
      </c>
      <c r="E5440">
        <v>112</v>
      </c>
      <c r="F5440">
        <v>67</v>
      </c>
      <c r="G5440">
        <v>7</v>
      </c>
      <c r="H5440">
        <v>67</v>
      </c>
      <c r="I5440">
        <v>1.45</v>
      </c>
      <c r="J5440" s="1">
        <v>2701</v>
      </c>
    </row>
    <row r="5441" spans="1:10" ht="14.25" customHeight="1" x14ac:dyDescent="0.25">
      <c r="A5441" s="21">
        <v>51083</v>
      </c>
      <c r="B5441" s="21"/>
      <c r="C5441">
        <v>39.9</v>
      </c>
      <c r="D5441">
        <v>4.2</v>
      </c>
      <c r="E5441">
        <v>122</v>
      </c>
      <c r="F5441">
        <v>107</v>
      </c>
      <c r="G5441">
        <v>12</v>
      </c>
      <c r="H5441">
        <v>107</v>
      </c>
      <c r="I5441">
        <v>1.5</v>
      </c>
      <c r="J5441" s="1">
        <v>3644</v>
      </c>
    </row>
    <row r="5442" spans="1:10" ht="14.25" customHeight="1" x14ac:dyDescent="0.25">
      <c r="A5442" s="21">
        <v>51085</v>
      </c>
      <c r="B5442" s="21"/>
      <c r="C5442">
        <v>174.1</v>
      </c>
      <c r="D5442">
        <v>5.2</v>
      </c>
      <c r="E5442">
        <v>366</v>
      </c>
      <c r="F5442">
        <v>225</v>
      </c>
      <c r="G5442">
        <v>24</v>
      </c>
      <c r="H5442">
        <v>225</v>
      </c>
      <c r="I5442">
        <v>1.84</v>
      </c>
      <c r="J5442" s="1">
        <v>12958</v>
      </c>
    </row>
    <row r="5443" spans="1:10" ht="14.25" customHeight="1" x14ac:dyDescent="0.25">
      <c r="A5443" s="21">
        <v>51087</v>
      </c>
      <c r="B5443" s="21"/>
      <c r="C5443">
        <v>258.7</v>
      </c>
      <c r="D5443">
        <v>4.9000000000000004</v>
      </c>
      <c r="E5443">
        <v>630</v>
      </c>
      <c r="F5443">
        <v>378</v>
      </c>
      <c r="G5443">
        <v>64</v>
      </c>
      <c r="H5443">
        <v>378</v>
      </c>
      <c r="I5443">
        <v>2.02</v>
      </c>
      <c r="J5443" s="1">
        <v>20006</v>
      </c>
    </row>
    <row r="5444" spans="1:10" ht="14.25" customHeight="1" x14ac:dyDescent="0.25">
      <c r="A5444" s="21">
        <v>51087</v>
      </c>
      <c r="B5444" s="21"/>
      <c r="C5444">
        <v>279.39999999999998</v>
      </c>
      <c r="D5444">
        <v>5.2</v>
      </c>
      <c r="E5444">
        <v>665</v>
      </c>
      <c r="F5444">
        <v>685</v>
      </c>
      <c r="G5444">
        <v>17</v>
      </c>
      <c r="H5444">
        <v>340</v>
      </c>
      <c r="I5444">
        <v>1.77</v>
      </c>
      <c r="J5444" s="1">
        <v>21157</v>
      </c>
    </row>
    <row r="5445" spans="1:10" ht="14.25" customHeight="1" x14ac:dyDescent="0.25">
      <c r="A5445" s="21">
        <v>51087</v>
      </c>
      <c r="B5445" s="21"/>
      <c r="E5445">
        <v>8</v>
      </c>
      <c r="H5445">
        <v>200</v>
      </c>
    </row>
    <row r="5446" spans="1:10" ht="14.25" customHeight="1" x14ac:dyDescent="0.25">
      <c r="A5446" s="21">
        <v>51095</v>
      </c>
      <c r="B5446" s="21"/>
      <c r="C5446">
        <v>85.7</v>
      </c>
      <c r="D5446">
        <v>4.4000000000000004</v>
      </c>
      <c r="E5446">
        <v>246</v>
      </c>
      <c r="F5446">
        <v>139</v>
      </c>
      <c r="G5446">
        <v>16</v>
      </c>
      <c r="H5446">
        <v>139</v>
      </c>
      <c r="I5446">
        <v>1.52</v>
      </c>
      <c r="J5446" s="1">
        <v>7643</v>
      </c>
    </row>
    <row r="5447" spans="1:10" ht="14.25" customHeight="1" x14ac:dyDescent="0.25">
      <c r="A5447" s="21">
        <v>51095</v>
      </c>
      <c r="B5447" s="21"/>
      <c r="C5447">
        <v>35</v>
      </c>
      <c r="D5447">
        <v>44</v>
      </c>
      <c r="E5447">
        <v>2</v>
      </c>
      <c r="H5447">
        <v>40</v>
      </c>
      <c r="J5447">
        <v>290</v>
      </c>
    </row>
    <row r="5448" spans="1:10" ht="14.25" customHeight="1" x14ac:dyDescent="0.25">
      <c r="A5448" s="21">
        <v>51095</v>
      </c>
      <c r="B5448" s="21"/>
      <c r="C5448">
        <v>13.5</v>
      </c>
      <c r="D5448">
        <v>3.1</v>
      </c>
      <c r="E5448">
        <v>49</v>
      </c>
      <c r="F5448">
        <v>40</v>
      </c>
      <c r="G5448">
        <v>10</v>
      </c>
      <c r="H5448">
        <v>40</v>
      </c>
      <c r="I5448">
        <v>1.43</v>
      </c>
      <c r="J5448" s="1">
        <v>1583</v>
      </c>
    </row>
    <row r="5449" spans="1:10" ht="14.25" customHeight="1" x14ac:dyDescent="0.25">
      <c r="A5449" s="21">
        <v>51105</v>
      </c>
      <c r="B5449" s="21"/>
      <c r="C5449">
        <v>13.5</v>
      </c>
      <c r="D5449">
        <v>3.6</v>
      </c>
      <c r="J5449" s="1">
        <v>1367</v>
      </c>
    </row>
    <row r="5450" spans="1:10" ht="14.25" customHeight="1" x14ac:dyDescent="0.25">
      <c r="A5450" s="21">
        <v>51105</v>
      </c>
      <c r="B5450" s="21"/>
    </row>
    <row r="5451" spans="1:10" ht="14.25" customHeight="1" x14ac:dyDescent="0.25">
      <c r="A5451" s="21">
        <v>51107</v>
      </c>
      <c r="B5451" s="21"/>
      <c r="C5451">
        <v>111.3</v>
      </c>
      <c r="D5451">
        <v>4.2</v>
      </c>
      <c r="E5451">
        <v>507</v>
      </c>
      <c r="F5451">
        <v>145</v>
      </c>
      <c r="G5451">
        <v>23</v>
      </c>
      <c r="H5451">
        <v>145</v>
      </c>
      <c r="I5451">
        <v>1.5</v>
      </c>
      <c r="J5451" s="1">
        <v>10844</v>
      </c>
    </row>
    <row r="5452" spans="1:10" ht="14.25" customHeight="1" x14ac:dyDescent="0.25">
      <c r="A5452" s="21">
        <v>51107</v>
      </c>
      <c r="B5452" s="21"/>
      <c r="C5452">
        <v>11.8</v>
      </c>
      <c r="D5452">
        <v>3.4</v>
      </c>
      <c r="E5452">
        <v>68</v>
      </c>
      <c r="F5452">
        <v>124</v>
      </c>
      <c r="G5452">
        <v>10</v>
      </c>
      <c r="H5452">
        <v>124</v>
      </c>
      <c r="I5452">
        <v>1.57</v>
      </c>
      <c r="J5452" s="1">
        <v>1662</v>
      </c>
    </row>
    <row r="5453" spans="1:10" ht="14.25" customHeight="1" x14ac:dyDescent="0.25">
      <c r="A5453" s="21">
        <v>51117</v>
      </c>
      <c r="B5453" s="21"/>
      <c r="C5453">
        <v>39.299999999999997</v>
      </c>
      <c r="D5453">
        <v>4.2</v>
      </c>
      <c r="E5453">
        <v>115</v>
      </c>
      <c r="F5453">
        <v>66</v>
      </c>
      <c r="H5453">
        <v>70</v>
      </c>
      <c r="I5453">
        <v>1.42</v>
      </c>
      <c r="J5453" s="1">
        <v>3472</v>
      </c>
    </row>
    <row r="5454" spans="1:10" ht="14.25" customHeight="1" x14ac:dyDescent="0.25">
      <c r="A5454" s="21">
        <v>51121</v>
      </c>
      <c r="B5454" s="21"/>
      <c r="C5454">
        <v>35</v>
      </c>
      <c r="D5454">
        <v>3.6</v>
      </c>
      <c r="E5454">
        <v>170</v>
      </c>
      <c r="F5454">
        <v>92</v>
      </c>
      <c r="G5454">
        <v>10</v>
      </c>
      <c r="H5454">
        <v>92</v>
      </c>
      <c r="I5454">
        <v>1.55</v>
      </c>
      <c r="J5454" s="1">
        <v>3891</v>
      </c>
    </row>
    <row r="5455" spans="1:10" ht="14.25" customHeight="1" x14ac:dyDescent="0.25">
      <c r="A5455" s="21">
        <v>51121</v>
      </c>
      <c r="B5455" s="21"/>
      <c r="C5455">
        <v>61.2</v>
      </c>
      <c r="D5455">
        <v>3.9</v>
      </c>
      <c r="E5455">
        <v>232</v>
      </c>
      <c r="F5455">
        <v>110</v>
      </c>
      <c r="G5455">
        <v>12</v>
      </c>
      <c r="H5455">
        <v>110</v>
      </c>
      <c r="I5455">
        <v>1.49</v>
      </c>
      <c r="J5455" s="1">
        <v>6244</v>
      </c>
    </row>
    <row r="5456" spans="1:10" ht="14.25" customHeight="1" x14ac:dyDescent="0.25">
      <c r="A5456" s="21">
        <v>51135</v>
      </c>
      <c r="B5456" s="21"/>
      <c r="C5456">
        <v>104.4</v>
      </c>
      <c r="D5456">
        <v>577.20000000000005</v>
      </c>
      <c r="E5456">
        <v>1</v>
      </c>
      <c r="F5456">
        <v>180</v>
      </c>
      <c r="H5456">
        <v>180</v>
      </c>
      <c r="J5456">
        <v>66</v>
      </c>
    </row>
    <row r="5457" spans="1:10" ht="14.25" customHeight="1" x14ac:dyDescent="0.25">
      <c r="A5457" s="21">
        <v>51147</v>
      </c>
      <c r="B5457" s="21"/>
      <c r="C5457">
        <v>39</v>
      </c>
      <c r="D5457">
        <v>3.7</v>
      </c>
      <c r="E5457">
        <v>90</v>
      </c>
      <c r="F5457">
        <v>86</v>
      </c>
      <c r="G5457">
        <v>8</v>
      </c>
      <c r="H5457">
        <v>86</v>
      </c>
      <c r="I5457">
        <v>1.4</v>
      </c>
      <c r="J5457" s="1">
        <v>4023</v>
      </c>
    </row>
    <row r="5458" spans="1:10" ht="14.25" customHeight="1" x14ac:dyDescent="0.25">
      <c r="A5458" s="21">
        <v>51153</v>
      </c>
      <c r="B5458" s="21"/>
      <c r="C5458">
        <v>111.4</v>
      </c>
      <c r="D5458">
        <v>4.5</v>
      </c>
      <c r="E5458">
        <v>350</v>
      </c>
      <c r="F5458">
        <v>147</v>
      </c>
      <c r="G5458">
        <v>16</v>
      </c>
      <c r="H5458">
        <v>147</v>
      </c>
      <c r="I5458">
        <v>1.58</v>
      </c>
      <c r="J5458" s="1">
        <v>10021</v>
      </c>
    </row>
    <row r="5459" spans="1:10" ht="14.25" customHeight="1" x14ac:dyDescent="0.25">
      <c r="A5459" s="21">
        <v>51153</v>
      </c>
      <c r="B5459" s="21"/>
      <c r="C5459">
        <v>18.2</v>
      </c>
      <c r="D5459">
        <v>3.4</v>
      </c>
      <c r="E5459">
        <v>125</v>
      </c>
      <c r="F5459">
        <v>60</v>
      </c>
      <c r="G5459">
        <v>8</v>
      </c>
      <c r="H5459">
        <v>60</v>
      </c>
      <c r="I5459">
        <v>1.48</v>
      </c>
      <c r="J5459" s="1">
        <v>2587</v>
      </c>
    </row>
    <row r="5460" spans="1:10" ht="14.25" customHeight="1" x14ac:dyDescent="0.25">
      <c r="A5460" s="21">
        <v>51155</v>
      </c>
      <c r="B5460" s="21"/>
      <c r="C5460">
        <v>15</v>
      </c>
      <c r="D5460">
        <v>3.7</v>
      </c>
      <c r="E5460">
        <v>54</v>
      </c>
      <c r="F5460">
        <v>92</v>
      </c>
      <c r="G5460">
        <v>8</v>
      </c>
      <c r="H5460">
        <v>92</v>
      </c>
      <c r="I5460">
        <v>1.36</v>
      </c>
      <c r="J5460" s="1">
        <v>1466</v>
      </c>
    </row>
    <row r="5461" spans="1:10" ht="14.25" customHeight="1" x14ac:dyDescent="0.25">
      <c r="A5461" s="21">
        <v>51167</v>
      </c>
      <c r="B5461" s="21"/>
      <c r="C5461">
        <v>15</v>
      </c>
      <c r="D5461">
        <v>4.2</v>
      </c>
      <c r="E5461">
        <v>36</v>
      </c>
      <c r="F5461">
        <v>48</v>
      </c>
      <c r="G5461">
        <v>5</v>
      </c>
      <c r="H5461">
        <v>48</v>
      </c>
      <c r="I5461">
        <v>1.1499999999999999</v>
      </c>
      <c r="J5461" s="1">
        <v>1288</v>
      </c>
    </row>
    <row r="5462" spans="1:10" ht="14.25" customHeight="1" x14ac:dyDescent="0.25">
      <c r="A5462" s="21">
        <v>51173</v>
      </c>
      <c r="B5462" s="21"/>
      <c r="C5462">
        <v>11.1</v>
      </c>
      <c r="D5462">
        <v>3.4</v>
      </c>
      <c r="E5462">
        <v>79</v>
      </c>
      <c r="F5462">
        <v>30</v>
      </c>
      <c r="G5462">
        <v>4</v>
      </c>
      <c r="H5462">
        <v>30</v>
      </c>
      <c r="I5462">
        <v>1.42</v>
      </c>
      <c r="J5462" s="1">
        <v>1205</v>
      </c>
    </row>
    <row r="5463" spans="1:10" ht="14.25" customHeight="1" x14ac:dyDescent="0.25">
      <c r="A5463" s="21">
        <v>51177</v>
      </c>
      <c r="B5463" s="21"/>
      <c r="C5463">
        <v>57.7</v>
      </c>
      <c r="D5463">
        <v>3.6</v>
      </c>
      <c r="E5463">
        <v>143</v>
      </c>
      <c r="F5463">
        <v>105</v>
      </c>
      <c r="G5463">
        <v>12</v>
      </c>
      <c r="H5463">
        <v>105</v>
      </c>
      <c r="I5463">
        <v>1.59</v>
      </c>
      <c r="J5463" s="1">
        <v>6000</v>
      </c>
    </row>
    <row r="5464" spans="1:10" ht="14.25" customHeight="1" x14ac:dyDescent="0.25">
      <c r="A5464" s="21">
        <v>51179</v>
      </c>
      <c r="B5464" s="21"/>
      <c r="C5464">
        <v>40</v>
      </c>
      <c r="D5464">
        <v>3.5</v>
      </c>
      <c r="E5464">
        <v>67</v>
      </c>
      <c r="F5464">
        <v>90</v>
      </c>
      <c r="G5464">
        <v>4</v>
      </c>
      <c r="H5464">
        <v>90</v>
      </c>
      <c r="I5464">
        <v>1.34</v>
      </c>
      <c r="J5464" s="1">
        <v>4817</v>
      </c>
    </row>
    <row r="5465" spans="1:10" ht="14.25" customHeight="1" x14ac:dyDescent="0.25">
      <c r="A5465" s="21">
        <v>51185</v>
      </c>
      <c r="B5465" s="21"/>
      <c r="C5465">
        <v>5.9</v>
      </c>
      <c r="D5465">
        <v>3.8</v>
      </c>
      <c r="E5465">
        <v>21</v>
      </c>
      <c r="F5465">
        <v>56</v>
      </c>
      <c r="H5465">
        <v>56</v>
      </c>
      <c r="I5465">
        <v>1.23</v>
      </c>
      <c r="J5465">
        <v>571</v>
      </c>
    </row>
    <row r="5466" spans="1:10" ht="14.25" customHeight="1" x14ac:dyDescent="0.25">
      <c r="A5466" s="21">
        <v>51185</v>
      </c>
      <c r="B5466" s="21"/>
      <c r="C5466">
        <v>30.6</v>
      </c>
      <c r="D5466">
        <v>3.6</v>
      </c>
      <c r="E5466">
        <v>103</v>
      </c>
      <c r="F5466">
        <v>151</v>
      </c>
      <c r="G5466">
        <v>12</v>
      </c>
      <c r="H5466">
        <v>151</v>
      </c>
      <c r="I5466">
        <v>1.27</v>
      </c>
      <c r="J5466" s="1">
        <v>3348</v>
      </c>
    </row>
    <row r="5467" spans="1:10" ht="14.25" customHeight="1" x14ac:dyDescent="0.25">
      <c r="A5467" s="21">
        <v>51187</v>
      </c>
      <c r="B5467" s="21"/>
      <c r="C5467">
        <v>16.899999999999999</v>
      </c>
      <c r="D5467">
        <v>3.3</v>
      </c>
      <c r="E5467">
        <v>94</v>
      </c>
      <c r="F5467">
        <v>46</v>
      </c>
      <c r="G5467">
        <v>8</v>
      </c>
      <c r="H5467">
        <v>46</v>
      </c>
      <c r="I5467">
        <v>1.18</v>
      </c>
      <c r="J5467" s="1">
        <v>1886</v>
      </c>
    </row>
    <row r="5468" spans="1:10" ht="14.25" customHeight="1" x14ac:dyDescent="0.25">
      <c r="A5468" s="21">
        <v>51191</v>
      </c>
      <c r="B5468" s="21"/>
      <c r="C5468">
        <v>72.900000000000006</v>
      </c>
      <c r="D5468">
        <v>4</v>
      </c>
      <c r="E5468">
        <v>201</v>
      </c>
      <c r="F5468">
        <v>115</v>
      </c>
      <c r="G5468">
        <v>14</v>
      </c>
      <c r="H5468">
        <v>115</v>
      </c>
      <c r="I5468">
        <v>1.57</v>
      </c>
      <c r="J5468" s="1">
        <v>6946</v>
      </c>
    </row>
    <row r="5469" spans="1:10" ht="14.25" customHeight="1" x14ac:dyDescent="0.25">
      <c r="A5469" s="21">
        <v>51195</v>
      </c>
      <c r="B5469" s="21"/>
      <c r="C5469">
        <v>13</v>
      </c>
      <c r="D5469">
        <v>2.7</v>
      </c>
      <c r="E5469">
        <v>106</v>
      </c>
      <c r="F5469">
        <v>68</v>
      </c>
      <c r="G5469">
        <v>8</v>
      </c>
      <c r="H5469">
        <v>68</v>
      </c>
      <c r="I5469">
        <v>1.34</v>
      </c>
      <c r="J5469" s="1">
        <v>1879</v>
      </c>
    </row>
    <row r="5470" spans="1:10" ht="14.25" customHeight="1" x14ac:dyDescent="0.25">
      <c r="A5470" s="21">
        <v>51197</v>
      </c>
      <c r="B5470" s="21"/>
      <c r="C5470">
        <v>15.9</v>
      </c>
      <c r="D5470">
        <v>3.3</v>
      </c>
      <c r="E5470">
        <v>100</v>
      </c>
      <c r="F5470">
        <v>92</v>
      </c>
      <c r="G5470">
        <v>6</v>
      </c>
      <c r="H5470">
        <v>92</v>
      </c>
      <c r="I5470">
        <v>1.38</v>
      </c>
      <c r="J5470" s="1">
        <v>1958</v>
      </c>
    </row>
    <row r="5471" spans="1:10" ht="14.25" customHeight="1" x14ac:dyDescent="0.25">
      <c r="A5471" s="21">
        <v>51510</v>
      </c>
      <c r="B5471" s="21"/>
      <c r="C5471">
        <v>164.9</v>
      </c>
      <c r="D5471">
        <v>4.7</v>
      </c>
      <c r="E5471">
        <v>589</v>
      </c>
      <c r="F5471">
        <v>334</v>
      </c>
      <c r="G5471">
        <v>40</v>
      </c>
      <c r="H5471">
        <v>334</v>
      </c>
      <c r="I5471">
        <v>1.66</v>
      </c>
      <c r="J5471" s="1">
        <v>14412</v>
      </c>
    </row>
    <row r="5472" spans="1:10" ht="14.25" customHeight="1" x14ac:dyDescent="0.25">
      <c r="A5472" s="21">
        <v>51540</v>
      </c>
      <c r="B5472" s="21"/>
      <c r="C5472">
        <v>437.8</v>
      </c>
      <c r="D5472">
        <v>5.8</v>
      </c>
      <c r="E5472" s="1">
        <v>1304</v>
      </c>
      <c r="F5472">
        <v>585</v>
      </c>
      <c r="G5472">
        <v>14</v>
      </c>
      <c r="H5472">
        <v>585</v>
      </c>
      <c r="I5472">
        <v>2.21</v>
      </c>
      <c r="J5472" s="1">
        <v>28190</v>
      </c>
    </row>
    <row r="5473" spans="1:10" ht="14.25" customHeight="1" x14ac:dyDescent="0.25">
      <c r="A5473" s="21">
        <v>51550</v>
      </c>
      <c r="B5473" s="21"/>
      <c r="C5473">
        <v>190.5</v>
      </c>
      <c r="D5473">
        <v>4</v>
      </c>
      <c r="E5473">
        <v>477</v>
      </c>
      <c r="F5473">
        <v>310</v>
      </c>
      <c r="G5473">
        <v>28</v>
      </c>
      <c r="H5473">
        <v>310</v>
      </c>
      <c r="I5473">
        <v>1.63</v>
      </c>
      <c r="J5473" s="1">
        <v>19049</v>
      </c>
    </row>
    <row r="5474" spans="1:10" ht="14.25" customHeight="1" x14ac:dyDescent="0.25">
      <c r="A5474" s="21">
        <v>51590</v>
      </c>
      <c r="B5474" s="21"/>
      <c r="C5474">
        <v>146.30000000000001</v>
      </c>
      <c r="D5474">
        <v>4.0999999999999996</v>
      </c>
      <c r="E5474">
        <v>405</v>
      </c>
      <c r="F5474">
        <v>295</v>
      </c>
      <c r="G5474">
        <v>34</v>
      </c>
      <c r="H5474">
        <v>295</v>
      </c>
      <c r="I5474">
        <v>1.56</v>
      </c>
      <c r="J5474" s="1">
        <v>13441</v>
      </c>
    </row>
    <row r="5475" spans="1:10" ht="14.25" customHeight="1" x14ac:dyDescent="0.25">
      <c r="A5475" s="21">
        <v>51595</v>
      </c>
      <c r="B5475" s="21"/>
      <c r="C5475">
        <v>8</v>
      </c>
      <c r="D5475">
        <v>3.9</v>
      </c>
      <c r="E5475">
        <v>34</v>
      </c>
      <c r="F5475">
        <v>70</v>
      </c>
      <c r="G5475">
        <v>7</v>
      </c>
      <c r="H5475">
        <v>70</v>
      </c>
      <c r="I5475">
        <v>1.24</v>
      </c>
      <c r="J5475">
        <v>745</v>
      </c>
    </row>
    <row r="5476" spans="1:10" ht="14.25" customHeight="1" x14ac:dyDescent="0.25">
      <c r="A5476" s="21">
        <v>51620</v>
      </c>
      <c r="B5476" s="21"/>
      <c r="C5476">
        <v>11.1</v>
      </c>
      <c r="D5476">
        <v>3.5</v>
      </c>
      <c r="E5476">
        <v>53</v>
      </c>
      <c r="F5476">
        <v>75</v>
      </c>
      <c r="G5476">
        <v>8</v>
      </c>
      <c r="H5476">
        <v>75</v>
      </c>
      <c r="I5476">
        <v>1.28</v>
      </c>
      <c r="J5476" s="1">
        <v>1167</v>
      </c>
    </row>
    <row r="5477" spans="1:10" ht="14.25" customHeight="1" x14ac:dyDescent="0.25">
      <c r="A5477" s="21">
        <v>51630</v>
      </c>
      <c r="B5477" s="21"/>
      <c r="C5477">
        <v>281.89999999999998</v>
      </c>
      <c r="D5477">
        <v>4.9000000000000004</v>
      </c>
      <c r="E5477">
        <v>660</v>
      </c>
      <c r="F5477">
        <v>421</v>
      </c>
      <c r="H5477">
        <v>421</v>
      </c>
      <c r="I5477">
        <v>1.69</v>
      </c>
      <c r="J5477" s="1">
        <v>21772</v>
      </c>
    </row>
    <row r="5478" spans="1:10" ht="14.25" customHeight="1" x14ac:dyDescent="0.25">
      <c r="A5478" s="21">
        <v>51640</v>
      </c>
      <c r="B5478" s="21"/>
      <c r="C5478">
        <v>29.7</v>
      </c>
      <c r="D5478">
        <v>3.5</v>
      </c>
      <c r="E5478">
        <v>125</v>
      </c>
      <c r="F5478">
        <v>141</v>
      </c>
      <c r="G5478">
        <v>10</v>
      </c>
      <c r="H5478">
        <v>141</v>
      </c>
      <c r="I5478">
        <v>1.25</v>
      </c>
      <c r="J5478" s="1">
        <v>3263</v>
      </c>
    </row>
    <row r="5479" spans="1:10" ht="14.25" customHeight="1" x14ac:dyDescent="0.25">
      <c r="A5479" s="21">
        <v>51650</v>
      </c>
      <c r="B5479" s="21"/>
      <c r="C5479">
        <v>111.2</v>
      </c>
      <c r="D5479">
        <v>4.9000000000000004</v>
      </c>
      <c r="E5479">
        <v>328</v>
      </c>
      <c r="F5479">
        <v>172</v>
      </c>
      <c r="G5479">
        <v>24</v>
      </c>
      <c r="H5479">
        <v>172</v>
      </c>
      <c r="I5479">
        <v>1.7</v>
      </c>
      <c r="J5479" s="1">
        <v>8431</v>
      </c>
    </row>
    <row r="5480" spans="1:10" ht="14.25" customHeight="1" x14ac:dyDescent="0.25">
      <c r="A5480" s="21">
        <v>51660</v>
      </c>
      <c r="B5480" s="21"/>
      <c r="C5480">
        <v>139.4</v>
      </c>
      <c r="D5480">
        <v>4</v>
      </c>
      <c r="E5480">
        <v>428</v>
      </c>
      <c r="F5480">
        <v>238</v>
      </c>
      <c r="G5480">
        <v>34</v>
      </c>
      <c r="H5480">
        <v>238</v>
      </c>
      <c r="I5480">
        <v>1.65</v>
      </c>
      <c r="J5480" s="1">
        <v>13763</v>
      </c>
    </row>
    <row r="5481" spans="1:10" ht="14.25" customHeight="1" x14ac:dyDescent="0.25">
      <c r="A5481" s="21">
        <v>51670</v>
      </c>
      <c r="B5481" s="21"/>
      <c r="C5481">
        <v>39</v>
      </c>
      <c r="D5481">
        <v>4.2</v>
      </c>
      <c r="E5481">
        <v>123</v>
      </c>
      <c r="F5481">
        <v>107</v>
      </c>
      <c r="G5481">
        <v>17</v>
      </c>
      <c r="H5481">
        <v>107</v>
      </c>
      <c r="I5481">
        <v>1.35</v>
      </c>
      <c r="J5481" s="1">
        <v>3385</v>
      </c>
    </row>
    <row r="5482" spans="1:10" ht="14.25" customHeight="1" x14ac:dyDescent="0.25">
      <c r="A5482" s="21">
        <v>51680</v>
      </c>
      <c r="B5482" s="21"/>
      <c r="C5482">
        <v>328.8</v>
      </c>
      <c r="D5482">
        <v>4.8</v>
      </c>
      <c r="E5482">
        <v>918</v>
      </c>
      <c r="F5482">
        <v>435</v>
      </c>
      <c r="G5482">
        <v>37</v>
      </c>
      <c r="H5482">
        <v>358</v>
      </c>
      <c r="I5482">
        <v>1.8</v>
      </c>
      <c r="J5482" s="1">
        <v>26012</v>
      </c>
    </row>
    <row r="5483" spans="1:10" ht="14.25" customHeight="1" x14ac:dyDescent="0.25">
      <c r="A5483" s="21">
        <v>51680</v>
      </c>
      <c r="B5483" s="21"/>
      <c r="E5483">
        <v>10</v>
      </c>
      <c r="H5483">
        <v>161</v>
      </c>
    </row>
    <row r="5484" spans="1:10" ht="14.25" customHeight="1" x14ac:dyDescent="0.25">
      <c r="A5484" s="21">
        <v>51683</v>
      </c>
      <c r="B5484" s="21"/>
      <c r="C5484">
        <v>55.8</v>
      </c>
      <c r="D5484">
        <v>4.3</v>
      </c>
      <c r="E5484">
        <v>255</v>
      </c>
      <c r="F5484">
        <v>94</v>
      </c>
      <c r="G5484">
        <v>11</v>
      </c>
      <c r="H5484">
        <v>94</v>
      </c>
      <c r="I5484">
        <v>1.72</v>
      </c>
      <c r="J5484" s="1">
        <v>5220</v>
      </c>
    </row>
    <row r="5485" spans="1:10" ht="14.25" customHeight="1" x14ac:dyDescent="0.25">
      <c r="A5485" s="21">
        <v>51690</v>
      </c>
      <c r="B5485" s="21"/>
      <c r="E5485">
        <v>24</v>
      </c>
    </row>
    <row r="5486" spans="1:10" ht="14.25" customHeight="1" x14ac:dyDescent="0.25">
      <c r="A5486" s="21">
        <v>51700</v>
      </c>
      <c r="B5486" s="21"/>
      <c r="C5486">
        <v>256.89999999999998</v>
      </c>
      <c r="D5486">
        <v>5.3</v>
      </c>
      <c r="E5486">
        <v>662</v>
      </c>
      <c r="F5486">
        <v>357</v>
      </c>
      <c r="G5486">
        <v>24</v>
      </c>
      <c r="H5486">
        <v>357</v>
      </c>
      <c r="I5486">
        <v>1.77</v>
      </c>
      <c r="J5486" s="1">
        <v>19462</v>
      </c>
    </row>
    <row r="5487" spans="1:10" ht="14.25" customHeight="1" x14ac:dyDescent="0.25">
      <c r="A5487" s="21">
        <v>51700</v>
      </c>
      <c r="B5487" s="21"/>
      <c r="C5487">
        <v>53.7</v>
      </c>
      <c r="D5487">
        <v>3.3</v>
      </c>
      <c r="E5487">
        <v>179</v>
      </c>
      <c r="F5487">
        <v>115</v>
      </c>
      <c r="G5487">
        <v>10</v>
      </c>
      <c r="H5487">
        <v>115</v>
      </c>
      <c r="I5487">
        <v>1.91</v>
      </c>
      <c r="J5487" s="1">
        <v>7189</v>
      </c>
    </row>
    <row r="5488" spans="1:10" ht="14.25" customHeight="1" x14ac:dyDescent="0.25">
      <c r="A5488" s="21">
        <v>51710</v>
      </c>
      <c r="B5488" s="21"/>
      <c r="C5488">
        <v>54</v>
      </c>
      <c r="D5488">
        <v>4.2</v>
      </c>
      <c r="E5488">
        <v>198</v>
      </c>
      <c r="F5488">
        <v>110</v>
      </c>
      <c r="G5488">
        <v>23</v>
      </c>
      <c r="H5488">
        <v>110</v>
      </c>
      <c r="I5488">
        <v>1.81</v>
      </c>
      <c r="J5488" s="1">
        <v>5256</v>
      </c>
    </row>
    <row r="5489" spans="1:10" ht="14.25" customHeight="1" x14ac:dyDescent="0.25">
      <c r="A5489" s="21">
        <v>51710</v>
      </c>
      <c r="B5489" s="21"/>
      <c r="C5489">
        <v>375.4</v>
      </c>
      <c r="D5489">
        <v>6.3</v>
      </c>
      <c r="E5489">
        <v>910</v>
      </c>
      <c r="F5489">
        <v>471</v>
      </c>
      <c r="G5489">
        <v>44</v>
      </c>
      <c r="H5489">
        <v>471</v>
      </c>
      <c r="I5489">
        <v>2.4</v>
      </c>
      <c r="J5489" s="1">
        <v>24806</v>
      </c>
    </row>
    <row r="5490" spans="1:10" ht="14.25" customHeight="1" x14ac:dyDescent="0.25">
      <c r="A5490" s="21">
        <v>51710</v>
      </c>
      <c r="B5490" s="21"/>
      <c r="C5490">
        <v>200.7</v>
      </c>
      <c r="D5490">
        <v>4.5</v>
      </c>
      <c r="E5490">
        <v>457</v>
      </c>
      <c r="F5490">
        <v>247</v>
      </c>
      <c r="G5490">
        <v>20</v>
      </c>
      <c r="H5490">
        <v>247</v>
      </c>
      <c r="I5490">
        <v>1.65</v>
      </c>
      <c r="J5490" s="1">
        <v>17404</v>
      </c>
    </row>
    <row r="5491" spans="1:10" ht="14.25" customHeight="1" x14ac:dyDescent="0.25">
      <c r="A5491" s="21">
        <v>51710</v>
      </c>
      <c r="B5491" s="21"/>
      <c r="H5491">
        <v>112</v>
      </c>
    </row>
    <row r="5492" spans="1:10" ht="14.25" customHeight="1" x14ac:dyDescent="0.25">
      <c r="A5492" s="21">
        <v>51720</v>
      </c>
      <c r="B5492" s="21"/>
      <c r="C5492">
        <v>21.1</v>
      </c>
      <c r="D5492">
        <v>3.5</v>
      </c>
      <c r="E5492">
        <v>69</v>
      </c>
      <c r="F5492">
        <v>63</v>
      </c>
      <c r="G5492">
        <v>12</v>
      </c>
      <c r="H5492">
        <v>63</v>
      </c>
      <c r="I5492">
        <v>1.47</v>
      </c>
      <c r="J5492" s="1">
        <v>2346</v>
      </c>
    </row>
    <row r="5493" spans="1:10" ht="14.25" customHeight="1" x14ac:dyDescent="0.25">
      <c r="A5493" s="21">
        <v>51720</v>
      </c>
      <c r="B5493" s="21"/>
      <c r="E5493">
        <v>1</v>
      </c>
      <c r="H5493">
        <v>168</v>
      </c>
    </row>
    <row r="5494" spans="1:10" ht="14.25" customHeight="1" x14ac:dyDescent="0.25">
      <c r="A5494" s="21">
        <v>51730</v>
      </c>
      <c r="B5494" s="21"/>
      <c r="C5494">
        <v>143.69999999999999</v>
      </c>
      <c r="D5494">
        <v>4.8</v>
      </c>
      <c r="E5494">
        <v>217</v>
      </c>
      <c r="F5494">
        <v>300</v>
      </c>
      <c r="G5494">
        <v>28</v>
      </c>
      <c r="H5494">
        <v>300</v>
      </c>
      <c r="I5494">
        <v>1.56</v>
      </c>
      <c r="J5494" s="1">
        <v>11419</v>
      </c>
    </row>
    <row r="5495" spans="1:10" ht="14.25" customHeight="1" x14ac:dyDescent="0.25">
      <c r="A5495" s="21">
        <v>51730</v>
      </c>
      <c r="B5495" s="21"/>
      <c r="C5495">
        <v>0.7</v>
      </c>
      <c r="D5495">
        <v>15.3</v>
      </c>
      <c r="E5495">
        <v>3</v>
      </c>
      <c r="F5495">
        <v>4</v>
      </c>
      <c r="H5495">
        <v>4</v>
      </c>
      <c r="I5495">
        <v>0.87</v>
      </c>
      <c r="J5495">
        <v>17</v>
      </c>
    </row>
    <row r="5496" spans="1:10" ht="14.25" customHeight="1" x14ac:dyDescent="0.25">
      <c r="A5496" s="21">
        <v>51740</v>
      </c>
      <c r="B5496" s="21"/>
      <c r="C5496">
        <v>122.6</v>
      </c>
      <c r="D5496">
        <v>4.8</v>
      </c>
      <c r="E5496">
        <v>359</v>
      </c>
      <c r="F5496">
        <v>215</v>
      </c>
      <c r="G5496">
        <v>22</v>
      </c>
      <c r="H5496">
        <v>215</v>
      </c>
      <c r="I5496">
        <v>1.71</v>
      </c>
      <c r="J5496" s="1">
        <v>9454</v>
      </c>
    </row>
    <row r="5497" spans="1:10" ht="14.25" customHeight="1" x14ac:dyDescent="0.25">
      <c r="A5497" s="21">
        <v>51760</v>
      </c>
      <c r="B5497" s="21"/>
      <c r="C5497">
        <v>602.1</v>
      </c>
      <c r="D5497">
        <v>6.1</v>
      </c>
      <c r="E5497" s="1">
        <v>1209</v>
      </c>
      <c r="F5497">
        <v>715</v>
      </c>
      <c r="G5497">
        <v>28</v>
      </c>
      <c r="H5497">
        <v>715</v>
      </c>
      <c r="I5497">
        <v>2.2400000000000002</v>
      </c>
      <c r="J5497" s="1">
        <v>36711</v>
      </c>
    </row>
    <row r="5498" spans="1:10" ht="14.25" customHeight="1" x14ac:dyDescent="0.25">
      <c r="A5498" s="21">
        <v>51760</v>
      </c>
      <c r="B5498" s="21"/>
      <c r="C5498">
        <v>27.8</v>
      </c>
      <c r="D5498">
        <v>6.2</v>
      </c>
      <c r="E5498">
        <v>90</v>
      </c>
      <c r="F5498">
        <v>101</v>
      </c>
      <c r="G5498">
        <v>5</v>
      </c>
      <c r="H5498">
        <v>101</v>
      </c>
      <c r="I5498">
        <v>1.1200000000000001</v>
      </c>
      <c r="J5498" s="1">
        <v>1622</v>
      </c>
    </row>
    <row r="5499" spans="1:10" ht="14.25" customHeight="1" x14ac:dyDescent="0.25">
      <c r="A5499" s="21">
        <v>51760</v>
      </c>
      <c r="B5499" s="21"/>
      <c r="E5499">
        <v>19</v>
      </c>
      <c r="H5499">
        <v>227</v>
      </c>
    </row>
    <row r="5500" spans="1:10" ht="14.25" customHeight="1" x14ac:dyDescent="0.25">
      <c r="A5500" s="21">
        <v>51760</v>
      </c>
      <c r="B5500" s="21"/>
      <c r="E5500">
        <v>49</v>
      </c>
      <c r="H5500">
        <v>466</v>
      </c>
    </row>
    <row r="5501" spans="1:10" ht="14.25" customHeight="1" x14ac:dyDescent="0.25">
      <c r="A5501" s="21">
        <v>51760</v>
      </c>
      <c r="B5501" s="21"/>
      <c r="H5501">
        <v>232</v>
      </c>
    </row>
    <row r="5502" spans="1:10" ht="14.25" customHeight="1" x14ac:dyDescent="0.25">
      <c r="A5502" s="21">
        <v>51760</v>
      </c>
      <c r="B5502" s="21"/>
      <c r="H5502">
        <v>566</v>
      </c>
    </row>
    <row r="5503" spans="1:10" ht="14.25" customHeight="1" x14ac:dyDescent="0.25">
      <c r="A5503" s="21">
        <v>51770</v>
      </c>
      <c r="B5503" s="21"/>
      <c r="C5503">
        <v>458.2</v>
      </c>
      <c r="D5503">
        <v>5.0999999999999996</v>
      </c>
      <c r="E5503">
        <v>986</v>
      </c>
      <c r="F5503">
        <v>636</v>
      </c>
      <c r="G5503">
        <v>36</v>
      </c>
      <c r="H5503">
        <v>621</v>
      </c>
      <c r="I5503">
        <v>1.97</v>
      </c>
      <c r="J5503" s="1">
        <v>34981</v>
      </c>
    </row>
    <row r="5504" spans="1:10" ht="14.25" customHeight="1" x14ac:dyDescent="0.25">
      <c r="A5504" s="21">
        <v>51770</v>
      </c>
      <c r="B5504" s="21"/>
      <c r="H5504">
        <v>34</v>
      </c>
    </row>
    <row r="5505" spans="1:10" ht="14.25" customHeight="1" x14ac:dyDescent="0.25">
      <c r="A5505" s="21">
        <v>51775</v>
      </c>
      <c r="B5505" s="21"/>
      <c r="C5505">
        <v>214.7</v>
      </c>
      <c r="D5505">
        <v>5.0999999999999996</v>
      </c>
      <c r="E5505">
        <v>406</v>
      </c>
      <c r="F5505">
        <v>330</v>
      </c>
      <c r="G5505">
        <v>24</v>
      </c>
      <c r="H5505">
        <v>330</v>
      </c>
      <c r="I5505">
        <v>1.6</v>
      </c>
      <c r="J5505" s="1">
        <v>15921</v>
      </c>
    </row>
    <row r="5506" spans="1:10" ht="14.25" customHeight="1" x14ac:dyDescent="0.25">
      <c r="A5506" s="21">
        <v>51800</v>
      </c>
      <c r="B5506" s="21"/>
      <c r="C5506">
        <v>103.6</v>
      </c>
      <c r="D5506">
        <v>4.2</v>
      </c>
      <c r="E5506">
        <v>325</v>
      </c>
      <c r="F5506">
        <v>155</v>
      </c>
      <c r="G5506">
        <v>12</v>
      </c>
      <c r="H5506">
        <v>155</v>
      </c>
      <c r="I5506">
        <v>1.52</v>
      </c>
      <c r="J5506" s="1">
        <v>9784</v>
      </c>
    </row>
    <row r="5507" spans="1:10" ht="14.25" customHeight="1" x14ac:dyDescent="0.25">
      <c r="A5507" s="21">
        <v>51810</v>
      </c>
      <c r="B5507" s="21"/>
      <c r="C5507">
        <v>178.5</v>
      </c>
      <c r="D5507">
        <v>5.2</v>
      </c>
      <c r="E5507">
        <v>438</v>
      </c>
      <c r="F5507">
        <v>227</v>
      </c>
      <c r="G5507">
        <v>22</v>
      </c>
      <c r="H5507">
        <v>227</v>
      </c>
      <c r="I5507">
        <v>1.68</v>
      </c>
      <c r="J5507" s="1">
        <v>12624</v>
      </c>
    </row>
    <row r="5508" spans="1:10" ht="14.25" customHeight="1" x14ac:dyDescent="0.25">
      <c r="A5508" s="21">
        <v>51810</v>
      </c>
      <c r="B5508" s="21"/>
    </row>
    <row r="5509" spans="1:10" ht="14.25" customHeight="1" x14ac:dyDescent="0.25">
      <c r="A5509" s="21">
        <v>51810</v>
      </c>
      <c r="B5509" s="21"/>
      <c r="C5509">
        <v>135.1</v>
      </c>
      <c r="D5509">
        <v>4.8</v>
      </c>
      <c r="E5509">
        <v>294</v>
      </c>
      <c r="F5509">
        <v>174</v>
      </c>
      <c r="G5509">
        <v>16</v>
      </c>
      <c r="H5509">
        <v>160</v>
      </c>
      <c r="I5509">
        <v>1.61</v>
      </c>
      <c r="J5509" s="1">
        <v>11788</v>
      </c>
    </row>
    <row r="5510" spans="1:10" ht="14.25" customHeight="1" x14ac:dyDescent="0.25">
      <c r="A5510" s="21">
        <v>51840</v>
      </c>
      <c r="B5510" s="21"/>
      <c r="C5510">
        <v>276.8</v>
      </c>
      <c r="D5510">
        <v>5.3</v>
      </c>
      <c r="E5510">
        <v>667</v>
      </c>
      <c r="F5510">
        <v>389</v>
      </c>
      <c r="G5510">
        <v>48</v>
      </c>
      <c r="H5510">
        <v>389</v>
      </c>
      <c r="I5510">
        <v>1.79</v>
      </c>
      <c r="J5510" s="1">
        <v>21150</v>
      </c>
    </row>
    <row r="5511" spans="1:10" ht="14.25" customHeight="1" x14ac:dyDescent="0.25">
      <c r="A5511" s="21">
        <v>53005</v>
      </c>
      <c r="B5511" s="21"/>
      <c r="C5511">
        <v>50.6</v>
      </c>
      <c r="D5511">
        <v>3.8</v>
      </c>
      <c r="E5511">
        <v>169</v>
      </c>
      <c r="F5511">
        <v>111</v>
      </c>
      <c r="G5511">
        <v>14</v>
      </c>
      <c r="H5511">
        <v>111</v>
      </c>
      <c r="I5511">
        <v>1.54</v>
      </c>
      <c r="J5511" s="1">
        <v>5406</v>
      </c>
    </row>
    <row r="5512" spans="1:10" ht="14.25" customHeight="1" x14ac:dyDescent="0.25">
      <c r="A5512" s="21">
        <v>53005</v>
      </c>
      <c r="B5512" s="21"/>
      <c r="C5512">
        <v>190.4</v>
      </c>
      <c r="D5512">
        <v>4.5</v>
      </c>
      <c r="E5512">
        <v>587</v>
      </c>
      <c r="F5512">
        <v>258</v>
      </c>
      <c r="G5512">
        <v>30</v>
      </c>
      <c r="H5512">
        <v>258</v>
      </c>
      <c r="I5512">
        <v>1.77</v>
      </c>
      <c r="J5512" s="1">
        <v>16318</v>
      </c>
    </row>
    <row r="5513" spans="1:10" ht="14.25" customHeight="1" x14ac:dyDescent="0.25">
      <c r="A5513" s="21">
        <v>53007</v>
      </c>
      <c r="B5513" s="21"/>
      <c r="C5513">
        <v>122.1</v>
      </c>
      <c r="D5513">
        <v>4.0999999999999996</v>
      </c>
      <c r="E5513">
        <v>229</v>
      </c>
      <c r="F5513">
        <v>176</v>
      </c>
      <c r="G5513">
        <v>20</v>
      </c>
      <c r="H5513">
        <v>176</v>
      </c>
      <c r="I5513">
        <v>1.88</v>
      </c>
      <c r="J5513" s="1">
        <v>11387</v>
      </c>
    </row>
    <row r="5514" spans="1:10" ht="14.25" customHeight="1" x14ac:dyDescent="0.25">
      <c r="A5514" s="21">
        <v>53007</v>
      </c>
      <c r="B5514" s="21"/>
      <c r="C5514">
        <v>2.6</v>
      </c>
      <c r="D5514">
        <v>2</v>
      </c>
      <c r="E5514">
        <v>395</v>
      </c>
      <c r="F5514">
        <v>11</v>
      </c>
      <c r="H5514">
        <v>11</v>
      </c>
      <c r="I5514">
        <v>1.8</v>
      </c>
      <c r="J5514">
        <v>459</v>
      </c>
    </row>
    <row r="5515" spans="1:10" ht="14.25" customHeight="1" x14ac:dyDescent="0.25">
      <c r="A5515" s="21">
        <v>53009</v>
      </c>
      <c r="B5515" s="21"/>
      <c r="C5515">
        <v>39.299999999999997</v>
      </c>
      <c r="D5515">
        <v>3.4</v>
      </c>
      <c r="E5515">
        <v>314</v>
      </c>
      <c r="F5515">
        <v>78</v>
      </c>
      <c r="G5515">
        <v>19</v>
      </c>
      <c r="H5515">
        <v>78</v>
      </c>
      <c r="I5515">
        <v>1.61</v>
      </c>
      <c r="J5515" s="1">
        <v>4454</v>
      </c>
    </row>
    <row r="5516" spans="1:10" ht="14.25" customHeight="1" x14ac:dyDescent="0.25">
      <c r="A5516" s="21">
        <v>53011</v>
      </c>
      <c r="B5516" s="21"/>
      <c r="C5516">
        <v>221.8</v>
      </c>
      <c r="D5516">
        <v>4.5</v>
      </c>
      <c r="E5516">
        <v>818</v>
      </c>
      <c r="F5516">
        <v>436</v>
      </c>
      <c r="G5516">
        <v>80</v>
      </c>
      <c r="H5516">
        <v>436</v>
      </c>
      <c r="I5516">
        <v>1.87</v>
      </c>
      <c r="J5516" s="1">
        <v>19767</v>
      </c>
    </row>
    <row r="5517" spans="1:10" ht="14.25" customHeight="1" x14ac:dyDescent="0.25">
      <c r="A5517" s="21">
        <v>53011</v>
      </c>
      <c r="B5517" s="21"/>
      <c r="C5517">
        <v>139.1</v>
      </c>
      <c r="D5517">
        <v>3.7</v>
      </c>
      <c r="E5517">
        <v>480</v>
      </c>
      <c r="F5517">
        <v>166</v>
      </c>
      <c r="G5517">
        <v>16</v>
      </c>
      <c r="H5517">
        <v>166</v>
      </c>
      <c r="I5517">
        <v>1.65</v>
      </c>
      <c r="J5517" s="1">
        <v>15519</v>
      </c>
    </row>
    <row r="5518" spans="1:10" ht="14.25" customHeight="1" x14ac:dyDescent="0.25">
      <c r="A5518" s="21">
        <v>53015</v>
      </c>
      <c r="B5518" s="21"/>
      <c r="C5518">
        <v>84.6</v>
      </c>
      <c r="D5518">
        <v>3.8</v>
      </c>
      <c r="E5518">
        <v>290</v>
      </c>
      <c r="F5518">
        <v>166</v>
      </c>
      <c r="G5518">
        <v>18</v>
      </c>
      <c r="H5518">
        <v>166</v>
      </c>
      <c r="I5518">
        <v>1.51</v>
      </c>
      <c r="J5518" s="1">
        <v>8542</v>
      </c>
    </row>
    <row r="5519" spans="1:10" ht="14.25" customHeight="1" x14ac:dyDescent="0.25">
      <c r="A5519" s="21">
        <v>53025</v>
      </c>
      <c r="B5519" s="21"/>
      <c r="C5519">
        <v>24.3</v>
      </c>
      <c r="D5519">
        <v>3.3</v>
      </c>
      <c r="E5519">
        <v>110</v>
      </c>
      <c r="F5519">
        <v>48</v>
      </c>
      <c r="G5519">
        <v>12</v>
      </c>
      <c r="H5519">
        <v>48</v>
      </c>
      <c r="I5519">
        <v>1.53</v>
      </c>
      <c r="J5519" s="1">
        <v>3163</v>
      </c>
    </row>
    <row r="5520" spans="1:10" ht="14.25" customHeight="1" x14ac:dyDescent="0.25">
      <c r="A5520" s="21">
        <v>53027</v>
      </c>
      <c r="B5520" s="21"/>
      <c r="C5520">
        <v>38.299999999999997</v>
      </c>
      <c r="D5520">
        <v>4.4000000000000004</v>
      </c>
      <c r="E5520">
        <v>136</v>
      </c>
      <c r="F5520">
        <v>49</v>
      </c>
      <c r="G5520">
        <v>8</v>
      </c>
      <c r="H5520">
        <v>49</v>
      </c>
      <c r="I5520">
        <v>1.42</v>
      </c>
      <c r="J5520" s="1">
        <v>3368</v>
      </c>
    </row>
    <row r="5521" spans="1:10" ht="14.25" customHeight="1" x14ac:dyDescent="0.25">
      <c r="A5521" s="21">
        <v>53027</v>
      </c>
      <c r="B5521" s="21"/>
      <c r="H5521">
        <v>49</v>
      </c>
    </row>
    <row r="5522" spans="1:10" ht="14.25" customHeight="1" x14ac:dyDescent="0.25">
      <c r="A5522" s="21">
        <v>53033</v>
      </c>
      <c r="B5522" s="21"/>
      <c r="C5522">
        <v>305.39999999999998</v>
      </c>
      <c r="D5522">
        <v>7.7</v>
      </c>
      <c r="E5522">
        <v>970</v>
      </c>
      <c r="F5522">
        <v>321</v>
      </c>
      <c r="G5522">
        <v>89</v>
      </c>
      <c r="H5522">
        <v>321</v>
      </c>
      <c r="I5522">
        <v>2.2999999999999998</v>
      </c>
      <c r="J5522" s="1">
        <v>14474</v>
      </c>
    </row>
    <row r="5523" spans="1:10" ht="14.25" customHeight="1" x14ac:dyDescent="0.25">
      <c r="A5523" s="21">
        <v>53033</v>
      </c>
      <c r="B5523" s="21"/>
      <c r="C5523">
        <v>88.1</v>
      </c>
      <c r="D5523">
        <v>3.8</v>
      </c>
      <c r="E5523">
        <v>333</v>
      </c>
      <c r="F5523">
        <v>124</v>
      </c>
      <c r="G5523">
        <v>14</v>
      </c>
      <c r="H5523">
        <v>124</v>
      </c>
      <c r="I5523">
        <v>1.69</v>
      </c>
      <c r="J5523" s="1">
        <v>9068</v>
      </c>
    </row>
    <row r="5524" spans="1:10" ht="14.25" customHeight="1" x14ac:dyDescent="0.25">
      <c r="A5524" s="21">
        <v>53033</v>
      </c>
      <c r="B5524" s="21"/>
      <c r="C5524">
        <v>172.5</v>
      </c>
      <c r="D5524">
        <v>3.5</v>
      </c>
      <c r="E5524">
        <v>794</v>
      </c>
      <c r="F5524">
        <v>304</v>
      </c>
      <c r="G5524">
        <v>20</v>
      </c>
      <c r="H5524">
        <v>304</v>
      </c>
      <c r="I5524">
        <v>1.69</v>
      </c>
      <c r="J5524" s="1">
        <v>19337</v>
      </c>
    </row>
    <row r="5525" spans="1:10" ht="14.25" customHeight="1" x14ac:dyDescent="0.25">
      <c r="A5525" s="21">
        <v>53033</v>
      </c>
      <c r="B5525" s="21"/>
      <c r="C5525">
        <v>132.19999999999999</v>
      </c>
      <c r="D5525">
        <v>5.4</v>
      </c>
      <c r="E5525">
        <v>583</v>
      </c>
      <c r="F5525">
        <v>181</v>
      </c>
      <c r="G5525">
        <v>56</v>
      </c>
      <c r="H5525">
        <v>181</v>
      </c>
      <c r="I5525">
        <v>2.87</v>
      </c>
      <c r="J5525" s="1">
        <v>8959</v>
      </c>
    </row>
    <row r="5526" spans="1:10" ht="14.25" customHeight="1" x14ac:dyDescent="0.25">
      <c r="A5526" s="21">
        <v>53033</v>
      </c>
      <c r="B5526" s="21"/>
      <c r="C5526">
        <v>442.3</v>
      </c>
      <c r="D5526">
        <v>4.8</v>
      </c>
      <c r="E5526" s="1">
        <v>1343</v>
      </c>
      <c r="F5526">
        <v>646</v>
      </c>
      <c r="G5526">
        <v>54</v>
      </c>
      <c r="H5526">
        <v>620</v>
      </c>
      <c r="I5526">
        <v>1.92</v>
      </c>
      <c r="J5526" s="1">
        <v>36115</v>
      </c>
    </row>
    <row r="5527" spans="1:10" ht="14.25" customHeight="1" x14ac:dyDescent="0.25">
      <c r="A5527" s="21">
        <v>53033</v>
      </c>
      <c r="B5527" s="21"/>
      <c r="C5527">
        <v>337.9</v>
      </c>
      <c r="D5527">
        <v>6.6</v>
      </c>
      <c r="E5527" s="1">
        <v>1385</v>
      </c>
      <c r="F5527">
        <v>436</v>
      </c>
      <c r="G5527">
        <v>81</v>
      </c>
      <c r="H5527">
        <v>436</v>
      </c>
      <c r="I5527">
        <v>2.5499999999999998</v>
      </c>
      <c r="J5527" s="1">
        <v>19054</v>
      </c>
    </row>
    <row r="5528" spans="1:10" ht="14.25" customHeight="1" x14ac:dyDescent="0.25">
      <c r="A5528" s="21">
        <v>53033</v>
      </c>
      <c r="B5528" s="21"/>
      <c r="C5528">
        <v>74.3</v>
      </c>
      <c r="D5528">
        <v>3.1</v>
      </c>
      <c r="E5528">
        <v>259</v>
      </c>
      <c r="F5528">
        <v>129</v>
      </c>
      <c r="G5528">
        <v>10</v>
      </c>
      <c r="H5528">
        <v>129</v>
      </c>
      <c r="I5528">
        <v>1.65</v>
      </c>
      <c r="J5528" s="1">
        <v>9118</v>
      </c>
    </row>
    <row r="5529" spans="1:10" ht="14.25" customHeight="1" x14ac:dyDescent="0.25">
      <c r="A5529" s="21">
        <v>53033</v>
      </c>
      <c r="B5529" s="21"/>
      <c r="C5529">
        <v>71.5</v>
      </c>
      <c r="D5529">
        <v>4.5</v>
      </c>
      <c r="E5529">
        <v>155</v>
      </c>
      <c r="F5529">
        <v>73</v>
      </c>
      <c r="G5529">
        <v>16</v>
      </c>
      <c r="H5529">
        <v>73</v>
      </c>
      <c r="I5529">
        <v>1.54</v>
      </c>
      <c r="J5529" s="1">
        <v>6199</v>
      </c>
    </row>
    <row r="5530" spans="1:10" ht="14.25" customHeight="1" x14ac:dyDescent="0.25">
      <c r="A5530" s="21">
        <v>53033</v>
      </c>
      <c r="B5530" s="21"/>
      <c r="C5530">
        <v>164.6</v>
      </c>
      <c r="D5530">
        <v>3.4</v>
      </c>
      <c r="E5530">
        <v>863</v>
      </c>
      <c r="F5530">
        <v>286</v>
      </c>
      <c r="G5530">
        <v>32</v>
      </c>
      <c r="H5530">
        <v>286</v>
      </c>
      <c r="I5530">
        <v>1.7</v>
      </c>
      <c r="J5530" s="1">
        <v>19411</v>
      </c>
    </row>
    <row r="5531" spans="1:10" ht="14.25" customHeight="1" x14ac:dyDescent="0.25">
      <c r="A5531" s="21">
        <v>53033</v>
      </c>
      <c r="B5531" s="21"/>
      <c r="C5531">
        <v>3.2</v>
      </c>
      <c r="D5531">
        <v>2.9</v>
      </c>
      <c r="E5531">
        <v>451</v>
      </c>
      <c r="F5531">
        <v>24</v>
      </c>
      <c r="H5531">
        <v>24</v>
      </c>
      <c r="I5531">
        <v>1.31</v>
      </c>
      <c r="J5531">
        <v>396</v>
      </c>
    </row>
    <row r="5532" spans="1:10" ht="14.25" customHeight="1" x14ac:dyDescent="0.25">
      <c r="A5532" s="21">
        <v>53033</v>
      </c>
      <c r="B5532" s="21"/>
      <c r="C5532">
        <v>197.6</v>
      </c>
      <c r="D5532">
        <v>4.7</v>
      </c>
      <c r="E5532">
        <v>776</v>
      </c>
      <c r="F5532">
        <v>311</v>
      </c>
      <c r="H5532">
        <v>311</v>
      </c>
      <c r="I5532">
        <v>1.74</v>
      </c>
      <c r="J5532" s="1">
        <v>16709</v>
      </c>
    </row>
    <row r="5533" spans="1:10" ht="14.25" customHeight="1" x14ac:dyDescent="0.25">
      <c r="A5533" s="21">
        <v>53033</v>
      </c>
      <c r="B5533" s="21"/>
      <c r="C5533">
        <v>109.1</v>
      </c>
      <c r="D5533">
        <v>3.9</v>
      </c>
      <c r="E5533">
        <v>454</v>
      </c>
      <c r="F5533">
        <v>179</v>
      </c>
      <c r="G5533">
        <v>32</v>
      </c>
      <c r="H5533">
        <v>179</v>
      </c>
      <c r="I5533">
        <v>1.72</v>
      </c>
      <c r="J5533" s="1">
        <v>10515</v>
      </c>
    </row>
    <row r="5534" spans="1:10" ht="14.25" customHeight="1" x14ac:dyDescent="0.25">
      <c r="A5534" s="21">
        <v>53033</v>
      </c>
      <c r="B5534" s="21"/>
      <c r="C5534">
        <v>183.4</v>
      </c>
      <c r="D5534">
        <v>5.5</v>
      </c>
      <c r="E5534">
        <v>923</v>
      </c>
      <c r="F5534">
        <v>211</v>
      </c>
      <c r="G5534">
        <v>28</v>
      </c>
      <c r="H5534">
        <v>211</v>
      </c>
      <c r="I5534">
        <v>2.13</v>
      </c>
      <c r="J5534" s="1">
        <v>12272</v>
      </c>
    </row>
    <row r="5535" spans="1:10" ht="14.25" customHeight="1" x14ac:dyDescent="0.25">
      <c r="A5535" s="21">
        <v>53033</v>
      </c>
      <c r="B5535" s="21"/>
      <c r="C5535">
        <v>18.399999999999999</v>
      </c>
      <c r="D5535">
        <v>12</v>
      </c>
      <c r="E5535">
        <v>405</v>
      </c>
      <c r="F5535">
        <v>20</v>
      </c>
      <c r="H5535">
        <v>20</v>
      </c>
      <c r="I5535">
        <v>2.79</v>
      </c>
      <c r="J5535">
        <v>560</v>
      </c>
    </row>
    <row r="5536" spans="1:10" ht="14.25" customHeight="1" x14ac:dyDescent="0.25">
      <c r="A5536" s="21">
        <v>53033</v>
      </c>
      <c r="B5536" s="21"/>
      <c r="C5536">
        <v>53.6</v>
      </c>
      <c r="D5536">
        <v>3.3</v>
      </c>
      <c r="E5536">
        <v>283</v>
      </c>
      <c r="F5536">
        <v>126</v>
      </c>
      <c r="G5536">
        <v>18</v>
      </c>
      <c r="H5536">
        <v>126</v>
      </c>
      <c r="I5536">
        <v>1.59</v>
      </c>
      <c r="J5536" s="1">
        <v>6688</v>
      </c>
    </row>
    <row r="5537" spans="1:10" ht="14.25" customHeight="1" x14ac:dyDescent="0.25">
      <c r="A5537" s="21">
        <v>53033</v>
      </c>
      <c r="B5537" s="21"/>
      <c r="E5537">
        <v>3</v>
      </c>
      <c r="H5537">
        <v>77</v>
      </c>
    </row>
    <row r="5538" spans="1:10" ht="14.25" customHeight="1" x14ac:dyDescent="0.25">
      <c r="A5538" s="21">
        <v>53033</v>
      </c>
      <c r="B5538" s="21"/>
      <c r="C5538">
        <v>7.4</v>
      </c>
      <c r="D5538">
        <v>2.4</v>
      </c>
      <c r="E5538">
        <v>49</v>
      </c>
      <c r="F5538">
        <v>58</v>
      </c>
      <c r="H5538">
        <v>58</v>
      </c>
      <c r="I5538">
        <v>1.2</v>
      </c>
      <c r="J5538" s="1">
        <v>1256</v>
      </c>
    </row>
    <row r="5539" spans="1:10" ht="14.25" customHeight="1" x14ac:dyDescent="0.25">
      <c r="A5539" s="21">
        <v>53035</v>
      </c>
      <c r="B5539" s="21"/>
      <c r="C5539">
        <v>164.2</v>
      </c>
      <c r="D5539">
        <v>3</v>
      </c>
      <c r="E5539">
        <v>657</v>
      </c>
      <c r="F5539">
        <v>298</v>
      </c>
      <c r="G5539">
        <v>20</v>
      </c>
      <c r="H5539">
        <v>298</v>
      </c>
      <c r="I5539">
        <v>1.9</v>
      </c>
      <c r="J5539" s="1">
        <v>21249</v>
      </c>
    </row>
    <row r="5540" spans="1:10" ht="14.25" customHeight="1" x14ac:dyDescent="0.25">
      <c r="A5540" s="21">
        <v>53035</v>
      </c>
      <c r="B5540" s="21"/>
    </row>
    <row r="5541" spans="1:10" ht="14.25" customHeight="1" x14ac:dyDescent="0.25">
      <c r="A5541" s="21">
        <v>53041</v>
      </c>
      <c r="B5541" s="21"/>
      <c r="C5541">
        <v>48.8</v>
      </c>
      <c r="D5541">
        <v>4.2</v>
      </c>
      <c r="E5541">
        <v>213</v>
      </c>
      <c r="F5541">
        <v>116</v>
      </c>
      <c r="G5541">
        <v>6</v>
      </c>
      <c r="H5541">
        <v>127</v>
      </c>
      <c r="I5541">
        <v>1.43</v>
      </c>
      <c r="J5541" s="1">
        <v>4557</v>
      </c>
    </row>
    <row r="5542" spans="1:10" ht="14.25" customHeight="1" x14ac:dyDescent="0.25">
      <c r="A5542" s="21">
        <v>53053</v>
      </c>
      <c r="B5542" s="21"/>
      <c r="C5542">
        <v>275.5</v>
      </c>
      <c r="D5542">
        <v>6.2</v>
      </c>
      <c r="E5542" s="1">
        <v>1413</v>
      </c>
      <c r="F5542">
        <v>353</v>
      </c>
      <c r="G5542">
        <v>48</v>
      </c>
      <c r="H5542">
        <v>353</v>
      </c>
      <c r="I5542">
        <v>1.9</v>
      </c>
      <c r="J5542" s="1">
        <v>17469</v>
      </c>
    </row>
    <row r="5543" spans="1:10" ht="14.25" customHeight="1" x14ac:dyDescent="0.25">
      <c r="A5543" s="21">
        <v>53053</v>
      </c>
      <c r="B5543" s="21"/>
      <c r="C5543">
        <v>69.3</v>
      </c>
      <c r="D5543">
        <v>4.8</v>
      </c>
      <c r="E5543">
        <v>137</v>
      </c>
      <c r="F5543">
        <v>112</v>
      </c>
      <c r="G5543">
        <v>16</v>
      </c>
      <c r="H5543">
        <v>112</v>
      </c>
      <c r="I5543">
        <v>1.55</v>
      </c>
      <c r="J5543" s="1">
        <v>5223</v>
      </c>
    </row>
    <row r="5544" spans="1:10" ht="14.25" customHeight="1" x14ac:dyDescent="0.25">
      <c r="A5544" s="21">
        <v>53053</v>
      </c>
      <c r="B5544" s="21"/>
      <c r="C5544">
        <v>88</v>
      </c>
      <c r="D5544">
        <v>6.1</v>
      </c>
      <c r="E5544">
        <v>174</v>
      </c>
      <c r="F5544">
        <v>106</v>
      </c>
      <c r="G5544">
        <v>31</v>
      </c>
      <c r="H5544">
        <v>106</v>
      </c>
      <c r="I5544">
        <v>1.6</v>
      </c>
      <c r="J5544" s="1">
        <v>5282</v>
      </c>
    </row>
    <row r="5545" spans="1:10" ht="14.25" customHeight="1" x14ac:dyDescent="0.25">
      <c r="A5545" s="21">
        <v>53053</v>
      </c>
      <c r="B5545" s="21"/>
      <c r="C5545">
        <v>301.7</v>
      </c>
      <c r="D5545">
        <v>4.8</v>
      </c>
      <c r="E5545">
        <v>670</v>
      </c>
      <c r="F5545">
        <v>374</v>
      </c>
      <c r="G5545">
        <v>82</v>
      </c>
      <c r="H5545">
        <v>374</v>
      </c>
      <c r="I5545">
        <v>2.1800000000000002</v>
      </c>
      <c r="J5545" s="1">
        <v>24310</v>
      </c>
    </row>
    <row r="5546" spans="1:10" ht="14.25" customHeight="1" x14ac:dyDescent="0.25">
      <c r="A5546" s="21">
        <v>53053</v>
      </c>
      <c r="B5546" s="21"/>
      <c r="C5546">
        <v>241.5</v>
      </c>
      <c r="D5546">
        <v>5</v>
      </c>
      <c r="E5546">
        <v>317</v>
      </c>
      <c r="F5546">
        <v>283</v>
      </c>
      <c r="G5546">
        <v>20</v>
      </c>
      <c r="H5546">
        <v>283</v>
      </c>
      <c r="I5546">
        <v>1.51</v>
      </c>
      <c r="J5546" s="1">
        <v>16892</v>
      </c>
    </row>
    <row r="5547" spans="1:10" ht="14.25" customHeight="1" x14ac:dyDescent="0.25">
      <c r="A5547" s="21">
        <v>53053</v>
      </c>
      <c r="B5547" s="21"/>
      <c r="H5547">
        <v>130</v>
      </c>
    </row>
    <row r="5548" spans="1:10" ht="14.25" customHeight="1" x14ac:dyDescent="0.25">
      <c r="A5548" s="21">
        <v>53057</v>
      </c>
      <c r="B5548" s="21"/>
      <c r="C5548">
        <v>20.399999999999999</v>
      </c>
      <c r="D5548">
        <v>3.1</v>
      </c>
      <c r="E5548">
        <v>175</v>
      </c>
      <c r="F5548">
        <v>43</v>
      </c>
      <c r="G5548">
        <v>6</v>
      </c>
      <c r="H5548">
        <v>43</v>
      </c>
      <c r="I5548">
        <v>2</v>
      </c>
      <c r="J5548" s="1">
        <v>2602</v>
      </c>
    </row>
    <row r="5549" spans="1:10" ht="14.25" customHeight="1" x14ac:dyDescent="0.25">
      <c r="A5549" s="21">
        <v>53057</v>
      </c>
      <c r="B5549" s="21"/>
      <c r="C5549">
        <v>95.3</v>
      </c>
      <c r="D5549">
        <v>4.5999999999999996</v>
      </c>
      <c r="E5549">
        <v>463</v>
      </c>
      <c r="F5549">
        <v>137</v>
      </c>
      <c r="H5549">
        <v>137</v>
      </c>
      <c r="I5549">
        <v>1.52</v>
      </c>
      <c r="J5549" s="1">
        <v>8110</v>
      </c>
    </row>
    <row r="5550" spans="1:10" ht="14.25" customHeight="1" x14ac:dyDescent="0.25">
      <c r="A5550" s="21">
        <v>53061</v>
      </c>
      <c r="B5550" s="21"/>
      <c r="C5550">
        <v>10.6</v>
      </c>
      <c r="D5550">
        <v>3.5</v>
      </c>
      <c r="E5550">
        <v>97</v>
      </c>
      <c r="F5550">
        <v>27</v>
      </c>
      <c r="G5550">
        <v>4</v>
      </c>
      <c r="H5550">
        <v>27</v>
      </c>
      <c r="I5550">
        <v>1.43</v>
      </c>
      <c r="J5550" s="1">
        <v>1095</v>
      </c>
    </row>
    <row r="5551" spans="1:10" ht="14.25" customHeight="1" x14ac:dyDescent="0.25">
      <c r="A5551" s="21">
        <v>53061</v>
      </c>
      <c r="B5551" s="21"/>
      <c r="C5551">
        <v>15.1</v>
      </c>
      <c r="D5551">
        <v>4</v>
      </c>
      <c r="E5551">
        <v>57</v>
      </c>
      <c r="F5551">
        <v>48</v>
      </c>
      <c r="G5551">
        <v>6</v>
      </c>
      <c r="H5551">
        <v>48</v>
      </c>
      <c r="I5551">
        <v>1.43</v>
      </c>
      <c r="J5551" s="1">
        <v>1431</v>
      </c>
    </row>
    <row r="5552" spans="1:10" ht="14.25" customHeight="1" x14ac:dyDescent="0.25">
      <c r="A5552" s="21">
        <v>53061</v>
      </c>
      <c r="B5552" s="21"/>
      <c r="C5552">
        <v>392.9</v>
      </c>
      <c r="D5552">
        <v>5.0999999999999996</v>
      </c>
      <c r="E5552">
        <v>855</v>
      </c>
      <c r="F5552">
        <v>495</v>
      </c>
      <c r="G5552">
        <v>49</v>
      </c>
      <c r="H5552">
        <v>495</v>
      </c>
      <c r="I5552">
        <v>1.73</v>
      </c>
      <c r="J5552" s="1">
        <v>29386</v>
      </c>
    </row>
    <row r="5553" spans="1:10" ht="14.25" customHeight="1" x14ac:dyDescent="0.25">
      <c r="A5553" s="21">
        <v>53061</v>
      </c>
      <c r="B5553" s="21"/>
      <c r="C5553">
        <v>129.1</v>
      </c>
      <c r="D5553">
        <v>4.7</v>
      </c>
      <c r="E5553">
        <v>380</v>
      </c>
      <c r="F5553">
        <v>178</v>
      </c>
      <c r="G5553">
        <v>13</v>
      </c>
      <c r="H5553">
        <v>178</v>
      </c>
      <c r="I5553">
        <v>1.56</v>
      </c>
      <c r="J5553" s="1">
        <v>10467</v>
      </c>
    </row>
    <row r="5554" spans="1:10" ht="14.25" customHeight="1" x14ac:dyDescent="0.25">
      <c r="A5554" s="21">
        <v>53061</v>
      </c>
      <c r="B5554" s="21"/>
      <c r="E5554">
        <v>48</v>
      </c>
    </row>
    <row r="5555" spans="1:10" ht="14.25" customHeight="1" x14ac:dyDescent="0.25">
      <c r="A5555" s="21">
        <v>53063</v>
      </c>
      <c r="B5555" s="21"/>
      <c r="C5555">
        <v>406.4</v>
      </c>
      <c r="D5555">
        <v>5.5</v>
      </c>
      <c r="E5555">
        <v>833</v>
      </c>
      <c r="F5555">
        <v>612</v>
      </c>
      <c r="G5555">
        <v>20</v>
      </c>
      <c r="H5555">
        <v>612</v>
      </c>
      <c r="I5555">
        <v>2.34</v>
      </c>
      <c r="J5555" s="1">
        <v>28060</v>
      </c>
    </row>
    <row r="5556" spans="1:10" ht="14.25" customHeight="1" x14ac:dyDescent="0.25">
      <c r="A5556" s="21">
        <v>53063</v>
      </c>
      <c r="B5556" s="21"/>
      <c r="C5556">
        <v>147.4</v>
      </c>
      <c r="D5556">
        <v>5.7</v>
      </c>
      <c r="E5556">
        <v>484</v>
      </c>
      <c r="F5556">
        <v>267</v>
      </c>
      <c r="G5556">
        <v>35</v>
      </c>
      <c r="H5556">
        <v>267</v>
      </c>
      <c r="I5556">
        <v>2.0499999999999998</v>
      </c>
      <c r="J5556" s="1">
        <v>9708</v>
      </c>
    </row>
    <row r="5557" spans="1:10" ht="14.25" customHeight="1" x14ac:dyDescent="0.25">
      <c r="A5557" s="21">
        <v>53063</v>
      </c>
      <c r="B5557" s="21"/>
      <c r="C5557">
        <v>95</v>
      </c>
      <c r="D5557">
        <v>4.7</v>
      </c>
      <c r="E5557">
        <v>229</v>
      </c>
      <c r="F5557">
        <v>184</v>
      </c>
      <c r="G5557">
        <v>14</v>
      </c>
      <c r="H5557">
        <v>184</v>
      </c>
      <c r="I5557">
        <v>1.77</v>
      </c>
      <c r="J5557" s="1">
        <v>7955</v>
      </c>
    </row>
    <row r="5558" spans="1:10" ht="14.25" customHeight="1" x14ac:dyDescent="0.25">
      <c r="A5558" s="21">
        <v>53063</v>
      </c>
      <c r="B5558" s="21"/>
      <c r="C5558">
        <v>58.2</v>
      </c>
      <c r="D5558">
        <v>3.9</v>
      </c>
      <c r="E5558">
        <v>117</v>
      </c>
      <c r="F5558">
        <v>123</v>
      </c>
      <c r="G5558">
        <v>10</v>
      </c>
      <c r="H5558">
        <v>123</v>
      </c>
      <c r="I5558">
        <v>1.54</v>
      </c>
      <c r="J5558" s="1">
        <v>5635</v>
      </c>
    </row>
    <row r="5559" spans="1:10" ht="14.25" customHeight="1" x14ac:dyDescent="0.25">
      <c r="A5559" s="21">
        <v>53067</v>
      </c>
      <c r="B5559" s="21"/>
      <c r="C5559">
        <v>44</v>
      </c>
      <c r="D5559">
        <v>3.5</v>
      </c>
      <c r="E5559">
        <v>178</v>
      </c>
      <c r="F5559">
        <v>107</v>
      </c>
      <c r="G5559">
        <v>30</v>
      </c>
      <c r="H5559">
        <v>107</v>
      </c>
      <c r="I5559">
        <v>1.99</v>
      </c>
      <c r="J5559" s="1">
        <v>4898</v>
      </c>
    </row>
    <row r="5560" spans="1:10" ht="14.25" customHeight="1" x14ac:dyDescent="0.25">
      <c r="A5560" s="21">
        <v>53067</v>
      </c>
      <c r="B5560" s="21"/>
      <c r="C5560">
        <v>256.2</v>
      </c>
      <c r="D5560">
        <v>5.2</v>
      </c>
      <c r="E5560">
        <v>639</v>
      </c>
      <c r="F5560">
        <v>304</v>
      </c>
      <c r="G5560">
        <v>42</v>
      </c>
      <c r="H5560">
        <v>304</v>
      </c>
      <c r="I5560">
        <v>1.98</v>
      </c>
      <c r="J5560" s="1">
        <v>19056</v>
      </c>
    </row>
    <row r="5561" spans="1:10" ht="14.25" customHeight="1" x14ac:dyDescent="0.25">
      <c r="A5561" s="21">
        <v>53067</v>
      </c>
      <c r="B5561" s="21"/>
    </row>
    <row r="5562" spans="1:10" ht="14.25" customHeight="1" x14ac:dyDescent="0.25">
      <c r="A5562" s="21">
        <v>53071</v>
      </c>
      <c r="B5562" s="21"/>
      <c r="C5562">
        <v>7.2</v>
      </c>
      <c r="D5562">
        <v>2.9</v>
      </c>
      <c r="J5562">
        <v>914</v>
      </c>
    </row>
    <row r="5563" spans="1:10" ht="14.25" customHeight="1" x14ac:dyDescent="0.25">
      <c r="A5563" s="21">
        <v>53071</v>
      </c>
      <c r="B5563" s="21"/>
      <c r="C5563">
        <v>59.7</v>
      </c>
      <c r="D5563">
        <v>3.9</v>
      </c>
      <c r="E5563">
        <v>227</v>
      </c>
      <c r="F5563">
        <v>120</v>
      </c>
      <c r="G5563">
        <v>28</v>
      </c>
      <c r="H5563">
        <v>120</v>
      </c>
      <c r="I5563">
        <v>1.79</v>
      </c>
      <c r="J5563" s="1">
        <v>5751</v>
      </c>
    </row>
    <row r="5564" spans="1:10" ht="14.25" customHeight="1" x14ac:dyDescent="0.25">
      <c r="A5564" s="21">
        <v>53073</v>
      </c>
      <c r="B5564" s="21"/>
      <c r="C5564">
        <v>165.6</v>
      </c>
      <c r="D5564">
        <v>4.0999999999999996</v>
      </c>
      <c r="E5564">
        <v>594</v>
      </c>
      <c r="F5564">
        <v>207</v>
      </c>
      <c r="G5564">
        <v>24</v>
      </c>
      <c r="H5564">
        <v>207</v>
      </c>
      <c r="I5564">
        <v>1.73</v>
      </c>
      <c r="J5564" s="1">
        <v>15948</v>
      </c>
    </row>
    <row r="5565" spans="1:10" ht="14.25" customHeight="1" x14ac:dyDescent="0.25">
      <c r="A5565" s="21">
        <v>53077</v>
      </c>
      <c r="B5565" s="21"/>
      <c r="C5565">
        <v>113.2</v>
      </c>
      <c r="D5565">
        <v>3.1</v>
      </c>
      <c r="E5565">
        <v>523</v>
      </c>
      <c r="F5565">
        <v>208</v>
      </c>
      <c r="G5565">
        <v>38</v>
      </c>
      <c r="H5565">
        <v>208</v>
      </c>
      <c r="I5565">
        <v>1.67</v>
      </c>
      <c r="J5565" s="1">
        <v>14325</v>
      </c>
    </row>
    <row r="5566" spans="1:10" ht="14.25" customHeight="1" x14ac:dyDescent="0.25">
      <c r="A5566" s="21">
        <v>53077</v>
      </c>
      <c r="B5566" s="21"/>
      <c r="C5566">
        <v>8.3000000000000007</v>
      </c>
      <c r="D5566">
        <v>3</v>
      </c>
      <c r="E5566">
        <v>45</v>
      </c>
      <c r="F5566">
        <v>25</v>
      </c>
      <c r="G5566">
        <v>7</v>
      </c>
      <c r="H5566">
        <v>25</v>
      </c>
      <c r="I5566">
        <v>1.25</v>
      </c>
      <c r="J5566" s="1">
        <v>1125</v>
      </c>
    </row>
    <row r="5567" spans="1:10" ht="14.25" customHeight="1" x14ac:dyDescent="0.25">
      <c r="A5567" s="21">
        <v>53077</v>
      </c>
      <c r="B5567" s="21"/>
      <c r="C5567">
        <v>46.1</v>
      </c>
      <c r="D5567">
        <v>4.4000000000000004</v>
      </c>
      <c r="E5567">
        <v>95</v>
      </c>
      <c r="F5567">
        <v>113</v>
      </c>
      <c r="H5567">
        <v>113</v>
      </c>
      <c r="I5567">
        <v>1.87</v>
      </c>
      <c r="J5567" s="1">
        <v>3479</v>
      </c>
    </row>
    <row r="5568" spans="1:10" ht="14.25" customHeight="1" x14ac:dyDescent="0.25">
      <c r="A5568" s="21">
        <v>54003</v>
      </c>
      <c r="B5568" s="21"/>
      <c r="C5568">
        <v>91.8</v>
      </c>
      <c r="D5568">
        <v>4.5</v>
      </c>
      <c r="E5568">
        <v>329</v>
      </c>
      <c r="F5568">
        <v>146</v>
      </c>
      <c r="G5568">
        <v>20</v>
      </c>
      <c r="H5568">
        <v>146</v>
      </c>
      <c r="I5568">
        <v>1.47</v>
      </c>
      <c r="J5568" s="1">
        <v>7809</v>
      </c>
    </row>
    <row r="5569" spans="1:10" ht="14.25" customHeight="1" x14ac:dyDescent="0.25">
      <c r="A5569" s="21">
        <v>54011</v>
      </c>
      <c r="B5569" s="21"/>
      <c r="C5569">
        <v>233.4</v>
      </c>
      <c r="D5569">
        <v>5.9</v>
      </c>
      <c r="E5569">
        <v>531</v>
      </c>
      <c r="F5569">
        <v>330</v>
      </c>
      <c r="G5569">
        <v>20</v>
      </c>
      <c r="H5569">
        <v>330</v>
      </c>
      <c r="I5569">
        <v>1.83</v>
      </c>
      <c r="J5569" s="1">
        <v>15325</v>
      </c>
    </row>
    <row r="5570" spans="1:10" ht="14.25" customHeight="1" x14ac:dyDescent="0.25">
      <c r="A5570" s="21">
        <v>54011</v>
      </c>
      <c r="B5570" s="21"/>
      <c r="C5570">
        <v>243.9</v>
      </c>
      <c r="D5570">
        <v>5.7</v>
      </c>
      <c r="E5570">
        <v>384</v>
      </c>
      <c r="F5570">
        <v>349</v>
      </c>
      <c r="G5570">
        <v>12</v>
      </c>
      <c r="H5570">
        <v>349</v>
      </c>
      <c r="I5570">
        <v>1.85</v>
      </c>
      <c r="J5570" s="1">
        <v>15786</v>
      </c>
    </row>
    <row r="5571" spans="1:10" ht="14.25" customHeight="1" x14ac:dyDescent="0.25">
      <c r="A5571" s="21">
        <v>54025</v>
      </c>
      <c r="B5571" s="21"/>
      <c r="C5571">
        <v>31.2</v>
      </c>
      <c r="D5571">
        <v>4.3</v>
      </c>
      <c r="E5571">
        <v>167</v>
      </c>
      <c r="F5571">
        <v>92</v>
      </c>
      <c r="G5571">
        <v>12</v>
      </c>
      <c r="H5571">
        <v>92</v>
      </c>
      <c r="I5571">
        <v>1.42</v>
      </c>
      <c r="J5571" s="1">
        <v>2878</v>
      </c>
    </row>
    <row r="5572" spans="1:10" ht="14.25" customHeight="1" x14ac:dyDescent="0.25">
      <c r="A5572" s="21">
        <v>54029</v>
      </c>
      <c r="B5572" s="21"/>
      <c r="C5572">
        <v>54.1</v>
      </c>
      <c r="D5572">
        <v>4</v>
      </c>
      <c r="E5572">
        <v>186</v>
      </c>
      <c r="F5572">
        <v>127</v>
      </c>
      <c r="G5572">
        <v>10</v>
      </c>
      <c r="H5572">
        <v>127</v>
      </c>
      <c r="I5572">
        <v>1.51</v>
      </c>
      <c r="J5572" s="1">
        <v>5132</v>
      </c>
    </row>
    <row r="5573" spans="1:10" ht="14.25" customHeight="1" x14ac:dyDescent="0.25">
      <c r="A5573" s="21">
        <v>54033</v>
      </c>
      <c r="B5573" s="21"/>
      <c r="C5573">
        <v>147.19999999999999</v>
      </c>
      <c r="D5573">
        <v>4.7</v>
      </c>
      <c r="E5573">
        <v>345</v>
      </c>
      <c r="F5573">
        <v>232</v>
      </c>
      <c r="G5573">
        <v>20</v>
      </c>
      <c r="H5573">
        <v>232</v>
      </c>
      <c r="I5573">
        <v>1.59</v>
      </c>
      <c r="J5573" s="1">
        <v>12092</v>
      </c>
    </row>
    <row r="5574" spans="1:10" ht="14.25" customHeight="1" x14ac:dyDescent="0.25">
      <c r="A5574" s="21">
        <v>54039</v>
      </c>
      <c r="B5574" s="21"/>
      <c r="C5574">
        <v>545.6</v>
      </c>
      <c r="D5574">
        <v>5</v>
      </c>
      <c r="E5574" s="1">
        <v>1083</v>
      </c>
      <c r="F5574">
        <v>822</v>
      </c>
      <c r="G5574">
        <v>95</v>
      </c>
      <c r="H5574">
        <v>822</v>
      </c>
      <c r="I5574">
        <v>1.86</v>
      </c>
      <c r="J5574" s="1">
        <v>40662</v>
      </c>
    </row>
    <row r="5575" spans="1:10" ht="14.25" customHeight="1" x14ac:dyDescent="0.25">
      <c r="A5575" s="21">
        <v>54039</v>
      </c>
      <c r="B5575" s="21"/>
      <c r="C5575">
        <v>76.099999999999994</v>
      </c>
      <c r="D5575">
        <v>4.8</v>
      </c>
      <c r="E5575">
        <v>220</v>
      </c>
      <c r="F5575">
        <v>168</v>
      </c>
      <c r="H5575">
        <v>168</v>
      </c>
      <c r="I5575">
        <v>1.58</v>
      </c>
      <c r="J5575" s="1">
        <v>6532</v>
      </c>
    </row>
    <row r="5576" spans="1:10" ht="14.25" customHeight="1" x14ac:dyDescent="0.25">
      <c r="A5576" s="21">
        <v>54039</v>
      </c>
      <c r="B5576" s="21"/>
      <c r="C5576">
        <v>26.1</v>
      </c>
      <c r="D5576">
        <v>14.9</v>
      </c>
      <c r="E5576">
        <v>55</v>
      </c>
      <c r="F5576">
        <v>36</v>
      </c>
      <c r="H5576">
        <v>36</v>
      </c>
      <c r="I5576">
        <v>1.84</v>
      </c>
      <c r="J5576">
        <v>642</v>
      </c>
    </row>
    <row r="5577" spans="1:10" ht="14.25" customHeight="1" x14ac:dyDescent="0.25">
      <c r="A5577" s="21">
        <v>54039</v>
      </c>
      <c r="B5577" s="21"/>
      <c r="C5577">
        <v>1.5</v>
      </c>
      <c r="D5577">
        <v>1.8</v>
      </c>
      <c r="E5577">
        <v>38</v>
      </c>
      <c r="F5577">
        <v>8</v>
      </c>
      <c r="H5577">
        <v>8</v>
      </c>
      <c r="I5577">
        <v>2.06</v>
      </c>
      <c r="J5577">
        <v>311</v>
      </c>
    </row>
    <row r="5578" spans="1:10" ht="14.25" customHeight="1" x14ac:dyDescent="0.25">
      <c r="A5578" s="21">
        <v>54039</v>
      </c>
      <c r="B5578" s="21"/>
      <c r="H5578">
        <v>424</v>
      </c>
    </row>
    <row r="5579" spans="1:10" ht="14.25" customHeight="1" x14ac:dyDescent="0.25">
      <c r="A5579" s="21">
        <v>54041</v>
      </c>
      <c r="B5579" s="21"/>
      <c r="C5579">
        <v>14.3</v>
      </c>
      <c r="D5579">
        <v>3.7</v>
      </c>
      <c r="E5579">
        <v>49</v>
      </c>
      <c r="F5579">
        <v>70</v>
      </c>
      <c r="G5579">
        <v>6</v>
      </c>
      <c r="H5579">
        <v>70</v>
      </c>
      <c r="I5579">
        <v>1.41</v>
      </c>
      <c r="J5579" s="1">
        <v>1510</v>
      </c>
    </row>
    <row r="5580" spans="1:10" ht="14.25" customHeight="1" x14ac:dyDescent="0.25">
      <c r="A5580" s="21">
        <v>54045</v>
      </c>
      <c r="B5580" s="21"/>
      <c r="C5580">
        <v>54.8</v>
      </c>
      <c r="D5580">
        <v>4.5</v>
      </c>
      <c r="E5580">
        <v>100</v>
      </c>
      <c r="F5580">
        <v>132</v>
      </c>
      <c r="G5580">
        <v>12</v>
      </c>
      <c r="H5580">
        <v>132</v>
      </c>
      <c r="I5580">
        <v>1.34</v>
      </c>
      <c r="J5580" s="1">
        <v>4606</v>
      </c>
    </row>
    <row r="5581" spans="1:10" ht="14.25" customHeight="1" x14ac:dyDescent="0.25">
      <c r="A5581" s="21">
        <v>54047</v>
      </c>
      <c r="B5581" s="21"/>
      <c r="C5581">
        <v>6.3</v>
      </c>
      <c r="D5581">
        <v>3.9</v>
      </c>
      <c r="E5581">
        <v>31</v>
      </c>
      <c r="F5581">
        <v>49</v>
      </c>
      <c r="G5581">
        <v>7</v>
      </c>
      <c r="H5581">
        <v>49</v>
      </c>
      <c r="I5581">
        <v>0.95</v>
      </c>
      <c r="J5581">
        <v>593</v>
      </c>
    </row>
    <row r="5582" spans="1:10" ht="14.25" customHeight="1" x14ac:dyDescent="0.25">
      <c r="A5582" s="21">
        <v>54049</v>
      </c>
      <c r="B5582" s="21"/>
      <c r="C5582">
        <v>25.6</v>
      </c>
      <c r="D5582">
        <v>3.3</v>
      </c>
      <c r="E5582">
        <v>67</v>
      </c>
      <c r="I5582">
        <v>1.34</v>
      </c>
      <c r="J5582" s="1">
        <v>2868</v>
      </c>
    </row>
    <row r="5583" spans="1:10" ht="14.25" customHeight="1" x14ac:dyDescent="0.25">
      <c r="A5583" s="21">
        <v>54051</v>
      </c>
      <c r="B5583" s="21"/>
      <c r="C5583">
        <v>17.3</v>
      </c>
      <c r="D5583">
        <v>3.6</v>
      </c>
      <c r="E5583">
        <v>92</v>
      </c>
      <c r="F5583">
        <v>59</v>
      </c>
      <c r="G5583">
        <v>9</v>
      </c>
      <c r="H5583">
        <v>59</v>
      </c>
      <c r="I5583">
        <v>1.36</v>
      </c>
      <c r="J5583" s="1">
        <v>1745</v>
      </c>
    </row>
    <row r="5584" spans="1:10" ht="14.25" customHeight="1" x14ac:dyDescent="0.25">
      <c r="A5584" s="21">
        <v>54053</v>
      </c>
      <c r="B5584" s="21"/>
      <c r="C5584">
        <v>18.2</v>
      </c>
      <c r="D5584">
        <v>5.0999999999999996</v>
      </c>
      <c r="E5584">
        <v>78</v>
      </c>
      <c r="F5584">
        <v>49</v>
      </c>
      <c r="G5584">
        <v>5</v>
      </c>
      <c r="H5584">
        <v>49</v>
      </c>
      <c r="I5584">
        <v>1.1200000000000001</v>
      </c>
      <c r="J5584" s="1">
        <v>1350</v>
      </c>
    </row>
    <row r="5585" spans="1:10" ht="14.25" customHeight="1" x14ac:dyDescent="0.25">
      <c r="A5585" s="21">
        <v>54055</v>
      </c>
      <c r="B5585" s="21"/>
      <c r="C5585">
        <v>61</v>
      </c>
      <c r="D5585">
        <v>4</v>
      </c>
      <c r="E5585">
        <v>200</v>
      </c>
      <c r="F5585">
        <v>89</v>
      </c>
      <c r="H5585">
        <v>89</v>
      </c>
      <c r="I5585">
        <v>1.49</v>
      </c>
      <c r="J5585" s="1">
        <v>5947</v>
      </c>
    </row>
    <row r="5586" spans="1:10" ht="14.25" customHeight="1" x14ac:dyDescent="0.25">
      <c r="A5586" s="21">
        <v>54055</v>
      </c>
      <c r="B5586" s="21"/>
      <c r="C5586">
        <v>26.3</v>
      </c>
      <c r="D5586">
        <v>3.6</v>
      </c>
      <c r="E5586">
        <v>91</v>
      </c>
      <c r="F5586">
        <v>57</v>
      </c>
      <c r="G5586">
        <v>17</v>
      </c>
      <c r="H5586">
        <v>57</v>
      </c>
      <c r="I5586">
        <v>1.5</v>
      </c>
      <c r="J5586" s="1">
        <v>2962</v>
      </c>
    </row>
    <row r="5587" spans="1:10" ht="14.25" customHeight="1" x14ac:dyDescent="0.25">
      <c r="A5587" s="21">
        <v>54059</v>
      </c>
      <c r="B5587" s="21"/>
      <c r="C5587">
        <v>5.3</v>
      </c>
      <c r="D5587">
        <v>3.3</v>
      </c>
      <c r="F5587">
        <v>27</v>
      </c>
      <c r="G5587">
        <v>6</v>
      </c>
      <c r="I5587">
        <v>1.08</v>
      </c>
      <c r="J5587">
        <v>578</v>
      </c>
    </row>
    <row r="5588" spans="1:10" ht="14.25" customHeight="1" x14ac:dyDescent="0.25">
      <c r="A5588" s="21">
        <v>54061</v>
      </c>
      <c r="B5588" s="21"/>
      <c r="C5588">
        <v>80.599999999999994</v>
      </c>
      <c r="D5588">
        <v>3.7</v>
      </c>
      <c r="E5588">
        <v>265</v>
      </c>
      <c r="F5588">
        <v>189</v>
      </c>
      <c r="G5588">
        <v>26</v>
      </c>
      <c r="H5588">
        <v>189</v>
      </c>
      <c r="I5588">
        <v>1.75</v>
      </c>
      <c r="J5588" s="1">
        <v>8515</v>
      </c>
    </row>
    <row r="5589" spans="1:10" ht="14.25" customHeight="1" x14ac:dyDescent="0.25">
      <c r="A5589" s="21">
        <v>54061</v>
      </c>
      <c r="B5589" s="21"/>
      <c r="C5589">
        <v>536.1</v>
      </c>
      <c r="D5589">
        <v>6.5</v>
      </c>
      <c r="E5589" s="1">
        <v>1228</v>
      </c>
      <c r="F5589">
        <v>605</v>
      </c>
      <c r="G5589">
        <v>65</v>
      </c>
      <c r="H5589">
        <v>605</v>
      </c>
      <c r="I5589">
        <v>2.16</v>
      </c>
      <c r="J5589" s="1">
        <v>29374</v>
      </c>
    </row>
    <row r="5590" spans="1:10" ht="14.25" customHeight="1" x14ac:dyDescent="0.25">
      <c r="A5590" s="21">
        <v>54061</v>
      </c>
      <c r="B5590" s="21"/>
    </row>
    <row r="5591" spans="1:10" ht="14.25" customHeight="1" x14ac:dyDescent="0.25">
      <c r="A5591" s="21">
        <v>54069</v>
      </c>
      <c r="B5591" s="21"/>
      <c r="C5591">
        <v>134.5</v>
      </c>
      <c r="D5591">
        <v>5.0999999999999996</v>
      </c>
      <c r="E5591">
        <v>432</v>
      </c>
      <c r="F5591">
        <v>223</v>
      </c>
      <c r="G5591">
        <v>22</v>
      </c>
      <c r="H5591">
        <v>223</v>
      </c>
      <c r="I5591">
        <v>1.69</v>
      </c>
      <c r="J5591" s="1">
        <v>10237</v>
      </c>
    </row>
    <row r="5592" spans="1:10" ht="14.25" customHeight="1" x14ac:dyDescent="0.25">
      <c r="A5592" s="21">
        <v>54069</v>
      </c>
      <c r="B5592" s="21"/>
      <c r="C5592">
        <v>35.4</v>
      </c>
      <c r="D5592">
        <v>3.9</v>
      </c>
      <c r="I5592">
        <v>1.47</v>
      </c>
      <c r="J5592" s="1">
        <v>3442</v>
      </c>
    </row>
    <row r="5593" spans="1:10" ht="14.25" customHeight="1" x14ac:dyDescent="0.25">
      <c r="A5593" s="21">
        <v>54069</v>
      </c>
      <c r="B5593" s="21"/>
    </row>
    <row r="5594" spans="1:10" ht="14.25" customHeight="1" x14ac:dyDescent="0.25">
      <c r="A5594" s="21">
        <v>54079</v>
      </c>
      <c r="B5594" s="21"/>
      <c r="H5594">
        <v>70</v>
      </c>
    </row>
    <row r="5595" spans="1:10" ht="14.25" customHeight="1" x14ac:dyDescent="0.25">
      <c r="A5595" s="21">
        <v>54081</v>
      </c>
      <c r="B5595" s="21"/>
      <c r="C5595">
        <v>58.1</v>
      </c>
      <c r="D5595">
        <v>5.3</v>
      </c>
      <c r="E5595">
        <v>169</v>
      </c>
      <c r="F5595">
        <v>113</v>
      </c>
      <c r="G5595">
        <v>11</v>
      </c>
      <c r="H5595">
        <v>113</v>
      </c>
      <c r="I5595">
        <v>1.52</v>
      </c>
      <c r="J5595" s="1">
        <v>4012</v>
      </c>
    </row>
    <row r="5596" spans="1:10" ht="14.25" customHeight="1" x14ac:dyDescent="0.25">
      <c r="A5596" s="21">
        <v>54081</v>
      </c>
      <c r="B5596" s="21"/>
      <c r="C5596">
        <v>134.69999999999999</v>
      </c>
      <c r="D5596">
        <v>4.7</v>
      </c>
      <c r="E5596">
        <v>200</v>
      </c>
      <c r="F5596">
        <v>300</v>
      </c>
      <c r="G5596">
        <v>16</v>
      </c>
      <c r="H5596">
        <v>300</v>
      </c>
      <c r="I5596">
        <v>1.66</v>
      </c>
      <c r="J5596" s="1">
        <v>11220</v>
      </c>
    </row>
    <row r="5597" spans="1:10" ht="14.25" customHeight="1" x14ac:dyDescent="0.25">
      <c r="A5597" s="21">
        <v>54083</v>
      </c>
      <c r="B5597" s="21"/>
      <c r="C5597">
        <v>24.5</v>
      </c>
      <c r="D5597">
        <v>3.5</v>
      </c>
      <c r="E5597">
        <v>125</v>
      </c>
      <c r="F5597">
        <v>90</v>
      </c>
      <c r="H5597">
        <v>90</v>
      </c>
      <c r="I5597">
        <v>1.39</v>
      </c>
      <c r="J5597" s="1">
        <v>2705</v>
      </c>
    </row>
    <row r="5598" spans="1:10" ht="14.25" customHeight="1" x14ac:dyDescent="0.25">
      <c r="A5598" s="21">
        <v>54103</v>
      </c>
      <c r="B5598" s="21"/>
      <c r="C5598">
        <v>5.5</v>
      </c>
      <c r="D5598">
        <v>6.1</v>
      </c>
      <c r="E5598">
        <v>50</v>
      </c>
      <c r="F5598">
        <v>48</v>
      </c>
      <c r="G5598">
        <v>5</v>
      </c>
      <c r="H5598">
        <v>48</v>
      </c>
      <c r="I5598">
        <v>1.23</v>
      </c>
      <c r="J5598">
        <v>325</v>
      </c>
    </row>
    <row r="5599" spans="1:10" ht="14.25" customHeight="1" x14ac:dyDescent="0.25">
      <c r="A5599" s="21">
        <v>54107</v>
      </c>
      <c r="B5599" s="21"/>
      <c r="C5599">
        <v>129.1</v>
      </c>
      <c r="D5599">
        <v>4.4000000000000004</v>
      </c>
      <c r="E5599">
        <v>297</v>
      </c>
      <c r="F5599">
        <v>230</v>
      </c>
      <c r="G5599">
        <v>18</v>
      </c>
      <c r="H5599">
        <v>230</v>
      </c>
      <c r="I5599">
        <v>1.53</v>
      </c>
      <c r="J5599" s="1">
        <v>11491</v>
      </c>
    </row>
    <row r="5600" spans="1:10" ht="14.25" customHeight="1" x14ac:dyDescent="0.25">
      <c r="A5600" s="21">
        <v>54107</v>
      </c>
      <c r="B5600" s="21"/>
    </row>
    <row r="5601" spans="1:10" ht="14.25" customHeight="1" x14ac:dyDescent="0.25">
      <c r="A5601" s="21">
        <v>55005</v>
      </c>
      <c r="B5601" s="21"/>
      <c r="C5601">
        <v>15.8</v>
      </c>
      <c r="D5601">
        <v>3.2</v>
      </c>
      <c r="E5601">
        <v>136</v>
      </c>
      <c r="F5601">
        <v>40</v>
      </c>
      <c r="G5601">
        <v>5</v>
      </c>
      <c r="H5601">
        <v>40</v>
      </c>
      <c r="I5601">
        <v>1.36</v>
      </c>
      <c r="J5601" s="1">
        <v>2042</v>
      </c>
    </row>
    <row r="5602" spans="1:10" ht="14.25" customHeight="1" x14ac:dyDescent="0.25">
      <c r="A5602" s="21">
        <v>55009</v>
      </c>
      <c r="B5602" s="21"/>
      <c r="C5602">
        <v>72</v>
      </c>
      <c r="D5602">
        <v>3.7</v>
      </c>
      <c r="E5602">
        <v>603</v>
      </c>
      <c r="F5602">
        <v>161</v>
      </c>
      <c r="H5602">
        <v>161</v>
      </c>
      <c r="I5602">
        <v>2.11</v>
      </c>
      <c r="J5602" s="1">
        <v>7967</v>
      </c>
    </row>
    <row r="5603" spans="1:10" ht="14.25" customHeight="1" x14ac:dyDescent="0.25">
      <c r="A5603" s="21">
        <v>55009</v>
      </c>
      <c r="B5603" s="21"/>
      <c r="C5603">
        <v>128.6</v>
      </c>
      <c r="D5603">
        <v>4.8</v>
      </c>
      <c r="E5603">
        <v>437</v>
      </c>
      <c r="F5603">
        <v>223</v>
      </c>
      <c r="G5603">
        <v>24</v>
      </c>
      <c r="H5603">
        <v>223</v>
      </c>
      <c r="I5603">
        <v>2</v>
      </c>
      <c r="J5603" s="1">
        <v>10166</v>
      </c>
    </row>
    <row r="5604" spans="1:10" ht="14.25" customHeight="1" x14ac:dyDescent="0.25">
      <c r="A5604" s="21">
        <v>55009</v>
      </c>
      <c r="B5604" s="21"/>
      <c r="C5604">
        <v>33.299999999999997</v>
      </c>
      <c r="D5604">
        <v>3.7</v>
      </c>
      <c r="E5604">
        <v>84</v>
      </c>
      <c r="F5604">
        <v>83</v>
      </c>
      <c r="G5604">
        <v>8</v>
      </c>
      <c r="H5604">
        <v>83</v>
      </c>
      <c r="I5604">
        <v>1.54</v>
      </c>
      <c r="J5604" s="1">
        <v>3432</v>
      </c>
    </row>
    <row r="5605" spans="1:10" ht="14.25" customHeight="1" x14ac:dyDescent="0.25">
      <c r="A5605" s="21">
        <v>55009</v>
      </c>
      <c r="B5605" s="21"/>
      <c r="C5605">
        <v>112.4</v>
      </c>
      <c r="D5605">
        <v>4.5</v>
      </c>
      <c r="E5605">
        <v>374</v>
      </c>
      <c r="F5605">
        <v>161</v>
      </c>
      <c r="G5605">
        <v>24</v>
      </c>
      <c r="H5605">
        <v>161</v>
      </c>
      <c r="I5605">
        <v>2.0099999999999998</v>
      </c>
      <c r="J5605" s="1">
        <v>9697</v>
      </c>
    </row>
    <row r="5606" spans="1:10" ht="14.25" customHeight="1" x14ac:dyDescent="0.25">
      <c r="A5606" s="21">
        <v>55009</v>
      </c>
      <c r="B5606" s="21"/>
    </row>
    <row r="5607" spans="1:10" ht="14.25" customHeight="1" x14ac:dyDescent="0.25">
      <c r="A5607" s="21">
        <v>55017</v>
      </c>
      <c r="B5607" s="21"/>
      <c r="C5607">
        <v>33.4</v>
      </c>
      <c r="D5607">
        <v>4.3</v>
      </c>
      <c r="E5607">
        <v>103</v>
      </c>
      <c r="F5607">
        <v>102</v>
      </c>
      <c r="G5607">
        <v>6</v>
      </c>
      <c r="H5607">
        <v>102</v>
      </c>
      <c r="I5607">
        <v>1.28</v>
      </c>
      <c r="J5607" s="1">
        <v>2905</v>
      </c>
    </row>
    <row r="5608" spans="1:10" ht="14.25" customHeight="1" x14ac:dyDescent="0.25">
      <c r="A5608" s="21">
        <v>55021</v>
      </c>
      <c r="B5608" s="21"/>
      <c r="C5608">
        <v>14.5</v>
      </c>
      <c r="D5608">
        <v>3.3</v>
      </c>
      <c r="E5608">
        <v>148</v>
      </c>
      <c r="F5608">
        <v>43</v>
      </c>
      <c r="G5608">
        <v>6</v>
      </c>
      <c r="H5608">
        <v>43</v>
      </c>
      <c r="I5608">
        <v>1.38</v>
      </c>
      <c r="J5608" s="1">
        <v>1693</v>
      </c>
    </row>
    <row r="5609" spans="1:10" ht="14.25" customHeight="1" x14ac:dyDescent="0.25">
      <c r="A5609" s="21">
        <v>55025</v>
      </c>
      <c r="B5609" s="21"/>
      <c r="C5609">
        <v>462.8</v>
      </c>
      <c r="D5609">
        <v>5.2</v>
      </c>
      <c r="E5609" s="1">
        <v>1893</v>
      </c>
      <c r="F5609">
        <v>608</v>
      </c>
      <c r="H5609">
        <v>608</v>
      </c>
      <c r="I5609">
        <v>2.11</v>
      </c>
      <c r="J5609" s="1">
        <v>32219</v>
      </c>
    </row>
    <row r="5610" spans="1:10" ht="14.25" customHeight="1" x14ac:dyDescent="0.25">
      <c r="A5610" s="21">
        <v>55025</v>
      </c>
      <c r="B5610" s="21"/>
      <c r="C5610">
        <v>236.1</v>
      </c>
      <c r="D5610">
        <v>4.9000000000000004</v>
      </c>
      <c r="E5610">
        <v>733</v>
      </c>
      <c r="F5610">
        <v>342</v>
      </c>
      <c r="G5610">
        <v>12</v>
      </c>
      <c r="H5610">
        <v>342</v>
      </c>
      <c r="I5610">
        <v>1.97</v>
      </c>
      <c r="J5610" s="1">
        <v>18306</v>
      </c>
    </row>
    <row r="5611" spans="1:10" ht="14.25" customHeight="1" x14ac:dyDescent="0.25">
      <c r="A5611" s="21">
        <v>55025</v>
      </c>
      <c r="B5611" s="21"/>
      <c r="C5611">
        <v>162.9</v>
      </c>
      <c r="D5611">
        <v>4.5</v>
      </c>
      <c r="E5611">
        <v>375</v>
      </c>
      <c r="F5611">
        <v>275</v>
      </c>
      <c r="G5611">
        <v>16</v>
      </c>
      <c r="H5611">
        <v>275</v>
      </c>
      <c r="I5611">
        <v>1.61</v>
      </c>
      <c r="J5611" s="1">
        <v>15248</v>
      </c>
    </row>
    <row r="5612" spans="1:10" ht="14.25" customHeight="1" x14ac:dyDescent="0.25">
      <c r="A5612" s="21">
        <v>55025</v>
      </c>
      <c r="B5612" s="21"/>
      <c r="H5612">
        <v>56</v>
      </c>
    </row>
    <row r="5613" spans="1:10" ht="14.25" customHeight="1" x14ac:dyDescent="0.25">
      <c r="A5613" s="21">
        <v>55027</v>
      </c>
      <c r="B5613" s="21"/>
      <c r="C5613">
        <v>15.7</v>
      </c>
      <c r="D5613">
        <v>3.5</v>
      </c>
      <c r="E5613">
        <v>117</v>
      </c>
      <c r="F5613">
        <v>80</v>
      </c>
      <c r="G5613">
        <v>4</v>
      </c>
      <c r="H5613">
        <v>80</v>
      </c>
      <c r="I5613">
        <v>1.37</v>
      </c>
      <c r="J5613" s="1">
        <v>1741</v>
      </c>
    </row>
    <row r="5614" spans="1:10" ht="14.25" customHeight="1" x14ac:dyDescent="0.25">
      <c r="A5614" s="21">
        <v>55027</v>
      </c>
      <c r="B5614" s="21"/>
      <c r="C5614">
        <v>11.4</v>
      </c>
      <c r="D5614">
        <v>3.4</v>
      </c>
      <c r="E5614">
        <v>124</v>
      </c>
      <c r="F5614">
        <v>125</v>
      </c>
      <c r="G5614">
        <v>6</v>
      </c>
      <c r="H5614">
        <v>125</v>
      </c>
      <c r="I5614">
        <v>1.3</v>
      </c>
      <c r="J5614" s="1">
        <v>1380</v>
      </c>
    </row>
    <row r="5615" spans="1:10" ht="14.25" customHeight="1" x14ac:dyDescent="0.25">
      <c r="A5615" s="21">
        <v>55035</v>
      </c>
      <c r="B5615" s="21"/>
      <c r="C5615">
        <v>3.5</v>
      </c>
      <c r="D5615">
        <v>2</v>
      </c>
      <c r="E5615">
        <v>59</v>
      </c>
      <c r="F5615">
        <v>13</v>
      </c>
      <c r="H5615">
        <v>13</v>
      </c>
      <c r="I5615">
        <v>2.39</v>
      </c>
      <c r="J5615">
        <v>641</v>
      </c>
    </row>
    <row r="5616" spans="1:10" ht="14.25" customHeight="1" x14ac:dyDescent="0.25">
      <c r="A5616" s="21">
        <v>55035</v>
      </c>
      <c r="B5616" s="21"/>
      <c r="C5616">
        <v>126.6</v>
      </c>
      <c r="D5616">
        <v>4.5</v>
      </c>
      <c r="E5616">
        <v>490</v>
      </c>
      <c r="F5616">
        <v>193</v>
      </c>
      <c r="G5616">
        <v>26</v>
      </c>
      <c r="H5616">
        <v>193</v>
      </c>
      <c r="I5616">
        <v>1.91</v>
      </c>
      <c r="J5616" s="1">
        <v>10683</v>
      </c>
    </row>
    <row r="5617" spans="1:10" ht="14.25" customHeight="1" x14ac:dyDescent="0.25">
      <c r="A5617" s="21">
        <v>55035</v>
      </c>
      <c r="B5617" s="21"/>
      <c r="C5617">
        <v>86.7</v>
      </c>
      <c r="D5617">
        <v>4.7</v>
      </c>
      <c r="E5617">
        <v>179</v>
      </c>
      <c r="F5617">
        <v>168</v>
      </c>
      <c r="G5617">
        <v>14</v>
      </c>
      <c r="H5617">
        <v>168</v>
      </c>
      <c r="I5617">
        <v>1.8</v>
      </c>
      <c r="J5617" s="1">
        <v>7013</v>
      </c>
    </row>
    <row r="5618" spans="1:10" ht="14.25" customHeight="1" x14ac:dyDescent="0.25">
      <c r="A5618" s="21">
        <v>55035</v>
      </c>
      <c r="B5618" s="21"/>
      <c r="C5618">
        <v>28</v>
      </c>
      <c r="D5618">
        <v>3.9</v>
      </c>
      <c r="E5618">
        <v>134</v>
      </c>
      <c r="F5618">
        <v>44</v>
      </c>
      <c r="H5618">
        <v>44</v>
      </c>
      <c r="J5618" s="1">
        <v>2881</v>
      </c>
    </row>
    <row r="5619" spans="1:10" ht="14.25" customHeight="1" x14ac:dyDescent="0.25">
      <c r="A5619" s="21">
        <v>55039</v>
      </c>
      <c r="B5619" s="21"/>
      <c r="C5619">
        <v>56.9</v>
      </c>
      <c r="D5619">
        <v>4</v>
      </c>
      <c r="E5619">
        <v>276</v>
      </c>
      <c r="F5619">
        <v>115</v>
      </c>
      <c r="G5619">
        <v>12</v>
      </c>
      <c r="H5619">
        <v>115</v>
      </c>
      <c r="I5619">
        <v>1.71</v>
      </c>
      <c r="J5619" s="1">
        <v>5652</v>
      </c>
    </row>
    <row r="5620" spans="1:10" ht="14.25" customHeight="1" x14ac:dyDescent="0.25">
      <c r="A5620" s="21">
        <v>55045</v>
      </c>
      <c r="B5620" s="21"/>
      <c r="C5620">
        <v>23.7</v>
      </c>
      <c r="D5620">
        <v>3.8</v>
      </c>
      <c r="E5620">
        <v>159</v>
      </c>
      <c r="F5620">
        <v>58</v>
      </c>
      <c r="G5620">
        <v>6</v>
      </c>
      <c r="H5620">
        <v>58</v>
      </c>
      <c r="I5620">
        <v>1.54</v>
      </c>
      <c r="J5620" s="1">
        <v>2540</v>
      </c>
    </row>
    <row r="5621" spans="1:10" ht="14.25" customHeight="1" x14ac:dyDescent="0.25">
      <c r="A5621" s="21">
        <v>55055</v>
      </c>
      <c r="B5621" s="21"/>
      <c r="C5621">
        <v>12.3</v>
      </c>
      <c r="D5621">
        <v>3.4</v>
      </c>
      <c r="E5621">
        <v>169</v>
      </c>
      <c r="F5621">
        <v>49</v>
      </c>
      <c r="G5621">
        <v>4</v>
      </c>
      <c r="H5621">
        <v>49</v>
      </c>
      <c r="I5621">
        <v>1.59</v>
      </c>
      <c r="J5621" s="1">
        <v>1523</v>
      </c>
    </row>
    <row r="5622" spans="1:10" ht="14.25" customHeight="1" x14ac:dyDescent="0.25">
      <c r="A5622" s="21">
        <v>55057</v>
      </c>
      <c r="B5622" s="21"/>
      <c r="C5622">
        <v>7</v>
      </c>
      <c r="D5622">
        <v>3.2</v>
      </c>
      <c r="E5622">
        <v>77</v>
      </c>
      <c r="F5622">
        <v>40</v>
      </c>
      <c r="H5622">
        <v>40</v>
      </c>
      <c r="I5622">
        <v>1.3</v>
      </c>
      <c r="J5622">
        <v>879</v>
      </c>
    </row>
    <row r="5623" spans="1:10" ht="14.25" customHeight="1" x14ac:dyDescent="0.25">
      <c r="A5623" s="21">
        <v>55059</v>
      </c>
      <c r="B5623" s="21"/>
      <c r="C5623">
        <v>49.9</v>
      </c>
      <c r="D5623">
        <v>3.6</v>
      </c>
      <c r="E5623">
        <v>273</v>
      </c>
      <c r="F5623">
        <v>74</v>
      </c>
      <c r="G5623">
        <v>12</v>
      </c>
      <c r="H5623">
        <v>74</v>
      </c>
      <c r="I5623">
        <v>1.49</v>
      </c>
      <c r="J5623" s="1">
        <v>5593</v>
      </c>
    </row>
    <row r="5624" spans="1:10" ht="14.25" customHeight="1" x14ac:dyDescent="0.25">
      <c r="A5624" s="21">
        <v>55059</v>
      </c>
      <c r="B5624" s="21"/>
      <c r="C5624">
        <v>97.4</v>
      </c>
      <c r="D5624">
        <v>4.9000000000000004</v>
      </c>
      <c r="E5624">
        <v>251</v>
      </c>
      <c r="F5624">
        <v>200</v>
      </c>
      <c r="G5624">
        <v>15</v>
      </c>
      <c r="H5624">
        <v>200</v>
      </c>
      <c r="I5624">
        <v>1.48</v>
      </c>
      <c r="J5624" s="1">
        <v>7725</v>
      </c>
    </row>
    <row r="5625" spans="1:10" ht="14.25" customHeight="1" x14ac:dyDescent="0.25">
      <c r="A5625" s="21">
        <v>55059</v>
      </c>
      <c r="B5625" s="21"/>
    </row>
    <row r="5626" spans="1:10" ht="14.25" customHeight="1" x14ac:dyDescent="0.25">
      <c r="A5626" s="21">
        <v>55063</v>
      </c>
      <c r="B5626" s="21"/>
      <c r="C5626">
        <v>59.7</v>
      </c>
      <c r="D5626">
        <v>4.3</v>
      </c>
      <c r="E5626">
        <v>448</v>
      </c>
      <c r="F5626">
        <v>142</v>
      </c>
      <c r="G5626">
        <v>28</v>
      </c>
      <c r="H5626">
        <v>142</v>
      </c>
      <c r="I5626">
        <v>1.63</v>
      </c>
      <c r="J5626" s="1">
        <v>5383</v>
      </c>
    </row>
    <row r="5627" spans="1:10" ht="14.25" customHeight="1" x14ac:dyDescent="0.25">
      <c r="A5627" s="21">
        <v>55063</v>
      </c>
      <c r="B5627" s="21"/>
      <c r="C5627">
        <v>172.5</v>
      </c>
      <c r="D5627">
        <v>4.5</v>
      </c>
      <c r="E5627">
        <v>809</v>
      </c>
      <c r="F5627">
        <v>253</v>
      </c>
      <c r="G5627">
        <v>24</v>
      </c>
      <c r="H5627">
        <v>253</v>
      </c>
      <c r="I5627">
        <v>1.94</v>
      </c>
      <c r="J5627" s="1">
        <v>14532</v>
      </c>
    </row>
    <row r="5628" spans="1:10" ht="14.25" customHeight="1" x14ac:dyDescent="0.25">
      <c r="A5628" s="21">
        <v>55071</v>
      </c>
      <c r="B5628" s="21"/>
      <c r="C5628">
        <v>22.7</v>
      </c>
      <c r="D5628">
        <v>3.5</v>
      </c>
      <c r="E5628">
        <v>129</v>
      </c>
      <c r="F5628">
        <v>58</v>
      </c>
      <c r="G5628">
        <v>10</v>
      </c>
      <c r="H5628">
        <v>58</v>
      </c>
      <c r="I5628">
        <v>1.66</v>
      </c>
      <c r="J5628" s="1">
        <v>2493</v>
      </c>
    </row>
    <row r="5629" spans="1:10" ht="14.25" customHeight="1" x14ac:dyDescent="0.25">
      <c r="A5629" s="21">
        <v>55071</v>
      </c>
      <c r="B5629" s="21"/>
      <c r="C5629">
        <v>15.2</v>
      </c>
      <c r="D5629">
        <v>3</v>
      </c>
      <c r="E5629">
        <v>86</v>
      </c>
      <c r="F5629">
        <v>69</v>
      </c>
      <c r="G5629">
        <v>6</v>
      </c>
      <c r="H5629">
        <v>69</v>
      </c>
      <c r="I5629">
        <v>1.48</v>
      </c>
      <c r="J5629" s="1">
        <v>2074</v>
      </c>
    </row>
    <row r="5630" spans="1:10" ht="14.25" customHeight="1" x14ac:dyDescent="0.25">
      <c r="A5630" s="21">
        <v>55073</v>
      </c>
      <c r="B5630" s="21"/>
      <c r="C5630">
        <v>166.3</v>
      </c>
      <c r="D5630">
        <v>4.5</v>
      </c>
      <c r="E5630">
        <v>526</v>
      </c>
      <c r="F5630">
        <v>223</v>
      </c>
      <c r="G5630">
        <v>28</v>
      </c>
      <c r="H5630">
        <v>223</v>
      </c>
      <c r="I5630">
        <v>1.89</v>
      </c>
      <c r="J5630" s="1">
        <v>14241</v>
      </c>
    </row>
    <row r="5631" spans="1:10" ht="14.25" customHeight="1" x14ac:dyDescent="0.25">
      <c r="A5631" s="21">
        <v>55073</v>
      </c>
      <c r="B5631" s="21"/>
      <c r="C5631">
        <v>46.6</v>
      </c>
      <c r="D5631">
        <v>3.5</v>
      </c>
      <c r="E5631">
        <v>123</v>
      </c>
      <c r="F5631">
        <v>99</v>
      </c>
      <c r="G5631">
        <v>24</v>
      </c>
      <c r="H5631">
        <v>99</v>
      </c>
      <c r="I5631">
        <v>1.8</v>
      </c>
      <c r="J5631" s="1">
        <v>5089</v>
      </c>
    </row>
    <row r="5632" spans="1:10" ht="14.25" customHeight="1" x14ac:dyDescent="0.25">
      <c r="A5632" s="21">
        <v>55075</v>
      </c>
      <c r="B5632" s="21"/>
      <c r="C5632">
        <v>17.7</v>
      </c>
      <c r="D5632">
        <v>3.3</v>
      </c>
      <c r="E5632">
        <v>113</v>
      </c>
      <c r="F5632">
        <v>55</v>
      </c>
      <c r="G5632">
        <v>10</v>
      </c>
      <c r="H5632">
        <v>55</v>
      </c>
      <c r="I5632">
        <v>1.5</v>
      </c>
      <c r="J5632" s="1">
        <v>3132</v>
      </c>
    </row>
    <row r="5633" spans="1:10" ht="14.25" customHeight="1" x14ac:dyDescent="0.25">
      <c r="A5633" s="21">
        <v>55079</v>
      </c>
      <c r="B5633" s="21"/>
      <c r="C5633">
        <v>152.69999999999999</v>
      </c>
      <c r="D5633">
        <v>4.0999999999999996</v>
      </c>
      <c r="E5633">
        <v>525</v>
      </c>
      <c r="F5633">
        <v>325</v>
      </c>
      <c r="G5633">
        <v>42</v>
      </c>
      <c r="H5633">
        <v>325</v>
      </c>
      <c r="I5633">
        <v>1.66</v>
      </c>
      <c r="J5633" s="1">
        <v>14807</v>
      </c>
    </row>
    <row r="5634" spans="1:10" ht="14.25" customHeight="1" x14ac:dyDescent="0.25">
      <c r="A5634" s="21">
        <v>55079</v>
      </c>
      <c r="B5634" s="21"/>
      <c r="C5634">
        <v>610.70000000000005</v>
      </c>
      <c r="D5634">
        <v>5.7</v>
      </c>
      <c r="E5634" s="1">
        <v>1348</v>
      </c>
      <c r="F5634">
        <v>868</v>
      </c>
      <c r="G5634">
        <v>84</v>
      </c>
      <c r="H5634">
        <v>868</v>
      </c>
      <c r="I5634">
        <v>1.94</v>
      </c>
      <c r="J5634" s="1">
        <v>39683</v>
      </c>
    </row>
    <row r="5635" spans="1:10" ht="14.25" customHeight="1" x14ac:dyDescent="0.25">
      <c r="A5635" s="21">
        <v>55079</v>
      </c>
      <c r="B5635" s="21"/>
      <c r="C5635">
        <v>136.9</v>
      </c>
      <c r="D5635">
        <v>4.8</v>
      </c>
      <c r="E5635">
        <v>277</v>
      </c>
      <c r="F5635">
        <v>277</v>
      </c>
      <c r="G5635">
        <v>16</v>
      </c>
      <c r="H5635">
        <v>277</v>
      </c>
      <c r="I5635">
        <v>1.5</v>
      </c>
      <c r="J5635" s="1">
        <v>11864</v>
      </c>
    </row>
    <row r="5636" spans="1:10" ht="14.25" customHeight="1" x14ac:dyDescent="0.25">
      <c r="A5636" s="21">
        <v>55079</v>
      </c>
      <c r="B5636" s="21"/>
      <c r="C5636">
        <v>75.8</v>
      </c>
      <c r="D5636">
        <v>4.7</v>
      </c>
      <c r="E5636">
        <v>147</v>
      </c>
      <c r="F5636">
        <v>153</v>
      </c>
      <c r="G5636">
        <v>20</v>
      </c>
      <c r="H5636">
        <v>153</v>
      </c>
      <c r="I5636">
        <v>1.61</v>
      </c>
      <c r="J5636" s="1">
        <v>5933</v>
      </c>
    </row>
    <row r="5637" spans="1:10" ht="14.25" customHeight="1" x14ac:dyDescent="0.25">
      <c r="A5637" s="21">
        <v>55079</v>
      </c>
      <c r="B5637" s="21"/>
      <c r="C5637">
        <v>175.7</v>
      </c>
      <c r="D5637">
        <v>4.9000000000000004</v>
      </c>
      <c r="E5637">
        <v>594</v>
      </c>
      <c r="F5637">
        <v>263</v>
      </c>
      <c r="G5637">
        <v>36</v>
      </c>
      <c r="H5637">
        <v>263</v>
      </c>
      <c r="I5637">
        <v>1.77</v>
      </c>
      <c r="J5637" s="1">
        <v>14121</v>
      </c>
    </row>
    <row r="5638" spans="1:10" ht="14.25" customHeight="1" x14ac:dyDescent="0.25">
      <c r="A5638" s="21">
        <v>55079</v>
      </c>
      <c r="B5638" s="21"/>
      <c r="C5638">
        <v>468.7</v>
      </c>
      <c r="D5638">
        <v>5.8</v>
      </c>
      <c r="E5638" s="1">
        <v>1606</v>
      </c>
      <c r="F5638">
        <v>581</v>
      </c>
      <c r="G5638">
        <v>107</v>
      </c>
      <c r="H5638">
        <v>581</v>
      </c>
      <c r="I5638">
        <v>2.09</v>
      </c>
      <c r="J5638" s="1">
        <v>30235</v>
      </c>
    </row>
    <row r="5639" spans="1:10" ht="14.25" customHeight="1" x14ac:dyDescent="0.25">
      <c r="A5639" s="21">
        <v>55079</v>
      </c>
      <c r="B5639" s="21"/>
      <c r="C5639">
        <v>8.8000000000000007</v>
      </c>
      <c r="D5639">
        <v>2.2000000000000002</v>
      </c>
      <c r="E5639">
        <v>57</v>
      </c>
      <c r="F5639">
        <v>30</v>
      </c>
      <c r="H5639">
        <v>30</v>
      </c>
      <c r="I5639">
        <v>2.4</v>
      </c>
      <c r="J5639" s="1">
        <v>1486</v>
      </c>
    </row>
    <row r="5640" spans="1:10" ht="14.25" customHeight="1" x14ac:dyDescent="0.25">
      <c r="A5640" s="21">
        <v>55079</v>
      </c>
      <c r="B5640" s="21"/>
      <c r="C5640">
        <v>34.6</v>
      </c>
      <c r="D5640">
        <v>3.9</v>
      </c>
      <c r="E5640">
        <v>13</v>
      </c>
      <c r="F5640">
        <v>44</v>
      </c>
      <c r="G5640">
        <v>8</v>
      </c>
      <c r="H5640">
        <v>44</v>
      </c>
      <c r="I5640">
        <v>1.61</v>
      </c>
      <c r="J5640" s="1">
        <v>3240</v>
      </c>
    </row>
    <row r="5641" spans="1:10" ht="14.25" customHeight="1" x14ac:dyDescent="0.25">
      <c r="A5641" s="21">
        <v>55079</v>
      </c>
      <c r="B5641" s="21"/>
    </row>
    <row r="5642" spans="1:10" ht="14.25" customHeight="1" x14ac:dyDescent="0.25">
      <c r="A5642" s="21">
        <v>55079</v>
      </c>
      <c r="B5642" s="21"/>
      <c r="E5642">
        <v>10</v>
      </c>
      <c r="H5642">
        <v>228</v>
      </c>
    </row>
    <row r="5643" spans="1:10" ht="14.25" customHeight="1" x14ac:dyDescent="0.25">
      <c r="A5643" s="21">
        <v>55079</v>
      </c>
      <c r="B5643" s="21"/>
      <c r="H5643">
        <v>312</v>
      </c>
    </row>
    <row r="5644" spans="1:10" ht="14.25" customHeight="1" x14ac:dyDescent="0.25">
      <c r="A5644" s="21">
        <v>55079</v>
      </c>
      <c r="B5644" s="21"/>
      <c r="H5644">
        <v>167</v>
      </c>
    </row>
    <row r="5645" spans="1:10" ht="14.25" customHeight="1" x14ac:dyDescent="0.25">
      <c r="A5645" s="21">
        <v>55079</v>
      </c>
      <c r="B5645" s="21"/>
      <c r="C5645">
        <v>8.6</v>
      </c>
      <c r="D5645">
        <v>2</v>
      </c>
      <c r="E5645">
        <v>26</v>
      </c>
      <c r="F5645">
        <v>16</v>
      </c>
      <c r="H5645">
        <v>16</v>
      </c>
      <c r="I5645">
        <v>2.31</v>
      </c>
      <c r="J5645" s="1">
        <v>1588</v>
      </c>
    </row>
    <row r="5646" spans="1:10" ht="14.25" customHeight="1" x14ac:dyDescent="0.25">
      <c r="A5646" s="21">
        <v>55085</v>
      </c>
      <c r="B5646" s="21"/>
      <c r="C5646">
        <v>22.6</v>
      </c>
      <c r="D5646">
        <v>3.7</v>
      </c>
      <c r="E5646">
        <v>183</v>
      </c>
      <c r="F5646">
        <v>52</v>
      </c>
      <c r="G5646">
        <v>20</v>
      </c>
      <c r="H5646">
        <v>52</v>
      </c>
      <c r="I5646">
        <v>1.4</v>
      </c>
      <c r="J5646" s="1">
        <v>2440</v>
      </c>
    </row>
    <row r="5647" spans="1:10" ht="14.25" customHeight="1" x14ac:dyDescent="0.25">
      <c r="A5647" s="21">
        <v>55085</v>
      </c>
      <c r="B5647" s="21"/>
      <c r="C5647">
        <v>20.8</v>
      </c>
      <c r="D5647">
        <v>3.2</v>
      </c>
      <c r="E5647">
        <v>90</v>
      </c>
      <c r="F5647">
        <v>50</v>
      </c>
      <c r="G5647">
        <v>10</v>
      </c>
      <c r="H5647">
        <v>50</v>
      </c>
      <c r="I5647">
        <v>1.41</v>
      </c>
      <c r="J5647" s="1">
        <v>2514</v>
      </c>
    </row>
    <row r="5648" spans="1:10" ht="14.25" customHeight="1" x14ac:dyDescent="0.25">
      <c r="A5648" s="21">
        <v>55087</v>
      </c>
      <c r="B5648" s="21"/>
      <c r="C5648">
        <v>84.2</v>
      </c>
      <c r="D5648">
        <v>3.4</v>
      </c>
      <c r="E5648">
        <v>349</v>
      </c>
      <c r="F5648">
        <v>147</v>
      </c>
      <c r="G5648">
        <v>22</v>
      </c>
      <c r="H5648">
        <v>147</v>
      </c>
      <c r="I5648">
        <v>2.06</v>
      </c>
      <c r="J5648" s="1">
        <v>9770</v>
      </c>
    </row>
    <row r="5649" spans="1:10" ht="14.25" customHeight="1" x14ac:dyDescent="0.25">
      <c r="A5649" s="21">
        <v>55087</v>
      </c>
      <c r="B5649" s="21"/>
      <c r="C5649">
        <v>125</v>
      </c>
      <c r="D5649">
        <v>3.8</v>
      </c>
      <c r="E5649">
        <v>424</v>
      </c>
      <c r="F5649">
        <v>294</v>
      </c>
      <c r="G5649">
        <v>42</v>
      </c>
      <c r="H5649">
        <v>294</v>
      </c>
      <c r="I5649">
        <v>1.81</v>
      </c>
      <c r="J5649" s="1">
        <v>12822</v>
      </c>
    </row>
    <row r="5650" spans="1:10" ht="14.25" customHeight="1" x14ac:dyDescent="0.25">
      <c r="A5650" s="21">
        <v>55089</v>
      </c>
      <c r="B5650" s="21"/>
    </row>
    <row r="5651" spans="1:10" ht="14.25" customHeight="1" x14ac:dyDescent="0.25">
      <c r="A5651" s="21">
        <v>55089</v>
      </c>
      <c r="B5651" s="21"/>
      <c r="C5651">
        <v>56</v>
      </c>
      <c r="D5651">
        <v>4.0999999999999996</v>
      </c>
      <c r="E5651">
        <v>183</v>
      </c>
      <c r="F5651">
        <v>120</v>
      </c>
      <c r="G5651">
        <v>32</v>
      </c>
      <c r="H5651">
        <v>120</v>
      </c>
      <c r="I5651">
        <v>1.55</v>
      </c>
      <c r="J5651" s="1">
        <v>5203</v>
      </c>
    </row>
    <row r="5652" spans="1:10" ht="14.25" customHeight="1" x14ac:dyDescent="0.25">
      <c r="A5652" s="21">
        <v>55089</v>
      </c>
      <c r="B5652" s="21"/>
      <c r="C5652">
        <v>79.3</v>
      </c>
      <c r="D5652">
        <v>3.9</v>
      </c>
      <c r="E5652">
        <v>286</v>
      </c>
      <c r="F5652">
        <v>126</v>
      </c>
      <c r="G5652">
        <v>14</v>
      </c>
      <c r="H5652">
        <v>126</v>
      </c>
      <c r="I5652">
        <v>1.78</v>
      </c>
      <c r="J5652" s="1">
        <v>7878</v>
      </c>
    </row>
    <row r="5653" spans="1:10" ht="14.25" customHeight="1" x14ac:dyDescent="0.25">
      <c r="A5653" s="21">
        <v>55097</v>
      </c>
      <c r="B5653" s="21"/>
      <c r="C5653">
        <v>30.1</v>
      </c>
      <c r="D5653">
        <v>3</v>
      </c>
      <c r="E5653">
        <v>240</v>
      </c>
      <c r="F5653">
        <v>84</v>
      </c>
      <c r="G5653">
        <v>12</v>
      </c>
      <c r="H5653">
        <v>84</v>
      </c>
      <c r="I5653">
        <v>1.52</v>
      </c>
      <c r="J5653" s="1">
        <v>4004</v>
      </c>
    </row>
    <row r="5654" spans="1:10" ht="14.25" customHeight="1" x14ac:dyDescent="0.25">
      <c r="A5654" s="21">
        <v>55101</v>
      </c>
      <c r="B5654" s="21"/>
      <c r="C5654">
        <v>143.9</v>
      </c>
      <c r="D5654">
        <v>4.3</v>
      </c>
      <c r="E5654">
        <v>451</v>
      </c>
      <c r="F5654">
        <v>249</v>
      </c>
      <c r="G5654">
        <v>23</v>
      </c>
      <c r="H5654">
        <v>249</v>
      </c>
      <c r="I5654">
        <v>1.55</v>
      </c>
      <c r="J5654" s="1">
        <v>12995</v>
      </c>
    </row>
    <row r="5655" spans="1:10" ht="14.25" customHeight="1" x14ac:dyDescent="0.25">
      <c r="A5655" s="21">
        <v>55101</v>
      </c>
      <c r="B5655" s="21"/>
      <c r="C5655">
        <v>21</v>
      </c>
      <c r="D5655">
        <v>3.7</v>
      </c>
      <c r="E5655">
        <v>131</v>
      </c>
      <c r="F5655">
        <v>55</v>
      </c>
      <c r="G5655">
        <v>10</v>
      </c>
      <c r="H5655">
        <v>55</v>
      </c>
      <c r="I5655">
        <v>1.47</v>
      </c>
      <c r="J5655" s="1">
        <v>2049</v>
      </c>
    </row>
    <row r="5656" spans="1:10" ht="14.25" customHeight="1" x14ac:dyDescent="0.25">
      <c r="A5656" s="21">
        <v>55101</v>
      </c>
      <c r="B5656" s="21"/>
    </row>
    <row r="5657" spans="1:10" ht="14.25" customHeight="1" x14ac:dyDescent="0.25">
      <c r="A5657" s="21">
        <v>55105</v>
      </c>
      <c r="B5657" s="21"/>
      <c r="C5657">
        <v>78.7</v>
      </c>
      <c r="D5657">
        <v>4.4000000000000004</v>
      </c>
      <c r="E5657">
        <v>401</v>
      </c>
      <c r="F5657">
        <v>196</v>
      </c>
      <c r="G5657">
        <v>15</v>
      </c>
      <c r="H5657">
        <v>196</v>
      </c>
      <c r="I5657">
        <v>1.64</v>
      </c>
      <c r="J5657" s="1">
        <v>6990</v>
      </c>
    </row>
    <row r="5658" spans="1:10" ht="14.25" customHeight="1" x14ac:dyDescent="0.25">
      <c r="A5658" s="21">
        <v>55105</v>
      </c>
      <c r="B5658" s="21"/>
      <c r="C5658">
        <v>44.9</v>
      </c>
      <c r="D5658">
        <v>4</v>
      </c>
      <c r="E5658">
        <v>189</v>
      </c>
      <c r="F5658">
        <v>103</v>
      </c>
      <c r="G5658">
        <v>12</v>
      </c>
      <c r="H5658">
        <v>103</v>
      </c>
      <c r="I5658">
        <v>1.5</v>
      </c>
      <c r="J5658" s="1">
        <v>4352</v>
      </c>
    </row>
    <row r="5659" spans="1:10" ht="14.25" customHeight="1" x14ac:dyDescent="0.25">
      <c r="A5659" s="21">
        <v>55105</v>
      </c>
      <c r="B5659" s="21"/>
      <c r="C5659">
        <v>23.7</v>
      </c>
      <c r="D5659">
        <v>2.9</v>
      </c>
      <c r="E5659">
        <v>141</v>
      </c>
      <c r="F5659">
        <v>50</v>
      </c>
      <c r="G5659">
        <v>6</v>
      </c>
      <c r="H5659">
        <v>50</v>
      </c>
      <c r="I5659">
        <v>1.41</v>
      </c>
      <c r="J5659" s="1">
        <v>3286</v>
      </c>
    </row>
    <row r="5660" spans="1:10" ht="14.25" customHeight="1" x14ac:dyDescent="0.25">
      <c r="A5660" s="21">
        <v>55105</v>
      </c>
      <c r="B5660" s="21"/>
      <c r="H5660">
        <v>14</v>
      </c>
    </row>
    <row r="5661" spans="1:10" ht="14.25" customHeight="1" x14ac:dyDescent="0.25">
      <c r="A5661" s="21">
        <v>55111</v>
      </c>
      <c r="B5661" s="21"/>
      <c r="C5661">
        <v>8.5</v>
      </c>
      <c r="D5661">
        <v>2</v>
      </c>
      <c r="E5661">
        <v>101</v>
      </c>
      <c r="F5661">
        <v>36</v>
      </c>
      <c r="H5661">
        <v>36</v>
      </c>
      <c r="I5661">
        <v>1.77</v>
      </c>
      <c r="J5661" s="1">
        <v>1898</v>
      </c>
    </row>
    <row r="5662" spans="1:10" ht="14.25" customHeight="1" x14ac:dyDescent="0.25">
      <c r="A5662" s="21">
        <v>55111</v>
      </c>
      <c r="B5662" s="21"/>
      <c r="C5662">
        <v>16</v>
      </c>
      <c r="D5662">
        <v>2.9</v>
      </c>
      <c r="E5662">
        <v>131</v>
      </c>
      <c r="F5662">
        <v>43</v>
      </c>
      <c r="G5662">
        <v>6</v>
      </c>
      <c r="H5662">
        <v>43</v>
      </c>
      <c r="I5662">
        <v>1.26</v>
      </c>
      <c r="J5662" s="1">
        <v>2152</v>
      </c>
    </row>
    <row r="5663" spans="1:10" ht="14.25" customHeight="1" x14ac:dyDescent="0.25">
      <c r="A5663" s="21">
        <v>55117</v>
      </c>
      <c r="B5663" s="21"/>
      <c r="C5663">
        <v>17.2</v>
      </c>
      <c r="D5663">
        <v>3.5</v>
      </c>
      <c r="E5663">
        <v>156</v>
      </c>
      <c r="F5663">
        <v>53</v>
      </c>
      <c r="G5663">
        <v>7</v>
      </c>
      <c r="H5663">
        <v>53</v>
      </c>
      <c r="I5663">
        <v>1.47</v>
      </c>
      <c r="J5663" s="1">
        <v>1938</v>
      </c>
    </row>
    <row r="5664" spans="1:10" ht="14.25" customHeight="1" x14ac:dyDescent="0.25">
      <c r="A5664" s="21">
        <v>55117</v>
      </c>
      <c r="B5664" s="21"/>
      <c r="C5664">
        <v>48.8</v>
      </c>
      <c r="D5664">
        <v>3.5</v>
      </c>
      <c r="E5664">
        <v>167</v>
      </c>
      <c r="F5664">
        <v>136</v>
      </c>
      <c r="G5664">
        <v>6</v>
      </c>
      <c r="H5664">
        <v>136</v>
      </c>
      <c r="I5664">
        <v>1.62</v>
      </c>
      <c r="J5664" s="1">
        <v>5470</v>
      </c>
    </row>
    <row r="5665" spans="1:10" ht="14.25" customHeight="1" x14ac:dyDescent="0.25">
      <c r="A5665" s="21">
        <v>55127</v>
      </c>
      <c r="B5665" s="21"/>
      <c r="C5665">
        <v>23.4</v>
      </c>
      <c r="D5665">
        <v>3.6</v>
      </c>
      <c r="E5665">
        <v>77</v>
      </c>
      <c r="F5665">
        <v>54</v>
      </c>
      <c r="G5665">
        <v>12</v>
      </c>
      <c r="H5665">
        <v>54</v>
      </c>
      <c r="I5665">
        <v>1.39</v>
      </c>
      <c r="J5665" s="1">
        <v>2564</v>
      </c>
    </row>
    <row r="5666" spans="1:10" ht="14.25" customHeight="1" x14ac:dyDescent="0.25">
      <c r="A5666" s="21">
        <v>55131</v>
      </c>
      <c r="B5666" s="21"/>
      <c r="C5666">
        <v>35.9</v>
      </c>
      <c r="D5666">
        <v>3.5</v>
      </c>
      <c r="E5666">
        <v>150</v>
      </c>
      <c r="F5666">
        <v>70</v>
      </c>
      <c r="G5666">
        <v>6</v>
      </c>
      <c r="H5666">
        <v>70</v>
      </c>
      <c r="I5666">
        <v>1.45</v>
      </c>
      <c r="J5666" s="1">
        <v>4077</v>
      </c>
    </row>
    <row r="5667" spans="1:10" ht="14.25" customHeight="1" x14ac:dyDescent="0.25">
      <c r="A5667" s="21">
        <v>55131</v>
      </c>
      <c r="B5667" s="21"/>
      <c r="C5667">
        <v>14</v>
      </c>
      <c r="D5667">
        <v>3.1</v>
      </c>
      <c r="E5667">
        <v>114</v>
      </c>
      <c r="F5667">
        <v>35</v>
      </c>
      <c r="G5667">
        <v>6</v>
      </c>
      <c r="H5667">
        <v>35</v>
      </c>
      <c r="I5667">
        <v>1.39</v>
      </c>
      <c r="J5667" s="1">
        <v>1649</v>
      </c>
    </row>
    <row r="5668" spans="1:10" ht="14.25" customHeight="1" x14ac:dyDescent="0.25">
      <c r="A5668" s="21">
        <v>55133</v>
      </c>
      <c r="B5668" s="21"/>
      <c r="C5668">
        <v>134.6</v>
      </c>
      <c r="D5668">
        <v>4.2</v>
      </c>
      <c r="E5668">
        <v>678</v>
      </c>
      <c r="F5668">
        <v>240</v>
      </c>
      <c r="G5668">
        <v>24</v>
      </c>
      <c r="H5668">
        <v>240</v>
      </c>
      <c r="I5668">
        <v>1.69</v>
      </c>
      <c r="J5668" s="1">
        <v>12495</v>
      </c>
    </row>
    <row r="5669" spans="1:10" ht="14.25" customHeight="1" x14ac:dyDescent="0.25">
      <c r="A5669" s="21">
        <v>55133</v>
      </c>
      <c r="B5669" s="21"/>
      <c r="C5669">
        <v>25</v>
      </c>
      <c r="D5669">
        <v>3.4</v>
      </c>
      <c r="E5669">
        <v>49</v>
      </c>
      <c r="F5669">
        <v>58</v>
      </c>
      <c r="G5669">
        <v>11</v>
      </c>
      <c r="H5669">
        <v>58</v>
      </c>
      <c r="I5669">
        <v>1.55</v>
      </c>
      <c r="J5669" s="1">
        <v>2939</v>
      </c>
    </row>
    <row r="5670" spans="1:10" ht="14.25" customHeight="1" x14ac:dyDescent="0.25">
      <c r="A5670" s="21">
        <v>55133</v>
      </c>
      <c r="B5670" s="21"/>
      <c r="C5670">
        <v>80.099999999999994</v>
      </c>
      <c r="D5670">
        <v>3.6</v>
      </c>
      <c r="E5670">
        <v>235</v>
      </c>
      <c r="F5670">
        <v>169</v>
      </c>
      <c r="G5670">
        <v>15</v>
      </c>
      <c r="H5670">
        <v>169</v>
      </c>
      <c r="I5670">
        <v>1.66</v>
      </c>
      <c r="J5670" s="1">
        <v>8609</v>
      </c>
    </row>
    <row r="5671" spans="1:10" ht="14.25" customHeight="1" x14ac:dyDescent="0.25">
      <c r="A5671" s="21">
        <v>55133</v>
      </c>
      <c r="B5671" s="21"/>
      <c r="E5671">
        <v>7</v>
      </c>
    </row>
    <row r="5672" spans="1:10" ht="14.25" customHeight="1" x14ac:dyDescent="0.25">
      <c r="A5672" s="21">
        <v>55133</v>
      </c>
      <c r="B5672" s="21"/>
      <c r="C5672">
        <v>40.5</v>
      </c>
      <c r="D5672">
        <v>3.9</v>
      </c>
      <c r="E5672">
        <v>169</v>
      </c>
      <c r="F5672">
        <v>83</v>
      </c>
      <c r="G5672">
        <v>14</v>
      </c>
      <c r="H5672">
        <v>83</v>
      </c>
      <c r="I5672">
        <v>1.65</v>
      </c>
      <c r="J5672" s="1">
        <v>4135</v>
      </c>
    </row>
    <row r="5673" spans="1:10" ht="14.25" customHeight="1" x14ac:dyDescent="0.25">
      <c r="A5673" s="21">
        <v>55133</v>
      </c>
      <c r="B5673" s="21"/>
    </row>
    <row r="5674" spans="1:10" ht="14.25" customHeight="1" x14ac:dyDescent="0.25">
      <c r="A5674" s="21">
        <v>55133</v>
      </c>
      <c r="B5674" s="21"/>
    </row>
    <row r="5675" spans="1:10" ht="14.25" customHeight="1" x14ac:dyDescent="0.25">
      <c r="A5675" s="21">
        <v>55133</v>
      </c>
      <c r="B5675" s="21"/>
    </row>
    <row r="5676" spans="1:10" ht="14.25" customHeight="1" x14ac:dyDescent="0.25">
      <c r="A5676" s="21">
        <v>55139</v>
      </c>
      <c r="B5676" s="21"/>
      <c r="C5676">
        <v>28.3</v>
      </c>
      <c r="D5676">
        <v>3.6</v>
      </c>
      <c r="E5676">
        <v>221</v>
      </c>
      <c r="F5676">
        <v>72</v>
      </c>
      <c r="G5676">
        <v>12</v>
      </c>
      <c r="H5676">
        <v>72</v>
      </c>
      <c r="I5676">
        <v>1.67</v>
      </c>
      <c r="J5676" s="1">
        <v>3246</v>
      </c>
    </row>
    <row r="5677" spans="1:10" ht="14.25" customHeight="1" x14ac:dyDescent="0.25">
      <c r="A5677" s="21">
        <v>55139</v>
      </c>
      <c r="B5677" s="21"/>
      <c r="C5677">
        <v>80.400000000000006</v>
      </c>
      <c r="D5677">
        <v>3.2</v>
      </c>
      <c r="E5677">
        <v>536</v>
      </c>
      <c r="F5677">
        <v>139</v>
      </c>
      <c r="G5677">
        <v>14</v>
      </c>
      <c r="H5677">
        <v>139</v>
      </c>
      <c r="I5677">
        <v>1.88</v>
      </c>
      <c r="J5677" s="1">
        <v>9940</v>
      </c>
    </row>
    <row r="5678" spans="1:10" ht="14.25" customHeight="1" x14ac:dyDescent="0.25">
      <c r="A5678" s="21">
        <v>55139</v>
      </c>
      <c r="B5678" s="21"/>
      <c r="C5678">
        <v>35.9</v>
      </c>
      <c r="D5678">
        <v>3.7</v>
      </c>
      <c r="E5678">
        <v>6</v>
      </c>
      <c r="F5678">
        <v>104</v>
      </c>
      <c r="G5678">
        <v>12</v>
      </c>
      <c r="H5678">
        <v>104</v>
      </c>
      <c r="I5678">
        <v>1.74</v>
      </c>
      <c r="J5678" s="1">
        <v>3860</v>
      </c>
    </row>
    <row r="5679" spans="1:10" ht="14.25" customHeight="1" x14ac:dyDescent="0.25">
      <c r="A5679" s="21">
        <v>55139</v>
      </c>
      <c r="B5679" s="21"/>
      <c r="C5679">
        <v>8.8000000000000007</v>
      </c>
      <c r="D5679">
        <v>7.5</v>
      </c>
      <c r="J5679">
        <v>910</v>
      </c>
    </row>
    <row r="5680" spans="1:10" ht="14.25" customHeight="1" x14ac:dyDescent="0.25">
      <c r="A5680" s="21">
        <v>55141</v>
      </c>
      <c r="B5680" s="21"/>
      <c r="C5680">
        <v>176.5</v>
      </c>
      <c r="D5680">
        <v>5.7</v>
      </c>
      <c r="E5680">
        <v>528</v>
      </c>
      <c r="F5680">
        <v>201</v>
      </c>
      <c r="H5680">
        <v>201</v>
      </c>
      <c r="I5680">
        <v>1.91</v>
      </c>
      <c r="J5680" s="1">
        <v>11697</v>
      </c>
    </row>
    <row r="5681" spans="1:10" ht="14.25" customHeight="1" x14ac:dyDescent="0.25">
      <c r="A5681" s="21">
        <v>55141</v>
      </c>
      <c r="B5681" s="21"/>
      <c r="C5681">
        <v>25.2</v>
      </c>
      <c r="D5681">
        <v>3.3</v>
      </c>
      <c r="E5681">
        <v>143</v>
      </c>
      <c r="F5681">
        <v>45</v>
      </c>
      <c r="G5681">
        <v>4</v>
      </c>
      <c r="H5681">
        <v>45</v>
      </c>
      <c r="I5681">
        <v>1.59</v>
      </c>
      <c r="J5681" s="1">
        <v>3011</v>
      </c>
    </row>
    <row r="5682" spans="1:10" ht="14.25" customHeight="1" x14ac:dyDescent="0.25">
      <c r="A5682" s="21">
        <v>56001</v>
      </c>
      <c r="B5682" s="21"/>
      <c r="C5682">
        <v>12.6</v>
      </c>
      <c r="D5682">
        <v>3.4</v>
      </c>
      <c r="E5682">
        <v>93</v>
      </c>
      <c r="F5682">
        <v>66</v>
      </c>
      <c r="G5682">
        <v>4</v>
      </c>
      <c r="H5682">
        <v>66</v>
      </c>
      <c r="I5682">
        <v>1.47</v>
      </c>
      <c r="J5682" s="1">
        <v>1577</v>
      </c>
    </row>
    <row r="5683" spans="1:10" ht="14.25" customHeight="1" x14ac:dyDescent="0.25">
      <c r="A5683" s="21">
        <v>56005</v>
      </c>
      <c r="B5683" s="21"/>
      <c r="C5683">
        <v>17</v>
      </c>
      <c r="D5683">
        <v>3.4</v>
      </c>
      <c r="E5683">
        <v>148</v>
      </c>
      <c r="F5683">
        <v>66</v>
      </c>
      <c r="G5683">
        <v>14</v>
      </c>
      <c r="H5683">
        <v>66</v>
      </c>
      <c r="I5683">
        <v>1.67</v>
      </c>
      <c r="J5683" s="1">
        <v>2195</v>
      </c>
    </row>
    <row r="5684" spans="1:10" ht="14.25" customHeight="1" x14ac:dyDescent="0.25">
      <c r="A5684" s="21">
        <v>56013</v>
      </c>
      <c r="B5684" s="21"/>
    </row>
    <row r="5685" spans="1:10" ht="14.25" customHeight="1" x14ac:dyDescent="0.25">
      <c r="A5685" s="21">
        <v>56013</v>
      </c>
      <c r="B5685" s="21"/>
      <c r="C5685">
        <v>17.100000000000001</v>
      </c>
      <c r="D5685">
        <v>2.9</v>
      </c>
      <c r="E5685">
        <v>105</v>
      </c>
      <c r="F5685">
        <v>133</v>
      </c>
      <c r="G5685">
        <v>12</v>
      </c>
      <c r="H5685">
        <v>133</v>
      </c>
      <c r="I5685">
        <v>1.28</v>
      </c>
      <c r="J5685" s="1">
        <v>2389</v>
      </c>
    </row>
    <row r="5686" spans="1:10" ht="14.25" customHeight="1" x14ac:dyDescent="0.25">
      <c r="A5686" s="21">
        <v>56021</v>
      </c>
      <c r="B5686" s="21"/>
      <c r="C5686">
        <v>87.3</v>
      </c>
      <c r="D5686">
        <v>3.9</v>
      </c>
      <c r="E5686">
        <v>310</v>
      </c>
      <c r="F5686">
        <v>170</v>
      </c>
      <c r="G5686">
        <v>15</v>
      </c>
      <c r="H5686">
        <v>170</v>
      </c>
      <c r="I5686">
        <v>1.59</v>
      </c>
      <c r="J5686" s="1">
        <v>8673</v>
      </c>
    </row>
    <row r="5687" spans="1:10" ht="14.25" customHeight="1" x14ac:dyDescent="0.25">
      <c r="A5687" s="21">
        <v>56021</v>
      </c>
      <c r="B5687" s="21"/>
      <c r="E5687">
        <v>33</v>
      </c>
      <c r="H5687">
        <v>52</v>
      </c>
    </row>
    <row r="5688" spans="1:10" ht="14.25" customHeight="1" x14ac:dyDescent="0.25">
      <c r="A5688" s="21">
        <v>56025</v>
      </c>
      <c r="B5688" s="21"/>
      <c r="C5688">
        <v>2.7</v>
      </c>
      <c r="D5688">
        <v>2.6</v>
      </c>
      <c r="F5688">
        <v>23</v>
      </c>
      <c r="I5688">
        <v>2.5299999999999998</v>
      </c>
      <c r="J5688">
        <v>383</v>
      </c>
    </row>
    <row r="5689" spans="1:10" ht="14.25" customHeight="1" x14ac:dyDescent="0.25">
      <c r="A5689" s="21">
        <v>56025</v>
      </c>
      <c r="B5689" s="21"/>
      <c r="C5689">
        <v>97.9</v>
      </c>
      <c r="D5689">
        <v>4.0999999999999996</v>
      </c>
      <c r="E5689">
        <v>258</v>
      </c>
      <c r="F5689">
        <v>212</v>
      </c>
      <c r="G5689">
        <v>14</v>
      </c>
      <c r="H5689">
        <v>212</v>
      </c>
      <c r="I5689">
        <v>1.81</v>
      </c>
      <c r="J5689" s="1">
        <v>9119</v>
      </c>
    </row>
    <row r="5690" spans="1:10" ht="14.25" customHeight="1" x14ac:dyDescent="0.25">
      <c r="A5690" s="21">
        <v>56025</v>
      </c>
      <c r="B5690" s="21"/>
      <c r="E5690">
        <v>13</v>
      </c>
      <c r="H5690">
        <v>16</v>
      </c>
      <c r="I5690">
        <v>2.2000000000000002</v>
      </c>
    </row>
    <row r="5691" spans="1:10" ht="14.25" customHeight="1" x14ac:dyDescent="0.25">
      <c r="A5691" s="21">
        <v>56033</v>
      </c>
      <c r="B5691" s="21"/>
      <c r="C5691">
        <v>26.1</v>
      </c>
      <c r="D5691">
        <v>4.2</v>
      </c>
      <c r="E5691">
        <v>96</v>
      </c>
      <c r="F5691">
        <v>71</v>
      </c>
      <c r="G5691">
        <v>11</v>
      </c>
      <c r="H5691">
        <v>71</v>
      </c>
      <c r="I5691">
        <v>1.62</v>
      </c>
      <c r="J5691" s="1">
        <v>2332</v>
      </c>
    </row>
    <row r="5692" spans="1:10" ht="14.25" customHeight="1" x14ac:dyDescent="0.25">
      <c r="A5692" s="21">
        <v>56037</v>
      </c>
      <c r="B5692" s="21"/>
      <c r="C5692">
        <v>12.6</v>
      </c>
      <c r="D5692">
        <v>2.6</v>
      </c>
      <c r="E5692">
        <v>97</v>
      </c>
      <c r="F5692">
        <v>58</v>
      </c>
      <c r="G5692">
        <v>10</v>
      </c>
      <c r="H5692">
        <v>58</v>
      </c>
      <c r="I5692">
        <v>1.37</v>
      </c>
      <c r="J5692" s="1">
        <v>2024</v>
      </c>
    </row>
    <row r="5693" spans="1:10" ht="14.25" customHeight="1" x14ac:dyDescent="0.25">
      <c r="A5693" s="21">
        <v>56037</v>
      </c>
      <c r="B5693" s="21"/>
      <c r="E5693">
        <v>7</v>
      </c>
      <c r="H5693">
        <v>16</v>
      </c>
    </row>
    <row r="5694" spans="1:10" ht="14.25" customHeight="1" x14ac:dyDescent="0.25">
      <c r="A5694" s="21">
        <v>56039</v>
      </c>
      <c r="B5694" s="21"/>
      <c r="C5694">
        <v>17.2</v>
      </c>
      <c r="D5694">
        <v>4.2</v>
      </c>
      <c r="E5694">
        <v>154</v>
      </c>
      <c r="F5694">
        <v>48</v>
      </c>
      <c r="G5694">
        <v>6</v>
      </c>
      <c r="H5694">
        <v>48</v>
      </c>
      <c r="I5694">
        <v>1.61</v>
      </c>
      <c r="J5694" s="1">
        <v>1671</v>
      </c>
    </row>
    <row r="5695" spans="1:10" ht="14.25" customHeight="1" x14ac:dyDescent="0.25">
      <c r="A5695" s="21">
        <v>56041</v>
      </c>
      <c r="B5695" s="21"/>
      <c r="C5695">
        <v>4.0999999999999996</v>
      </c>
      <c r="D5695">
        <v>2.5</v>
      </c>
      <c r="E5695">
        <v>46</v>
      </c>
      <c r="F5695">
        <v>32</v>
      </c>
      <c r="G5695">
        <v>6</v>
      </c>
      <c r="H5695">
        <v>32</v>
      </c>
      <c r="I5695">
        <v>1.39</v>
      </c>
      <c r="J5695">
        <v>699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PIVOT</vt:lpstr>
      <vt:lpstr>Sheet1</vt:lpstr>
      <vt:lpstr>Sheet2</vt:lpstr>
      <vt:lpstr>Sheet3</vt:lpstr>
      <vt:lpstr>Hospital_Data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 Beauvais</dc:creator>
  <cp:lastModifiedBy>Lawrence Fulton</cp:lastModifiedBy>
  <dcterms:created xsi:type="dcterms:W3CDTF">2020-06-17T03:50:27Z</dcterms:created>
  <dcterms:modified xsi:type="dcterms:W3CDTF">2020-06-22T11:49:09Z</dcterms:modified>
</cp:coreProperties>
</file>