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clevel\Desktop\"/>
    </mc:Choice>
  </mc:AlternateContent>
  <bookViews>
    <workbookView xWindow="0" yWindow="0" windowWidth="22980" windowHeight="9030"/>
  </bookViews>
  <sheets>
    <sheet name="WB-EX1" sheetId="1" r:id="rId1"/>
    <sheet name="WB-EX2" sheetId="2" r:id="rId2"/>
    <sheet name="WB-EX3" sheetId="3" r:id="rId3"/>
    <sheet name="WB-EX4" sheetId="4" r:id="rId4"/>
    <sheet name="WB-EX5" sheetId="5" r:id="rId5"/>
    <sheet name="WB-EX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6" l="1"/>
  <c r="B16" i="6" s="1"/>
  <c r="B13" i="6"/>
  <c r="B14" i="6" s="1"/>
  <c r="B17" i="6" s="1"/>
  <c r="B18" i="6" s="1"/>
  <c r="B19" i="6" s="1"/>
  <c r="B11" i="5"/>
  <c r="B10" i="5"/>
  <c r="B12" i="5" s="1"/>
  <c r="B13" i="5" s="1"/>
  <c r="B15" i="5" s="1"/>
  <c r="B16" i="4"/>
  <c r="B17" i="4" s="1"/>
  <c r="B15" i="4"/>
  <c r="B13" i="4"/>
  <c r="B12" i="4"/>
  <c r="B11" i="4"/>
  <c r="B15" i="3"/>
  <c r="B14" i="3"/>
  <c r="B13" i="3"/>
  <c r="B12" i="3"/>
  <c r="B20" i="2"/>
  <c r="B19" i="2"/>
  <c r="B18" i="2"/>
  <c r="B17" i="2"/>
  <c r="B16" i="2"/>
  <c r="B15" i="2"/>
  <c r="B14" i="2"/>
  <c r="B24" i="1"/>
  <c r="B25" i="1" s="1"/>
  <c r="B22" i="1"/>
  <c r="B21" i="1"/>
  <c r="B20" i="1"/>
  <c r="B19" i="1"/>
  <c r="B18" i="1"/>
  <c r="B14" i="5" l="1"/>
</calcChain>
</file>

<file path=xl/sharedStrings.xml><?xml version="1.0" encoding="utf-8"?>
<sst xmlns="http://schemas.openxmlformats.org/spreadsheetml/2006/main" count="187" uniqueCount="100">
  <si>
    <t>Betws-y-Coed Watershed Water Balance</t>
  </si>
  <si>
    <t>Quantity</t>
  </si>
  <si>
    <t>Value</t>
  </si>
  <si>
    <t>Units</t>
  </si>
  <si>
    <t>Area</t>
  </si>
  <si>
    <t>km²</t>
  </si>
  <si>
    <t>Precipitation</t>
  </si>
  <si>
    <t>mm</t>
  </si>
  <si>
    <t>Evapotranspiration</t>
  </si>
  <si>
    <t>Infiltration</t>
  </si>
  <si>
    <t>Storage</t>
  </si>
  <si>
    <t>-</t>
  </si>
  <si>
    <t>Water demand per person</t>
  </si>
  <si>
    <t>liters/day</t>
  </si>
  <si>
    <t>Known:</t>
  </si>
  <si>
    <t>`~0</t>
  </si>
  <si>
    <t>Method(s):</t>
  </si>
  <si>
    <t>Water Budget</t>
  </si>
  <si>
    <t>Excess=P-ET-I</t>
  </si>
  <si>
    <t>Convert</t>
  </si>
  <si>
    <t>Formula:</t>
  </si>
  <si>
    <t>1000mm=1m</t>
  </si>
  <si>
    <t>km^2=1e6 m^2</t>
  </si>
  <si>
    <t>Unknowns:</t>
  </si>
  <si>
    <t>Excess</t>
  </si>
  <si>
    <t>m</t>
  </si>
  <si>
    <t>Volume</t>
  </si>
  <si>
    <t>m^2</t>
  </si>
  <si>
    <t>m^3</t>
  </si>
  <si>
    <t>Volume (liters)</t>
  </si>
  <si>
    <t>liters</t>
  </si>
  <si>
    <t>Water Use (lpc)</t>
  </si>
  <si>
    <t>liters/person</t>
  </si>
  <si>
    <t>Period</t>
  </si>
  <si>
    <t>days</t>
  </si>
  <si>
    <t>Sustainable Popn.</t>
  </si>
  <si>
    <t>people</t>
  </si>
  <si>
    <t>River-Reach Storage Change</t>
  </si>
  <si>
    <t>Initial storage</t>
  </si>
  <si>
    <t>acre-feet</t>
  </si>
  <si>
    <t>Inflow at t₀</t>
  </si>
  <si>
    <t>cfs</t>
  </si>
  <si>
    <t>Outflow at t₀</t>
  </si>
  <si>
    <t>Inflow at t₁</t>
  </si>
  <si>
    <t>Outflow at t₁</t>
  </si>
  <si>
    <t>Time interval</t>
  </si>
  <si>
    <t>hours</t>
  </si>
  <si>
    <t>Unknown(s)</t>
  </si>
  <si>
    <t>Average Inflow</t>
  </si>
  <si>
    <t>Average Outflow</t>
  </si>
  <si>
    <t>Net Flow Rate</t>
  </si>
  <si>
    <t>Elapsed Time</t>
  </si>
  <si>
    <t>seconds</t>
  </si>
  <si>
    <t>Change in Storage</t>
  </si>
  <si>
    <t>cubic-feet</t>
  </si>
  <si>
    <t>Reach Storage (end of interval)</t>
  </si>
  <si>
    <t>Time to Deplete Reservoir</t>
  </si>
  <si>
    <t>Reservoir surface area</t>
  </si>
  <si>
    <t>acres</t>
  </si>
  <si>
    <t>Initial water depth</t>
  </si>
  <si>
    <t>feet</t>
  </si>
  <si>
    <t>Evaporation loss rate</t>
  </si>
  <si>
    <t>inches/week</t>
  </si>
  <si>
    <t>Irrigation demand</t>
  </si>
  <si>
    <t>acre-ft/day</t>
  </si>
  <si>
    <t>Volume Initial</t>
  </si>
  <si>
    <t>Evaporation Loss</t>
  </si>
  <si>
    <t>acre-feet/week</t>
  </si>
  <si>
    <t>Irrigation Loss</t>
  </si>
  <si>
    <t>Time to Depletion</t>
  </si>
  <si>
    <t>weeks</t>
  </si>
  <si>
    <t>Streamflow from Precipitation</t>
  </si>
  <si>
    <t>Watershed area</t>
  </si>
  <si>
    <t>square miles</t>
  </si>
  <si>
    <t>Mean annual precipitation</t>
  </si>
  <si>
    <t>inches/year</t>
  </si>
  <si>
    <t>Runoff coefficient</t>
  </si>
  <si>
    <t>Unknown:</t>
  </si>
  <si>
    <t>Mean Streamflow Rate</t>
  </si>
  <si>
    <t>acre-ft/year</t>
  </si>
  <si>
    <t>cms</t>
  </si>
  <si>
    <t>Precipitation Depth</t>
  </si>
  <si>
    <t>Precipitation Volume</t>
  </si>
  <si>
    <t>Precipitation Volume over an Area (various units)</t>
  </si>
  <si>
    <t>km</t>
  </si>
  <si>
    <t>Rainfall Volume</t>
  </si>
  <si>
    <t>gallons (US)</t>
  </si>
  <si>
    <t>acre-ft</t>
  </si>
  <si>
    <t>ft^3</t>
  </si>
  <si>
    <t>hectares</t>
  </si>
  <si>
    <t>River Inflow</t>
  </si>
  <si>
    <t>River Outflow</t>
  </si>
  <si>
    <t>A River Runs Through It</t>
  </si>
  <si>
    <t>Annual Storage Change</t>
  </si>
  <si>
    <t>m^3/s</t>
  </si>
  <si>
    <t>Unknown(s):</t>
  </si>
  <si>
    <t>Precip Volume</t>
  </si>
  <si>
    <t>River Inflow-Outflow</t>
  </si>
  <si>
    <t>Evaporation</t>
  </si>
  <si>
    <t>Evaporation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</si>
</sst>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  <xf numFmtId="2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169" fontId="2" fillId="0" borderId="0" xfId="0" applyNumberFormat="1" applyFont="1" applyAlignment="1">
      <alignment horizontal="right" vertical="top"/>
    </xf>
    <xf numFmtId="0" fontId="0" fillId="0" borderId="0" xfId="0" applyAlignment="1">
      <alignment horizontal="right" vertical="top"/>
    </xf>
    <xf numFmtId="11" fontId="0" fillId="0" borderId="0" xfId="0" applyNumberFormat="1" applyAlignment="1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showFormulas="1" tabSelected="1" workbookViewId="0">
      <selection activeCell="D17" sqref="D17"/>
    </sheetView>
  </sheetViews>
  <sheetFormatPr defaultRowHeight="15" x14ac:dyDescent="0.25"/>
  <cols>
    <col min="1" max="1" width="24.28515625" customWidth="1"/>
    <col min="2" max="2" width="21.85546875" customWidth="1"/>
    <col min="3" max="3" width="14.7109375" customWidth="1"/>
  </cols>
  <sheetData>
    <row r="1" spans="1:3" x14ac:dyDescent="0.25">
      <c r="A1" t="s">
        <v>0</v>
      </c>
    </row>
    <row r="3" spans="1:3" x14ac:dyDescent="0.25">
      <c r="A3" s="5" t="s">
        <v>14</v>
      </c>
    </row>
    <row r="4" spans="1:3" ht="15.75" thickBot="1" x14ac:dyDescent="0.3">
      <c r="A4" s="2" t="s">
        <v>1</v>
      </c>
      <c r="B4" s="2" t="s">
        <v>2</v>
      </c>
      <c r="C4" s="2" t="s">
        <v>3</v>
      </c>
    </row>
    <row r="5" spans="1:3" ht="15.75" thickTop="1" x14ac:dyDescent="0.25">
      <c r="A5" s="3" t="s">
        <v>4</v>
      </c>
      <c r="B5" s="3">
        <v>65</v>
      </c>
      <c r="C5" s="3" t="s">
        <v>5</v>
      </c>
    </row>
    <row r="6" spans="1:3" x14ac:dyDescent="0.25">
      <c r="A6" s="3" t="s">
        <v>6</v>
      </c>
      <c r="B6" s="3">
        <v>254</v>
      </c>
      <c r="C6" s="3" t="s">
        <v>7</v>
      </c>
    </row>
    <row r="7" spans="1:3" x14ac:dyDescent="0.25">
      <c r="A7" s="3" t="s">
        <v>8</v>
      </c>
      <c r="B7" s="3">
        <v>85</v>
      </c>
      <c r="C7" s="3" t="s">
        <v>7</v>
      </c>
    </row>
    <row r="8" spans="1:3" x14ac:dyDescent="0.25">
      <c r="A8" s="3" t="s">
        <v>9</v>
      </c>
      <c r="B8" s="3">
        <v>20</v>
      </c>
      <c r="C8" s="3" t="s">
        <v>7</v>
      </c>
    </row>
    <row r="9" spans="1:3" x14ac:dyDescent="0.25">
      <c r="A9" s="3" t="s">
        <v>10</v>
      </c>
      <c r="B9" s="4" t="s">
        <v>15</v>
      </c>
      <c r="C9" s="3"/>
    </row>
    <row r="10" spans="1:3" ht="30" x14ac:dyDescent="0.25">
      <c r="A10" s="3" t="s">
        <v>12</v>
      </c>
      <c r="B10" s="3">
        <v>160</v>
      </c>
      <c r="C10" s="3" t="s">
        <v>13</v>
      </c>
    </row>
    <row r="11" spans="1:3" ht="15" customHeight="1" x14ac:dyDescent="0.25"/>
    <row r="12" spans="1:3" x14ac:dyDescent="0.25">
      <c r="A12" s="3" t="s">
        <v>16</v>
      </c>
      <c r="B12" t="s">
        <v>20</v>
      </c>
    </row>
    <row r="13" spans="1:3" x14ac:dyDescent="0.25">
      <c r="A13" s="3" t="s">
        <v>17</v>
      </c>
      <c r="B13" t="s">
        <v>18</v>
      </c>
    </row>
    <row r="14" spans="1:3" x14ac:dyDescent="0.25">
      <c r="A14" s="3" t="s">
        <v>19</v>
      </c>
      <c r="B14" t="s">
        <v>21</v>
      </c>
    </row>
    <row r="15" spans="1:3" x14ac:dyDescent="0.25">
      <c r="A15" s="3" t="s">
        <v>19</v>
      </c>
      <c r="B15" t="s">
        <v>22</v>
      </c>
    </row>
    <row r="17" spans="1:3" x14ac:dyDescent="0.25">
      <c r="A17" s="6" t="s">
        <v>23</v>
      </c>
    </row>
    <row r="18" spans="1:3" x14ac:dyDescent="0.25">
      <c r="A18" s="3" t="s">
        <v>24</v>
      </c>
      <c r="B18">
        <f>B6-B7-B8</f>
        <v>149</v>
      </c>
      <c r="C18" t="s">
        <v>7</v>
      </c>
    </row>
    <row r="19" spans="1:3" x14ac:dyDescent="0.25">
      <c r="A19" s="3" t="s">
        <v>24</v>
      </c>
      <c r="B19">
        <f>B18*(1/1000)</f>
        <v>0.14899999999999999</v>
      </c>
      <c r="C19" t="s">
        <v>25</v>
      </c>
    </row>
    <row r="20" spans="1:3" x14ac:dyDescent="0.25">
      <c r="A20" s="3" t="s">
        <v>4</v>
      </c>
      <c r="B20">
        <f>B5*1000000</f>
        <v>65000000</v>
      </c>
      <c r="C20" t="s">
        <v>27</v>
      </c>
    </row>
    <row r="21" spans="1:3" x14ac:dyDescent="0.25">
      <c r="A21" s="3" t="s">
        <v>26</v>
      </c>
      <c r="B21">
        <f>B20*B19</f>
        <v>9685000</v>
      </c>
      <c r="C21" t="s">
        <v>28</v>
      </c>
    </row>
    <row r="22" spans="1:3" x14ac:dyDescent="0.25">
      <c r="A22" s="3" t="s">
        <v>29</v>
      </c>
      <c r="B22">
        <f>B21*1000</f>
        <v>9685000000</v>
      </c>
      <c r="C22" t="s">
        <v>30</v>
      </c>
    </row>
    <row r="23" spans="1:3" x14ac:dyDescent="0.25">
      <c r="A23" s="3" t="s">
        <v>33</v>
      </c>
      <c r="B23">
        <v>60</v>
      </c>
      <c r="C23" t="s">
        <v>34</v>
      </c>
    </row>
    <row r="24" spans="1:3" x14ac:dyDescent="0.25">
      <c r="A24" s="3" t="s">
        <v>31</v>
      </c>
      <c r="B24">
        <f>B10*B23</f>
        <v>9600</v>
      </c>
      <c r="C24" t="s">
        <v>32</v>
      </c>
    </row>
    <row r="25" spans="1:3" x14ac:dyDescent="0.25">
      <c r="A25" s="3" t="s">
        <v>35</v>
      </c>
      <c r="B25">
        <f>INT(B22/B24)</f>
        <v>1008854</v>
      </c>
      <c r="C2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Formulas="1" workbookViewId="0">
      <selection activeCell="E15" sqref="E15"/>
    </sheetView>
  </sheetViews>
  <sheetFormatPr defaultRowHeight="15" x14ac:dyDescent="0.25"/>
  <cols>
    <col min="1" max="1" width="36.28515625" customWidth="1"/>
    <col min="3" max="3" width="15" customWidth="1"/>
  </cols>
  <sheetData>
    <row r="1" spans="1:3" x14ac:dyDescent="0.25">
      <c r="A1" t="s">
        <v>37</v>
      </c>
    </row>
    <row r="3" spans="1:3" x14ac:dyDescent="0.25">
      <c r="A3" s="5" t="s">
        <v>14</v>
      </c>
    </row>
    <row r="4" spans="1:3" ht="15.75" thickBot="1" x14ac:dyDescent="0.3">
      <c r="A4" s="8" t="s">
        <v>1</v>
      </c>
      <c r="B4" s="8" t="s">
        <v>2</v>
      </c>
      <c r="C4" s="8" t="s">
        <v>3</v>
      </c>
    </row>
    <row r="5" spans="1:3" s="7" customFormat="1" ht="15.75" thickTop="1" x14ac:dyDescent="0.25">
      <c r="A5" s="3" t="s">
        <v>38</v>
      </c>
      <c r="B5" s="3">
        <v>55.3</v>
      </c>
      <c r="C5" s="3" t="s">
        <v>39</v>
      </c>
    </row>
    <row r="6" spans="1:3" s="7" customFormat="1" x14ac:dyDescent="0.25">
      <c r="A6" s="3" t="s">
        <v>40</v>
      </c>
      <c r="B6" s="3">
        <v>375</v>
      </c>
      <c r="C6" s="3" t="s">
        <v>41</v>
      </c>
    </row>
    <row r="7" spans="1:3" s="7" customFormat="1" x14ac:dyDescent="0.25">
      <c r="A7" s="3" t="s">
        <v>42</v>
      </c>
      <c r="B7" s="3">
        <v>563</v>
      </c>
      <c r="C7" s="3" t="s">
        <v>41</v>
      </c>
    </row>
    <row r="8" spans="1:3" s="7" customFormat="1" x14ac:dyDescent="0.25">
      <c r="A8" s="3" t="s">
        <v>43</v>
      </c>
      <c r="B8" s="3">
        <v>600</v>
      </c>
      <c r="C8" s="3" t="s">
        <v>41</v>
      </c>
    </row>
    <row r="9" spans="1:3" s="7" customFormat="1" x14ac:dyDescent="0.25">
      <c r="A9" s="3" t="s">
        <v>44</v>
      </c>
      <c r="B9" s="3">
        <v>675</v>
      </c>
      <c r="C9" s="3" t="s">
        <v>41</v>
      </c>
    </row>
    <row r="10" spans="1:3" s="7" customFormat="1" x14ac:dyDescent="0.25">
      <c r="A10" s="3" t="s">
        <v>45</v>
      </c>
      <c r="B10" s="3">
        <v>2</v>
      </c>
      <c r="C10" s="3" t="s">
        <v>46</v>
      </c>
    </row>
    <row r="12" spans="1:3" x14ac:dyDescent="0.25">
      <c r="A12" s="5" t="s">
        <v>47</v>
      </c>
    </row>
    <row r="13" spans="1:3" ht="15.75" thickBot="1" x14ac:dyDescent="0.3">
      <c r="A13" s="8" t="s">
        <v>1</v>
      </c>
      <c r="B13" s="8" t="s">
        <v>2</v>
      </c>
      <c r="C13" s="8" t="s">
        <v>3</v>
      </c>
    </row>
    <row r="14" spans="1:3" ht="15.75" thickTop="1" x14ac:dyDescent="0.25">
      <c r="A14" t="s">
        <v>48</v>
      </c>
      <c r="B14">
        <f>AVERAGE(B6,B8)</f>
        <v>487.5</v>
      </c>
      <c r="C14" t="s">
        <v>41</v>
      </c>
    </row>
    <row r="15" spans="1:3" x14ac:dyDescent="0.25">
      <c r="A15" t="s">
        <v>49</v>
      </c>
      <c r="B15">
        <f>AVERAGE(B7,B9)</f>
        <v>619</v>
      </c>
      <c r="C15" t="s">
        <v>41</v>
      </c>
    </row>
    <row r="16" spans="1:3" x14ac:dyDescent="0.25">
      <c r="A16" t="s">
        <v>50</v>
      </c>
      <c r="B16">
        <f>B14-B15</f>
        <v>-131.5</v>
      </c>
      <c r="C16" t="s">
        <v>41</v>
      </c>
    </row>
    <row r="17" spans="1:3" x14ac:dyDescent="0.25">
      <c r="A17" t="s">
        <v>51</v>
      </c>
      <c r="B17">
        <f>3600*B10</f>
        <v>7200</v>
      </c>
      <c r="C17" t="s">
        <v>52</v>
      </c>
    </row>
    <row r="18" spans="1:3" x14ac:dyDescent="0.25">
      <c r="A18" t="s">
        <v>53</v>
      </c>
      <c r="B18">
        <f>B16*B17</f>
        <v>-946800</v>
      </c>
      <c r="C18" t="s">
        <v>54</v>
      </c>
    </row>
    <row r="19" spans="1:3" x14ac:dyDescent="0.25">
      <c r="A19" t="s">
        <v>53</v>
      </c>
      <c r="B19" s="9">
        <f>B18/43560</f>
        <v>-21.735537190082646</v>
      </c>
      <c r="C19" t="s">
        <v>39</v>
      </c>
    </row>
    <row r="20" spans="1:3" x14ac:dyDescent="0.25">
      <c r="A20" t="s">
        <v>55</v>
      </c>
      <c r="B20" s="9">
        <f>B5+B19</f>
        <v>33.564462809917352</v>
      </c>
      <c r="C20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Formulas="1" workbookViewId="0">
      <selection activeCell="D18" sqref="D18"/>
    </sheetView>
  </sheetViews>
  <sheetFormatPr defaultRowHeight="15" x14ac:dyDescent="0.25"/>
  <cols>
    <col min="1" max="1" width="22.5703125" customWidth="1"/>
    <col min="2" max="2" width="14.140625" customWidth="1"/>
    <col min="3" max="3" width="16.85546875" customWidth="1"/>
  </cols>
  <sheetData>
    <row r="1" spans="1:3" x14ac:dyDescent="0.25">
      <c r="A1" t="s">
        <v>56</v>
      </c>
    </row>
    <row r="3" spans="1:3" x14ac:dyDescent="0.25">
      <c r="A3" s="5" t="s">
        <v>14</v>
      </c>
    </row>
    <row r="4" spans="1:3" ht="15.75" thickBot="1" x14ac:dyDescent="0.3">
      <c r="A4" s="10" t="s">
        <v>1</v>
      </c>
      <c r="B4" s="10" t="s">
        <v>2</v>
      </c>
      <c r="C4" s="10" t="s">
        <v>3</v>
      </c>
    </row>
    <row r="5" spans="1:3" ht="15.75" thickTop="1" x14ac:dyDescent="0.25">
      <c r="A5" s="7" t="s">
        <v>57</v>
      </c>
      <c r="B5" s="7">
        <v>2.5</v>
      </c>
      <c r="C5" s="7" t="s">
        <v>58</v>
      </c>
    </row>
    <row r="6" spans="1:3" x14ac:dyDescent="0.25">
      <c r="A6" s="7" t="s">
        <v>59</v>
      </c>
      <c r="B6" s="7">
        <v>9.84</v>
      </c>
      <c r="C6" s="7" t="s">
        <v>60</v>
      </c>
    </row>
    <row r="7" spans="1:3" x14ac:dyDescent="0.25">
      <c r="A7" s="7" t="s">
        <v>61</v>
      </c>
      <c r="B7" s="7">
        <v>2.5</v>
      </c>
      <c r="C7" s="7" t="s">
        <v>62</v>
      </c>
    </row>
    <row r="8" spans="1:3" x14ac:dyDescent="0.25">
      <c r="A8" s="7" t="s">
        <v>63</v>
      </c>
      <c r="B8" s="7">
        <v>0.23</v>
      </c>
      <c r="C8" s="7" t="s">
        <v>64</v>
      </c>
    </row>
    <row r="10" spans="1:3" x14ac:dyDescent="0.25">
      <c r="A10" s="5" t="s">
        <v>23</v>
      </c>
    </row>
    <row r="11" spans="1:3" ht="15.75" thickBot="1" x14ac:dyDescent="0.3">
      <c r="A11" s="10" t="s">
        <v>1</v>
      </c>
      <c r="B11" s="10" t="s">
        <v>2</v>
      </c>
      <c r="C11" s="10" t="s">
        <v>3</v>
      </c>
    </row>
    <row r="12" spans="1:3" ht="15.75" thickTop="1" x14ac:dyDescent="0.25">
      <c r="A12" t="s">
        <v>65</v>
      </c>
      <c r="B12">
        <f>B5*B6</f>
        <v>24.6</v>
      </c>
      <c r="C12" t="s">
        <v>39</v>
      </c>
    </row>
    <row r="13" spans="1:3" x14ac:dyDescent="0.25">
      <c r="A13" t="s">
        <v>66</v>
      </c>
      <c r="B13">
        <f>B5*B7/12</f>
        <v>0.52083333333333337</v>
      </c>
      <c r="C13" t="s">
        <v>67</v>
      </c>
    </row>
    <row r="14" spans="1:3" x14ac:dyDescent="0.25">
      <c r="A14" t="s">
        <v>68</v>
      </c>
      <c r="B14">
        <f>B8*7</f>
        <v>1.61</v>
      </c>
      <c r="C14" t="s">
        <v>67</v>
      </c>
    </row>
    <row r="15" spans="1:3" x14ac:dyDescent="0.25">
      <c r="A15" t="s">
        <v>69</v>
      </c>
      <c r="B15" s="9">
        <f>B12/(B13+B14)</f>
        <v>11.544779037935081</v>
      </c>
      <c r="C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Formulas="1" workbookViewId="0">
      <selection activeCell="H16" sqref="H16"/>
    </sheetView>
  </sheetViews>
  <sheetFormatPr defaultRowHeight="15" x14ac:dyDescent="0.25"/>
  <cols>
    <col min="1" max="1" width="27.7109375" customWidth="1"/>
    <col min="2" max="2" width="7.5703125" customWidth="1"/>
    <col min="3" max="3" width="13.42578125" customWidth="1"/>
  </cols>
  <sheetData>
    <row r="1" spans="1:3" x14ac:dyDescent="0.25">
      <c r="A1" t="s">
        <v>71</v>
      </c>
    </row>
    <row r="3" spans="1:3" x14ac:dyDescent="0.25">
      <c r="A3" s="5" t="s">
        <v>14</v>
      </c>
    </row>
    <row r="4" spans="1:3" ht="15.75" thickBot="1" x14ac:dyDescent="0.3">
      <c r="A4" s="10" t="s">
        <v>1</v>
      </c>
      <c r="B4" s="10" t="s">
        <v>2</v>
      </c>
      <c r="C4" s="10" t="s">
        <v>3</v>
      </c>
    </row>
    <row r="5" spans="1:3" ht="15.75" thickTop="1" x14ac:dyDescent="0.25">
      <c r="A5" s="11" t="s">
        <v>72</v>
      </c>
      <c r="B5" s="11">
        <v>132</v>
      </c>
      <c r="C5" s="11" t="s">
        <v>73</v>
      </c>
    </row>
    <row r="6" spans="1:3" x14ac:dyDescent="0.25">
      <c r="A6" s="11" t="s">
        <v>74</v>
      </c>
      <c r="B6" s="11">
        <v>25</v>
      </c>
      <c r="C6" s="11" t="s">
        <v>75</v>
      </c>
    </row>
    <row r="7" spans="1:3" x14ac:dyDescent="0.25">
      <c r="A7" s="11" t="s">
        <v>76</v>
      </c>
      <c r="B7" s="11">
        <v>0.2</v>
      </c>
      <c r="C7" s="11" t="s">
        <v>11</v>
      </c>
    </row>
    <row r="9" spans="1:3" x14ac:dyDescent="0.25">
      <c r="A9" s="5" t="s">
        <v>77</v>
      </c>
    </row>
    <row r="10" spans="1:3" ht="15.75" thickBot="1" x14ac:dyDescent="0.3">
      <c r="A10" s="10" t="s">
        <v>1</v>
      </c>
      <c r="B10" s="10" t="s">
        <v>2</v>
      </c>
      <c r="C10" s="10" t="s">
        <v>3</v>
      </c>
    </row>
    <row r="11" spans="1:3" ht="15.75" thickTop="1" x14ac:dyDescent="0.25">
      <c r="A11" t="s">
        <v>4</v>
      </c>
      <c r="B11">
        <f>640*B5</f>
        <v>84480</v>
      </c>
      <c r="C11" t="s">
        <v>58</v>
      </c>
    </row>
    <row r="12" spans="1:3" x14ac:dyDescent="0.25">
      <c r="A12" t="s">
        <v>81</v>
      </c>
      <c r="B12" s="9">
        <f>B6/12</f>
        <v>2.0833333333333335</v>
      </c>
      <c r="C12" t="s">
        <v>60</v>
      </c>
    </row>
    <row r="13" spans="1:3" x14ac:dyDescent="0.25">
      <c r="A13" t="s">
        <v>82</v>
      </c>
      <c r="B13">
        <f>B11*B12</f>
        <v>176000</v>
      </c>
      <c r="C13" t="s">
        <v>39</v>
      </c>
    </row>
    <row r="15" spans="1:3" x14ac:dyDescent="0.25">
      <c r="A15" s="11" t="s">
        <v>78</v>
      </c>
      <c r="B15" s="11">
        <f>B7*B13</f>
        <v>35200</v>
      </c>
      <c r="C15" s="11" t="s">
        <v>79</v>
      </c>
    </row>
    <row r="16" spans="1:3" x14ac:dyDescent="0.25">
      <c r="A16" s="11" t="s">
        <v>78</v>
      </c>
      <c r="B16" s="12">
        <f>B15*43560/(365.6*86400)</f>
        <v>48.541210795040108</v>
      </c>
      <c r="C16" s="11" t="s">
        <v>41</v>
      </c>
    </row>
    <row r="17" spans="1:3" x14ac:dyDescent="0.25">
      <c r="A17" s="11" t="s">
        <v>78</v>
      </c>
      <c r="B17" s="12">
        <f>B16/(3.28^3)</f>
        <v>1.3755902023195068</v>
      </c>
      <c r="C17" s="1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Formulas="1" workbookViewId="0">
      <selection activeCell="F8" sqref="F8"/>
    </sheetView>
  </sheetViews>
  <sheetFormatPr defaultRowHeight="15" x14ac:dyDescent="0.25"/>
  <cols>
    <col min="1" max="1" width="30.7109375" customWidth="1"/>
    <col min="2" max="2" width="17.85546875" customWidth="1"/>
    <col min="3" max="3" width="15.5703125" customWidth="1"/>
  </cols>
  <sheetData>
    <row r="1" spans="1:3" x14ac:dyDescent="0.25">
      <c r="A1" t="s">
        <v>83</v>
      </c>
    </row>
    <row r="3" spans="1:3" x14ac:dyDescent="0.25">
      <c r="A3" s="5" t="s">
        <v>14</v>
      </c>
    </row>
    <row r="4" spans="1:3" ht="15.75" thickBot="1" x14ac:dyDescent="0.3">
      <c r="A4" s="14" t="s">
        <v>1</v>
      </c>
      <c r="B4" s="14" t="s">
        <v>2</v>
      </c>
      <c r="C4" s="14" t="s">
        <v>3</v>
      </c>
    </row>
    <row r="5" spans="1:3" ht="15.75" thickTop="1" x14ac:dyDescent="0.25">
      <c r="A5" s="11" t="s">
        <v>72</v>
      </c>
      <c r="B5" s="17">
        <v>280</v>
      </c>
      <c r="C5" s="11" t="s">
        <v>84</v>
      </c>
    </row>
    <row r="6" spans="1:3" x14ac:dyDescent="0.25">
      <c r="A6" s="11" t="s">
        <v>74</v>
      </c>
      <c r="B6" s="17">
        <v>725</v>
      </c>
      <c r="C6" s="11" t="s">
        <v>7</v>
      </c>
    </row>
    <row r="7" spans="1:3" x14ac:dyDescent="0.25">
      <c r="A7" s="11"/>
      <c r="B7" s="11"/>
      <c r="C7" s="11"/>
    </row>
    <row r="8" spans="1:3" x14ac:dyDescent="0.25">
      <c r="A8" s="15" t="s">
        <v>77</v>
      </c>
      <c r="B8" s="11"/>
      <c r="C8" s="11"/>
    </row>
    <row r="9" spans="1:3" ht="15.75" thickBot="1" x14ac:dyDescent="0.3">
      <c r="A9" s="14" t="s">
        <v>1</v>
      </c>
      <c r="B9" s="14" t="s">
        <v>2</v>
      </c>
      <c r="C9" s="14" t="s">
        <v>3</v>
      </c>
    </row>
    <row r="10" spans="1:3" ht="15.75" thickTop="1" x14ac:dyDescent="0.25">
      <c r="A10" t="s">
        <v>4</v>
      </c>
      <c r="B10">
        <f>B5*(1000^2)</f>
        <v>280000000</v>
      </c>
      <c r="C10" t="s">
        <v>27</v>
      </c>
    </row>
    <row r="11" spans="1:3" x14ac:dyDescent="0.25">
      <c r="A11" t="s">
        <v>81</v>
      </c>
      <c r="B11">
        <f>B6/1000</f>
        <v>0.72499999999999998</v>
      </c>
      <c r="C11" t="s">
        <v>25</v>
      </c>
    </row>
    <row r="12" spans="1:3" x14ac:dyDescent="0.25">
      <c r="A12" s="11" t="s">
        <v>85</v>
      </c>
      <c r="B12" s="16">
        <f>B10*B11</f>
        <v>203000000</v>
      </c>
      <c r="C12" s="11" t="s">
        <v>28</v>
      </c>
    </row>
    <row r="13" spans="1:3" x14ac:dyDescent="0.25">
      <c r="A13" s="11" t="s">
        <v>85</v>
      </c>
      <c r="B13" s="16">
        <f>B12*(3.28^3)</f>
        <v>7163373055.9999981</v>
      </c>
      <c r="C13" s="11" t="s">
        <v>88</v>
      </c>
    </row>
    <row r="14" spans="1:3" x14ac:dyDescent="0.25">
      <c r="A14" s="11" t="s">
        <v>85</v>
      </c>
      <c r="B14" s="16">
        <f>B13*7.48</f>
        <v>53582030458.87999</v>
      </c>
      <c r="C14" s="11" t="s">
        <v>86</v>
      </c>
    </row>
    <row r="15" spans="1:3" x14ac:dyDescent="0.25">
      <c r="A15" s="11" t="s">
        <v>85</v>
      </c>
      <c r="B15" s="16">
        <f>B13/43560</f>
        <v>164448.41726354448</v>
      </c>
      <c r="C15" s="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Formulas="1" workbookViewId="0">
      <selection activeCell="I7" sqref="I7"/>
    </sheetView>
  </sheetViews>
  <sheetFormatPr defaultRowHeight="15" x14ac:dyDescent="0.25"/>
  <cols>
    <col min="1" max="1" width="28.140625" customWidth="1"/>
    <col min="2" max="2" width="12.42578125" customWidth="1"/>
    <col min="3" max="3" width="14.5703125" customWidth="1"/>
  </cols>
  <sheetData>
    <row r="1" spans="1:3" x14ac:dyDescent="0.25">
      <c r="A1" t="s">
        <v>92</v>
      </c>
    </row>
    <row r="3" spans="1:3" x14ac:dyDescent="0.25">
      <c r="A3" s="5" t="s">
        <v>14</v>
      </c>
    </row>
    <row r="4" spans="1:3" ht="15.75" thickBot="1" x14ac:dyDescent="0.3">
      <c r="A4" s="10" t="s">
        <v>1</v>
      </c>
      <c r="B4" s="10" t="s">
        <v>2</v>
      </c>
      <c r="C4" s="10" t="s">
        <v>3</v>
      </c>
    </row>
    <row r="5" spans="1:3" ht="15.75" thickTop="1" x14ac:dyDescent="0.25">
      <c r="A5" s="13" t="s">
        <v>72</v>
      </c>
      <c r="B5" s="13">
        <v>600</v>
      </c>
      <c r="C5" s="13" t="s">
        <v>89</v>
      </c>
    </row>
    <row r="6" spans="1:3" x14ac:dyDescent="0.25">
      <c r="A6" s="13" t="s">
        <v>74</v>
      </c>
      <c r="B6" s="13">
        <v>2500</v>
      </c>
      <c r="C6" s="13" t="s">
        <v>7</v>
      </c>
    </row>
    <row r="7" spans="1:3" x14ac:dyDescent="0.25">
      <c r="A7" s="13" t="s">
        <v>90</v>
      </c>
      <c r="B7" s="13">
        <v>5</v>
      </c>
      <c r="C7" s="13" t="s">
        <v>94</v>
      </c>
    </row>
    <row r="8" spans="1:3" x14ac:dyDescent="0.25">
      <c r="A8" s="13" t="s">
        <v>91</v>
      </c>
      <c r="B8" s="13">
        <v>4</v>
      </c>
      <c r="C8" s="13" t="s">
        <v>94</v>
      </c>
    </row>
    <row r="9" spans="1:3" x14ac:dyDescent="0.25">
      <c r="A9" s="13" t="s">
        <v>93</v>
      </c>
      <c r="B9" s="18">
        <v>2500000</v>
      </c>
      <c r="C9" s="13" t="s">
        <v>28</v>
      </c>
    </row>
    <row r="10" spans="1:3" x14ac:dyDescent="0.25">
      <c r="A10" s="1"/>
      <c r="B10" s="1"/>
    </row>
    <row r="11" spans="1:3" x14ac:dyDescent="0.25">
      <c r="A11" s="19" t="s">
        <v>95</v>
      </c>
    </row>
    <row r="12" spans="1:3" ht="15.75" thickBot="1" x14ac:dyDescent="0.3">
      <c r="A12" s="10" t="s">
        <v>1</v>
      </c>
      <c r="B12" s="10" t="s">
        <v>2</v>
      </c>
      <c r="C12" s="10" t="s">
        <v>3</v>
      </c>
    </row>
    <row r="13" spans="1:3" ht="15.75" thickTop="1" x14ac:dyDescent="0.25">
      <c r="A13" s="13" t="s">
        <v>72</v>
      </c>
      <c r="B13" s="13">
        <f>B5*10000</f>
        <v>6000000</v>
      </c>
      <c r="C13" s="13" t="s">
        <v>27</v>
      </c>
    </row>
    <row r="14" spans="1:3" x14ac:dyDescent="0.25">
      <c r="A14" t="s">
        <v>96</v>
      </c>
      <c r="B14">
        <f>(B6/1000)*B13</f>
        <v>15000000</v>
      </c>
      <c r="C14" t="s">
        <v>28</v>
      </c>
    </row>
    <row r="15" spans="1:3" x14ac:dyDescent="0.25">
      <c r="A15" t="s">
        <v>97</v>
      </c>
      <c r="B15">
        <f>B7-B8</f>
        <v>1</v>
      </c>
      <c r="C15" t="s">
        <v>94</v>
      </c>
    </row>
    <row r="16" spans="1:3" x14ac:dyDescent="0.25">
      <c r="A16" t="s">
        <v>97</v>
      </c>
      <c r="B16">
        <f>86400*365*B15</f>
        <v>31536000</v>
      </c>
      <c r="C16" t="s">
        <v>28</v>
      </c>
    </row>
    <row r="17" spans="1:3" x14ac:dyDescent="0.25">
      <c r="A17" t="s">
        <v>98</v>
      </c>
      <c r="B17" s="20">
        <f>B14+B16-B9</f>
        <v>44036000</v>
      </c>
      <c r="C17" t="s">
        <v>28</v>
      </c>
    </row>
    <row r="18" spans="1:3" x14ac:dyDescent="0.25">
      <c r="A18" t="s">
        <v>99</v>
      </c>
      <c r="B18" s="9">
        <f>B17/B13</f>
        <v>7.3393333333333333</v>
      </c>
      <c r="C18" t="s">
        <v>25</v>
      </c>
    </row>
    <row r="19" spans="1:3" x14ac:dyDescent="0.25">
      <c r="A19" t="s">
        <v>99</v>
      </c>
      <c r="B19" s="9">
        <f>B18*1000</f>
        <v>7339.333333333333</v>
      </c>
      <c r="C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WB-EX1</vt:lpstr>
      <vt:lpstr>WB-EX2</vt:lpstr>
      <vt:lpstr>WB-EX3</vt:lpstr>
      <vt:lpstr>WB-EX4</vt:lpstr>
      <vt:lpstr>WB-EX5</vt:lpstr>
      <vt:lpstr>WB-EX6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Theodore</dc:creator>
  <cp:lastModifiedBy>Cleveland, Theodore</cp:lastModifiedBy>
  <dcterms:created xsi:type="dcterms:W3CDTF">2025-05-15T19:52:25Z</dcterms:created>
  <dcterms:modified xsi:type="dcterms:W3CDTF">2025-05-15T21:17:08Z</dcterms:modified>
</cp:coreProperties>
</file>