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3520" yWindow="0" windowWidth="26200" windowHeight="19560" tabRatio="500" activeTab="4"/>
  </bookViews>
  <sheets>
    <sheet name="InletHydrology" sheetId="1" r:id="rId1"/>
    <sheet name="Conduits" sheetId="2" r:id="rId2"/>
    <sheet name="InletCalculations" sheetId="4" r:id="rId3"/>
    <sheet name="InletFlows" sheetId="6" r:id="rId4"/>
    <sheet name="ConduitCalculations" sheetId="5" r:id="rId5"/>
    <sheet name="GeneralInfo" sheetId="3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5" l="1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3" i="5"/>
  <c r="H2" i="4"/>
  <c r="K28" i="5"/>
  <c r="K27" i="5"/>
  <c r="K26" i="5"/>
  <c r="K23" i="5"/>
  <c r="K22" i="5"/>
  <c r="K21" i="5"/>
  <c r="K5" i="5"/>
  <c r="K14" i="5"/>
  <c r="K12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4" i="5"/>
  <c r="L5" i="5"/>
  <c r="L6" i="5"/>
  <c r="L7" i="5"/>
  <c r="L8" i="5"/>
  <c r="L9" i="5"/>
  <c r="L3" i="5"/>
  <c r="K8" i="5"/>
  <c r="R17" i="5"/>
  <c r="I17" i="5"/>
  <c r="J17" i="5"/>
  <c r="R18" i="5"/>
  <c r="I18" i="5"/>
  <c r="K18" i="5"/>
  <c r="R10" i="5"/>
  <c r="I10" i="5"/>
  <c r="J10" i="5"/>
  <c r="R11" i="5"/>
  <c r="I11" i="5"/>
  <c r="K11" i="5"/>
  <c r="R14" i="5"/>
  <c r="I14" i="5"/>
  <c r="R12" i="5"/>
  <c r="I12" i="5"/>
  <c r="J12" i="5"/>
  <c r="R9" i="5"/>
  <c r="I9" i="5"/>
  <c r="J9" i="5"/>
  <c r="K10" i="5"/>
  <c r="R6" i="5"/>
  <c r="I6" i="5"/>
  <c r="J6" i="5"/>
  <c r="R3" i="5"/>
  <c r="I3" i="5"/>
  <c r="J3" i="5"/>
  <c r="R4" i="5"/>
  <c r="I4" i="5"/>
  <c r="J4" i="5"/>
  <c r="R5" i="5"/>
  <c r="I5" i="5"/>
  <c r="J5" i="5"/>
  <c r="R7" i="5"/>
  <c r="I7" i="5"/>
  <c r="J7" i="5"/>
  <c r="R8" i="5"/>
  <c r="I8" i="5"/>
  <c r="J8" i="5"/>
  <c r="J11" i="5"/>
  <c r="R13" i="5"/>
  <c r="I13" i="5"/>
  <c r="J13" i="5"/>
  <c r="J14" i="5"/>
  <c r="R15" i="5"/>
  <c r="I15" i="5"/>
  <c r="J15" i="5"/>
  <c r="R16" i="5"/>
  <c r="I16" i="5"/>
  <c r="J16" i="5"/>
  <c r="J18" i="5"/>
  <c r="R19" i="5"/>
  <c r="I19" i="5"/>
  <c r="J19" i="5"/>
  <c r="R20" i="5"/>
  <c r="I20" i="5"/>
  <c r="J20" i="5"/>
  <c r="R21" i="5"/>
  <c r="I21" i="5"/>
  <c r="J21" i="5"/>
  <c r="R22" i="5"/>
  <c r="I22" i="5"/>
  <c r="J22" i="5"/>
  <c r="R23" i="5"/>
  <c r="I23" i="5"/>
  <c r="J23" i="5"/>
  <c r="R24" i="5"/>
  <c r="I24" i="5"/>
  <c r="J24" i="5"/>
  <c r="R25" i="5"/>
  <c r="I25" i="5"/>
  <c r="J25" i="5"/>
  <c r="R26" i="5"/>
  <c r="I26" i="5"/>
  <c r="J26" i="5"/>
  <c r="R27" i="5"/>
  <c r="I27" i="5"/>
  <c r="J27" i="5"/>
  <c r="R28" i="5"/>
  <c r="I28" i="5"/>
  <c r="J28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3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5" i="5"/>
  <c r="E6" i="5"/>
  <c r="E4" i="5"/>
  <c r="E3" i="5"/>
  <c r="G28" i="5"/>
  <c r="G27" i="5"/>
  <c r="G26" i="5"/>
  <c r="G23" i="5"/>
  <c r="G22" i="5"/>
  <c r="G21" i="5"/>
  <c r="G18" i="5"/>
  <c r="G17" i="5"/>
  <c r="G16" i="5"/>
  <c r="G15" i="5"/>
  <c r="G14" i="5"/>
  <c r="G13" i="5"/>
  <c r="G12" i="5"/>
  <c r="G11" i="5"/>
  <c r="G10" i="5"/>
  <c r="G8" i="5"/>
  <c r="G5" i="5"/>
  <c r="G25" i="5"/>
  <c r="G24" i="5"/>
  <c r="G20" i="5"/>
  <c r="G19" i="5"/>
  <c r="G9" i="5"/>
  <c r="G7" i="5"/>
  <c r="G6" i="5"/>
  <c r="G4" i="5"/>
  <c r="G3" i="5"/>
  <c r="V21" i="5"/>
  <c r="V22" i="5"/>
  <c r="V18" i="5"/>
  <c r="V14" i="5"/>
  <c r="V23" i="5"/>
  <c r="V26" i="5"/>
  <c r="V27" i="5"/>
  <c r="V28" i="5"/>
  <c r="V12" i="5"/>
  <c r="V8" i="5"/>
  <c r="V11" i="5"/>
  <c r="V10" i="5"/>
  <c r="V5" i="5"/>
  <c r="AA23" i="6"/>
  <c r="AA24" i="6"/>
  <c r="AA25" i="6"/>
  <c r="AA26" i="6"/>
  <c r="AA22" i="6"/>
  <c r="K26" i="6"/>
  <c r="K25" i="6"/>
  <c r="K24" i="6"/>
  <c r="K23" i="6"/>
  <c r="K22" i="6"/>
  <c r="Y11" i="6"/>
  <c r="J20" i="6"/>
  <c r="K20" i="6"/>
  <c r="K19" i="6"/>
  <c r="K18" i="6"/>
  <c r="J19" i="6"/>
  <c r="J18" i="6"/>
  <c r="J16" i="6"/>
  <c r="J15" i="6"/>
  <c r="I10" i="6"/>
  <c r="Y10" i="6"/>
  <c r="I8" i="6"/>
  <c r="Y8" i="6"/>
  <c r="W11" i="6"/>
  <c r="J11" i="6"/>
  <c r="I11" i="6"/>
  <c r="K11" i="6"/>
  <c r="L11" i="6"/>
  <c r="N11" i="6"/>
  <c r="O11" i="6"/>
  <c r="W10" i="6"/>
  <c r="W8" i="6"/>
  <c r="I7" i="6"/>
  <c r="Y7" i="6"/>
  <c r="J8" i="6"/>
  <c r="I6" i="6"/>
  <c r="Y6" i="6"/>
  <c r="J7" i="6"/>
  <c r="I3" i="6"/>
  <c r="L3" i="6"/>
  <c r="U3" i="6"/>
  <c r="W3" i="6"/>
  <c r="Y3" i="6"/>
  <c r="J3" i="6"/>
  <c r="K3" i="6"/>
  <c r="N3" i="6"/>
  <c r="I4" i="6"/>
  <c r="I2" i="4"/>
  <c r="I2" i="6"/>
  <c r="Y2" i="6"/>
  <c r="J4" i="6"/>
  <c r="K4" i="6"/>
  <c r="L4" i="6"/>
  <c r="N4" i="6"/>
  <c r="I5" i="6"/>
  <c r="L5" i="6"/>
  <c r="U5" i="6"/>
  <c r="W5" i="6"/>
  <c r="Y5" i="6"/>
  <c r="J5" i="6"/>
  <c r="K5" i="6"/>
  <c r="N5" i="6"/>
  <c r="K6" i="6"/>
  <c r="L6" i="6"/>
  <c r="N6" i="6"/>
  <c r="K7" i="6"/>
  <c r="L7" i="6"/>
  <c r="N7" i="6"/>
  <c r="K8" i="6"/>
  <c r="L8" i="6"/>
  <c r="N8" i="6"/>
  <c r="I9" i="6"/>
  <c r="Y9" i="6"/>
  <c r="J9" i="6"/>
  <c r="K9" i="6"/>
  <c r="L9" i="6"/>
  <c r="N9" i="6"/>
  <c r="K10" i="6"/>
  <c r="L10" i="6"/>
  <c r="N10" i="6"/>
  <c r="I12" i="6"/>
  <c r="Y12" i="6"/>
  <c r="J12" i="6"/>
  <c r="K12" i="6"/>
  <c r="L12" i="6"/>
  <c r="N12" i="6"/>
  <c r="I13" i="6"/>
  <c r="K13" i="6"/>
  <c r="L13" i="6"/>
  <c r="N13" i="6"/>
  <c r="I14" i="6"/>
  <c r="K14" i="6"/>
  <c r="L14" i="6"/>
  <c r="N14" i="6"/>
  <c r="I15" i="6"/>
  <c r="K15" i="6"/>
  <c r="L15" i="6"/>
  <c r="N15" i="6"/>
  <c r="I16" i="6"/>
  <c r="K16" i="6"/>
  <c r="L16" i="6"/>
  <c r="N16" i="6"/>
  <c r="K2" i="6"/>
  <c r="L2" i="6"/>
  <c r="N2" i="6"/>
  <c r="W7" i="6"/>
  <c r="AA7" i="6"/>
  <c r="AA12" i="6"/>
  <c r="W12" i="6"/>
  <c r="W2" i="6"/>
  <c r="AA2" i="6"/>
  <c r="W4" i="6"/>
  <c r="Y4" i="6"/>
  <c r="AA4" i="6"/>
  <c r="AA5" i="6"/>
  <c r="AA6" i="6"/>
  <c r="AA8" i="6"/>
  <c r="AA9" i="6"/>
  <c r="AA10" i="6"/>
  <c r="AA11" i="6"/>
  <c r="W6" i="6"/>
  <c r="W9" i="6"/>
  <c r="O4" i="6"/>
  <c r="O5" i="6"/>
  <c r="O6" i="6"/>
  <c r="O7" i="6"/>
  <c r="O8" i="6"/>
  <c r="O9" i="6"/>
  <c r="O10" i="6"/>
  <c r="O12" i="6"/>
  <c r="O13" i="6"/>
  <c r="O14" i="6"/>
  <c r="O15" i="6"/>
  <c r="O16" i="6"/>
  <c r="AA3" i="6"/>
  <c r="O3" i="6"/>
  <c r="X2" i="6"/>
  <c r="P2" i="6"/>
  <c r="O2" i="6"/>
  <c r="A3" i="6"/>
  <c r="B3" i="6"/>
  <c r="C3" i="6"/>
  <c r="D3" i="6"/>
  <c r="E3" i="6"/>
  <c r="F3" i="6"/>
  <c r="G3" i="6"/>
  <c r="H3" i="6"/>
  <c r="A4" i="6"/>
  <c r="B4" i="6"/>
  <c r="C4" i="6"/>
  <c r="D4" i="6"/>
  <c r="E4" i="6"/>
  <c r="F4" i="6"/>
  <c r="G4" i="6"/>
  <c r="H4" i="6"/>
  <c r="A5" i="6"/>
  <c r="B5" i="6"/>
  <c r="C5" i="6"/>
  <c r="D5" i="6"/>
  <c r="E5" i="6"/>
  <c r="F5" i="6"/>
  <c r="G5" i="6"/>
  <c r="H5" i="6"/>
  <c r="A6" i="6"/>
  <c r="B6" i="6"/>
  <c r="C6" i="6"/>
  <c r="D6" i="6"/>
  <c r="E6" i="6"/>
  <c r="F6" i="6"/>
  <c r="G6" i="6"/>
  <c r="H6" i="6"/>
  <c r="A7" i="6"/>
  <c r="B7" i="6"/>
  <c r="C7" i="6"/>
  <c r="D7" i="6"/>
  <c r="E7" i="6"/>
  <c r="F7" i="6"/>
  <c r="G7" i="6"/>
  <c r="H7" i="6"/>
  <c r="A8" i="6"/>
  <c r="B8" i="6"/>
  <c r="C8" i="6"/>
  <c r="D8" i="6"/>
  <c r="E8" i="6"/>
  <c r="F8" i="6"/>
  <c r="G8" i="6"/>
  <c r="H8" i="6"/>
  <c r="A9" i="6"/>
  <c r="B9" i="6"/>
  <c r="C9" i="6"/>
  <c r="D9" i="6"/>
  <c r="E9" i="6"/>
  <c r="F9" i="6"/>
  <c r="G9" i="6"/>
  <c r="H9" i="6"/>
  <c r="A10" i="6"/>
  <c r="B10" i="6"/>
  <c r="C10" i="6"/>
  <c r="D10" i="6"/>
  <c r="E10" i="6"/>
  <c r="F10" i="6"/>
  <c r="G10" i="6"/>
  <c r="H10" i="6"/>
  <c r="A11" i="6"/>
  <c r="B11" i="6"/>
  <c r="C11" i="6"/>
  <c r="D11" i="6"/>
  <c r="E11" i="6"/>
  <c r="F11" i="6"/>
  <c r="G11" i="6"/>
  <c r="H11" i="6"/>
  <c r="A12" i="6"/>
  <c r="B12" i="6"/>
  <c r="C12" i="6"/>
  <c r="D12" i="6"/>
  <c r="E12" i="6"/>
  <c r="F12" i="6"/>
  <c r="G12" i="6"/>
  <c r="H12" i="6"/>
  <c r="A13" i="6"/>
  <c r="B13" i="6"/>
  <c r="C13" i="6"/>
  <c r="D13" i="6"/>
  <c r="E13" i="6"/>
  <c r="F13" i="6"/>
  <c r="G13" i="6"/>
  <c r="H13" i="6"/>
  <c r="A14" i="6"/>
  <c r="B14" i="6"/>
  <c r="C14" i="6"/>
  <c r="D14" i="6"/>
  <c r="E14" i="6"/>
  <c r="F14" i="6"/>
  <c r="G14" i="6"/>
  <c r="H14" i="6"/>
  <c r="A15" i="6"/>
  <c r="B15" i="6"/>
  <c r="C15" i="6"/>
  <c r="D15" i="6"/>
  <c r="E15" i="6"/>
  <c r="F15" i="6"/>
  <c r="G15" i="6"/>
  <c r="H15" i="6"/>
  <c r="A16" i="6"/>
  <c r="B16" i="6"/>
  <c r="C16" i="6"/>
  <c r="D16" i="6"/>
  <c r="E16" i="6"/>
  <c r="F16" i="6"/>
  <c r="G16" i="6"/>
  <c r="H16" i="6"/>
  <c r="B2" i="6"/>
  <c r="C2" i="6"/>
  <c r="D2" i="6"/>
  <c r="E2" i="6"/>
  <c r="F2" i="6"/>
  <c r="G2" i="6"/>
  <c r="H2" i="6"/>
  <c r="A2" i="6"/>
  <c r="I39" i="4"/>
  <c r="I36" i="4"/>
  <c r="I35" i="4"/>
  <c r="I34" i="4"/>
  <c r="I33" i="4"/>
  <c r="I31" i="4"/>
  <c r="I30" i="4"/>
  <c r="I28" i="4"/>
  <c r="I26" i="4"/>
  <c r="I24" i="4"/>
  <c r="I22" i="4"/>
  <c r="I20" i="4"/>
  <c r="I18" i="4"/>
  <c r="I17" i="4"/>
  <c r="I16" i="4"/>
  <c r="I14" i="4"/>
  <c r="I11" i="4"/>
  <c r="I10" i="4"/>
  <c r="I9" i="4"/>
  <c r="I8" i="4"/>
  <c r="I6" i="4"/>
  <c r="I5" i="4"/>
  <c r="I4" i="4"/>
  <c r="H39" i="4"/>
  <c r="H36" i="4"/>
  <c r="H35" i="4"/>
  <c r="H34" i="4"/>
  <c r="H33" i="4"/>
  <c r="H31" i="4"/>
  <c r="H30" i="4"/>
  <c r="H28" i="4"/>
  <c r="H26" i="4"/>
  <c r="H24" i="4"/>
  <c r="H22" i="4"/>
  <c r="H20" i="4"/>
  <c r="H18" i="4"/>
  <c r="H17" i="4"/>
  <c r="H16" i="4"/>
  <c r="H14" i="4"/>
  <c r="H11" i="4"/>
  <c r="H10" i="4"/>
  <c r="H9" i="4"/>
  <c r="H8" i="4"/>
  <c r="H6" i="4"/>
  <c r="H5" i="4"/>
  <c r="H4" i="4"/>
  <c r="G39" i="4"/>
  <c r="G36" i="4"/>
  <c r="G35" i="4"/>
  <c r="G34" i="4"/>
  <c r="G33" i="4"/>
  <c r="G31" i="4"/>
  <c r="G30" i="4"/>
  <c r="G28" i="4"/>
  <c r="G26" i="4"/>
  <c r="G24" i="4"/>
  <c r="G22" i="4"/>
  <c r="G20" i="4"/>
  <c r="G18" i="4"/>
  <c r="G17" i="4"/>
  <c r="G16" i="4"/>
  <c r="G14" i="4"/>
  <c r="G11" i="4"/>
  <c r="G10" i="4"/>
  <c r="G9" i="4"/>
  <c r="G8" i="4"/>
  <c r="G6" i="4"/>
  <c r="G5" i="4"/>
  <c r="G4" i="4"/>
  <c r="G2" i="4"/>
  <c r="E39" i="4"/>
  <c r="E35" i="4"/>
  <c r="E34" i="4"/>
  <c r="E33" i="4"/>
  <c r="E31" i="4"/>
  <c r="E30" i="4"/>
  <c r="E17" i="4"/>
  <c r="E16" i="4"/>
  <c r="E10" i="4"/>
  <c r="E9" i="4"/>
  <c r="E8" i="4"/>
  <c r="E5" i="4"/>
  <c r="E4" i="4"/>
  <c r="E36" i="4"/>
  <c r="E28" i="4"/>
  <c r="E26" i="4"/>
  <c r="E24" i="4"/>
  <c r="E22" i="4"/>
  <c r="E20" i="4"/>
  <c r="E18" i="4"/>
  <c r="E14" i="4"/>
  <c r="E11" i="4"/>
  <c r="E6" i="4"/>
  <c r="E2" i="4"/>
</calcChain>
</file>

<file path=xl/sharedStrings.xml><?xml version="1.0" encoding="utf-8"?>
<sst xmlns="http://schemas.openxmlformats.org/spreadsheetml/2006/main" count="361" uniqueCount="104">
  <si>
    <t>ID</t>
  </si>
  <si>
    <t>TYPE</t>
  </si>
  <si>
    <t>AREA (ac)</t>
  </si>
  <si>
    <t>C</t>
  </si>
  <si>
    <t>Tc-A</t>
  </si>
  <si>
    <t>1/Sx</t>
  </si>
  <si>
    <t>Slope</t>
  </si>
  <si>
    <t>A1</t>
  </si>
  <si>
    <t>A2</t>
  </si>
  <si>
    <t>B1</t>
  </si>
  <si>
    <t>C1</t>
  </si>
  <si>
    <t>A3</t>
  </si>
  <si>
    <t>D1</t>
  </si>
  <si>
    <t>E1</t>
  </si>
  <si>
    <t>E2</t>
  </si>
  <si>
    <t>A4</t>
  </si>
  <si>
    <t>G1</t>
  </si>
  <si>
    <t>A5</t>
  </si>
  <si>
    <t>F1</t>
  </si>
  <si>
    <t>H1</t>
  </si>
  <si>
    <t>H2</t>
  </si>
  <si>
    <t>I1</t>
  </si>
  <si>
    <t>K1</t>
  </si>
  <si>
    <t>J1</t>
  </si>
  <si>
    <t>L1</t>
  </si>
  <si>
    <t>L2</t>
  </si>
  <si>
    <t>L3</t>
  </si>
  <si>
    <t>A6</t>
  </si>
  <si>
    <t>M1</t>
  </si>
  <si>
    <t>A7</t>
  </si>
  <si>
    <t>N1</t>
  </si>
  <si>
    <t>Mall</t>
  </si>
  <si>
    <t>A8</t>
  </si>
  <si>
    <t>A9</t>
  </si>
  <si>
    <t>A10</t>
  </si>
  <si>
    <t>Outfall</t>
  </si>
  <si>
    <t>CURB</t>
  </si>
  <si>
    <t>S-GRATE</t>
  </si>
  <si>
    <t>SLOT</t>
  </si>
  <si>
    <t>JUNC</t>
  </si>
  <si>
    <t>GRATE</t>
  </si>
  <si>
    <t>S-CURB</t>
  </si>
  <si>
    <t>Upstream</t>
  </si>
  <si>
    <t>Downstream</t>
  </si>
  <si>
    <t>Length (ft)</t>
  </si>
  <si>
    <t>Upstream Soffit Elev (ft)</t>
  </si>
  <si>
    <t>General Information</t>
  </si>
  <si>
    <t>ARI</t>
  </si>
  <si>
    <t>5-yr</t>
  </si>
  <si>
    <t>ebd</t>
  </si>
  <si>
    <t>e=0.78, b=56in, d=8.2</t>
  </si>
  <si>
    <t>Tc-min</t>
  </si>
  <si>
    <t>10 min</t>
  </si>
  <si>
    <t>Lcurb-min</t>
  </si>
  <si>
    <t>5 ft</t>
  </si>
  <si>
    <t>Slot-max</t>
  </si>
  <si>
    <t>20 ft</t>
  </si>
  <si>
    <t>Grates</t>
  </si>
  <si>
    <t>W=1.5 ft; L=3 ft; Parallel bars with transverse rods</t>
  </si>
  <si>
    <t>Sag-Grates</t>
  </si>
  <si>
    <t>W=1.5 ft, L=1.5 ft,  Bar area = 20%,  Allowabel ponding = 2 ft.</t>
  </si>
  <si>
    <t>Gutter Depression</t>
  </si>
  <si>
    <t>3 in</t>
  </si>
  <si>
    <t>Allow spreadwidth</t>
  </si>
  <si>
    <t>12 ft on Lone Star; 15 ft on Texas</t>
  </si>
  <si>
    <t>Sag-Curb</t>
  </si>
  <si>
    <t>slope = 0.0050;  50% discharge each side of inlet</t>
  </si>
  <si>
    <t xml:space="preserve">Outfall Tailwater Elevation </t>
  </si>
  <si>
    <t>836.5 ft</t>
  </si>
  <si>
    <t>CA</t>
  </si>
  <si>
    <t>Tc-C</t>
  </si>
  <si>
    <t>I</t>
  </si>
  <si>
    <t>Qp</t>
  </si>
  <si>
    <t>CO (cfs)</t>
  </si>
  <si>
    <t>a (ft)</t>
  </si>
  <si>
    <t>E</t>
  </si>
  <si>
    <t>W</t>
  </si>
  <si>
    <t>L-grate</t>
  </si>
  <si>
    <t>Lr-Slot</t>
  </si>
  <si>
    <t>La (ft)</t>
  </si>
  <si>
    <t>La/Lr</t>
  </si>
  <si>
    <t>a/W</t>
  </si>
  <si>
    <t>CO to</t>
  </si>
  <si>
    <t>Qi (cfs)</t>
  </si>
  <si>
    <t>y (ft) (HDM 10-1)</t>
  </si>
  <si>
    <t>T (ft) (HDM 10-2)</t>
  </si>
  <si>
    <t>Lr-Curb (HDM 10.15)</t>
  </si>
  <si>
    <t>CO_upstream</t>
  </si>
  <si>
    <t>Qt=Qp+CO_up</t>
  </si>
  <si>
    <t>Capacity</t>
  </si>
  <si>
    <t>Inlet Flows in Conduit</t>
  </si>
  <si>
    <t>SumCA</t>
  </si>
  <si>
    <t>Tc-External</t>
  </si>
  <si>
    <t>Tc-Used</t>
  </si>
  <si>
    <t>PipeSlope</t>
  </si>
  <si>
    <t>Velocity</t>
  </si>
  <si>
    <t>Downstream Soffit Elevation (ft)</t>
  </si>
  <si>
    <t>Nominal Diameter</t>
  </si>
  <si>
    <t>TravelTime (minutes)</t>
  </si>
  <si>
    <t>T-end conduit</t>
  </si>
  <si>
    <t>Tc-Travel</t>
  </si>
  <si>
    <t>Tc-Accumulate</t>
  </si>
  <si>
    <t>Intensity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</si>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</sst>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2" borderId="0" xfId="0" applyFill="1" applyBorder="1"/>
    <xf numFmtId="0" fontId="0" fillId="0" borderId="0" xfId="0" applyFill="1" applyBorder="1"/>
    <xf numFmtId="0" fontId="0" fillId="0" borderId="0" xfId="0" applyFill="1"/>
    <xf numFmtId="0" fontId="0" fillId="0" borderId="5" xfId="0" applyFill="1" applyBorder="1"/>
    <xf numFmtId="0" fontId="0" fillId="0" borderId="0" xfId="0" applyAlignment="1">
      <alignment textRotation="90"/>
    </xf>
    <xf numFmtId="0" fontId="0" fillId="0" borderId="0" xfId="0" applyAlignment="1">
      <alignment horizontal="center"/>
    </xf>
    <xf numFmtId="2" fontId="0" fillId="0" borderId="0" xfId="0" applyNumberFormat="1"/>
    <xf numFmtId="2" fontId="0" fillId="0" borderId="0" xfId="0" applyNumberFormat="1" applyFill="1" applyBorder="1"/>
    <xf numFmtId="0" fontId="0" fillId="0" borderId="0" xfId="0" applyAlignment="1">
      <alignment textRotation="90" wrapText="1"/>
    </xf>
    <xf numFmtId="2" fontId="0" fillId="0" borderId="0" xfId="0" applyNumberFormat="1" applyAlignment="1">
      <alignment textRotation="90" wrapText="1"/>
    </xf>
  </cellXfs>
  <cellStyles count="1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zoomScale="150" zoomScaleNormal="150" zoomScalePageLayoutView="150" workbookViewId="0">
      <selection activeCell="G42" sqref="G42"/>
    </sheetView>
  </sheetViews>
  <sheetFormatPr baseColWidth="10" defaultRowHeight="15" x14ac:dyDescent="0"/>
  <sheetData>
    <row r="1" spans="1:7" ht="16" thickBo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 t="s">
        <v>7</v>
      </c>
      <c r="B2" s="2" t="s">
        <v>36</v>
      </c>
      <c r="C2" s="2">
        <v>1.73</v>
      </c>
      <c r="D2" s="2">
        <v>0.55000000000000004</v>
      </c>
      <c r="E2" s="2">
        <v>7.5</v>
      </c>
      <c r="F2" s="2">
        <v>24</v>
      </c>
      <c r="G2" s="3">
        <v>5.0000000000000001E-3</v>
      </c>
    </row>
    <row r="3" spans="1:7" ht="16" thickBot="1">
      <c r="A3" s="4" t="s">
        <v>7</v>
      </c>
      <c r="B3" s="5"/>
      <c r="C3" s="5">
        <v>0.25</v>
      </c>
      <c r="D3" s="5">
        <v>0.85</v>
      </c>
      <c r="E3" s="5"/>
      <c r="F3" s="5"/>
      <c r="G3" s="6"/>
    </row>
    <row r="4" spans="1:7">
      <c r="A4" t="s">
        <v>8</v>
      </c>
      <c r="B4" t="s">
        <v>37</v>
      </c>
      <c r="C4">
        <v>0.15</v>
      </c>
      <c r="D4">
        <v>0.7</v>
      </c>
      <c r="E4">
        <v>2</v>
      </c>
      <c r="F4">
        <v>32</v>
      </c>
    </row>
    <row r="5" spans="1:7" ht="16" thickBot="1">
      <c r="A5" t="s">
        <v>9</v>
      </c>
      <c r="B5" t="s">
        <v>38</v>
      </c>
      <c r="C5">
        <v>0.28000000000000003</v>
      </c>
      <c r="D5">
        <v>0.85</v>
      </c>
      <c r="E5">
        <v>3.2</v>
      </c>
      <c r="F5">
        <v>24</v>
      </c>
      <c r="G5">
        <v>5.0000000000000001E-3</v>
      </c>
    </row>
    <row r="6" spans="1:7">
      <c r="A6" s="1" t="s">
        <v>10</v>
      </c>
      <c r="B6" s="2" t="s">
        <v>36</v>
      </c>
      <c r="C6" s="2">
        <v>1.95</v>
      </c>
      <c r="D6" s="2">
        <v>0.5</v>
      </c>
      <c r="E6" s="2">
        <v>14.5</v>
      </c>
      <c r="F6" s="2">
        <v>32</v>
      </c>
      <c r="G6" s="3">
        <v>6.0000000000000001E-3</v>
      </c>
    </row>
    <row r="7" spans="1:7" ht="16" thickBot="1">
      <c r="A7" s="4" t="s">
        <v>10</v>
      </c>
      <c r="B7" s="5"/>
      <c r="C7" s="5">
        <v>0.35</v>
      </c>
      <c r="D7" s="5">
        <v>0.85</v>
      </c>
      <c r="E7" s="5"/>
      <c r="F7" s="5"/>
      <c r="G7" s="6"/>
    </row>
    <row r="8" spans="1:7">
      <c r="A8" t="s">
        <v>11</v>
      </c>
      <c r="B8" t="s">
        <v>37</v>
      </c>
      <c r="C8" s="14">
        <v>0.1</v>
      </c>
      <c r="D8" s="14">
        <v>0.7</v>
      </c>
      <c r="E8" s="14">
        <v>2</v>
      </c>
      <c r="F8" s="13">
        <v>32</v>
      </c>
    </row>
    <row r="9" spans="1:7">
      <c r="A9" t="s">
        <v>12</v>
      </c>
      <c r="B9" t="s">
        <v>38</v>
      </c>
      <c r="C9" s="14">
        <v>0.35</v>
      </c>
      <c r="D9" s="14">
        <v>0.85</v>
      </c>
      <c r="E9" s="14">
        <v>4.0999999999999996</v>
      </c>
      <c r="F9" s="13">
        <v>32</v>
      </c>
      <c r="G9" s="14">
        <v>6.0000000000000001E-3</v>
      </c>
    </row>
    <row r="10" spans="1:7" ht="16" thickBot="1">
      <c r="A10" t="s">
        <v>13</v>
      </c>
      <c r="B10" t="s">
        <v>38</v>
      </c>
      <c r="C10" s="14">
        <v>0.55000000000000004</v>
      </c>
      <c r="D10" s="14">
        <v>0.5</v>
      </c>
      <c r="E10" s="14">
        <v>5</v>
      </c>
      <c r="F10" s="13">
        <v>48</v>
      </c>
      <c r="G10" s="14">
        <v>6.4999999999999997E-3</v>
      </c>
    </row>
    <row r="11" spans="1:7">
      <c r="A11" s="1" t="s">
        <v>14</v>
      </c>
      <c r="B11" s="2" t="s">
        <v>36</v>
      </c>
      <c r="C11" s="2">
        <v>1.05</v>
      </c>
      <c r="D11" s="2">
        <v>0.55000000000000004</v>
      </c>
      <c r="E11" s="2">
        <v>13.5</v>
      </c>
      <c r="F11" s="2">
        <v>48</v>
      </c>
      <c r="G11" s="3">
        <v>6.0000000000000001E-3</v>
      </c>
    </row>
    <row r="12" spans="1:7" ht="16" thickBot="1">
      <c r="A12" s="4" t="s">
        <v>14</v>
      </c>
      <c r="B12" s="5"/>
      <c r="C12" s="5">
        <v>0.28000000000000003</v>
      </c>
      <c r="D12" s="5">
        <v>0.85</v>
      </c>
      <c r="E12" s="5"/>
      <c r="F12" s="5"/>
      <c r="G12" s="6"/>
    </row>
    <row r="13" spans="1:7" ht="16" thickBot="1">
      <c r="A13" t="s">
        <v>15</v>
      </c>
      <c r="B13" t="s">
        <v>39</v>
      </c>
    </row>
    <row r="14" spans="1:7">
      <c r="A14" s="7" t="s">
        <v>16</v>
      </c>
      <c r="B14" s="8" t="s">
        <v>36</v>
      </c>
      <c r="C14" s="8">
        <v>1.03</v>
      </c>
      <c r="D14" s="8">
        <v>0.5</v>
      </c>
      <c r="E14" s="8">
        <v>9</v>
      </c>
      <c r="F14" s="8">
        <v>32</v>
      </c>
      <c r="G14" s="9">
        <v>6.0000000000000001E-3</v>
      </c>
    </row>
    <row r="15" spans="1:7" ht="16" thickBot="1">
      <c r="A15" s="10" t="s">
        <v>16</v>
      </c>
      <c r="B15" s="11"/>
      <c r="C15" s="11">
        <v>0.28000000000000003</v>
      </c>
      <c r="D15" s="11">
        <v>0.85</v>
      </c>
      <c r="E15" s="11"/>
      <c r="F15" s="11"/>
      <c r="G15" s="12"/>
    </row>
    <row r="16" spans="1:7">
      <c r="A16" s="15" t="s">
        <v>17</v>
      </c>
      <c r="B16" s="15" t="s">
        <v>37</v>
      </c>
      <c r="C16" s="15">
        <v>0.13</v>
      </c>
      <c r="D16" s="15">
        <v>0.7</v>
      </c>
      <c r="E16" s="15">
        <v>2</v>
      </c>
      <c r="F16" s="15">
        <v>32</v>
      </c>
      <c r="G16" s="15"/>
    </row>
    <row r="17" spans="1:7" ht="16" thickBot="1">
      <c r="A17" s="15" t="s">
        <v>18</v>
      </c>
      <c r="B17" s="15" t="s">
        <v>38</v>
      </c>
      <c r="C17" s="15">
        <v>0.23</v>
      </c>
      <c r="D17" s="15">
        <v>0.85</v>
      </c>
      <c r="E17" s="15">
        <v>3.6</v>
      </c>
      <c r="F17" s="15">
        <v>32</v>
      </c>
      <c r="G17" s="15">
        <v>6.0000000000000001E-3</v>
      </c>
    </row>
    <row r="18" spans="1:7">
      <c r="A18" s="7" t="s">
        <v>19</v>
      </c>
      <c r="B18" s="8" t="s">
        <v>36</v>
      </c>
      <c r="C18" s="8">
        <v>0.2</v>
      </c>
      <c r="D18" s="8">
        <v>0.55000000000000004</v>
      </c>
      <c r="E18" s="8">
        <v>6</v>
      </c>
      <c r="F18" s="8">
        <v>48</v>
      </c>
      <c r="G18" s="9">
        <v>3.0000000000000001E-3</v>
      </c>
    </row>
    <row r="19" spans="1:7" ht="16" thickBot="1">
      <c r="A19" s="10" t="s">
        <v>19</v>
      </c>
      <c r="B19" s="11"/>
      <c r="C19" s="11">
        <v>0.15</v>
      </c>
      <c r="D19" s="11">
        <v>0.85</v>
      </c>
      <c r="E19" s="11"/>
      <c r="F19" s="11"/>
      <c r="G19" s="12"/>
    </row>
    <row r="20" spans="1:7">
      <c r="A20" s="1" t="s">
        <v>20</v>
      </c>
      <c r="B20" s="2" t="s">
        <v>36</v>
      </c>
      <c r="C20" s="2">
        <v>0.3</v>
      </c>
      <c r="D20" s="2">
        <v>0.55000000000000004</v>
      </c>
      <c r="E20" s="2">
        <v>6.5</v>
      </c>
      <c r="F20" s="2">
        <v>48</v>
      </c>
      <c r="G20" s="3">
        <v>5.0000000000000001E-3</v>
      </c>
    </row>
    <row r="21" spans="1:7" ht="16" thickBot="1">
      <c r="A21" s="4" t="s">
        <v>20</v>
      </c>
      <c r="B21" s="5"/>
      <c r="C21" s="5">
        <v>0.55000000000000004</v>
      </c>
      <c r="D21" s="5">
        <v>0.85</v>
      </c>
      <c r="E21" s="5"/>
      <c r="F21" s="5"/>
      <c r="G21" s="6"/>
    </row>
    <row r="22" spans="1:7">
      <c r="A22" s="7" t="s">
        <v>21</v>
      </c>
      <c r="B22" s="8" t="s">
        <v>38</v>
      </c>
      <c r="C22" s="8">
        <v>0.8</v>
      </c>
      <c r="D22" s="8">
        <v>0.55000000000000004</v>
      </c>
      <c r="E22" s="8">
        <v>8</v>
      </c>
      <c r="F22" s="8">
        <v>48</v>
      </c>
      <c r="G22" s="9">
        <v>3.0000000000000001E-3</v>
      </c>
    </row>
    <row r="23" spans="1:7" ht="16" thickBot="1">
      <c r="A23" s="10" t="s">
        <v>21</v>
      </c>
      <c r="B23" s="11"/>
      <c r="C23" s="11">
        <v>0.18</v>
      </c>
      <c r="D23" s="11">
        <v>0.85</v>
      </c>
      <c r="E23" s="11"/>
      <c r="F23" s="11"/>
      <c r="G23" s="12"/>
    </row>
    <row r="24" spans="1:7">
      <c r="A24" s="1" t="s">
        <v>22</v>
      </c>
      <c r="B24" s="2" t="s">
        <v>40</v>
      </c>
      <c r="C24" s="2">
        <v>1.65</v>
      </c>
      <c r="D24" s="2">
        <v>0.4</v>
      </c>
      <c r="E24" s="2">
        <v>15</v>
      </c>
      <c r="F24" s="2">
        <v>48</v>
      </c>
      <c r="G24" s="3">
        <v>4.0000000000000001E-3</v>
      </c>
    </row>
    <row r="25" spans="1:7" ht="16" thickBot="1">
      <c r="A25" s="4" t="s">
        <v>22</v>
      </c>
      <c r="B25" s="5"/>
      <c r="C25" s="5">
        <v>0.33</v>
      </c>
      <c r="D25" s="5">
        <v>0.85</v>
      </c>
      <c r="E25" s="5"/>
      <c r="F25" s="5"/>
      <c r="G25" s="6"/>
    </row>
    <row r="26" spans="1:7">
      <c r="A26" s="7" t="s">
        <v>23</v>
      </c>
      <c r="B26" s="8" t="s">
        <v>41</v>
      </c>
      <c r="C26" s="8">
        <v>1.08</v>
      </c>
      <c r="D26" s="8">
        <v>0.6</v>
      </c>
      <c r="E26" s="8">
        <v>8.8000000000000007</v>
      </c>
      <c r="F26" s="8">
        <v>32</v>
      </c>
      <c r="G26" s="9"/>
    </row>
    <row r="27" spans="1:7" ht="16" thickBot="1">
      <c r="A27" s="10" t="s">
        <v>23</v>
      </c>
      <c r="B27" s="11"/>
      <c r="C27" s="11">
        <v>0.53</v>
      </c>
      <c r="D27" s="11">
        <v>0.85</v>
      </c>
      <c r="E27" s="11"/>
      <c r="F27" s="11"/>
      <c r="G27" s="12"/>
    </row>
    <row r="28" spans="1:7">
      <c r="A28" s="1" t="s">
        <v>24</v>
      </c>
      <c r="B28" s="2" t="s">
        <v>40</v>
      </c>
      <c r="C28" s="2">
        <v>0.75</v>
      </c>
      <c r="D28" s="2">
        <v>0.55000000000000004</v>
      </c>
      <c r="E28" s="2">
        <v>17.7</v>
      </c>
      <c r="F28" s="2">
        <v>48</v>
      </c>
      <c r="G28" s="3">
        <v>4.0000000000000001E-3</v>
      </c>
    </row>
    <row r="29" spans="1:7" ht="16" thickBot="1">
      <c r="A29" s="4" t="s">
        <v>24</v>
      </c>
      <c r="B29" s="5"/>
      <c r="C29" s="5">
        <v>0.18</v>
      </c>
      <c r="D29" s="5">
        <v>0.85</v>
      </c>
      <c r="E29" s="5"/>
      <c r="F29" s="5"/>
      <c r="G29" s="6"/>
    </row>
    <row r="30" spans="1:7">
      <c r="A30" t="s">
        <v>25</v>
      </c>
      <c r="B30" t="s">
        <v>40</v>
      </c>
      <c r="C30" s="14">
        <v>0.6</v>
      </c>
      <c r="D30" s="14">
        <v>0.85</v>
      </c>
      <c r="E30">
        <v>3.6</v>
      </c>
      <c r="F30">
        <v>48</v>
      </c>
      <c r="G30">
        <v>4.0000000000000001E-3</v>
      </c>
    </row>
    <row r="31" spans="1:7">
      <c r="A31" t="s">
        <v>26</v>
      </c>
      <c r="B31" t="s">
        <v>40</v>
      </c>
      <c r="C31" s="14">
        <v>0.43</v>
      </c>
      <c r="D31" s="14">
        <v>0.85</v>
      </c>
      <c r="E31">
        <v>3</v>
      </c>
      <c r="F31">
        <v>48</v>
      </c>
      <c r="G31">
        <v>4.0000000000000001E-3</v>
      </c>
    </row>
    <row r="32" spans="1:7">
      <c r="A32" t="s">
        <v>27</v>
      </c>
      <c r="B32" t="s">
        <v>39</v>
      </c>
      <c r="C32" s="14"/>
      <c r="D32" s="15"/>
    </row>
    <row r="33" spans="1:7">
      <c r="A33" t="s">
        <v>28</v>
      </c>
      <c r="B33" t="s">
        <v>41</v>
      </c>
      <c r="C33" s="14">
        <v>0.83</v>
      </c>
      <c r="D33" s="14">
        <v>0.85</v>
      </c>
      <c r="E33">
        <v>4.2</v>
      </c>
      <c r="F33">
        <v>32</v>
      </c>
    </row>
    <row r="34" spans="1:7">
      <c r="A34" t="s">
        <v>29</v>
      </c>
      <c r="B34" t="s">
        <v>37</v>
      </c>
      <c r="C34" s="14">
        <v>0.1</v>
      </c>
      <c r="D34" s="14">
        <v>0.7</v>
      </c>
      <c r="E34">
        <v>2</v>
      </c>
      <c r="F34">
        <v>32</v>
      </c>
    </row>
    <row r="35" spans="1:7" ht="16" thickBot="1">
      <c r="A35" t="s">
        <v>30</v>
      </c>
      <c r="B35" t="s">
        <v>41</v>
      </c>
      <c r="C35" s="16">
        <v>1.03</v>
      </c>
      <c r="D35" s="14">
        <v>0.85</v>
      </c>
      <c r="E35">
        <v>7</v>
      </c>
      <c r="F35">
        <v>32</v>
      </c>
    </row>
    <row r="36" spans="1:7">
      <c r="A36" s="1" t="s">
        <v>31</v>
      </c>
      <c r="B36" s="2"/>
      <c r="C36" s="13">
        <v>0.45</v>
      </c>
      <c r="D36" s="2">
        <v>0.7</v>
      </c>
      <c r="E36" s="2">
        <v>11.6</v>
      </c>
      <c r="F36" s="2"/>
      <c r="G36" s="3"/>
    </row>
    <row r="37" spans="1:7" ht="16" thickBot="1">
      <c r="A37" s="4" t="s">
        <v>31</v>
      </c>
      <c r="B37" s="5"/>
      <c r="C37" s="5">
        <v>3.73</v>
      </c>
      <c r="D37" s="5">
        <v>0.85</v>
      </c>
      <c r="E37" s="5"/>
      <c r="F37" s="5"/>
      <c r="G37" s="6"/>
    </row>
    <row r="38" spans="1:7">
      <c r="A38" t="s">
        <v>32</v>
      </c>
      <c r="B38" t="s">
        <v>39</v>
      </c>
      <c r="C38" s="15"/>
    </row>
    <row r="39" spans="1:7">
      <c r="A39" t="s">
        <v>33</v>
      </c>
      <c r="B39" t="s">
        <v>37</v>
      </c>
      <c r="C39" s="14">
        <v>0.3</v>
      </c>
      <c r="D39" s="14">
        <v>0.7</v>
      </c>
      <c r="E39">
        <v>3.4</v>
      </c>
      <c r="F39">
        <v>32</v>
      </c>
    </row>
    <row r="40" spans="1:7">
      <c r="A40" t="s">
        <v>34</v>
      </c>
      <c r="B40" t="s">
        <v>35</v>
      </c>
      <c r="C40" s="1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zoomScale="150" zoomScaleNormal="150" zoomScalePageLayoutView="150" workbookViewId="0">
      <selection activeCell="G2" sqref="G2"/>
    </sheetView>
  </sheetViews>
  <sheetFormatPr baseColWidth="10" defaultRowHeight="15" x14ac:dyDescent="0"/>
  <cols>
    <col min="1" max="1" width="5.1640625" customWidth="1"/>
    <col min="2" max="2" width="5.6640625" customWidth="1"/>
  </cols>
  <sheetData>
    <row r="1" spans="1:4">
      <c r="A1" s="18" t="s">
        <v>0</v>
      </c>
      <c r="B1" s="18"/>
    </row>
    <row r="2" spans="1:4" ht="125">
      <c r="A2" s="17" t="s">
        <v>42</v>
      </c>
      <c r="B2" s="17" t="s">
        <v>43</v>
      </c>
      <c r="C2" s="17" t="s">
        <v>44</v>
      </c>
      <c r="D2" s="17" t="s">
        <v>45</v>
      </c>
    </row>
    <row r="3" spans="1:4">
      <c r="A3" t="s">
        <v>7</v>
      </c>
      <c r="B3" t="s">
        <v>8</v>
      </c>
      <c r="C3">
        <v>60</v>
      </c>
      <c r="D3">
        <v>842.39</v>
      </c>
    </row>
    <row r="4" spans="1:4">
      <c r="A4" t="s">
        <v>9</v>
      </c>
      <c r="B4" t="s">
        <v>8</v>
      </c>
      <c r="C4">
        <v>60</v>
      </c>
      <c r="D4">
        <v>842.29</v>
      </c>
    </row>
    <row r="5" spans="1:4">
      <c r="A5" t="s">
        <v>8</v>
      </c>
      <c r="B5" t="s">
        <v>11</v>
      </c>
      <c r="C5">
        <v>300</v>
      </c>
      <c r="D5">
        <v>842.09</v>
      </c>
    </row>
    <row r="6" spans="1:4">
      <c r="A6" t="s">
        <v>10</v>
      </c>
      <c r="B6" t="s">
        <v>11</v>
      </c>
      <c r="C6">
        <v>60</v>
      </c>
      <c r="D6">
        <v>840.75</v>
      </c>
    </row>
    <row r="7" spans="1:4">
      <c r="A7" t="s">
        <v>12</v>
      </c>
      <c r="B7" t="s">
        <v>11</v>
      </c>
      <c r="C7">
        <v>60</v>
      </c>
      <c r="D7">
        <v>840.78</v>
      </c>
    </row>
    <row r="8" spans="1:4">
      <c r="A8" t="s">
        <v>11</v>
      </c>
      <c r="B8" t="s">
        <v>15</v>
      </c>
      <c r="C8">
        <v>60</v>
      </c>
      <c r="D8">
        <v>840.55</v>
      </c>
    </row>
    <row r="9" spans="1:4">
      <c r="A9" t="s">
        <v>13</v>
      </c>
      <c r="B9" t="s">
        <v>14</v>
      </c>
      <c r="C9">
        <v>180</v>
      </c>
      <c r="D9">
        <v>841.86</v>
      </c>
    </row>
    <row r="10" spans="1:4">
      <c r="A10" t="s">
        <v>14</v>
      </c>
      <c r="B10" t="s">
        <v>15</v>
      </c>
      <c r="C10">
        <v>60</v>
      </c>
      <c r="D10">
        <v>840.39</v>
      </c>
    </row>
    <row r="11" spans="1:4">
      <c r="A11" t="s">
        <v>15</v>
      </c>
      <c r="B11" t="s">
        <v>17</v>
      </c>
      <c r="C11">
        <v>225</v>
      </c>
      <c r="D11">
        <v>840.19</v>
      </c>
    </row>
    <row r="12" spans="1:4">
      <c r="A12" t="s">
        <v>16</v>
      </c>
      <c r="B12" t="s">
        <v>17</v>
      </c>
      <c r="C12">
        <v>60</v>
      </c>
      <c r="D12">
        <v>839.27</v>
      </c>
    </row>
    <row r="13" spans="1:4">
      <c r="A13" t="s">
        <v>18</v>
      </c>
      <c r="B13" t="s">
        <v>17</v>
      </c>
      <c r="C13">
        <v>75</v>
      </c>
      <c r="D13">
        <v>839.34</v>
      </c>
    </row>
    <row r="14" spans="1:4">
      <c r="A14" t="s">
        <v>17</v>
      </c>
      <c r="B14" t="s">
        <v>27</v>
      </c>
      <c r="C14">
        <v>225</v>
      </c>
      <c r="D14">
        <v>839.01</v>
      </c>
    </row>
    <row r="15" spans="1:4">
      <c r="A15" t="s">
        <v>23</v>
      </c>
      <c r="B15" t="s">
        <v>16</v>
      </c>
      <c r="C15">
        <v>75</v>
      </c>
      <c r="D15">
        <v>839.7</v>
      </c>
    </row>
    <row r="16" spans="1:4">
      <c r="A16" t="s">
        <v>19</v>
      </c>
      <c r="B16" t="s">
        <v>20</v>
      </c>
      <c r="C16">
        <v>375</v>
      </c>
      <c r="D16">
        <v>839.5</v>
      </c>
    </row>
    <row r="17" spans="1:4">
      <c r="A17" t="s">
        <v>21</v>
      </c>
      <c r="B17" t="s">
        <v>20</v>
      </c>
      <c r="C17">
        <v>180</v>
      </c>
      <c r="D17">
        <v>839.27</v>
      </c>
    </row>
    <row r="18" spans="1:4">
      <c r="A18" t="s">
        <v>20</v>
      </c>
      <c r="B18" t="s">
        <v>27</v>
      </c>
      <c r="C18">
        <v>170</v>
      </c>
      <c r="D18">
        <v>838.45</v>
      </c>
    </row>
    <row r="19" spans="1:4">
      <c r="A19" t="s">
        <v>24</v>
      </c>
      <c r="B19" t="s">
        <v>25</v>
      </c>
      <c r="C19">
        <v>285</v>
      </c>
      <c r="D19">
        <v>840.94</v>
      </c>
    </row>
    <row r="20" spans="1:4">
      <c r="A20" t="s">
        <v>22</v>
      </c>
      <c r="B20" t="s">
        <v>25</v>
      </c>
      <c r="C20">
        <v>165</v>
      </c>
      <c r="D20">
        <v>840.12</v>
      </c>
    </row>
    <row r="21" spans="1:4">
      <c r="A21" t="s">
        <v>25</v>
      </c>
      <c r="B21" t="s">
        <v>26</v>
      </c>
      <c r="C21">
        <v>258</v>
      </c>
      <c r="D21">
        <v>839.4</v>
      </c>
    </row>
    <row r="22" spans="1:4">
      <c r="A22" t="s">
        <v>26</v>
      </c>
      <c r="B22" t="s">
        <v>27</v>
      </c>
      <c r="C22">
        <v>60</v>
      </c>
      <c r="D22">
        <v>838.48</v>
      </c>
    </row>
    <row r="23" spans="1:4">
      <c r="A23" t="s">
        <v>27</v>
      </c>
      <c r="B23" t="s">
        <v>29</v>
      </c>
      <c r="C23">
        <v>168</v>
      </c>
      <c r="D23">
        <v>838.22</v>
      </c>
    </row>
    <row r="24" spans="1:4">
      <c r="A24" t="s">
        <v>28</v>
      </c>
      <c r="B24" t="s">
        <v>29</v>
      </c>
      <c r="C24">
        <v>60</v>
      </c>
      <c r="D24">
        <v>837.6</v>
      </c>
    </row>
    <row r="25" spans="1:4">
      <c r="A25" t="s">
        <v>30</v>
      </c>
      <c r="B25" t="s">
        <v>29</v>
      </c>
      <c r="C25">
        <v>54</v>
      </c>
      <c r="D25">
        <v>837.4</v>
      </c>
    </row>
    <row r="26" spans="1:4">
      <c r="A26" t="s">
        <v>29</v>
      </c>
      <c r="B26" t="s">
        <v>32</v>
      </c>
      <c r="C26">
        <v>180</v>
      </c>
      <c r="D26">
        <v>837.34</v>
      </c>
    </row>
    <row r="27" spans="1:4">
      <c r="A27" t="s">
        <v>32</v>
      </c>
      <c r="B27" t="s">
        <v>33</v>
      </c>
      <c r="C27">
        <v>312</v>
      </c>
      <c r="D27">
        <v>836.22</v>
      </c>
    </row>
    <row r="28" spans="1:4">
      <c r="A28" t="s">
        <v>33</v>
      </c>
      <c r="B28" t="s">
        <v>34</v>
      </c>
      <c r="C28">
        <v>120</v>
      </c>
      <c r="D28">
        <v>834.22</v>
      </c>
    </row>
  </sheetData>
  <mergeCells count="1">
    <mergeCell ref="A1:B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zoomScale="150" zoomScaleNormal="150" zoomScalePageLayoutView="150" workbookViewId="0">
      <selection activeCell="H3" sqref="H3"/>
    </sheetView>
  </sheetViews>
  <sheetFormatPr baseColWidth="10" defaultRowHeight="15" x14ac:dyDescent="0"/>
  <cols>
    <col min="8" max="9" width="8.83203125" style="19" customWidth="1"/>
  </cols>
  <sheetData>
    <row r="1" spans="1:11" ht="16" thickBot="1">
      <c r="A1" t="s">
        <v>0</v>
      </c>
      <c r="B1" t="s">
        <v>1</v>
      </c>
      <c r="C1" t="s">
        <v>2</v>
      </c>
      <c r="D1" t="s">
        <v>3</v>
      </c>
      <c r="E1" t="s">
        <v>69</v>
      </c>
      <c r="F1" t="s">
        <v>4</v>
      </c>
      <c r="G1" t="s">
        <v>70</v>
      </c>
      <c r="H1" s="19" t="s">
        <v>71</v>
      </c>
      <c r="I1" s="19" t="s">
        <v>72</v>
      </c>
      <c r="J1" t="s">
        <v>5</v>
      </c>
      <c r="K1" t="s">
        <v>6</v>
      </c>
    </row>
    <row r="2" spans="1:11">
      <c r="A2" s="1" t="s">
        <v>7</v>
      </c>
      <c r="B2" s="2" t="s">
        <v>36</v>
      </c>
      <c r="C2" s="2">
        <v>1.73</v>
      </c>
      <c r="D2" s="2">
        <v>0.55000000000000004</v>
      </c>
      <c r="E2" s="14">
        <f>(C2*D2+C3*D3)</f>
        <v>1.1639999999999999</v>
      </c>
      <c r="F2" s="14">
        <v>7.5</v>
      </c>
      <c r="G2" s="14">
        <f>IF(F2&gt;10,F2,10)</f>
        <v>10</v>
      </c>
      <c r="H2" s="20">
        <f>56/(InletCalculations!G2+8.2)^0.78</f>
        <v>5.8254884344875615</v>
      </c>
      <c r="I2" s="20">
        <f>E2*H2</f>
        <v>6.7808685377435207</v>
      </c>
      <c r="J2" s="14">
        <v>24</v>
      </c>
      <c r="K2" s="14"/>
    </row>
    <row r="3" spans="1:11" ht="16" thickBot="1">
      <c r="A3" s="4" t="s">
        <v>7</v>
      </c>
      <c r="B3" s="5"/>
      <c r="C3" s="5">
        <v>0.25</v>
      </c>
      <c r="D3" s="5">
        <v>0.85</v>
      </c>
      <c r="E3" s="14"/>
      <c r="F3" s="14"/>
      <c r="G3" s="14"/>
      <c r="H3" s="20"/>
      <c r="I3" s="20"/>
      <c r="J3" s="14"/>
      <c r="K3" s="14"/>
    </row>
    <row r="4" spans="1:11">
      <c r="A4" t="s">
        <v>8</v>
      </c>
      <c r="B4" t="s">
        <v>37</v>
      </c>
      <c r="C4">
        <v>0.15</v>
      </c>
      <c r="D4">
        <v>0.7</v>
      </c>
      <c r="E4" s="14">
        <f>C4*D4</f>
        <v>0.105</v>
      </c>
      <c r="F4" s="14">
        <v>2</v>
      </c>
      <c r="G4" s="14">
        <f>IF(F4&gt;10,F4,10)</f>
        <v>10</v>
      </c>
      <c r="H4" s="20">
        <f>56/(InletCalculations!G4+8.2)^0.78</f>
        <v>5.8254884344875615</v>
      </c>
      <c r="I4" s="20">
        <f t="shared" ref="I4:I6" si="0">E4*H4</f>
        <v>0.61167628562119392</v>
      </c>
      <c r="J4" s="14">
        <v>32</v>
      </c>
      <c r="K4" s="14"/>
    </row>
    <row r="5" spans="1:11" ht="16" thickBot="1">
      <c r="A5" t="s">
        <v>9</v>
      </c>
      <c r="B5" t="s">
        <v>38</v>
      </c>
      <c r="C5">
        <v>0.28000000000000003</v>
      </c>
      <c r="D5">
        <v>0.85</v>
      </c>
      <c r="E5" s="14">
        <f>C5*D5</f>
        <v>0.23800000000000002</v>
      </c>
      <c r="F5" s="14">
        <v>3.2</v>
      </c>
      <c r="G5" s="14">
        <f>IF(F5&gt;10,F5,10)</f>
        <v>10</v>
      </c>
      <c r="H5" s="20">
        <f>56/(InletCalculations!G5+8.2)^0.78</f>
        <v>5.8254884344875615</v>
      </c>
      <c r="I5" s="20">
        <f t="shared" si="0"/>
        <v>1.3864662474080398</v>
      </c>
      <c r="J5" s="14">
        <v>24</v>
      </c>
      <c r="K5" s="14"/>
    </row>
    <row r="6" spans="1:11">
      <c r="A6" s="1" t="s">
        <v>10</v>
      </c>
      <c r="B6" s="2" t="s">
        <v>36</v>
      </c>
      <c r="C6" s="2">
        <v>1.95</v>
      </c>
      <c r="D6" s="2">
        <v>0.5</v>
      </c>
      <c r="E6" s="14">
        <f>(C6*D6+C7*D7)</f>
        <v>1.2725</v>
      </c>
      <c r="F6" s="14">
        <v>14.5</v>
      </c>
      <c r="G6" s="14">
        <f>IF(F6&gt;10,F6,10)</f>
        <v>14.5</v>
      </c>
      <c r="H6" s="20">
        <f>56/(InletCalculations!G6+8.2)^0.78</f>
        <v>4.9032931442568932</v>
      </c>
      <c r="I6" s="20">
        <f t="shared" si="0"/>
        <v>6.2394405260668968</v>
      </c>
      <c r="J6" s="14">
        <v>32</v>
      </c>
      <c r="K6" s="14"/>
    </row>
    <row r="7" spans="1:11" ht="16" thickBot="1">
      <c r="A7" s="4" t="s">
        <v>10</v>
      </c>
      <c r="B7" s="5"/>
      <c r="C7" s="5">
        <v>0.35</v>
      </c>
      <c r="D7" s="5">
        <v>0.85</v>
      </c>
      <c r="E7" s="14"/>
      <c r="F7" s="14"/>
      <c r="G7" s="14"/>
      <c r="H7" s="20"/>
      <c r="I7" s="20"/>
      <c r="J7" s="14"/>
      <c r="K7" s="14"/>
    </row>
    <row r="8" spans="1:11">
      <c r="A8" t="s">
        <v>11</v>
      </c>
      <c r="B8" t="s">
        <v>37</v>
      </c>
      <c r="C8" s="14">
        <v>0.1</v>
      </c>
      <c r="D8" s="14">
        <v>0.7</v>
      </c>
      <c r="E8" s="14">
        <f t="shared" ref="E8:E10" si="1">C8*D8</f>
        <v>6.9999999999999993E-2</v>
      </c>
      <c r="F8" s="14">
        <v>2</v>
      </c>
      <c r="G8" s="14">
        <f>IF(F8&gt;10,F8,10)</f>
        <v>10</v>
      </c>
      <c r="H8" s="20">
        <f>56/(InletCalculations!G8+8.2)^0.78</f>
        <v>5.8254884344875615</v>
      </c>
      <c r="I8" s="20">
        <f t="shared" ref="I8:I11" si="2">E8*H8</f>
        <v>0.40778419041412928</v>
      </c>
      <c r="J8" s="14">
        <v>32</v>
      </c>
      <c r="K8" s="14"/>
    </row>
    <row r="9" spans="1:11">
      <c r="A9" t="s">
        <v>12</v>
      </c>
      <c r="B9" t="s">
        <v>38</v>
      </c>
      <c r="C9" s="14">
        <v>0.35</v>
      </c>
      <c r="D9" s="14">
        <v>0.85</v>
      </c>
      <c r="E9" s="14">
        <f t="shared" si="1"/>
        <v>0.29749999999999999</v>
      </c>
      <c r="F9" s="14">
        <v>4.0999999999999996</v>
      </c>
      <c r="G9" s="14">
        <f>IF(F9&gt;10,F9,10)</f>
        <v>10</v>
      </c>
      <c r="H9" s="20">
        <f>56/(InletCalculations!G9+8.2)^0.78</f>
        <v>5.8254884344875615</v>
      </c>
      <c r="I9" s="20">
        <f t="shared" si="2"/>
        <v>1.7330828092600494</v>
      </c>
      <c r="J9" s="14">
        <v>32</v>
      </c>
      <c r="K9" s="14"/>
    </row>
    <row r="10" spans="1:11" ht="16" thickBot="1">
      <c r="A10" t="s">
        <v>13</v>
      </c>
      <c r="B10" t="s">
        <v>38</v>
      </c>
      <c r="C10" s="14">
        <v>0.55000000000000004</v>
      </c>
      <c r="D10" s="14">
        <v>0.5</v>
      </c>
      <c r="E10" s="14">
        <f t="shared" si="1"/>
        <v>0.27500000000000002</v>
      </c>
      <c r="F10" s="14">
        <v>5</v>
      </c>
      <c r="G10" s="14">
        <f>IF(F10&gt;10,F10,10)</f>
        <v>10</v>
      </c>
      <c r="H10" s="20">
        <f>56/(InletCalculations!G10+8.2)^0.78</f>
        <v>5.8254884344875615</v>
      </c>
      <c r="I10" s="20">
        <f t="shared" si="2"/>
        <v>1.6020093194840794</v>
      </c>
      <c r="J10" s="14">
        <v>48</v>
      </c>
      <c r="K10" s="14"/>
    </row>
    <row r="11" spans="1:11">
      <c r="A11" s="1" t="s">
        <v>14</v>
      </c>
      <c r="B11" s="2" t="s">
        <v>36</v>
      </c>
      <c r="C11" s="2">
        <v>1.05</v>
      </c>
      <c r="D11" s="2">
        <v>0.55000000000000004</v>
      </c>
      <c r="E11" s="14">
        <f>(C11*D11+C12*D12)</f>
        <v>0.81550000000000011</v>
      </c>
      <c r="F11" s="14">
        <v>13.5</v>
      </c>
      <c r="G11" s="14">
        <f>IF(F11&gt;10,F11,10)</f>
        <v>13.5</v>
      </c>
      <c r="H11" s="20">
        <f>56/(InletCalculations!G11+8.2)^0.78</f>
        <v>5.0786634547192815</v>
      </c>
      <c r="I11" s="20">
        <f t="shared" si="2"/>
        <v>4.1416500473235747</v>
      </c>
      <c r="J11" s="14">
        <v>48</v>
      </c>
      <c r="K11" s="14"/>
    </row>
    <row r="12" spans="1:11" ht="16" thickBot="1">
      <c r="A12" s="4" t="s">
        <v>14</v>
      </c>
      <c r="B12" s="5"/>
      <c r="C12" s="5">
        <v>0.28000000000000003</v>
      </c>
      <c r="D12" s="5">
        <v>0.85</v>
      </c>
      <c r="E12" s="14"/>
      <c r="F12" s="14"/>
      <c r="G12" s="14"/>
      <c r="H12" s="20"/>
      <c r="I12" s="20"/>
      <c r="J12" s="14"/>
      <c r="K12" s="14"/>
    </row>
    <row r="13" spans="1:11" ht="16" thickBot="1">
      <c r="A13" t="s">
        <v>15</v>
      </c>
      <c r="B13" t="s">
        <v>39</v>
      </c>
      <c r="E13" s="14"/>
      <c r="F13" s="14"/>
      <c r="G13" s="14"/>
      <c r="H13" s="20"/>
      <c r="I13" s="20"/>
      <c r="J13" s="14"/>
      <c r="K13" s="14"/>
    </row>
    <row r="14" spans="1:11">
      <c r="A14" s="7" t="s">
        <v>16</v>
      </c>
      <c r="B14" s="8" t="s">
        <v>36</v>
      </c>
      <c r="C14" s="8">
        <v>1.03</v>
      </c>
      <c r="D14" s="8">
        <v>0.5</v>
      </c>
      <c r="E14" s="14">
        <f>(C14*D14+C15*D15)</f>
        <v>0.753</v>
      </c>
      <c r="F14" s="14">
        <v>9</v>
      </c>
      <c r="G14" s="14">
        <f>IF(F14&gt;10,F14,10)</f>
        <v>10</v>
      </c>
      <c r="H14" s="20">
        <f>56/(InletCalculations!G14+8.2)^0.78</f>
        <v>5.8254884344875615</v>
      </c>
      <c r="I14" s="20">
        <f>E14*H14</f>
        <v>4.386592791169134</v>
      </c>
      <c r="J14" s="14">
        <v>32</v>
      </c>
      <c r="K14" s="14"/>
    </row>
    <row r="15" spans="1:11" ht="16" thickBot="1">
      <c r="A15" s="10" t="s">
        <v>16</v>
      </c>
      <c r="B15" s="11"/>
      <c r="C15" s="11">
        <v>0.28000000000000003</v>
      </c>
      <c r="D15" s="11">
        <v>0.85</v>
      </c>
      <c r="E15" s="14"/>
      <c r="F15" s="14"/>
      <c r="G15" s="14"/>
      <c r="H15" s="20"/>
      <c r="I15" s="20"/>
      <c r="J15" s="14"/>
      <c r="K15" s="14"/>
    </row>
    <row r="16" spans="1:11">
      <c r="A16" s="15" t="s">
        <v>17</v>
      </c>
      <c r="B16" s="15" t="s">
        <v>37</v>
      </c>
      <c r="C16" s="15">
        <v>0.13</v>
      </c>
      <c r="D16" s="15">
        <v>0.7</v>
      </c>
      <c r="E16" s="14">
        <f t="shared" ref="E16:E17" si="3">C16*D16</f>
        <v>9.0999999999999998E-2</v>
      </c>
      <c r="F16" s="14">
        <v>2</v>
      </c>
      <c r="G16" s="14">
        <f>IF(F16&gt;10,F16,10)</f>
        <v>10</v>
      </c>
      <c r="H16" s="20">
        <f>56/(InletCalculations!G16+8.2)^0.78</f>
        <v>5.8254884344875615</v>
      </c>
      <c r="I16" s="20">
        <f t="shared" ref="I16:I18" si="4">E16*H16</f>
        <v>0.53011944753836804</v>
      </c>
      <c r="J16" s="14">
        <v>32</v>
      </c>
      <c r="K16" s="14"/>
    </row>
    <row r="17" spans="1:11" ht="16" thickBot="1">
      <c r="A17" s="15" t="s">
        <v>18</v>
      </c>
      <c r="B17" s="15" t="s">
        <v>38</v>
      </c>
      <c r="C17" s="15">
        <v>0.23</v>
      </c>
      <c r="D17" s="15">
        <v>0.85</v>
      </c>
      <c r="E17" s="14">
        <f t="shared" si="3"/>
        <v>0.19550000000000001</v>
      </c>
      <c r="F17" s="14">
        <v>3.6</v>
      </c>
      <c r="G17" s="14">
        <f>IF(F17&gt;10,F17,10)</f>
        <v>10</v>
      </c>
      <c r="H17" s="20">
        <f>56/(InletCalculations!G17+8.2)^0.78</f>
        <v>5.8254884344875615</v>
      </c>
      <c r="I17" s="20">
        <f t="shared" si="4"/>
        <v>1.1388829889423182</v>
      </c>
      <c r="J17" s="14">
        <v>32</v>
      </c>
      <c r="K17" s="14"/>
    </row>
    <row r="18" spans="1:11">
      <c r="A18" s="7" t="s">
        <v>19</v>
      </c>
      <c r="B18" s="8" t="s">
        <v>36</v>
      </c>
      <c r="C18" s="8">
        <v>0.2</v>
      </c>
      <c r="D18" s="8">
        <v>0.55000000000000004</v>
      </c>
      <c r="E18" s="14">
        <f>(C18*D18+C19*D19)</f>
        <v>0.23750000000000002</v>
      </c>
      <c r="F18" s="14">
        <v>6</v>
      </c>
      <c r="G18" s="14">
        <f>IF(F18&gt;10,F18,10)</f>
        <v>10</v>
      </c>
      <c r="H18" s="20">
        <f>56/(InletCalculations!G18+8.2)^0.78</f>
        <v>5.8254884344875615</v>
      </c>
      <c r="I18" s="20">
        <f t="shared" si="4"/>
        <v>1.383553503190796</v>
      </c>
      <c r="J18" s="14">
        <v>48</v>
      </c>
      <c r="K18" s="14"/>
    </row>
    <row r="19" spans="1:11" ht="16" thickBot="1">
      <c r="A19" s="10" t="s">
        <v>19</v>
      </c>
      <c r="B19" s="11"/>
      <c r="C19" s="11">
        <v>0.15</v>
      </c>
      <c r="D19" s="11">
        <v>0.85</v>
      </c>
      <c r="E19" s="14"/>
      <c r="F19" s="14"/>
      <c r="G19" s="14"/>
      <c r="H19" s="20"/>
      <c r="I19" s="20"/>
      <c r="J19" s="14"/>
      <c r="K19" s="14"/>
    </row>
    <row r="20" spans="1:11">
      <c r="A20" s="1" t="s">
        <v>20</v>
      </c>
      <c r="B20" s="2" t="s">
        <v>36</v>
      </c>
      <c r="C20" s="2">
        <v>0.3</v>
      </c>
      <c r="D20" s="2">
        <v>0.55000000000000004</v>
      </c>
      <c r="E20" s="14">
        <f>(C20*D20+C21*D21)</f>
        <v>0.63250000000000006</v>
      </c>
      <c r="F20" s="14">
        <v>6.5</v>
      </c>
      <c r="G20" s="14">
        <f>IF(F20&gt;10,F20,10)</f>
        <v>10</v>
      </c>
      <c r="H20" s="20">
        <f>56/(InletCalculations!G20+8.2)^0.78</f>
        <v>5.8254884344875615</v>
      </c>
      <c r="I20" s="20">
        <f>E20*H20</f>
        <v>3.684621434813383</v>
      </c>
      <c r="J20" s="14">
        <v>48</v>
      </c>
      <c r="K20" s="14"/>
    </row>
    <row r="21" spans="1:11" ht="16" thickBot="1">
      <c r="A21" s="4" t="s">
        <v>20</v>
      </c>
      <c r="B21" s="5"/>
      <c r="C21" s="5">
        <v>0.55000000000000004</v>
      </c>
      <c r="D21" s="5">
        <v>0.85</v>
      </c>
      <c r="E21" s="14"/>
      <c r="F21" s="14"/>
      <c r="G21" s="14"/>
      <c r="H21" s="20"/>
      <c r="I21" s="20"/>
      <c r="J21" s="14"/>
      <c r="K21" s="14"/>
    </row>
    <row r="22" spans="1:11">
      <c r="A22" s="7" t="s">
        <v>21</v>
      </c>
      <c r="B22" s="8" t="s">
        <v>38</v>
      </c>
      <c r="C22" s="8">
        <v>0.8</v>
      </c>
      <c r="D22" s="8">
        <v>0.55000000000000004</v>
      </c>
      <c r="E22" s="14">
        <f>(C22*D22+C23*D23)</f>
        <v>0.59300000000000008</v>
      </c>
      <c r="F22" s="14">
        <v>8</v>
      </c>
      <c r="G22" s="14">
        <f>IF(F22&gt;10,F22,10)</f>
        <v>10</v>
      </c>
      <c r="H22" s="20">
        <f>56/(InletCalculations!G22+8.2)^0.78</f>
        <v>5.8254884344875615</v>
      </c>
      <c r="I22" s="20">
        <f>E22*H22</f>
        <v>3.4545146416511243</v>
      </c>
      <c r="J22" s="14">
        <v>48</v>
      </c>
      <c r="K22" s="14"/>
    </row>
    <row r="23" spans="1:11" ht="16" thickBot="1">
      <c r="A23" s="10" t="s">
        <v>21</v>
      </c>
      <c r="B23" s="11"/>
      <c r="C23" s="11">
        <v>0.18</v>
      </c>
      <c r="D23" s="11">
        <v>0.85</v>
      </c>
      <c r="E23" s="14"/>
      <c r="F23" s="14"/>
      <c r="G23" s="14"/>
      <c r="H23" s="20"/>
      <c r="I23" s="20"/>
      <c r="J23" s="14"/>
      <c r="K23" s="14"/>
    </row>
    <row r="24" spans="1:11">
      <c r="A24" s="1" t="s">
        <v>22</v>
      </c>
      <c r="B24" s="2" t="s">
        <v>40</v>
      </c>
      <c r="C24" s="2">
        <v>1.65</v>
      </c>
      <c r="D24" s="2">
        <v>0.4</v>
      </c>
      <c r="E24" s="14">
        <f>(C24*D24+C25*D25)</f>
        <v>0.94050000000000011</v>
      </c>
      <c r="F24" s="14">
        <v>15</v>
      </c>
      <c r="G24" s="14">
        <f>IF(F24&gt;10,F24,10)</f>
        <v>15</v>
      </c>
      <c r="H24" s="20">
        <f>56/(InletCalculations!G24+8.2)^0.78</f>
        <v>4.8206699557418036</v>
      </c>
      <c r="I24" s="20">
        <f>E24*H24</f>
        <v>4.5338400933751668</v>
      </c>
      <c r="J24" s="14">
        <v>48</v>
      </c>
      <c r="K24" s="14"/>
    </row>
    <row r="25" spans="1:11" ht="16" thickBot="1">
      <c r="A25" s="4" t="s">
        <v>22</v>
      </c>
      <c r="B25" s="5"/>
      <c r="C25" s="5">
        <v>0.33</v>
      </c>
      <c r="D25" s="5">
        <v>0.85</v>
      </c>
      <c r="E25" s="14"/>
      <c r="F25" s="14"/>
      <c r="G25" s="14"/>
      <c r="H25" s="20"/>
      <c r="I25" s="20"/>
      <c r="J25" s="14"/>
      <c r="K25" s="14"/>
    </row>
    <row r="26" spans="1:11">
      <c r="A26" s="7" t="s">
        <v>23</v>
      </c>
      <c r="B26" s="8" t="s">
        <v>41</v>
      </c>
      <c r="C26" s="8">
        <v>1.08</v>
      </c>
      <c r="D26" s="8">
        <v>0.6</v>
      </c>
      <c r="E26" s="14">
        <f>(C26*D26+C27*D27)</f>
        <v>1.0985</v>
      </c>
      <c r="F26" s="14">
        <v>8.8000000000000007</v>
      </c>
      <c r="G26" s="14">
        <f>IF(F26&gt;10,F26,10)</f>
        <v>10</v>
      </c>
      <c r="H26" s="20">
        <f>56/(InletCalculations!G26+8.2)^0.78</f>
        <v>5.8254884344875615</v>
      </c>
      <c r="I26" s="20">
        <f>E26*H26</f>
        <v>6.3992990452845868</v>
      </c>
      <c r="J26" s="14">
        <v>32</v>
      </c>
      <c r="K26" s="14"/>
    </row>
    <row r="27" spans="1:11" ht="16" thickBot="1">
      <c r="A27" s="10" t="s">
        <v>23</v>
      </c>
      <c r="B27" s="11"/>
      <c r="C27" s="11">
        <v>0.53</v>
      </c>
      <c r="D27" s="11">
        <v>0.85</v>
      </c>
      <c r="E27" s="14"/>
      <c r="F27" s="14"/>
      <c r="G27" s="14"/>
      <c r="H27" s="20"/>
      <c r="I27" s="20"/>
      <c r="J27" s="14"/>
      <c r="K27" s="14"/>
    </row>
    <row r="28" spans="1:11">
      <c r="A28" s="1" t="s">
        <v>24</v>
      </c>
      <c r="B28" s="2" t="s">
        <v>40</v>
      </c>
      <c r="C28" s="2">
        <v>0.75</v>
      </c>
      <c r="D28" s="2">
        <v>0.55000000000000004</v>
      </c>
      <c r="E28" s="14">
        <f>(C28*D28+C29*D29)</f>
        <v>0.5655</v>
      </c>
      <c r="F28" s="14">
        <v>17.7</v>
      </c>
      <c r="G28" s="14">
        <f>IF(F28&gt;10,F28,10)</f>
        <v>17.7</v>
      </c>
      <c r="H28" s="20">
        <f>56/(InletCalculations!G28+8.2)^0.78</f>
        <v>4.4239907579411097</v>
      </c>
      <c r="I28" s="20">
        <f>E28*H28</f>
        <v>2.5017667736156977</v>
      </c>
      <c r="J28" s="14">
        <v>48</v>
      </c>
      <c r="K28" s="14"/>
    </row>
    <row r="29" spans="1:11" ht="16" thickBot="1">
      <c r="A29" s="4" t="s">
        <v>24</v>
      </c>
      <c r="B29" s="5"/>
      <c r="C29" s="5">
        <v>0.18</v>
      </c>
      <c r="D29" s="5">
        <v>0.85</v>
      </c>
      <c r="E29" s="14"/>
      <c r="F29" s="14"/>
      <c r="G29" s="14"/>
      <c r="H29" s="20"/>
      <c r="I29" s="20"/>
      <c r="J29" s="14"/>
      <c r="K29" s="14"/>
    </row>
    <row r="30" spans="1:11">
      <c r="A30" t="s">
        <v>25</v>
      </c>
      <c r="B30" t="s">
        <v>40</v>
      </c>
      <c r="C30" s="14">
        <v>0.6</v>
      </c>
      <c r="D30" s="14">
        <v>0.85</v>
      </c>
      <c r="E30" s="14">
        <f t="shared" ref="E30:E31" si="5">C30*D30</f>
        <v>0.51</v>
      </c>
      <c r="F30" s="14">
        <v>3.6</v>
      </c>
      <c r="G30" s="14">
        <f>IF(F30&gt;10,F30,10)</f>
        <v>10</v>
      </c>
      <c r="H30" s="20">
        <f>56/(InletCalculations!G30+8.2)^0.78</f>
        <v>5.8254884344875615</v>
      </c>
      <c r="I30" s="20">
        <f t="shared" ref="I30:I31" si="6">E30*H30</f>
        <v>2.9709991015886565</v>
      </c>
      <c r="J30" s="14">
        <v>48</v>
      </c>
      <c r="K30" s="14"/>
    </row>
    <row r="31" spans="1:11">
      <c r="A31" t="s">
        <v>26</v>
      </c>
      <c r="B31" t="s">
        <v>40</v>
      </c>
      <c r="C31" s="14">
        <v>0.43</v>
      </c>
      <c r="D31" s="14">
        <v>0.85</v>
      </c>
      <c r="E31" s="14">
        <f t="shared" si="5"/>
        <v>0.36549999999999999</v>
      </c>
      <c r="F31" s="14">
        <v>3</v>
      </c>
      <c r="G31" s="14">
        <f>IF(F31&gt;10,F31,10)</f>
        <v>10</v>
      </c>
      <c r="H31" s="20">
        <f>56/(InletCalculations!G31+8.2)^0.78</f>
        <v>5.8254884344875615</v>
      </c>
      <c r="I31" s="20">
        <f t="shared" si="6"/>
        <v>2.1292160228052035</v>
      </c>
      <c r="J31" s="14">
        <v>48</v>
      </c>
      <c r="K31" s="14"/>
    </row>
    <row r="32" spans="1:11">
      <c r="A32" t="s">
        <v>27</v>
      </c>
      <c r="B32" t="s">
        <v>39</v>
      </c>
      <c r="C32" s="14"/>
      <c r="D32" s="15"/>
      <c r="E32" s="14"/>
      <c r="F32" s="14"/>
      <c r="G32" s="14"/>
      <c r="H32" s="20"/>
      <c r="I32" s="20"/>
      <c r="J32" s="14"/>
      <c r="K32" s="14"/>
    </row>
    <row r="33" spans="1:11">
      <c r="A33" t="s">
        <v>28</v>
      </c>
      <c r="B33" t="s">
        <v>41</v>
      </c>
      <c r="C33" s="14">
        <v>0.83</v>
      </c>
      <c r="D33" s="14">
        <v>0.85</v>
      </c>
      <c r="E33" s="14">
        <f t="shared" ref="E33:E35" si="7">C33*D33</f>
        <v>0.7054999999999999</v>
      </c>
      <c r="F33" s="14">
        <v>4.2</v>
      </c>
      <c r="G33" s="14">
        <f>IF(F33&gt;10,F33,10)</f>
        <v>10</v>
      </c>
      <c r="H33" s="20">
        <f>56/(InletCalculations!G33+8.2)^0.78</f>
        <v>5.8254884344875615</v>
      </c>
      <c r="I33" s="20">
        <f t="shared" ref="I33:I36" si="8">E33*H33</f>
        <v>4.1098820905309736</v>
      </c>
      <c r="J33" s="14">
        <v>32</v>
      </c>
      <c r="K33" s="14"/>
    </row>
    <row r="34" spans="1:11">
      <c r="A34" t="s">
        <v>29</v>
      </c>
      <c r="B34" t="s">
        <v>37</v>
      </c>
      <c r="C34" s="14">
        <v>0.1</v>
      </c>
      <c r="D34" s="14">
        <v>0.7</v>
      </c>
      <c r="E34" s="14">
        <f t="shared" si="7"/>
        <v>6.9999999999999993E-2</v>
      </c>
      <c r="F34" s="14">
        <v>2</v>
      </c>
      <c r="G34" s="14">
        <f>IF(F34&gt;10,F34,10)</f>
        <v>10</v>
      </c>
      <c r="H34" s="20">
        <f>56/(InletCalculations!G34+8.2)^0.78</f>
        <v>5.8254884344875615</v>
      </c>
      <c r="I34" s="20">
        <f t="shared" si="8"/>
        <v>0.40778419041412928</v>
      </c>
      <c r="J34" s="14">
        <v>32</v>
      </c>
      <c r="K34" s="14"/>
    </row>
    <row r="35" spans="1:11" ht="16" thickBot="1">
      <c r="A35" t="s">
        <v>30</v>
      </c>
      <c r="B35" t="s">
        <v>41</v>
      </c>
      <c r="C35" s="16">
        <v>1.03</v>
      </c>
      <c r="D35" s="14">
        <v>0.85</v>
      </c>
      <c r="E35" s="14">
        <f t="shared" si="7"/>
        <v>0.87549999999999994</v>
      </c>
      <c r="F35" s="14">
        <v>7</v>
      </c>
      <c r="G35" s="14">
        <f>IF(F35&gt;10,F35,10)</f>
        <v>10</v>
      </c>
      <c r="H35" s="20">
        <f>56/(InletCalculations!G35+8.2)^0.78</f>
        <v>5.8254884344875615</v>
      </c>
      <c r="I35" s="20">
        <f t="shared" si="8"/>
        <v>5.10021512439386</v>
      </c>
      <c r="J35" s="14">
        <v>32</v>
      </c>
      <c r="K35" s="14"/>
    </row>
    <row r="36" spans="1:11">
      <c r="A36" s="1" t="s">
        <v>31</v>
      </c>
      <c r="B36" s="2"/>
      <c r="C36" s="13">
        <v>0.45</v>
      </c>
      <c r="D36" s="2">
        <v>0.7</v>
      </c>
      <c r="E36" s="14">
        <f>(C36*D36+C37*D37)</f>
        <v>3.4855</v>
      </c>
      <c r="F36" s="14">
        <v>11.6</v>
      </c>
      <c r="G36" s="14">
        <f>IF(F36&gt;10,F36,10)</f>
        <v>11.6</v>
      </c>
      <c r="H36" s="20">
        <f>56/(InletCalculations!G36+8.2)^0.78</f>
        <v>5.4549299584882318</v>
      </c>
      <c r="I36" s="20">
        <f t="shared" si="8"/>
        <v>19.013158370310734</v>
      </c>
      <c r="J36" s="14"/>
      <c r="K36" s="14"/>
    </row>
    <row r="37" spans="1:11" ht="16" thickBot="1">
      <c r="A37" s="4" t="s">
        <v>31</v>
      </c>
      <c r="B37" s="5"/>
      <c r="C37" s="5">
        <v>3.73</v>
      </c>
      <c r="D37" s="5">
        <v>0.85</v>
      </c>
      <c r="E37" s="14"/>
      <c r="F37" s="14"/>
      <c r="G37" s="14"/>
      <c r="H37" s="20"/>
      <c r="I37" s="20"/>
      <c r="J37" s="14"/>
      <c r="K37" s="14"/>
    </row>
    <row r="38" spans="1:11">
      <c r="A38" t="s">
        <v>32</v>
      </c>
      <c r="B38" t="s">
        <v>39</v>
      </c>
      <c r="C38" s="15"/>
      <c r="E38" s="14"/>
      <c r="F38" s="14"/>
      <c r="G38" s="14"/>
      <c r="H38" s="20"/>
      <c r="I38" s="20"/>
      <c r="J38" s="14"/>
      <c r="K38" s="14"/>
    </row>
    <row r="39" spans="1:11">
      <c r="A39" t="s">
        <v>33</v>
      </c>
      <c r="B39" t="s">
        <v>37</v>
      </c>
      <c r="C39" s="14">
        <v>0.3</v>
      </c>
      <c r="D39" s="14">
        <v>0.7</v>
      </c>
      <c r="E39" s="14">
        <f>C39*D39</f>
        <v>0.21</v>
      </c>
      <c r="F39" s="14">
        <v>3.4</v>
      </c>
      <c r="G39" s="14">
        <f>IF(F39&gt;10,F39,10)</f>
        <v>10</v>
      </c>
      <c r="H39" s="20">
        <f>56/(InletCalculations!G39+8.2)^0.78</f>
        <v>5.8254884344875615</v>
      </c>
      <c r="I39" s="20">
        <f>E39*H39</f>
        <v>1.2233525712423878</v>
      </c>
      <c r="J39" s="14">
        <v>32</v>
      </c>
      <c r="K39" s="14"/>
    </row>
    <row r="40" spans="1:11">
      <c r="A40" t="s">
        <v>34</v>
      </c>
      <c r="B40" t="s">
        <v>35</v>
      </c>
      <c r="C40" s="1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"/>
  <sheetViews>
    <sheetView zoomScale="150" zoomScaleNormal="150" zoomScalePageLayoutView="150" workbookViewId="0">
      <pane xSplit="11060" topLeftCell="N1"/>
      <selection activeCell="AA11" sqref="AA11"/>
      <selection pane="topRight" activeCell="N1" sqref="N1"/>
    </sheetView>
  </sheetViews>
  <sheetFormatPr baseColWidth="10" defaultRowHeight="15" x14ac:dyDescent="0"/>
  <cols>
    <col min="1" max="1" width="4" customWidth="1"/>
    <col min="2" max="2" width="6" customWidth="1"/>
    <col min="3" max="3" width="8.33203125" customWidth="1"/>
    <col min="4" max="4" width="6" customWidth="1"/>
    <col min="5" max="5" width="6.33203125" customWidth="1"/>
    <col min="6" max="7" width="5.33203125" customWidth="1"/>
    <col min="8" max="8" width="5.6640625" customWidth="1"/>
    <col min="9" max="9" width="5.1640625" customWidth="1"/>
    <col min="10" max="10" width="5" customWidth="1"/>
    <col min="11" max="11" width="5.1640625" customWidth="1"/>
    <col min="12" max="12" width="4" customWidth="1"/>
    <col min="13" max="13" width="7.5" customWidth="1"/>
    <col min="14" max="14" width="4.83203125" customWidth="1"/>
    <col min="15" max="19" width="5.33203125" customWidth="1"/>
    <col min="20" max="20" width="7.1640625" customWidth="1"/>
    <col min="21" max="21" width="8.33203125" customWidth="1"/>
    <col min="22" max="22" width="4.83203125" customWidth="1"/>
    <col min="23" max="23" width="6.1640625" customWidth="1"/>
    <col min="24" max="24" width="4.83203125" customWidth="1"/>
    <col min="25" max="25" width="8.5" customWidth="1"/>
    <col min="26" max="27" width="4.83203125" customWidth="1"/>
  </cols>
  <sheetData>
    <row r="1" spans="1:27" s="21" customFormat="1" ht="102" customHeight="1" thickBo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69</v>
      </c>
      <c r="F1" s="21" t="s">
        <v>4</v>
      </c>
      <c r="G1" s="21" t="s">
        <v>70</v>
      </c>
      <c r="H1" s="22" t="s">
        <v>71</v>
      </c>
      <c r="I1" s="22" t="s">
        <v>72</v>
      </c>
      <c r="J1" s="22" t="s">
        <v>87</v>
      </c>
      <c r="K1" s="22" t="s">
        <v>88</v>
      </c>
      <c r="L1" s="21" t="s">
        <v>5</v>
      </c>
      <c r="M1" s="21" t="s">
        <v>6</v>
      </c>
      <c r="N1" s="22" t="s">
        <v>84</v>
      </c>
      <c r="O1" s="22" t="s">
        <v>85</v>
      </c>
      <c r="P1" s="22" t="s">
        <v>74</v>
      </c>
      <c r="Q1" s="22" t="s">
        <v>75</v>
      </c>
      <c r="R1" s="22" t="s">
        <v>76</v>
      </c>
      <c r="S1" s="22" t="s">
        <v>77</v>
      </c>
      <c r="T1" s="22" t="s">
        <v>86</v>
      </c>
      <c r="U1" s="22" t="s">
        <v>78</v>
      </c>
      <c r="V1" s="22" t="s">
        <v>79</v>
      </c>
      <c r="W1" s="22" t="s">
        <v>80</v>
      </c>
      <c r="X1" s="22" t="s">
        <v>81</v>
      </c>
      <c r="Y1" s="22" t="s">
        <v>73</v>
      </c>
      <c r="Z1" s="22" t="s">
        <v>82</v>
      </c>
      <c r="AA1" s="22" t="s">
        <v>83</v>
      </c>
    </row>
    <row r="2" spans="1:27" ht="16" thickBot="1">
      <c r="A2" s="1" t="str">
        <f>InletCalculations!A2</f>
        <v>A1</v>
      </c>
      <c r="B2" s="1" t="str">
        <f>InletCalculations!B2</f>
        <v>CURB</v>
      </c>
      <c r="C2" s="1">
        <f>InletCalculations!C2</f>
        <v>1.73</v>
      </c>
      <c r="D2" s="1">
        <f>InletCalculations!D2</f>
        <v>0.55000000000000004</v>
      </c>
      <c r="E2" s="1">
        <f>InletCalculations!E2</f>
        <v>1.1639999999999999</v>
      </c>
      <c r="F2" s="1">
        <f>InletCalculations!F2</f>
        <v>7.5</v>
      </c>
      <c r="G2" s="1">
        <f>InletCalculations!G2</f>
        <v>10</v>
      </c>
      <c r="H2" s="1">
        <f>InletCalculations!H2</f>
        <v>5.8254884344875615</v>
      </c>
      <c r="I2" s="1">
        <f>InletCalculations!I2</f>
        <v>6.7808685377435207</v>
      </c>
      <c r="J2" s="1">
        <v>0</v>
      </c>
      <c r="K2" s="1">
        <f>I2+J2</f>
        <v>6.7808685377435207</v>
      </c>
      <c r="L2" s="1">
        <f>InletCalculations!J2</f>
        <v>24</v>
      </c>
      <c r="M2">
        <v>5.0000000000000001E-3</v>
      </c>
      <c r="N2">
        <f>1.243*((K2*0.016*(1/L2)/(SQRT(M2)))^(3/8))</f>
        <v>0.44321252762126101</v>
      </c>
      <c r="O2">
        <f>N2*L2</f>
        <v>10.637100662910264</v>
      </c>
      <c r="P2">
        <f>3/12</f>
        <v>0.25</v>
      </c>
      <c r="R2">
        <v>1.5</v>
      </c>
      <c r="T2">
        <v>11.602004140411532</v>
      </c>
      <c r="V2">
        <v>10</v>
      </c>
      <c r="W2">
        <f>V2/T2</f>
        <v>0.86192005096503022</v>
      </c>
      <c r="X2">
        <f>P2/R2</f>
        <v>0.16666666666666666</v>
      </c>
      <c r="Y2">
        <f>I2*(1-W2)^(1.8)</f>
        <v>0.1920969357463998</v>
      </c>
      <c r="Z2" t="s">
        <v>10</v>
      </c>
      <c r="AA2">
        <f>I2-Y2</f>
        <v>6.588771601997121</v>
      </c>
    </row>
    <row r="3" spans="1:27" ht="16" thickBot="1">
      <c r="A3" s="1" t="str">
        <f>InletCalculations!A5</f>
        <v>B1</v>
      </c>
      <c r="B3" s="1" t="str">
        <f>InletCalculations!B5</f>
        <v>SLOT</v>
      </c>
      <c r="C3" s="1">
        <f>InletCalculations!C5</f>
        <v>0.28000000000000003</v>
      </c>
      <c r="D3" s="1">
        <f>InletCalculations!D5</f>
        <v>0.85</v>
      </c>
      <c r="E3" s="1">
        <f>InletCalculations!E5</f>
        <v>0.23800000000000002</v>
      </c>
      <c r="F3" s="1">
        <f>InletCalculations!F5</f>
        <v>3.2</v>
      </c>
      <c r="G3" s="1">
        <f>InletCalculations!G5</f>
        <v>10</v>
      </c>
      <c r="H3" s="1">
        <f>InletCalculations!H5</f>
        <v>5.8254884344875615</v>
      </c>
      <c r="I3" s="1">
        <f>InletCalculations!I5</f>
        <v>1.3864662474080398</v>
      </c>
      <c r="J3" s="1">
        <f t="shared" ref="J3:J6" si="0">Y3</f>
        <v>0</v>
      </c>
      <c r="K3" s="1">
        <f t="shared" ref="K3:K26" si="1">I3+J3</f>
        <v>1.3864662474080398</v>
      </c>
      <c r="L3" s="1">
        <f>InletCalculations!J5</f>
        <v>24</v>
      </c>
      <c r="M3">
        <v>5.0000000000000001E-3</v>
      </c>
      <c r="N3">
        <f t="shared" ref="N3:N16" si="2">1.243*((K3*0.016*(1/L3)/(SQRT(M3)))^(3/8))</f>
        <v>0.24439708335932531</v>
      </c>
      <c r="O3">
        <f>N3*L3</f>
        <v>5.8655300006238074</v>
      </c>
      <c r="Q3">
        <v>0.3241079</v>
      </c>
      <c r="U3">
        <f>0.706*(I3^0.442)*(M3^Q3)*((1/L3)^-0.849)/(0.015^0.384)</f>
        <v>10.912566751889431</v>
      </c>
      <c r="V3">
        <v>20</v>
      </c>
      <c r="W3">
        <f>V3/U3</f>
        <v>1.8327493846978895</v>
      </c>
      <c r="Y3">
        <f>IF(W3&lt;1,0.918*I3*(1-W3)^(1.769),0)</f>
        <v>0</v>
      </c>
      <c r="Z3" t="s">
        <v>12</v>
      </c>
      <c r="AA3">
        <f>I3-Y3</f>
        <v>1.3864662474080398</v>
      </c>
    </row>
    <row r="4" spans="1:27" ht="16" thickBot="1">
      <c r="A4" s="1" t="str">
        <f>InletCalculations!A6</f>
        <v>C1</v>
      </c>
      <c r="B4" s="1" t="str">
        <f>InletCalculations!B6</f>
        <v>CURB</v>
      </c>
      <c r="C4" s="1">
        <f>InletCalculations!C6</f>
        <v>1.95</v>
      </c>
      <c r="D4" s="1">
        <f>InletCalculations!D6</f>
        <v>0.5</v>
      </c>
      <c r="E4" s="1">
        <f>InletCalculations!E6</f>
        <v>1.2725</v>
      </c>
      <c r="F4" s="1">
        <f>InletCalculations!F6</f>
        <v>14.5</v>
      </c>
      <c r="G4" s="1">
        <f>InletCalculations!G6</f>
        <v>14.5</v>
      </c>
      <c r="H4" s="1">
        <f>InletCalculations!H6</f>
        <v>4.9032931442568932</v>
      </c>
      <c r="I4" s="1">
        <f>InletCalculations!I6</f>
        <v>6.2394405260668968</v>
      </c>
      <c r="J4" s="1">
        <f>Y2</f>
        <v>0.1920969357463998</v>
      </c>
      <c r="K4" s="1">
        <f t="shared" si="1"/>
        <v>6.4315374618132966</v>
      </c>
      <c r="L4" s="1">
        <f>InletCalculations!J6</f>
        <v>32</v>
      </c>
      <c r="M4">
        <v>6.0000000000000001E-3</v>
      </c>
      <c r="N4">
        <f t="shared" si="2"/>
        <v>0.37696373530022331</v>
      </c>
      <c r="O4">
        <f t="shared" ref="O4:O16" si="3">N4*L4</f>
        <v>12.062839529607146</v>
      </c>
      <c r="P4">
        <v>0.25</v>
      </c>
      <c r="R4">
        <v>1.5</v>
      </c>
      <c r="T4">
        <v>12.935834978112064</v>
      </c>
      <c r="V4">
        <v>20</v>
      </c>
      <c r="W4">
        <f>V4/T4</f>
        <v>1.5460926978305443</v>
      </c>
      <c r="Y4">
        <f>IF(W4&lt;1,I4*(1-W4)^(1.8),0)</f>
        <v>0</v>
      </c>
      <c r="Z4" t="s">
        <v>14</v>
      </c>
      <c r="AA4">
        <f>I4-Y4+Y2</f>
        <v>6.4315374618132966</v>
      </c>
    </row>
    <row r="5" spans="1:27" ht="16" thickBot="1">
      <c r="A5" s="1" t="str">
        <f>InletCalculations!A9</f>
        <v>D1</v>
      </c>
      <c r="B5" s="1" t="str">
        <f>InletCalculations!B9</f>
        <v>SLOT</v>
      </c>
      <c r="C5" s="1">
        <f>InletCalculations!C9</f>
        <v>0.35</v>
      </c>
      <c r="D5" s="1">
        <f>InletCalculations!D9</f>
        <v>0.85</v>
      </c>
      <c r="E5" s="1">
        <f>InletCalculations!E9</f>
        <v>0.29749999999999999</v>
      </c>
      <c r="F5" s="1">
        <f>InletCalculations!F9</f>
        <v>4.0999999999999996</v>
      </c>
      <c r="G5" s="1">
        <f>InletCalculations!G9</f>
        <v>10</v>
      </c>
      <c r="H5" s="1">
        <f>InletCalculations!H9</f>
        <v>5.8254884344875615</v>
      </c>
      <c r="I5" s="1">
        <f>InletCalculations!I9</f>
        <v>1.7330828092600494</v>
      </c>
      <c r="J5" s="1">
        <f t="shared" si="0"/>
        <v>0</v>
      </c>
      <c r="K5" s="1">
        <f t="shared" si="1"/>
        <v>1.7330828092600494</v>
      </c>
      <c r="L5" s="1">
        <f>InletCalculations!J9</f>
        <v>32</v>
      </c>
      <c r="M5">
        <v>6.0000000000000001E-3</v>
      </c>
      <c r="N5">
        <f t="shared" si="2"/>
        <v>0.2305360054325844</v>
      </c>
      <c r="O5">
        <f t="shared" si="3"/>
        <v>7.3771521738427008</v>
      </c>
      <c r="Q5">
        <v>0.33418297600000002</v>
      </c>
      <c r="U5">
        <f>0.706*(I5^0.442)*(M5^Q5)*((1/L5)^-0.849)/(0.015^0.384)</f>
        <v>15.492164463896096</v>
      </c>
      <c r="V5">
        <v>20</v>
      </c>
      <c r="W5">
        <f t="shared" ref="W4:W12" si="4">V5/U5</f>
        <v>1.2909751924341653</v>
      </c>
      <c r="Y5">
        <f>IF(W5&lt;1,0.918*I5*(1-W5)^(1.769),0)</f>
        <v>0</v>
      </c>
      <c r="Z5" t="s">
        <v>18</v>
      </c>
      <c r="AA5">
        <f t="shared" ref="AA4:AA12" si="5">I5-Y5</f>
        <v>1.7330828092600494</v>
      </c>
    </row>
    <row r="6" spans="1:27" ht="16" thickBot="1">
      <c r="A6" s="1" t="str">
        <f>InletCalculations!A10</f>
        <v>E1</v>
      </c>
      <c r="B6" s="1" t="str">
        <f>InletCalculations!B10</f>
        <v>SLOT</v>
      </c>
      <c r="C6" s="1">
        <f>InletCalculations!C10</f>
        <v>0.55000000000000004</v>
      </c>
      <c r="D6" s="1">
        <f>InletCalculations!D10</f>
        <v>0.5</v>
      </c>
      <c r="E6" s="1">
        <f>InletCalculations!E10</f>
        <v>0.27500000000000002</v>
      </c>
      <c r="F6" s="1">
        <f>InletCalculations!F10</f>
        <v>5</v>
      </c>
      <c r="G6" s="1">
        <f>InletCalculations!G10</f>
        <v>10</v>
      </c>
      <c r="H6" s="1">
        <f>InletCalculations!H10</f>
        <v>5.8254884344875615</v>
      </c>
      <c r="I6" s="1">
        <f>InletCalculations!I10</f>
        <v>1.6020093194840794</v>
      </c>
      <c r="J6" s="1">
        <v>0</v>
      </c>
      <c r="K6" s="1">
        <f t="shared" si="1"/>
        <v>1.6020093194840794</v>
      </c>
      <c r="L6" s="1">
        <f>InletCalculations!J10</f>
        <v>48</v>
      </c>
      <c r="M6">
        <v>6.4999999999999997E-3</v>
      </c>
      <c r="N6">
        <f t="shared" si="2"/>
        <v>0.18939948469882034</v>
      </c>
      <c r="O6">
        <f t="shared" si="3"/>
        <v>9.0911752655433773</v>
      </c>
      <c r="Q6">
        <v>0.31349020099999997</v>
      </c>
      <c r="U6">
        <v>24.06529465636898</v>
      </c>
      <c r="V6">
        <v>20</v>
      </c>
      <c r="W6">
        <f t="shared" si="4"/>
        <v>0.8310723091315616</v>
      </c>
      <c r="Y6">
        <f>IF(W6&lt;1,0.918*I6*(1-W6)^(1.769),0)</f>
        <v>6.3286417979278115E-2</v>
      </c>
      <c r="Z6" t="s">
        <v>14</v>
      </c>
      <c r="AA6">
        <f t="shared" si="5"/>
        <v>1.5387229015048014</v>
      </c>
    </row>
    <row r="7" spans="1:27" ht="16" thickBot="1">
      <c r="A7" s="1" t="str">
        <f>InletCalculations!A11</f>
        <v>E2</v>
      </c>
      <c r="B7" s="1" t="str">
        <f>InletCalculations!B11</f>
        <v>CURB</v>
      </c>
      <c r="C7" s="1">
        <f>InletCalculations!C11</f>
        <v>1.05</v>
      </c>
      <c r="D7" s="1">
        <f>InletCalculations!D11</f>
        <v>0.55000000000000004</v>
      </c>
      <c r="E7" s="1">
        <f>InletCalculations!E11</f>
        <v>0.81550000000000011</v>
      </c>
      <c r="F7" s="1">
        <f>InletCalculations!F11</f>
        <v>13.5</v>
      </c>
      <c r="G7" s="1">
        <f>InletCalculations!G11</f>
        <v>13.5</v>
      </c>
      <c r="H7" s="1">
        <f>InletCalculations!H11</f>
        <v>5.0786634547192815</v>
      </c>
      <c r="I7" s="1">
        <f>InletCalculations!I11</f>
        <v>4.1416500473235747</v>
      </c>
      <c r="J7" s="1">
        <f>Y6</f>
        <v>6.3286417979278115E-2</v>
      </c>
      <c r="K7" s="1">
        <f t="shared" si="1"/>
        <v>4.2049364653028531</v>
      </c>
      <c r="L7" s="1">
        <f>InletCalculations!J11</f>
        <v>48</v>
      </c>
      <c r="M7">
        <v>6.0000000000000001E-3</v>
      </c>
      <c r="N7">
        <f t="shared" si="2"/>
        <v>0.2760940757943075</v>
      </c>
      <c r="O7">
        <f t="shared" si="3"/>
        <v>13.252515638126759</v>
      </c>
      <c r="P7">
        <v>0.25</v>
      </c>
      <c r="R7">
        <v>1.5</v>
      </c>
      <c r="T7">
        <v>11.734726740317873</v>
      </c>
      <c r="V7">
        <v>10</v>
      </c>
      <c r="W7">
        <f>V7/T7</f>
        <v>0.85217152655479034</v>
      </c>
      <c r="Y7">
        <f>I7*(1-W7)^(1.8)</f>
        <v>0.13265938081019207</v>
      </c>
      <c r="Z7" t="s">
        <v>16</v>
      </c>
      <c r="AA7">
        <f t="shared" si="5"/>
        <v>4.008990666513383</v>
      </c>
    </row>
    <row r="8" spans="1:27" ht="16" thickBot="1">
      <c r="A8" s="1" t="str">
        <f>InletCalculations!A14</f>
        <v>G1</v>
      </c>
      <c r="B8" s="1" t="str">
        <f>InletCalculations!B14</f>
        <v>CURB</v>
      </c>
      <c r="C8" s="1">
        <f>InletCalculations!C14</f>
        <v>1.03</v>
      </c>
      <c r="D8" s="1">
        <f>InletCalculations!D14</f>
        <v>0.5</v>
      </c>
      <c r="E8" s="1">
        <f>InletCalculations!E14</f>
        <v>0.753</v>
      </c>
      <c r="F8" s="1">
        <f>InletCalculations!F14</f>
        <v>9</v>
      </c>
      <c r="G8" s="1">
        <f>InletCalculations!G14</f>
        <v>10</v>
      </c>
      <c r="H8" s="1">
        <f>InletCalculations!H14</f>
        <v>5.8254884344875615</v>
      </c>
      <c r="I8" s="1">
        <f>InletCalculations!I14</f>
        <v>4.386592791169134</v>
      </c>
      <c r="J8" s="1">
        <f>Y7</f>
        <v>0.13265938081019207</v>
      </c>
      <c r="K8" s="1">
        <f t="shared" si="1"/>
        <v>4.5192521719793257</v>
      </c>
      <c r="L8" s="1">
        <f>InletCalculations!J14</f>
        <v>32</v>
      </c>
      <c r="M8">
        <v>6.0000000000000001E-3</v>
      </c>
      <c r="N8">
        <f t="shared" si="2"/>
        <v>0.33024137709136941</v>
      </c>
      <c r="O8">
        <f t="shared" si="3"/>
        <v>10.567724066923821</v>
      </c>
      <c r="P8">
        <v>0.25</v>
      </c>
      <c r="R8">
        <v>1.5</v>
      </c>
      <c r="T8">
        <v>10.894967345914914</v>
      </c>
      <c r="V8">
        <v>10</v>
      </c>
      <c r="W8">
        <f>V8/T8</f>
        <v>0.91785497675213468</v>
      </c>
      <c r="Y8">
        <f>IF(W8&lt;1,I8*(1-W8)^(1.8),0)</f>
        <v>4.8794804569208837E-2</v>
      </c>
      <c r="Z8" t="s">
        <v>23</v>
      </c>
      <c r="AA8">
        <f t="shared" si="5"/>
        <v>4.3377979865999254</v>
      </c>
    </row>
    <row r="9" spans="1:27" ht="16" thickBot="1">
      <c r="A9" s="1" t="str">
        <f>InletCalculations!A17</f>
        <v>F1</v>
      </c>
      <c r="B9" s="1" t="str">
        <f>InletCalculations!B17</f>
        <v>SLOT</v>
      </c>
      <c r="C9" s="1">
        <f>InletCalculations!C17</f>
        <v>0.23</v>
      </c>
      <c r="D9" s="1">
        <f>InletCalculations!D17</f>
        <v>0.85</v>
      </c>
      <c r="E9" s="1">
        <f>InletCalculations!E17</f>
        <v>0.19550000000000001</v>
      </c>
      <c r="F9" s="1">
        <f>InletCalculations!F17</f>
        <v>3.6</v>
      </c>
      <c r="G9" s="1">
        <f>InletCalculations!G17</f>
        <v>10</v>
      </c>
      <c r="H9" s="1">
        <f>InletCalculations!H17</f>
        <v>5.8254884344875615</v>
      </c>
      <c r="I9" s="1">
        <f>InletCalculations!I17</f>
        <v>1.1388829889423182</v>
      </c>
      <c r="J9" s="1">
        <f t="shared" ref="J9" si="6">Y9</f>
        <v>0</v>
      </c>
      <c r="K9" s="1">
        <f t="shared" si="1"/>
        <v>1.1388829889423182</v>
      </c>
      <c r="L9" s="1">
        <f>InletCalculations!J17</f>
        <v>32</v>
      </c>
      <c r="M9">
        <v>6.0000000000000001E-3</v>
      </c>
      <c r="N9">
        <f t="shared" si="2"/>
        <v>0.19695235839526581</v>
      </c>
      <c r="O9">
        <f t="shared" si="3"/>
        <v>6.3024754686485061</v>
      </c>
      <c r="U9">
        <v>12.868197763827199</v>
      </c>
      <c r="V9">
        <v>20</v>
      </c>
      <c r="W9">
        <f t="shared" si="4"/>
        <v>1.5542191973627</v>
      </c>
      <c r="Y9">
        <f>IF(W9&lt;1,0.918*I9*(1-W9)^(1.769),0)</f>
        <v>0</v>
      </c>
      <c r="Z9" t="s">
        <v>20</v>
      </c>
      <c r="AA9">
        <f t="shared" si="5"/>
        <v>1.1388829889423182</v>
      </c>
    </row>
    <row r="10" spans="1:27" ht="16" thickBot="1">
      <c r="A10" s="1" t="str">
        <f>InletCalculations!A18</f>
        <v>H1</v>
      </c>
      <c r="B10" s="1" t="str">
        <f>InletCalculations!B18</f>
        <v>CURB</v>
      </c>
      <c r="C10" s="1">
        <f>InletCalculations!C18</f>
        <v>0.2</v>
      </c>
      <c r="D10" s="1">
        <f>InletCalculations!D18</f>
        <v>0.55000000000000004</v>
      </c>
      <c r="E10" s="1">
        <f>InletCalculations!E18</f>
        <v>0.23750000000000002</v>
      </c>
      <c r="F10" s="1">
        <f>InletCalculations!F18</f>
        <v>6</v>
      </c>
      <c r="G10" s="1">
        <f>InletCalculations!G18</f>
        <v>10</v>
      </c>
      <c r="H10" s="1">
        <f>InletCalculations!H18</f>
        <v>5.8254884344875615</v>
      </c>
      <c r="I10" s="1">
        <f>InletCalculations!I18</f>
        <v>1.383553503190796</v>
      </c>
      <c r="J10" s="1">
        <v>0</v>
      </c>
      <c r="K10" s="1">
        <f t="shared" si="1"/>
        <v>1.383553503190796</v>
      </c>
      <c r="L10" s="1">
        <f>InletCalculations!J18</f>
        <v>48</v>
      </c>
      <c r="M10">
        <v>3.0000000000000001E-3</v>
      </c>
      <c r="N10">
        <f t="shared" si="2"/>
        <v>0.20723538260338842</v>
      </c>
      <c r="O10">
        <f t="shared" si="3"/>
        <v>9.947298364962645</v>
      </c>
      <c r="P10">
        <v>0.25</v>
      </c>
      <c r="R10">
        <v>1.5</v>
      </c>
      <c r="T10">
        <v>5.275320103096794</v>
      </c>
      <c r="V10">
        <v>5</v>
      </c>
      <c r="W10">
        <f>V10/T10</f>
        <v>0.94780978258832638</v>
      </c>
      <c r="Y10">
        <f>IF(W10&lt;1,I10*(1-W10)^(1.8),0)</f>
        <v>6.8023088900992469E-3</v>
      </c>
      <c r="Z10" t="s">
        <v>20</v>
      </c>
      <c r="AA10">
        <f t="shared" si="5"/>
        <v>1.3767511943006967</v>
      </c>
    </row>
    <row r="11" spans="1:27" ht="16" thickBot="1">
      <c r="A11" s="1" t="str">
        <f>InletCalculations!A20</f>
        <v>H2</v>
      </c>
      <c r="B11" s="1" t="str">
        <f>InletCalculations!B20</f>
        <v>CURB</v>
      </c>
      <c r="C11" s="1">
        <f>InletCalculations!C20</f>
        <v>0.3</v>
      </c>
      <c r="D11" s="1">
        <f>InletCalculations!D20</f>
        <v>0.55000000000000004</v>
      </c>
      <c r="E11" s="1">
        <f>InletCalculations!E20</f>
        <v>0.63250000000000006</v>
      </c>
      <c r="F11" s="1">
        <f>InletCalculations!F20</f>
        <v>6.5</v>
      </c>
      <c r="G11" s="1">
        <f>InletCalculations!G20</f>
        <v>10</v>
      </c>
      <c r="H11" s="1">
        <f>InletCalculations!H20</f>
        <v>5.8254884344875615</v>
      </c>
      <c r="I11" s="1">
        <f>InletCalculations!I20</f>
        <v>3.684621434813383</v>
      </c>
      <c r="J11" s="1">
        <f>Y10</f>
        <v>6.8023088900992469E-3</v>
      </c>
      <c r="K11" s="1">
        <f t="shared" si="1"/>
        <v>3.6914237437034823</v>
      </c>
      <c r="L11" s="1">
        <f>InletCalculations!J20</f>
        <v>48</v>
      </c>
      <c r="M11">
        <v>5.0000000000000001E-3</v>
      </c>
      <c r="N11">
        <f t="shared" si="2"/>
        <v>0.27207679013742836</v>
      </c>
      <c r="O11">
        <f>N11*L11</f>
        <v>13.059685926596561</v>
      </c>
      <c r="P11">
        <v>0.25</v>
      </c>
      <c r="R11">
        <v>1.5</v>
      </c>
      <c r="T11">
        <v>10.163625230586648</v>
      </c>
      <c r="V11">
        <v>15</v>
      </c>
      <c r="W11">
        <f>V11/T11</f>
        <v>1.475851348282565</v>
      </c>
      <c r="Y11">
        <f>IF(W11&lt;1,I11*(1-W11)^(1.8),0)</f>
        <v>0</v>
      </c>
      <c r="Z11" t="s">
        <v>30</v>
      </c>
      <c r="AA11">
        <f t="shared" si="5"/>
        <v>3.684621434813383</v>
      </c>
    </row>
    <row r="12" spans="1:27" ht="16" thickBot="1">
      <c r="A12" s="1" t="str">
        <f>InletCalculations!A22</f>
        <v>I1</v>
      </c>
      <c r="B12" s="1" t="str">
        <f>InletCalculations!B22</f>
        <v>SLOT</v>
      </c>
      <c r="C12" s="1">
        <f>InletCalculations!C22</f>
        <v>0.8</v>
      </c>
      <c r="D12" s="1">
        <f>InletCalculations!D22</f>
        <v>0.55000000000000004</v>
      </c>
      <c r="E12" s="1">
        <f>InletCalculations!E22</f>
        <v>0.59300000000000008</v>
      </c>
      <c r="F12" s="1">
        <f>InletCalculations!F22</f>
        <v>8</v>
      </c>
      <c r="G12" s="1">
        <f>InletCalculations!G22</f>
        <v>10</v>
      </c>
      <c r="H12" s="1">
        <f>InletCalculations!H22</f>
        <v>5.8254884344875615</v>
      </c>
      <c r="I12" s="1">
        <f>InletCalculations!I22</f>
        <v>3.4545146416511243</v>
      </c>
      <c r="J12" s="1">
        <f t="shared" ref="J12" si="7">Y12</f>
        <v>0.26756934711939995</v>
      </c>
      <c r="K12" s="1">
        <f t="shared" si="1"/>
        <v>3.7220839887705242</v>
      </c>
      <c r="L12" s="1">
        <f>InletCalculations!J22</f>
        <v>48</v>
      </c>
      <c r="M12">
        <v>3.0000000000000001E-3</v>
      </c>
      <c r="N12">
        <f t="shared" si="2"/>
        <v>0.30035525596887142</v>
      </c>
      <c r="O12">
        <f t="shared" si="3"/>
        <v>14.417052286505829</v>
      </c>
      <c r="Q12">
        <v>0.313211244</v>
      </c>
      <c r="U12">
        <v>26.566390283260993</v>
      </c>
      <c r="V12">
        <v>20</v>
      </c>
      <c r="W12">
        <f t="shared" si="4"/>
        <v>0.75283091856862627</v>
      </c>
      <c r="Y12">
        <f>IF(W12&lt;1,0.918*I12*(1-W12)^(1.769),0)</f>
        <v>0.26756934711939995</v>
      </c>
      <c r="Z12" t="s">
        <v>20</v>
      </c>
      <c r="AA12">
        <f t="shared" si="5"/>
        <v>3.1869452945317245</v>
      </c>
    </row>
    <row r="13" spans="1:27" ht="16" thickBot="1">
      <c r="A13" s="1" t="str">
        <f>InletCalculations!A24</f>
        <v>K1</v>
      </c>
      <c r="B13" s="1" t="str">
        <f>InletCalculations!B24</f>
        <v>GRATE</v>
      </c>
      <c r="C13" s="1">
        <f>InletCalculations!C24</f>
        <v>1.65</v>
      </c>
      <c r="D13" s="1">
        <f>InletCalculations!D24</f>
        <v>0.4</v>
      </c>
      <c r="E13" s="1">
        <f>InletCalculations!E24</f>
        <v>0.94050000000000011</v>
      </c>
      <c r="F13" s="1">
        <f>InletCalculations!F24</f>
        <v>15</v>
      </c>
      <c r="G13" s="1">
        <f>InletCalculations!G24</f>
        <v>15</v>
      </c>
      <c r="H13" s="1">
        <f>InletCalculations!H24</f>
        <v>4.8206699557418036</v>
      </c>
      <c r="I13" s="1">
        <f>InletCalculations!I24</f>
        <v>4.5338400933751668</v>
      </c>
      <c r="J13" s="1">
        <v>0</v>
      </c>
      <c r="K13" s="1">
        <f t="shared" si="1"/>
        <v>4.5338400933751668</v>
      </c>
      <c r="L13" s="1">
        <f>InletCalculations!J24</f>
        <v>48</v>
      </c>
      <c r="M13">
        <v>4.0000000000000001E-3</v>
      </c>
      <c r="N13">
        <f t="shared" si="2"/>
        <v>0.30643561158571681</v>
      </c>
      <c r="O13">
        <f t="shared" si="3"/>
        <v>14.708909356114408</v>
      </c>
      <c r="R13">
        <v>1.5</v>
      </c>
      <c r="S13">
        <v>3</v>
      </c>
      <c r="Y13">
        <v>2.1752450756848485</v>
      </c>
      <c r="Z13" t="s">
        <v>23</v>
      </c>
      <c r="AA13">
        <v>2.3585950176903183</v>
      </c>
    </row>
    <row r="14" spans="1:27" ht="16" thickBot="1">
      <c r="A14" s="1" t="str">
        <f>InletCalculations!A28</f>
        <v>L1</v>
      </c>
      <c r="B14" s="1" t="str">
        <f>InletCalculations!B28</f>
        <v>GRATE</v>
      </c>
      <c r="C14" s="1">
        <f>InletCalculations!C28</f>
        <v>0.75</v>
      </c>
      <c r="D14" s="1">
        <f>InletCalculations!D28</f>
        <v>0.55000000000000004</v>
      </c>
      <c r="E14" s="1">
        <f>InletCalculations!E28</f>
        <v>0.5655</v>
      </c>
      <c r="F14" s="1">
        <f>InletCalculations!F28</f>
        <v>17.7</v>
      </c>
      <c r="G14" s="1">
        <f>InletCalculations!G28</f>
        <v>17.7</v>
      </c>
      <c r="H14" s="1">
        <f>InletCalculations!H28</f>
        <v>4.4239907579411097</v>
      </c>
      <c r="I14" s="1">
        <f>InletCalculations!I28</f>
        <v>2.5017667736156977</v>
      </c>
      <c r="J14" s="1">
        <v>0</v>
      </c>
      <c r="K14" s="1">
        <f t="shared" si="1"/>
        <v>2.5017667736156977</v>
      </c>
      <c r="L14" s="1">
        <f>InletCalculations!J28</f>
        <v>48</v>
      </c>
      <c r="M14">
        <v>4.0000000000000001E-3</v>
      </c>
      <c r="N14">
        <f t="shared" si="2"/>
        <v>0.24519237895267712</v>
      </c>
      <c r="O14">
        <f t="shared" si="3"/>
        <v>11.769234189728502</v>
      </c>
      <c r="R14">
        <v>1.5</v>
      </c>
      <c r="S14">
        <v>3</v>
      </c>
      <c r="Y14">
        <v>0.99841038613473776</v>
      </c>
      <c r="Z14" t="s">
        <v>25</v>
      </c>
      <c r="AA14">
        <v>1.5015896138652622</v>
      </c>
    </row>
    <row r="15" spans="1:27" ht="16" thickBot="1">
      <c r="A15" s="1" t="str">
        <f>InletCalculations!A30</f>
        <v>L2</v>
      </c>
      <c r="B15" s="1" t="str">
        <f>InletCalculations!B30</f>
        <v>GRATE</v>
      </c>
      <c r="C15" s="1">
        <f>InletCalculations!C30</f>
        <v>0.6</v>
      </c>
      <c r="D15" s="1">
        <f>InletCalculations!D30</f>
        <v>0.85</v>
      </c>
      <c r="E15" s="1">
        <f>InletCalculations!E30</f>
        <v>0.51</v>
      </c>
      <c r="F15" s="1">
        <f>InletCalculations!F30</f>
        <v>3.6</v>
      </c>
      <c r="G15" s="1">
        <f>InletCalculations!G30</f>
        <v>10</v>
      </c>
      <c r="H15" s="1">
        <f>InletCalculations!H30</f>
        <v>5.8254884344875615</v>
      </c>
      <c r="I15" s="1">
        <f>InletCalculations!I30</f>
        <v>2.9709991015886565</v>
      </c>
      <c r="J15" s="1">
        <f>Y14</f>
        <v>0.99841038613473776</v>
      </c>
      <c r="K15" s="1">
        <f t="shared" si="1"/>
        <v>3.9694094877233943</v>
      </c>
      <c r="L15" s="1">
        <f>InletCalculations!J30</f>
        <v>48</v>
      </c>
      <c r="M15">
        <v>4.0000000000000001E-3</v>
      </c>
      <c r="N15">
        <f t="shared" si="2"/>
        <v>0.29153226280340305</v>
      </c>
      <c r="O15">
        <f t="shared" si="3"/>
        <v>13.993548614563347</v>
      </c>
      <c r="R15">
        <v>1.5</v>
      </c>
      <c r="S15">
        <v>3</v>
      </c>
      <c r="Y15">
        <v>1.8341891741056799</v>
      </c>
      <c r="Z15" t="s">
        <v>26</v>
      </c>
      <c r="AA15">
        <v>2.1358108258943203</v>
      </c>
    </row>
    <row r="16" spans="1:27">
      <c r="A16" s="1" t="str">
        <f>InletCalculations!A31</f>
        <v>L3</v>
      </c>
      <c r="B16" s="1" t="str">
        <f>InletCalculations!B31</f>
        <v>GRATE</v>
      </c>
      <c r="C16" s="1">
        <f>InletCalculations!C31</f>
        <v>0.43</v>
      </c>
      <c r="D16" s="1">
        <f>InletCalculations!D31</f>
        <v>0.85</v>
      </c>
      <c r="E16" s="1">
        <f>InletCalculations!E31</f>
        <v>0.36549999999999999</v>
      </c>
      <c r="F16" s="1">
        <f>InletCalculations!F31</f>
        <v>3</v>
      </c>
      <c r="G16" s="1">
        <f>InletCalculations!G31</f>
        <v>10</v>
      </c>
      <c r="H16" s="1">
        <f>InletCalculations!H31</f>
        <v>5.8254884344875615</v>
      </c>
      <c r="I16" s="1">
        <f>InletCalculations!I31</f>
        <v>2.1292160228052035</v>
      </c>
      <c r="J16" s="1">
        <f>Y15</f>
        <v>1.8341891741056799</v>
      </c>
      <c r="K16" s="1">
        <f t="shared" si="1"/>
        <v>3.9634051969108834</v>
      </c>
      <c r="L16" s="1">
        <f>InletCalculations!J31</f>
        <v>48</v>
      </c>
      <c r="M16">
        <v>4.0000000000000001E-3</v>
      </c>
      <c r="N16">
        <f t="shared" si="2"/>
        <v>0.2913668157192677</v>
      </c>
      <c r="O16">
        <f t="shared" si="3"/>
        <v>13.98560715452485</v>
      </c>
      <c r="R16">
        <v>1.5</v>
      </c>
      <c r="S16">
        <v>3</v>
      </c>
      <c r="Y16">
        <v>1.8302571695769583</v>
      </c>
      <c r="Z16" t="s">
        <v>28</v>
      </c>
      <c r="AA16">
        <v>2.1331480273339252</v>
      </c>
    </row>
    <row r="17" spans="1:27" s="15" customForma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</row>
    <row r="18" spans="1:27">
      <c r="A18" t="s">
        <v>23</v>
      </c>
      <c r="B18" t="s">
        <v>41</v>
      </c>
      <c r="C18">
        <v>1.08</v>
      </c>
      <c r="D18">
        <v>0.6</v>
      </c>
      <c r="E18">
        <v>1.0985</v>
      </c>
      <c r="F18">
        <v>8.8000000000000007</v>
      </c>
      <c r="G18">
        <v>10</v>
      </c>
      <c r="H18">
        <v>5.8254884344875615</v>
      </c>
      <c r="I18">
        <v>6.3992990452845868</v>
      </c>
      <c r="J18">
        <f>Y13</f>
        <v>2.1752450756848485</v>
      </c>
      <c r="K18">
        <f t="shared" si="1"/>
        <v>8.5745441209694349</v>
      </c>
      <c r="L18">
        <v>32</v>
      </c>
      <c r="T18">
        <v>10.316972490503215</v>
      </c>
      <c r="V18">
        <v>15</v>
      </c>
      <c r="AA18">
        <v>8.5745441209694349</v>
      </c>
    </row>
    <row r="19" spans="1:27">
      <c r="A19" t="s">
        <v>28</v>
      </c>
      <c r="B19" t="s">
        <v>41</v>
      </c>
      <c r="C19">
        <v>0.83</v>
      </c>
      <c r="D19">
        <v>0.85</v>
      </c>
      <c r="E19">
        <v>0.7054999999999999</v>
      </c>
      <c r="F19">
        <v>4.2</v>
      </c>
      <c r="G19">
        <v>10</v>
      </c>
      <c r="H19">
        <v>5.8254884344875615</v>
      </c>
      <c r="I19">
        <v>4.1098820905309736</v>
      </c>
      <c r="J19">
        <f>Y16</f>
        <v>1.8302571695769583</v>
      </c>
      <c r="K19">
        <f t="shared" si="1"/>
        <v>5.9401392601079319</v>
      </c>
      <c r="L19">
        <v>30</v>
      </c>
      <c r="T19">
        <v>7.9905493938435646</v>
      </c>
      <c r="V19">
        <v>10</v>
      </c>
      <c r="AA19">
        <v>5.9401392601079319</v>
      </c>
    </row>
    <row r="20" spans="1:27">
      <c r="A20" t="s">
        <v>30</v>
      </c>
      <c r="B20" t="s">
        <v>41</v>
      </c>
      <c r="C20">
        <v>1.03</v>
      </c>
      <c r="D20">
        <v>0.85</v>
      </c>
      <c r="E20">
        <v>0.87549999999999994</v>
      </c>
      <c r="F20">
        <v>7</v>
      </c>
      <c r="G20">
        <v>10</v>
      </c>
      <c r="H20">
        <v>5.8254884344875615</v>
      </c>
      <c r="I20">
        <v>5.10021512439386</v>
      </c>
      <c r="J20">
        <f>Y11</f>
        <v>0</v>
      </c>
      <c r="K20">
        <f t="shared" si="1"/>
        <v>5.10021512439386</v>
      </c>
      <c r="L20">
        <v>32</v>
      </c>
      <c r="T20">
        <v>7.6705102188604579</v>
      </c>
      <c r="V20">
        <v>15</v>
      </c>
      <c r="AA20">
        <v>5.10021512439386</v>
      </c>
    </row>
    <row r="21" spans="1:27">
      <c r="Y21" t="s">
        <v>89</v>
      </c>
    </row>
    <row r="22" spans="1:27">
      <c r="A22" t="s">
        <v>8</v>
      </c>
      <c r="B22" t="s">
        <v>37</v>
      </c>
      <c r="C22">
        <v>0.15</v>
      </c>
      <c r="D22">
        <v>0.7</v>
      </c>
      <c r="E22">
        <v>0.105</v>
      </c>
      <c r="F22">
        <v>2</v>
      </c>
      <c r="G22">
        <v>10</v>
      </c>
      <c r="H22">
        <v>5.8254884344875615</v>
      </c>
      <c r="I22">
        <v>0.61167628562119392</v>
      </c>
      <c r="J22">
        <v>0</v>
      </c>
      <c r="K22">
        <f t="shared" si="1"/>
        <v>0.61167628562119392</v>
      </c>
      <c r="Y22">
        <v>6.4157365187579982</v>
      </c>
      <c r="AA22">
        <f>IF(Y22&gt;K22,K22,Y22)</f>
        <v>0.61167628562119392</v>
      </c>
    </row>
    <row r="23" spans="1:27">
      <c r="A23" t="s">
        <v>11</v>
      </c>
      <c r="B23" t="s">
        <v>37</v>
      </c>
      <c r="C23">
        <v>0.1</v>
      </c>
      <c r="D23">
        <v>0.7</v>
      </c>
      <c r="E23">
        <v>6.9999999999999993E-2</v>
      </c>
      <c r="F23">
        <v>2</v>
      </c>
      <c r="G23">
        <v>10</v>
      </c>
      <c r="H23">
        <v>5.8254884344875615</v>
      </c>
      <c r="I23">
        <v>0.40778419041412928</v>
      </c>
      <c r="J23">
        <v>0</v>
      </c>
      <c r="K23">
        <f t="shared" si="1"/>
        <v>0.40778419041412928</v>
      </c>
      <c r="Y23">
        <v>6.4157365187579982</v>
      </c>
      <c r="AA23">
        <f t="shared" ref="AA23:AA26" si="8">IF(Y23&gt;K23,K23,Y23)</f>
        <v>0.40778419041412928</v>
      </c>
    </row>
    <row r="24" spans="1:27">
      <c r="A24" t="s">
        <v>17</v>
      </c>
      <c r="B24" t="s">
        <v>37</v>
      </c>
      <c r="C24">
        <v>0.13</v>
      </c>
      <c r="D24">
        <v>0.7</v>
      </c>
      <c r="E24">
        <v>9.0999999999999998E-2</v>
      </c>
      <c r="F24">
        <v>2</v>
      </c>
      <c r="G24">
        <v>10</v>
      </c>
      <c r="H24">
        <v>5.8254884344875615</v>
      </c>
      <c r="I24">
        <v>0.53011944753836804</v>
      </c>
      <c r="J24">
        <v>0</v>
      </c>
      <c r="K24">
        <f t="shared" si="1"/>
        <v>0.53011944753836804</v>
      </c>
      <c r="Y24">
        <v>6.4157365187579982</v>
      </c>
      <c r="AA24">
        <f t="shared" si="8"/>
        <v>0.53011944753836804</v>
      </c>
    </row>
    <row r="25" spans="1:27">
      <c r="A25" t="s">
        <v>29</v>
      </c>
      <c r="B25" t="s">
        <v>37</v>
      </c>
      <c r="C25">
        <v>0.1</v>
      </c>
      <c r="D25">
        <v>0.7</v>
      </c>
      <c r="E25">
        <v>6.9999999999999993E-2</v>
      </c>
      <c r="F25">
        <v>2</v>
      </c>
      <c r="G25">
        <v>10</v>
      </c>
      <c r="H25">
        <v>5.8254884344875615</v>
      </c>
      <c r="I25">
        <v>0.40778419041412928</v>
      </c>
      <c r="J25">
        <v>0</v>
      </c>
      <c r="K25">
        <f t="shared" si="1"/>
        <v>0.40778419041412928</v>
      </c>
      <c r="Y25">
        <v>6.4157365187579982</v>
      </c>
      <c r="AA25">
        <f t="shared" si="8"/>
        <v>0.40778419041412928</v>
      </c>
    </row>
    <row r="26" spans="1:27">
      <c r="A26" t="s">
        <v>33</v>
      </c>
      <c r="B26" t="s">
        <v>37</v>
      </c>
      <c r="C26">
        <v>0.3</v>
      </c>
      <c r="D26">
        <v>0.7</v>
      </c>
      <c r="E26">
        <v>0.21</v>
      </c>
      <c r="F26">
        <v>3.4</v>
      </c>
      <c r="G26">
        <v>10</v>
      </c>
      <c r="H26">
        <v>5.8254884344875615</v>
      </c>
      <c r="I26">
        <v>1.2233525712423878</v>
      </c>
      <c r="J26">
        <v>0</v>
      </c>
      <c r="K26">
        <f t="shared" si="1"/>
        <v>1.2233525712423878</v>
      </c>
      <c r="Y26">
        <v>6.4157365187579982</v>
      </c>
      <c r="AA26">
        <f t="shared" si="8"/>
        <v>1.2233525712423878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tabSelected="1" topLeftCell="A6" zoomScale="150" zoomScaleNormal="150" zoomScalePageLayoutView="150" workbookViewId="0">
      <selection activeCell="N21" sqref="N21"/>
    </sheetView>
  </sheetViews>
  <sheetFormatPr baseColWidth="10" defaultRowHeight="15" x14ac:dyDescent="0"/>
  <cols>
    <col min="1" max="1" width="5.1640625" customWidth="1"/>
    <col min="2" max="2" width="5.6640625" customWidth="1"/>
    <col min="9" max="9" width="5.83203125" customWidth="1"/>
    <col min="10" max="10" width="6.1640625" customWidth="1"/>
    <col min="11" max="11" width="8" customWidth="1"/>
    <col min="12" max="14" width="6.33203125" customWidth="1"/>
  </cols>
  <sheetData>
    <row r="1" spans="1:22">
      <c r="A1" s="18" t="s">
        <v>0</v>
      </c>
      <c r="B1" s="18"/>
    </row>
    <row r="2" spans="1:22" ht="164">
      <c r="A2" s="17" t="s">
        <v>42</v>
      </c>
      <c r="B2" s="17" t="s">
        <v>43</v>
      </c>
      <c r="C2" s="17" t="s">
        <v>44</v>
      </c>
      <c r="D2" s="17" t="s">
        <v>45</v>
      </c>
      <c r="E2" s="17" t="s">
        <v>96</v>
      </c>
      <c r="F2" s="17" t="s">
        <v>69</v>
      </c>
      <c r="G2" s="17" t="s">
        <v>91</v>
      </c>
      <c r="H2" s="17" t="s">
        <v>92</v>
      </c>
      <c r="I2" s="17" t="s">
        <v>100</v>
      </c>
      <c r="J2" s="17" t="s">
        <v>99</v>
      </c>
      <c r="K2" s="17" t="s">
        <v>101</v>
      </c>
      <c r="L2" s="17" t="s">
        <v>93</v>
      </c>
      <c r="M2" s="17" t="s">
        <v>102</v>
      </c>
      <c r="N2" s="17" t="s">
        <v>103</v>
      </c>
      <c r="O2" s="17" t="s">
        <v>94</v>
      </c>
      <c r="P2" s="17" t="s">
        <v>97</v>
      </c>
      <c r="Q2" s="17" t="s">
        <v>95</v>
      </c>
      <c r="R2" s="17" t="s">
        <v>98</v>
      </c>
      <c r="V2" s="17" t="s">
        <v>90</v>
      </c>
    </row>
    <row r="3" spans="1:22">
      <c r="A3" t="s">
        <v>7</v>
      </c>
      <c r="B3" t="s">
        <v>8</v>
      </c>
      <c r="C3">
        <v>60</v>
      </c>
      <c r="D3">
        <v>842.39</v>
      </c>
      <c r="E3">
        <f>D5</f>
        <v>842.09</v>
      </c>
      <c r="F3">
        <v>1.1639999999999999</v>
      </c>
      <c r="G3">
        <f>F3</f>
        <v>1.1639999999999999</v>
      </c>
      <c r="H3">
        <v>7.5</v>
      </c>
      <c r="I3">
        <f>R3</f>
        <v>0.33333333333333331</v>
      </c>
      <c r="J3">
        <f>H3+I3</f>
        <v>7.833333333333333</v>
      </c>
      <c r="L3">
        <f>IF(MAX(H3:K3)&gt;10,MAX(H3:K3),10)</f>
        <v>10</v>
      </c>
      <c r="M3">
        <f>56/(L3+8.2)^0.78</f>
        <v>5.8254884344875615</v>
      </c>
      <c r="N3">
        <f>G3*M3</f>
        <v>6.7808685377435207</v>
      </c>
      <c r="O3">
        <f>(D3-E3)/C3</f>
        <v>4.999999999999242E-3</v>
      </c>
      <c r="P3">
        <v>1</v>
      </c>
      <c r="Q3">
        <v>3</v>
      </c>
      <c r="R3">
        <f>C3/(60*Q3)</f>
        <v>0.33333333333333331</v>
      </c>
      <c r="V3">
        <v>6.59</v>
      </c>
    </row>
    <row r="4" spans="1:22">
      <c r="A4" t="s">
        <v>9</v>
      </c>
      <c r="B4" t="s">
        <v>8</v>
      </c>
      <c r="C4">
        <v>60</v>
      </c>
      <c r="D4">
        <v>842.29</v>
      </c>
      <c r="E4">
        <f>D5</f>
        <v>842.09</v>
      </c>
      <c r="F4">
        <v>0.23800000000000002</v>
      </c>
      <c r="G4">
        <f>F4</f>
        <v>0.23800000000000002</v>
      </c>
      <c r="H4">
        <v>3.2</v>
      </c>
      <c r="I4">
        <f>R4</f>
        <v>0.33333333333333331</v>
      </c>
      <c r="J4">
        <f t="shared" ref="J4:J28" si="0">H4+I4</f>
        <v>3.5333333333333337</v>
      </c>
      <c r="L4">
        <f t="shared" ref="L4:L28" si="1">IF(MAX(H4:K4)&gt;10,MAX(H4:K4),10)</f>
        <v>10</v>
      </c>
      <c r="M4">
        <f t="shared" ref="M4:M28" si="2">56/(L4+8.2)^0.78</f>
        <v>5.8254884344875615</v>
      </c>
      <c r="N4">
        <f t="shared" ref="N4:N28" si="3">G4*M4</f>
        <v>1.3864662474080398</v>
      </c>
      <c r="O4">
        <f t="shared" ref="O4:O28" si="4">(D4-E4)/C4</f>
        <v>3.3333333333321964E-3</v>
      </c>
      <c r="P4">
        <v>1</v>
      </c>
      <c r="Q4">
        <v>3</v>
      </c>
      <c r="R4">
        <f t="shared" ref="R4:R28" si="5">C4/(60*Q4)</f>
        <v>0.33333333333333331</v>
      </c>
      <c r="V4">
        <v>1.39</v>
      </c>
    </row>
    <row r="5" spans="1:22">
      <c r="A5" t="s">
        <v>8</v>
      </c>
      <c r="B5" t="s">
        <v>11</v>
      </c>
      <c r="C5">
        <v>300</v>
      </c>
      <c r="D5">
        <v>842.09</v>
      </c>
      <c r="E5">
        <f>D8</f>
        <v>840.55</v>
      </c>
      <c r="F5">
        <v>0.105</v>
      </c>
      <c r="G5">
        <f>F5+F4+F3</f>
        <v>1.5069999999999999</v>
      </c>
      <c r="H5">
        <v>2</v>
      </c>
      <c r="I5">
        <f>R5</f>
        <v>1.6666666666666667</v>
      </c>
      <c r="J5">
        <f t="shared" si="0"/>
        <v>3.666666666666667</v>
      </c>
      <c r="K5">
        <f>J3+I5</f>
        <v>9.5</v>
      </c>
      <c r="L5">
        <f t="shared" si="1"/>
        <v>10</v>
      </c>
      <c r="M5">
        <f t="shared" si="2"/>
        <v>5.8254884344875615</v>
      </c>
      <c r="N5">
        <f t="shared" si="3"/>
        <v>8.7790110707727553</v>
      </c>
      <c r="O5">
        <f t="shared" si="4"/>
        <v>5.1333333333335911E-3</v>
      </c>
      <c r="P5">
        <v>1</v>
      </c>
      <c r="Q5">
        <v>3</v>
      </c>
      <c r="R5">
        <f t="shared" si="5"/>
        <v>1.6666666666666667</v>
      </c>
      <c r="V5">
        <f>V3+V4+0.61</f>
        <v>8.59</v>
      </c>
    </row>
    <row r="6" spans="1:22">
      <c r="A6" t="s">
        <v>10</v>
      </c>
      <c r="B6" t="s">
        <v>11</v>
      </c>
      <c r="C6">
        <v>60</v>
      </c>
      <c r="D6">
        <v>840.75</v>
      </c>
      <c r="E6">
        <f>D8</f>
        <v>840.55</v>
      </c>
      <c r="F6">
        <v>1.2725</v>
      </c>
      <c r="G6">
        <f>F6</f>
        <v>1.2725</v>
      </c>
      <c r="H6">
        <v>14.5</v>
      </c>
      <c r="I6">
        <f t="shared" ref="I6:I28" si="6">R6</f>
        <v>0.33333333333333331</v>
      </c>
      <c r="J6">
        <f t="shared" si="0"/>
        <v>14.833333333333334</v>
      </c>
      <c r="L6">
        <f t="shared" si="1"/>
        <v>14.833333333333334</v>
      </c>
      <c r="M6">
        <f t="shared" si="2"/>
        <v>4.847856196518868</v>
      </c>
      <c r="N6">
        <f t="shared" si="3"/>
        <v>6.1688970100702596</v>
      </c>
      <c r="O6">
        <f t="shared" si="4"/>
        <v>3.3333333333340912E-3</v>
      </c>
      <c r="P6">
        <v>1</v>
      </c>
      <c r="Q6">
        <v>3</v>
      </c>
      <c r="R6">
        <f t="shared" si="5"/>
        <v>0.33333333333333331</v>
      </c>
      <c r="V6">
        <v>6.43</v>
      </c>
    </row>
    <row r="7" spans="1:22">
      <c r="A7" t="s">
        <v>12</v>
      </c>
      <c r="B7" t="s">
        <v>11</v>
      </c>
      <c r="C7">
        <v>60</v>
      </c>
      <c r="D7">
        <v>840.78</v>
      </c>
      <c r="E7">
        <f>D8</f>
        <v>840.55</v>
      </c>
      <c r="F7">
        <v>0.29749999999999999</v>
      </c>
      <c r="G7">
        <f>F7</f>
        <v>0.29749999999999999</v>
      </c>
      <c r="H7">
        <v>4.0999999999999996</v>
      </c>
      <c r="I7">
        <f t="shared" si="6"/>
        <v>0.33333333333333331</v>
      </c>
      <c r="J7">
        <f t="shared" si="0"/>
        <v>4.4333333333333327</v>
      </c>
      <c r="L7">
        <f t="shared" si="1"/>
        <v>10</v>
      </c>
      <c r="M7">
        <f t="shared" si="2"/>
        <v>5.8254884344875615</v>
      </c>
      <c r="N7">
        <f t="shared" si="3"/>
        <v>1.7330828092600494</v>
      </c>
      <c r="O7">
        <f t="shared" si="4"/>
        <v>3.8333333333336367E-3</v>
      </c>
      <c r="P7">
        <v>1</v>
      </c>
      <c r="Q7">
        <v>3</v>
      </c>
      <c r="R7">
        <f t="shared" si="5"/>
        <v>0.33333333333333331</v>
      </c>
      <c r="V7">
        <v>1.73</v>
      </c>
    </row>
    <row r="8" spans="1:22">
      <c r="A8" t="s">
        <v>11</v>
      </c>
      <c r="B8" t="s">
        <v>15</v>
      </c>
      <c r="C8">
        <v>60</v>
      </c>
      <c r="D8">
        <v>840.55</v>
      </c>
      <c r="E8">
        <f>D11</f>
        <v>840.19</v>
      </c>
      <c r="F8">
        <v>6.9999999999999993E-2</v>
      </c>
      <c r="G8">
        <f>F8+G7+G6+G5</f>
        <v>3.1469999999999998</v>
      </c>
      <c r="H8">
        <v>2</v>
      </c>
      <c r="I8">
        <f t="shared" si="6"/>
        <v>0.33333333333333331</v>
      </c>
      <c r="J8">
        <f t="shared" si="0"/>
        <v>2.3333333333333335</v>
      </c>
      <c r="K8">
        <f>J6+I8</f>
        <v>15.166666666666668</v>
      </c>
      <c r="L8">
        <f t="shared" si="1"/>
        <v>15.166666666666668</v>
      </c>
      <c r="M8">
        <f t="shared" si="2"/>
        <v>4.7938291474371679</v>
      </c>
      <c r="N8">
        <f t="shared" si="3"/>
        <v>15.086180326984767</v>
      </c>
      <c r="O8">
        <f t="shared" si="4"/>
        <v>5.9999999999983322E-3</v>
      </c>
      <c r="P8">
        <v>1</v>
      </c>
      <c r="Q8">
        <v>3</v>
      </c>
      <c r="R8">
        <f t="shared" si="5"/>
        <v>0.33333333333333331</v>
      </c>
      <c r="V8">
        <f>0.41+V6+V7</f>
        <v>8.57</v>
      </c>
    </row>
    <row r="9" spans="1:22">
      <c r="A9" t="s">
        <v>13</v>
      </c>
      <c r="B9" t="s">
        <v>14</v>
      </c>
      <c r="C9">
        <v>180</v>
      </c>
      <c r="D9">
        <v>841.86</v>
      </c>
      <c r="E9">
        <f>D10</f>
        <v>840.39</v>
      </c>
      <c r="F9">
        <v>0.27500000000000002</v>
      </c>
      <c r="G9">
        <f>F9</f>
        <v>0.27500000000000002</v>
      </c>
      <c r="H9">
        <v>5</v>
      </c>
      <c r="I9">
        <f t="shared" si="6"/>
        <v>1</v>
      </c>
      <c r="J9">
        <f t="shared" si="0"/>
        <v>6</v>
      </c>
      <c r="L9">
        <f t="shared" si="1"/>
        <v>10</v>
      </c>
      <c r="M9">
        <f t="shared" si="2"/>
        <v>5.8254884344875615</v>
      </c>
      <c r="N9">
        <f t="shared" si="3"/>
        <v>1.6020093194840794</v>
      </c>
      <c r="O9">
        <f t="shared" si="4"/>
        <v>8.1666666666668185E-3</v>
      </c>
      <c r="P9">
        <v>1</v>
      </c>
      <c r="Q9">
        <v>3</v>
      </c>
      <c r="R9">
        <f t="shared" si="5"/>
        <v>1</v>
      </c>
      <c r="V9">
        <v>1.54</v>
      </c>
    </row>
    <row r="10" spans="1:22">
      <c r="A10" t="s">
        <v>14</v>
      </c>
      <c r="B10" t="s">
        <v>15</v>
      </c>
      <c r="C10">
        <v>60</v>
      </c>
      <c r="D10">
        <v>840.39</v>
      </c>
      <c r="E10">
        <f>D11</f>
        <v>840.19</v>
      </c>
      <c r="F10">
        <v>0.81550000000000011</v>
      </c>
      <c r="G10">
        <f>F10+F9</f>
        <v>1.0905</v>
      </c>
      <c r="H10">
        <v>13.5</v>
      </c>
      <c r="I10">
        <f t="shared" si="6"/>
        <v>0.33333333333333331</v>
      </c>
      <c r="J10">
        <f t="shared" si="0"/>
        <v>13.833333333333334</v>
      </c>
      <c r="K10">
        <f>J9</f>
        <v>6</v>
      </c>
      <c r="L10">
        <f t="shared" si="1"/>
        <v>13.833333333333334</v>
      </c>
      <c r="M10">
        <f t="shared" si="2"/>
        <v>5.0186333386772191</v>
      </c>
      <c r="N10">
        <f t="shared" si="3"/>
        <v>5.4728196558275073</v>
      </c>
      <c r="O10">
        <f t="shared" si="4"/>
        <v>3.3333333333321964E-3</v>
      </c>
      <c r="P10">
        <v>1</v>
      </c>
      <c r="Q10">
        <v>3</v>
      </c>
      <c r="R10">
        <f t="shared" si="5"/>
        <v>0.33333333333333331</v>
      </c>
      <c r="V10">
        <f>1.54+4.01</f>
        <v>5.55</v>
      </c>
    </row>
    <row r="11" spans="1:22">
      <c r="A11" t="s">
        <v>15</v>
      </c>
      <c r="B11" t="s">
        <v>17</v>
      </c>
      <c r="C11">
        <v>225</v>
      </c>
      <c r="D11">
        <v>840.19</v>
      </c>
      <c r="E11">
        <f>D14</f>
        <v>839.01</v>
      </c>
      <c r="G11">
        <f>G8+G10</f>
        <v>4.2374999999999998</v>
      </c>
      <c r="I11">
        <f t="shared" si="6"/>
        <v>1.25</v>
      </c>
      <c r="J11">
        <f t="shared" si="0"/>
        <v>1.25</v>
      </c>
      <c r="K11">
        <f>J10+I11</f>
        <v>15.083333333333334</v>
      </c>
      <c r="L11">
        <f t="shared" si="1"/>
        <v>15.083333333333334</v>
      </c>
      <c r="M11">
        <f t="shared" si="2"/>
        <v>4.8072068022426944</v>
      </c>
      <c r="N11">
        <f t="shared" si="3"/>
        <v>20.370538824503416</v>
      </c>
      <c r="O11">
        <f t="shared" si="4"/>
        <v>5.2444444444447276E-3</v>
      </c>
      <c r="P11">
        <v>1</v>
      </c>
      <c r="Q11">
        <v>3</v>
      </c>
      <c r="R11">
        <f t="shared" si="5"/>
        <v>1.25</v>
      </c>
      <c r="V11">
        <f>V8+V10</f>
        <v>14.120000000000001</v>
      </c>
    </row>
    <row r="12" spans="1:22">
      <c r="A12" t="s">
        <v>16</v>
      </c>
      <c r="B12" t="s">
        <v>17</v>
      </c>
      <c r="C12">
        <v>60</v>
      </c>
      <c r="D12">
        <v>839.27</v>
      </c>
      <c r="E12">
        <f>D14</f>
        <v>839.01</v>
      </c>
      <c r="F12">
        <v>0.753</v>
      </c>
      <c r="G12">
        <f>F12+F15</f>
        <v>1.8515000000000001</v>
      </c>
      <c r="H12">
        <v>9</v>
      </c>
      <c r="I12">
        <f t="shared" si="6"/>
        <v>0.33333333333333331</v>
      </c>
      <c r="J12">
        <f t="shared" si="0"/>
        <v>9.3333333333333339</v>
      </c>
      <c r="K12">
        <f>J15+I12</f>
        <v>9.5500000000000007</v>
      </c>
      <c r="L12">
        <f t="shared" si="1"/>
        <v>10</v>
      </c>
      <c r="M12">
        <f t="shared" si="2"/>
        <v>5.8254884344875615</v>
      </c>
      <c r="N12">
        <f t="shared" si="3"/>
        <v>10.785891836453722</v>
      </c>
      <c r="O12">
        <f t="shared" si="4"/>
        <v>4.3333333333331813E-3</v>
      </c>
      <c r="P12">
        <v>1</v>
      </c>
      <c r="Q12">
        <v>3</v>
      </c>
      <c r="R12">
        <f t="shared" si="5"/>
        <v>0.33333333333333331</v>
      </c>
      <c r="V12">
        <f>8.57+4.34</f>
        <v>12.91</v>
      </c>
    </row>
    <row r="13" spans="1:22">
      <c r="A13" t="s">
        <v>18</v>
      </c>
      <c r="B13" t="s">
        <v>17</v>
      </c>
      <c r="C13">
        <v>75</v>
      </c>
      <c r="D13">
        <v>839.34</v>
      </c>
      <c r="E13">
        <f>D14</f>
        <v>839.01</v>
      </c>
      <c r="F13">
        <v>0.19550000000000001</v>
      </c>
      <c r="G13">
        <f>F13</f>
        <v>0.19550000000000001</v>
      </c>
      <c r="H13">
        <v>3.6</v>
      </c>
      <c r="I13">
        <f t="shared" si="6"/>
        <v>0.41666666666666669</v>
      </c>
      <c r="J13">
        <f t="shared" si="0"/>
        <v>4.0166666666666666</v>
      </c>
      <c r="L13">
        <f t="shared" si="1"/>
        <v>10</v>
      </c>
      <c r="M13">
        <f t="shared" si="2"/>
        <v>5.8254884344875615</v>
      </c>
      <c r="N13">
        <f t="shared" si="3"/>
        <v>1.1388829889423182</v>
      </c>
      <c r="O13">
        <f t="shared" si="4"/>
        <v>4.4000000000005458E-3</v>
      </c>
      <c r="P13">
        <v>1</v>
      </c>
      <c r="Q13">
        <v>3</v>
      </c>
      <c r="R13">
        <f t="shared" si="5"/>
        <v>0.41666666666666669</v>
      </c>
      <c r="V13">
        <v>1.1399999999999999</v>
      </c>
    </row>
    <row r="14" spans="1:22">
      <c r="A14" t="s">
        <v>17</v>
      </c>
      <c r="B14" t="s">
        <v>27</v>
      </c>
      <c r="C14">
        <v>225</v>
      </c>
      <c r="D14">
        <v>839.01</v>
      </c>
      <c r="E14">
        <f>D23</f>
        <v>838.22</v>
      </c>
      <c r="F14">
        <v>9.0999999999999998E-2</v>
      </c>
      <c r="G14">
        <f>F14+G13+G12+G11</f>
        <v>6.3754999999999997</v>
      </c>
      <c r="H14">
        <v>2</v>
      </c>
      <c r="I14">
        <f t="shared" si="6"/>
        <v>1.25</v>
      </c>
      <c r="J14">
        <f t="shared" si="0"/>
        <v>3.25</v>
      </c>
      <c r="K14">
        <f>K11+I14</f>
        <v>16.333333333333336</v>
      </c>
      <c r="L14">
        <f t="shared" si="1"/>
        <v>16.333333333333336</v>
      </c>
      <c r="M14">
        <f t="shared" si="2"/>
        <v>4.6150659389832285</v>
      </c>
      <c r="N14">
        <f t="shared" si="3"/>
        <v>29.423352893987573</v>
      </c>
      <c r="O14">
        <f t="shared" si="4"/>
        <v>3.5111111111109494E-3</v>
      </c>
      <c r="P14">
        <v>1</v>
      </c>
      <c r="Q14">
        <v>3</v>
      </c>
      <c r="R14">
        <f t="shared" si="5"/>
        <v>1.25</v>
      </c>
      <c r="V14">
        <f>0.53+V12+V13</f>
        <v>14.58</v>
      </c>
    </row>
    <row r="15" spans="1:22">
      <c r="A15" t="s">
        <v>23</v>
      </c>
      <c r="B15" t="s">
        <v>16</v>
      </c>
      <c r="C15">
        <v>75</v>
      </c>
      <c r="D15">
        <v>839.7</v>
      </c>
      <c r="E15">
        <f>D12</f>
        <v>839.27</v>
      </c>
      <c r="F15">
        <v>1.0985</v>
      </c>
      <c r="G15">
        <f>F15</f>
        <v>1.0985</v>
      </c>
      <c r="H15">
        <v>8.8000000000000007</v>
      </c>
      <c r="I15">
        <f t="shared" si="6"/>
        <v>0.41666666666666669</v>
      </c>
      <c r="J15">
        <f t="shared" si="0"/>
        <v>9.2166666666666668</v>
      </c>
      <c r="L15">
        <f t="shared" si="1"/>
        <v>10</v>
      </c>
      <c r="M15">
        <f t="shared" si="2"/>
        <v>5.8254884344875615</v>
      </c>
      <c r="N15">
        <f t="shared" si="3"/>
        <v>6.3992990452845868</v>
      </c>
      <c r="O15">
        <f t="shared" si="4"/>
        <v>5.7333333333341825E-3</v>
      </c>
      <c r="P15">
        <v>1</v>
      </c>
      <c r="Q15">
        <v>3</v>
      </c>
      <c r="R15">
        <f t="shared" si="5"/>
        <v>0.41666666666666669</v>
      </c>
      <c r="V15">
        <v>8.57</v>
      </c>
    </row>
    <row r="16" spans="1:22">
      <c r="A16" t="s">
        <v>19</v>
      </c>
      <c r="B16" t="s">
        <v>20</v>
      </c>
      <c r="C16">
        <v>375</v>
      </c>
      <c r="D16">
        <v>839.5</v>
      </c>
      <c r="E16">
        <f>D18</f>
        <v>838.45</v>
      </c>
      <c r="F16">
        <v>0.23750000000000002</v>
      </c>
      <c r="G16">
        <f>F16</f>
        <v>0.23750000000000002</v>
      </c>
      <c r="H16">
        <v>6</v>
      </c>
      <c r="I16">
        <f t="shared" si="6"/>
        <v>2.0833333333333335</v>
      </c>
      <c r="J16">
        <f t="shared" si="0"/>
        <v>8.0833333333333339</v>
      </c>
      <c r="L16">
        <f t="shared" si="1"/>
        <v>10</v>
      </c>
      <c r="M16">
        <f t="shared" si="2"/>
        <v>5.8254884344875615</v>
      </c>
      <c r="N16">
        <f t="shared" si="3"/>
        <v>1.383553503190796</v>
      </c>
      <c r="O16">
        <f t="shared" si="4"/>
        <v>2.7999999999998785E-3</v>
      </c>
      <c r="P16">
        <v>1</v>
      </c>
      <c r="Q16">
        <v>3</v>
      </c>
      <c r="R16">
        <f t="shared" si="5"/>
        <v>2.0833333333333335</v>
      </c>
      <c r="V16">
        <v>1.38</v>
      </c>
    </row>
    <row r="17" spans="1:22">
      <c r="A17" t="s">
        <v>21</v>
      </c>
      <c r="B17" t="s">
        <v>20</v>
      </c>
      <c r="C17">
        <v>180</v>
      </c>
      <c r="D17">
        <v>839.27</v>
      </c>
      <c r="E17">
        <f>D18</f>
        <v>838.45</v>
      </c>
      <c r="F17">
        <v>0.59300000000000008</v>
      </c>
      <c r="G17">
        <f>F17</f>
        <v>0.59300000000000008</v>
      </c>
      <c r="H17">
        <v>8</v>
      </c>
      <c r="I17">
        <f t="shared" si="6"/>
        <v>1</v>
      </c>
      <c r="J17">
        <f t="shared" si="0"/>
        <v>9</v>
      </c>
      <c r="L17">
        <f t="shared" si="1"/>
        <v>10</v>
      </c>
      <c r="M17">
        <f t="shared" si="2"/>
        <v>5.8254884344875615</v>
      </c>
      <c r="N17">
        <f t="shared" si="3"/>
        <v>3.4545146416511243</v>
      </c>
      <c r="O17">
        <f t="shared" si="4"/>
        <v>4.5555555555552019E-3</v>
      </c>
      <c r="P17">
        <v>1</v>
      </c>
      <c r="Q17">
        <v>3</v>
      </c>
      <c r="R17">
        <f t="shared" si="5"/>
        <v>1</v>
      </c>
      <c r="V17">
        <v>3.19</v>
      </c>
    </row>
    <row r="18" spans="1:22">
      <c r="A18" t="s">
        <v>20</v>
      </c>
      <c r="B18" t="s">
        <v>27</v>
      </c>
      <c r="C18">
        <v>170</v>
      </c>
      <c r="D18">
        <v>838.45</v>
      </c>
      <c r="E18">
        <f>D23</f>
        <v>838.22</v>
      </c>
      <c r="F18">
        <v>0.63250000000000006</v>
      </c>
      <c r="G18">
        <f>F18+G17+G16</f>
        <v>1.4630000000000003</v>
      </c>
      <c r="H18">
        <v>6.5</v>
      </c>
      <c r="I18">
        <f t="shared" si="6"/>
        <v>0.94444444444444442</v>
      </c>
      <c r="J18">
        <f t="shared" si="0"/>
        <v>7.4444444444444446</v>
      </c>
      <c r="K18">
        <f>J17+I18</f>
        <v>9.9444444444444446</v>
      </c>
      <c r="L18">
        <f t="shared" si="1"/>
        <v>10</v>
      </c>
      <c r="M18">
        <f t="shared" si="2"/>
        <v>5.8254884344875615</v>
      </c>
      <c r="N18">
        <f t="shared" si="3"/>
        <v>8.5226895796553048</v>
      </c>
      <c r="O18">
        <f t="shared" si="4"/>
        <v>1.3529411764706951E-3</v>
      </c>
      <c r="P18">
        <v>1</v>
      </c>
      <c r="Q18">
        <v>3</v>
      </c>
      <c r="R18">
        <f t="shared" si="5"/>
        <v>0.94444444444444442</v>
      </c>
      <c r="V18">
        <f>3.68+V17+V16</f>
        <v>8.25</v>
      </c>
    </row>
    <row r="19" spans="1:22">
      <c r="A19" t="s">
        <v>24</v>
      </c>
      <c r="B19" t="s">
        <v>25</v>
      </c>
      <c r="C19">
        <v>285</v>
      </c>
      <c r="D19">
        <v>840.94</v>
      </c>
      <c r="E19">
        <f>D21</f>
        <v>839.4</v>
      </c>
      <c r="F19">
        <v>0.5655</v>
      </c>
      <c r="G19">
        <f>F19</f>
        <v>0.5655</v>
      </c>
      <c r="H19">
        <v>17.7</v>
      </c>
      <c r="I19">
        <f t="shared" si="6"/>
        <v>1.5833333333333333</v>
      </c>
      <c r="J19">
        <f t="shared" si="0"/>
        <v>19.283333333333331</v>
      </c>
      <c r="L19">
        <f t="shared" si="1"/>
        <v>19.283333333333331</v>
      </c>
      <c r="M19">
        <f t="shared" si="2"/>
        <v>4.2239025587997068</v>
      </c>
      <c r="N19">
        <f t="shared" si="3"/>
        <v>2.388616897001234</v>
      </c>
      <c r="O19">
        <f t="shared" si="4"/>
        <v>5.4035087719300958E-3</v>
      </c>
      <c r="P19">
        <v>1</v>
      </c>
      <c r="Q19">
        <v>3</v>
      </c>
      <c r="R19">
        <f t="shared" si="5"/>
        <v>1.5833333333333333</v>
      </c>
      <c r="V19">
        <v>1.5</v>
      </c>
    </row>
    <row r="20" spans="1:22">
      <c r="A20" t="s">
        <v>22</v>
      </c>
      <c r="B20" t="s">
        <v>25</v>
      </c>
      <c r="C20">
        <v>165</v>
      </c>
      <c r="D20">
        <v>840.12</v>
      </c>
      <c r="E20">
        <f>D21</f>
        <v>839.4</v>
      </c>
      <c r="F20">
        <v>0.94050000000000011</v>
      </c>
      <c r="G20">
        <f>F20</f>
        <v>0.94050000000000011</v>
      </c>
      <c r="H20">
        <v>15</v>
      </c>
      <c r="I20">
        <f t="shared" si="6"/>
        <v>0.91666666666666663</v>
      </c>
      <c r="J20">
        <f t="shared" si="0"/>
        <v>15.916666666666666</v>
      </c>
      <c r="L20">
        <f t="shared" si="1"/>
        <v>15.916666666666666</v>
      </c>
      <c r="M20">
        <f t="shared" si="2"/>
        <v>4.6771419198816648</v>
      </c>
      <c r="N20">
        <f t="shared" si="3"/>
        <v>4.3988519756487063</v>
      </c>
      <c r="O20">
        <f t="shared" si="4"/>
        <v>4.3636363636365286E-3</v>
      </c>
      <c r="P20">
        <v>1</v>
      </c>
      <c r="Q20">
        <v>3</v>
      </c>
      <c r="R20">
        <f t="shared" si="5"/>
        <v>0.91666666666666663</v>
      </c>
      <c r="V20">
        <v>2.36</v>
      </c>
    </row>
    <row r="21" spans="1:22">
      <c r="A21" t="s">
        <v>25</v>
      </c>
      <c r="B21" t="s">
        <v>26</v>
      </c>
      <c r="C21">
        <v>258</v>
      </c>
      <c r="D21">
        <v>839.4</v>
      </c>
      <c r="E21">
        <f>D22</f>
        <v>838.48</v>
      </c>
      <c r="F21">
        <v>0.51</v>
      </c>
      <c r="G21">
        <f>F21+G19+G20</f>
        <v>2.016</v>
      </c>
      <c r="H21">
        <v>3.6</v>
      </c>
      <c r="I21">
        <f t="shared" si="6"/>
        <v>1.4333333333333333</v>
      </c>
      <c r="J21">
        <f t="shared" si="0"/>
        <v>5.0333333333333332</v>
      </c>
      <c r="K21">
        <f>J19+I21</f>
        <v>20.716666666666665</v>
      </c>
      <c r="L21">
        <f t="shared" si="1"/>
        <v>20.716666666666665</v>
      </c>
      <c r="M21">
        <f t="shared" si="2"/>
        <v>4.0596856690948453</v>
      </c>
      <c r="N21">
        <f t="shared" si="3"/>
        <v>8.1843263088952085</v>
      </c>
      <c r="O21">
        <f t="shared" si="4"/>
        <v>3.5658914728680584E-3</v>
      </c>
      <c r="P21">
        <v>1</v>
      </c>
      <c r="Q21">
        <v>3</v>
      </c>
      <c r="R21">
        <f t="shared" si="5"/>
        <v>1.4333333333333333</v>
      </c>
      <c r="V21">
        <f>21.4+V20+V19</f>
        <v>25.259999999999998</v>
      </c>
    </row>
    <row r="22" spans="1:22">
      <c r="A22" t="s">
        <v>26</v>
      </c>
      <c r="B22" t="s">
        <v>27</v>
      </c>
      <c r="C22">
        <v>60</v>
      </c>
      <c r="D22">
        <v>838.48</v>
      </c>
      <c r="E22">
        <f>D23</f>
        <v>838.22</v>
      </c>
      <c r="F22">
        <v>0.36549999999999999</v>
      </c>
      <c r="G22">
        <f>F22+G21</f>
        <v>2.3815</v>
      </c>
      <c r="H22">
        <v>3</v>
      </c>
      <c r="I22">
        <f t="shared" si="6"/>
        <v>0.33333333333333331</v>
      </c>
      <c r="J22">
        <f t="shared" si="0"/>
        <v>3.3333333333333335</v>
      </c>
      <c r="K22">
        <f>K21+I22</f>
        <v>21.049999999999997</v>
      </c>
      <c r="L22">
        <f t="shared" si="1"/>
        <v>21.049999999999997</v>
      </c>
      <c r="M22">
        <f t="shared" si="2"/>
        <v>4.0235541271510957</v>
      </c>
      <c r="N22">
        <f t="shared" si="3"/>
        <v>9.5820941538103348</v>
      </c>
      <c r="O22">
        <f t="shared" si="4"/>
        <v>4.3333333333331813E-3</v>
      </c>
      <c r="P22">
        <v>1</v>
      </c>
      <c r="Q22">
        <v>3</v>
      </c>
      <c r="R22">
        <f t="shared" si="5"/>
        <v>0.33333333333333331</v>
      </c>
      <c r="V22">
        <f>2.13+V21</f>
        <v>27.389999999999997</v>
      </c>
    </row>
    <row r="23" spans="1:22">
      <c r="A23" t="s">
        <v>27</v>
      </c>
      <c r="B23" t="s">
        <v>29</v>
      </c>
      <c r="C23">
        <v>168</v>
      </c>
      <c r="D23">
        <v>838.22</v>
      </c>
      <c r="E23">
        <f>D26</f>
        <v>837.34</v>
      </c>
      <c r="G23">
        <f>G22+G14+G18</f>
        <v>10.220000000000001</v>
      </c>
      <c r="I23">
        <f t="shared" si="6"/>
        <v>0.93333333333333335</v>
      </c>
      <c r="J23">
        <f t="shared" si="0"/>
        <v>0.93333333333333335</v>
      </c>
      <c r="K23">
        <f>K22+I23</f>
        <v>21.983333333333331</v>
      </c>
      <c r="L23">
        <f t="shared" si="1"/>
        <v>21.983333333333331</v>
      </c>
      <c r="M23">
        <f t="shared" si="2"/>
        <v>3.9261746176997532</v>
      </c>
      <c r="N23">
        <f t="shared" si="3"/>
        <v>40.125504592891481</v>
      </c>
      <c r="O23">
        <f t="shared" si="4"/>
        <v>5.238095238095211E-3</v>
      </c>
      <c r="P23">
        <v>1</v>
      </c>
      <c r="Q23">
        <v>3</v>
      </c>
      <c r="R23">
        <f t="shared" si="5"/>
        <v>0.93333333333333335</v>
      </c>
      <c r="V23">
        <f>V22+V18+V14</f>
        <v>50.22</v>
      </c>
    </row>
    <row r="24" spans="1:22">
      <c r="A24" t="s">
        <v>28</v>
      </c>
      <c r="B24" t="s">
        <v>29</v>
      </c>
      <c r="C24">
        <v>60</v>
      </c>
      <c r="D24">
        <v>837.6</v>
      </c>
      <c r="E24">
        <f>D26</f>
        <v>837.34</v>
      </c>
      <c r="F24">
        <v>0.7054999999999999</v>
      </c>
      <c r="G24">
        <f>F24</f>
        <v>0.7054999999999999</v>
      </c>
      <c r="H24">
        <v>4.2</v>
      </c>
      <c r="I24">
        <f t="shared" si="6"/>
        <v>0.33333333333333331</v>
      </c>
      <c r="J24">
        <f t="shared" si="0"/>
        <v>4.5333333333333332</v>
      </c>
      <c r="L24">
        <f t="shared" si="1"/>
        <v>10</v>
      </c>
      <c r="M24">
        <f t="shared" si="2"/>
        <v>5.8254884344875615</v>
      </c>
      <c r="N24">
        <f t="shared" si="3"/>
        <v>4.1098820905309736</v>
      </c>
      <c r="O24">
        <f t="shared" si="4"/>
        <v>4.3333333333331813E-3</v>
      </c>
      <c r="P24">
        <v>1</v>
      </c>
      <c r="Q24">
        <v>3</v>
      </c>
      <c r="R24">
        <f t="shared" si="5"/>
        <v>0.33333333333333331</v>
      </c>
      <c r="V24">
        <v>5.94</v>
      </c>
    </row>
    <row r="25" spans="1:22">
      <c r="A25" t="s">
        <v>30</v>
      </c>
      <c r="B25" t="s">
        <v>29</v>
      </c>
      <c r="C25">
        <v>54</v>
      </c>
      <c r="D25">
        <v>837.4</v>
      </c>
      <c r="E25">
        <f>D26</f>
        <v>837.34</v>
      </c>
      <c r="F25">
        <v>0.87549999999999994</v>
      </c>
      <c r="G25">
        <f>F25</f>
        <v>0.87549999999999994</v>
      </c>
      <c r="H25">
        <v>7</v>
      </c>
      <c r="I25">
        <f t="shared" si="6"/>
        <v>0.3</v>
      </c>
      <c r="J25">
        <f t="shared" si="0"/>
        <v>7.3</v>
      </c>
      <c r="L25">
        <f t="shared" si="1"/>
        <v>10</v>
      </c>
      <c r="M25">
        <f t="shared" si="2"/>
        <v>5.8254884344875615</v>
      </c>
      <c r="N25">
        <f t="shared" si="3"/>
        <v>5.10021512439386</v>
      </c>
      <c r="O25">
        <f t="shared" si="4"/>
        <v>1.1111111111101006E-3</v>
      </c>
      <c r="P25">
        <v>1</v>
      </c>
      <c r="Q25">
        <v>3</v>
      </c>
      <c r="R25">
        <f t="shared" si="5"/>
        <v>0.3</v>
      </c>
      <c r="V25">
        <v>5.0999999999999996</v>
      </c>
    </row>
    <row r="26" spans="1:22">
      <c r="A26" t="s">
        <v>29</v>
      </c>
      <c r="B26" t="s">
        <v>32</v>
      </c>
      <c r="C26">
        <v>180</v>
      </c>
      <c r="D26">
        <v>837.34</v>
      </c>
      <c r="E26">
        <f>D27</f>
        <v>836.22</v>
      </c>
      <c r="F26">
        <v>6.9999999999999993E-2</v>
      </c>
      <c r="G26">
        <f>F26+G25+G24+G23</f>
        <v>11.871</v>
      </c>
      <c r="H26">
        <v>2</v>
      </c>
      <c r="I26">
        <f t="shared" si="6"/>
        <v>1</v>
      </c>
      <c r="J26">
        <f t="shared" si="0"/>
        <v>3</v>
      </c>
      <c r="K26">
        <f>K23+I26</f>
        <v>22.983333333333331</v>
      </c>
      <c r="L26">
        <f t="shared" si="1"/>
        <v>22.983333333333331</v>
      </c>
      <c r="M26">
        <f t="shared" si="2"/>
        <v>3.8276167643568009</v>
      </c>
      <c r="N26">
        <f t="shared" si="3"/>
        <v>45.437638609679588</v>
      </c>
      <c r="O26">
        <f t="shared" si="4"/>
        <v>6.2222222222222479E-3</v>
      </c>
      <c r="P26">
        <v>1</v>
      </c>
      <c r="Q26">
        <v>3</v>
      </c>
      <c r="R26">
        <f t="shared" si="5"/>
        <v>1</v>
      </c>
      <c r="V26">
        <f>0.41+V25+V24+V23</f>
        <v>61.67</v>
      </c>
    </row>
    <row r="27" spans="1:22">
      <c r="A27" t="s">
        <v>32</v>
      </c>
      <c r="B27" t="s">
        <v>33</v>
      </c>
      <c r="C27">
        <v>312</v>
      </c>
      <c r="D27">
        <v>836.22</v>
      </c>
      <c r="E27">
        <f>D28</f>
        <v>834.22</v>
      </c>
      <c r="F27">
        <v>3.4855</v>
      </c>
      <c r="G27">
        <f>F27+G26</f>
        <v>15.3565</v>
      </c>
      <c r="H27">
        <v>11.6</v>
      </c>
      <c r="I27">
        <f t="shared" si="6"/>
        <v>1.7333333333333334</v>
      </c>
      <c r="J27">
        <f t="shared" si="0"/>
        <v>13.333333333333332</v>
      </c>
      <c r="K27">
        <f>K26+I27</f>
        <v>24.716666666666665</v>
      </c>
      <c r="L27">
        <f t="shared" si="1"/>
        <v>24.716666666666665</v>
      </c>
      <c r="M27">
        <f t="shared" si="2"/>
        <v>3.6694727281716077</v>
      </c>
      <c r="N27">
        <f t="shared" si="3"/>
        <v>56.350257950167297</v>
      </c>
      <c r="O27">
        <f t="shared" si="4"/>
        <v>6.41025641025641E-3</v>
      </c>
      <c r="P27">
        <v>1</v>
      </c>
      <c r="Q27">
        <v>3</v>
      </c>
      <c r="R27">
        <f t="shared" si="5"/>
        <v>1.7333333333333334</v>
      </c>
      <c r="V27">
        <f>V26+19.01</f>
        <v>80.680000000000007</v>
      </c>
    </row>
    <row r="28" spans="1:22">
      <c r="A28" t="s">
        <v>33</v>
      </c>
      <c r="B28" t="s">
        <v>34</v>
      </c>
      <c r="C28">
        <v>120</v>
      </c>
      <c r="D28">
        <v>834.22</v>
      </c>
      <c r="E28">
        <f>833.43</f>
        <v>833.43</v>
      </c>
      <c r="F28">
        <v>0.21</v>
      </c>
      <c r="G28">
        <f>F28+G27</f>
        <v>15.566500000000001</v>
      </c>
      <c r="H28">
        <v>3.4</v>
      </c>
      <c r="I28">
        <f t="shared" si="6"/>
        <v>0.66666666666666663</v>
      </c>
      <c r="J28">
        <f t="shared" si="0"/>
        <v>4.0666666666666664</v>
      </c>
      <c r="K28">
        <f>K27+I28</f>
        <v>25.383333333333333</v>
      </c>
      <c r="L28">
        <f t="shared" si="1"/>
        <v>25.383333333333333</v>
      </c>
      <c r="M28">
        <f t="shared" si="2"/>
        <v>3.6125300048734417</v>
      </c>
      <c r="N28">
        <f t="shared" si="3"/>
        <v>56.234448320862434</v>
      </c>
      <c r="O28">
        <f t="shared" si="4"/>
        <v>6.5833333333339778E-3</v>
      </c>
      <c r="P28">
        <v>1</v>
      </c>
      <c r="Q28">
        <v>3</v>
      </c>
      <c r="R28">
        <f t="shared" si="5"/>
        <v>0.66666666666666663</v>
      </c>
      <c r="V28">
        <f>1.22+V27</f>
        <v>81.900000000000006</v>
      </c>
    </row>
  </sheetData>
  <mergeCells count="1">
    <mergeCell ref="A1:B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zoomScale="125" zoomScaleNormal="125" zoomScalePageLayoutView="125" workbookViewId="0">
      <selection activeCell="B9" sqref="B9"/>
    </sheetView>
  </sheetViews>
  <sheetFormatPr baseColWidth="10" defaultRowHeight="15" x14ac:dyDescent="0"/>
  <cols>
    <col min="1" max="1" width="24.1640625" customWidth="1"/>
    <col min="2" max="2" width="51.1640625" customWidth="1"/>
  </cols>
  <sheetData>
    <row r="1" spans="1:2">
      <c r="A1" s="18" t="s">
        <v>46</v>
      </c>
      <c r="B1" s="18"/>
    </row>
    <row r="2" spans="1:2">
      <c r="A2" t="s">
        <v>47</v>
      </c>
      <c r="B2" t="s">
        <v>48</v>
      </c>
    </row>
    <row r="3" spans="1:2">
      <c r="A3" t="s">
        <v>49</v>
      </c>
      <c r="B3" t="s">
        <v>50</v>
      </c>
    </row>
    <row r="4" spans="1:2">
      <c r="A4" t="s">
        <v>51</v>
      </c>
      <c r="B4" t="s">
        <v>52</v>
      </c>
    </row>
    <row r="5" spans="1:2">
      <c r="A5" t="s">
        <v>53</v>
      </c>
      <c r="B5" t="s">
        <v>54</v>
      </c>
    </row>
    <row r="6" spans="1:2">
      <c r="A6" t="s">
        <v>55</v>
      </c>
      <c r="B6" t="s">
        <v>56</v>
      </c>
    </row>
    <row r="7" spans="1:2">
      <c r="A7" t="s">
        <v>57</v>
      </c>
      <c r="B7" t="s">
        <v>58</v>
      </c>
    </row>
    <row r="8" spans="1:2">
      <c r="A8" t="s">
        <v>59</v>
      </c>
      <c r="B8" t="s">
        <v>60</v>
      </c>
    </row>
    <row r="9" spans="1:2">
      <c r="A9" t="s">
        <v>61</v>
      </c>
      <c r="B9" t="s">
        <v>62</v>
      </c>
    </row>
    <row r="10" spans="1:2">
      <c r="A10" t="s">
        <v>63</v>
      </c>
      <c r="B10" t="s">
        <v>64</v>
      </c>
    </row>
    <row r="11" spans="1:2">
      <c r="A11" t="s">
        <v>65</v>
      </c>
      <c r="B11" t="s">
        <v>66</v>
      </c>
    </row>
    <row r="12" spans="1:2">
      <c r="A12" t="s">
        <v>67</v>
      </c>
      <c r="B12" t="s">
        <v>68</v>
      </c>
    </row>
  </sheetData>
  <mergeCells count="1">
    <mergeCell ref="A1:B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InletHydrology</vt:lpstr>
      <vt:lpstr>Conduits</vt:lpstr>
      <vt:lpstr>InletCalculations</vt:lpstr>
      <vt:lpstr>InletFlows</vt:lpstr>
      <vt:lpstr>ConduitCalculations</vt:lpstr>
      <vt:lpstr>GeneralInfo</vt:lpstr>
    </vt:vector>
  </TitlesOfParts>
  <Company>texas tech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 cleveland</dc:creator>
  <cp:lastModifiedBy>theodore  cleveland</cp:lastModifiedBy>
  <dcterms:created xsi:type="dcterms:W3CDTF">2014-03-08T15:45:03Z</dcterms:created>
  <dcterms:modified xsi:type="dcterms:W3CDTF">2014-03-09T23:43:40Z</dcterms:modified>
</cp:coreProperties>
</file>