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5240" yWindow="0" windowWidth="20260" windowHeight="19360" tabRatio="500" activeTab="2"/>
  </bookViews>
  <sheets>
    <sheet name="GrateOnGrade-K1" sheetId="6" r:id="rId1"/>
    <sheet name="GrateOnGrade-L1" sheetId="7" r:id="rId2"/>
    <sheet name="GrateOnGrade-L2" sheetId="8" r:id="rId3"/>
    <sheet name="GrateOnGrade-L3" sheetId="9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9" l="1"/>
  <c r="B8" i="9"/>
  <c r="B9" i="9"/>
  <c r="B27" i="9"/>
  <c r="B25" i="9"/>
  <c r="B29" i="9"/>
  <c r="B15" i="9"/>
  <c r="B16" i="9"/>
  <c r="B17" i="9"/>
  <c r="B19" i="9"/>
  <c r="B20" i="9"/>
  <c r="B21" i="9"/>
  <c r="B23" i="9"/>
  <c r="B31" i="9"/>
  <c r="B33" i="9"/>
  <c r="B35" i="9"/>
  <c r="B37" i="9"/>
  <c r="B4" i="8"/>
  <c r="B8" i="8"/>
  <c r="B9" i="8"/>
  <c r="B27" i="8"/>
  <c r="B25" i="8"/>
  <c r="B29" i="8"/>
  <c r="B15" i="8"/>
  <c r="B16" i="8"/>
  <c r="B17" i="8"/>
  <c r="B19" i="8"/>
  <c r="B20" i="8"/>
  <c r="B21" i="8"/>
  <c r="B23" i="8"/>
  <c r="B31" i="8"/>
  <c r="B33" i="8"/>
  <c r="B35" i="8"/>
  <c r="B37" i="8"/>
  <c r="B4" i="7"/>
  <c r="B8" i="7"/>
  <c r="B9" i="7"/>
  <c r="B27" i="7"/>
  <c r="B25" i="7"/>
  <c r="B29" i="7"/>
  <c r="B15" i="7"/>
  <c r="B16" i="7"/>
  <c r="B17" i="7"/>
  <c r="B19" i="7"/>
  <c r="B20" i="7"/>
  <c r="B21" i="7"/>
  <c r="B23" i="7"/>
  <c r="B31" i="7"/>
  <c r="B33" i="7"/>
  <c r="B35" i="7"/>
  <c r="B37" i="7"/>
  <c r="B8" i="6"/>
  <c r="B9" i="6"/>
  <c r="B27" i="6"/>
  <c r="B29" i="6"/>
  <c r="B15" i="6"/>
  <c r="B17" i="6"/>
  <c r="B19" i="6"/>
  <c r="B20" i="6"/>
  <c r="B21" i="6"/>
  <c r="B23" i="6"/>
  <c r="B31" i="6"/>
  <c r="B33" i="6"/>
  <c r="B35" i="6"/>
  <c r="B37" i="6"/>
  <c r="B25" i="6"/>
  <c r="B16" i="6"/>
  <c r="B4" i="6"/>
</calcChain>
</file>

<file path=xl/sharedStrings.xml><?xml version="1.0" encoding="utf-8"?>
<sst xmlns="http://schemas.openxmlformats.org/spreadsheetml/2006/main" count="228" uniqueCount="57">
  <si>
    <t>Sx</t>
  </si>
  <si>
    <t>&lt;-Transverse Slope</t>
  </si>
  <si>
    <t>S</t>
  </si>
  <si>
    <t>&lt;-Longitudinal Slope</t>
  </si>
  <si>
    <t>Q</t>
  </si>
  <si>
    <t>&lt;-Discharge (cfs)</t>
  </si>
  <si>
    <t>n</t>
  </si>
  <si>
    <t>&lt;-Manning's n</t>
  </si>
  <si>
    <t>Inlet Intercept Capacity Calculations</t>
  </si>
  <si>
    <t>E</t>
  </si>
  <si>
    <t>ID</t>
  </si>
  <si>
    <t>y</t>
  </si>
  <si>
    <t>&lt;-Normal Depth (HDM 10-1)</t>
  </si>
  <si>
    <t>T</t>
  </si>
  <si>
    <t>&lt;-Ponded Width (HDM 10-2)</t>
  </si>
  <si>
    <t>L</t>
  </si>
  <si>
    <t>&lt;-Length</t>
  </si>
  <si>
    <t>W</t>
  </si>
  <si>
    <t>&lt;-Width</t>
  </si>
  <si>
    <t>vo</t>
  </si>
  <si>
    <t>Kw</t>
  </si>
  <si>
    <t>Ko</t>
  </si>
  <si>
    <t>&lt;-Flow Area (HDM 10-10)</t>
  </si>
  <si>
    <t>&lt;-Wetted Perimeter (HDM 10-11)</t>
  </si>
  <si>
    <t>&lt;-Conveyance (HDM 10-9)</t>
  </si>
  <si>
    <t>Af</t>
  </si>
  <si>
    <t>Pf</t>
  </si>
  <si>
    <t>Ao</t>
  </si>
  <si>
    <t>Po</t>
  </si>
  <si>
    <t>&lt;-Flow Area (HDM 10-12)</t>
  </si>
  <si>
    <t>&lt;-Wetted Perimeter (HDM 10-13)</t>
  </si>
  <si>
    <t>Frontal Conveyance</t>
  </si>
  <si>
    <t>Curb Conveyance</t>
  </si>
  <si>
    <t>Flow Ratio</t>
  </si>
  <si>
    <t>&lt;-Flow ratio (HDM 10-8)</t>
  </si>
  <si>
    <t>Splash Over Velocity</t>
  </si>
  <si>
    <t>Parallel Bars with Transverse Rods Grate (formula changes for different grates see Table HDM pg 10-40)</t>
  </si>
  <si>
    <t>Approach Velocity</t>
  </si>
  <si>
    <t>v</t>
  </si>
  <si>
    <t>&lt;-Velocity (HDM 10-26)</t>
  </si>
  <si>
    <t>Ratio Frontal Flow to Total Flow</t>
  </si>
  <si>
    <t>Rf</t>
  </si>
  <si>
    <t>Ratio Side Flow to Total Flow</t>
  </si>
  <si>
    <t>&lt;-Ratio (HDM 10-24,10-25)</t>
  </si>
  <si>
    <t>Rs</t>
  </si>
  <si>
    <t>&lt;-Ratio (HDM 10-28)</t>
  </si>
  <si>
    <t>Efficiency</t>
  </si>
  <si>
    <t>Ef</t>
  </si>
  <si>
    <t>&lt;-Efficiency (HDM 10-29)</t>
  </si>
  <si>
    <t>Capture</t>
  </si>
  <si>
    <t>Carryover</t>
  </si>
  <si>
    <t>Qi</t>
  </si>
  <si>
    <t>Qco</t>
  </si>
  <si>
    <t>&lt;- (HDM 10-30)</t>
  </si>
  <si>
    <t>&lt;- (HDM 10-31)</t>
  </si>
  <si>
    <t>K1</t>
  </si>
  <si>
    <t>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</si>
</sst>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zoomScale="150" zoomScaleNormal="150" zoomScalePageLayoutView="150" workbookViewId="0">
      <selection activeCell="B37" sqref="B37"/>
    </sheetView>
  </sheetViews>
  <sheetFormatPr baseColWidth="10" defaultRowHeight="15" x14ac:dyDescent="0"/>
  <cols>
    <col min="2" max="2" width="8.6640625" customWidth="1"/>
  </cols>
  <sheetData>
    <row r="1" spans="1:3">
      <c r="A1" t="s">
        <v>8</v>
      </c>
    </row>
    <row r="2" spans="1:3">
      <c r="A2" t="s">
        <v>10</v>
      </c>
      <c r="B2" t="s">
        <v>55</v>
      </c>
    </row>
    <row r="3" spans="1:3">
      <c r="A3" t="s">
        <v>4</v>
      </c>
      <c r="B3">
        <v>4.5338400933751668</v>
      </c>
      <c r="C3" t="s">
        <v>5</v>
      </c>
    </row>
    <row r="4" spans="1:3">
      <c r="A4" t="s">
        <v>0</v>
      </c>
      <c r="B4">
        <f>1/48</f>
        <v>2.0833333333333332E-2</v>
      </c>
      <c r="C4" t="s">
        <v>1</v>
      </c>
    </row>
    <row r="5" spans="1:3">
      <c r="A5" t="s">
        <v>2</v>
      </c>
      <c r="B5">
        <v>4.0000000000000001E-3</v>
      </c>
      <c r="C5" t="s">
        <v>3</v>
      </c>
    </row>
    <row r="6" spans="1:3">
      <c r="A6" t="s">
        <v>6</v>
      </c>
      <c r="B6">
        <v>1.6E-2</v>
      </c>
      <c r="C6" t="s">
        <v>7</v>
      </c>
    </row>
    <row r="8" spans="1:3">
      <c r="A8" t="s">
        <v>11</v>
      </c>
      <c r="B8" s="1">
        <f>1.243*((B3*B6*B4)/(SQRT(B5)))^(3/8)</f>
        <v>0.30643561158571681</v>
      </c>
      <c r="C8" t="s">
        <v>12</v>
      </c>
    </row>
    <row r="9" spans="1:3">
      <c r="A9" t="s">
        <v>13</v>
      </c>
      <c r="B9">
        <f>B8/B4</f>
        <v>14.708909356114408</v>
      </c>
      <c r="C9" t="s">
        <v>14</v>
      </c>
    </row>
    <row r="11" spans="1:3">
      <c r="A11" t="s">
        <v>15</v>
      </c>
      <c r="B11">
        <v>3</v>
      </c>
      <c r="C11" t="s">
        <v>16</v>
      </c>
    </row>
    <row r="12" spans="1:3">
      <c r="A12" t="s">
        <v>17</v>
      </c>
      <c r="B12">
        <v>1.5</v>
      </c>
      <c r="C12" t="s">
        <v>18</v>
      </c>
    </row>
    <row r="14" spans="1:3">
      <c r="A14" t="s">
        <v>31</v>
      </c>
    </row>
    <row r="15" spans="1:3">
      <c r="A15" t="s">
        <v>25</v>
      </c>
      <c r="B15">
        <f>0.5*B13*B12+B12*B4*(B9-0.5*B12)</f>
        <v>0.43621591737857524</v>
      </c>
      <c r="C15" t="s">
        <v>22</v>
      </c>
    </row>
    <row r="16" spans="1:3">
      <c r="A16" t="s">
        <v>26</v>
      </c>
      <c r="B16">
        <f>SQRT((B12*B4+B13)^2+B12^2)</f>
        <v>1.5003254855197254</v>
      </c>
      <c r="C16" t="s">
        <v>23</v>
      </c>
    </row>
    <row r="17" spans="1:3">
      <c r="A17" t="s">
        <v>20</v>
      </c>
      <c r="B17">
        <f>1.486*(B15^(5/3))/(B6*B16^(2/3))</f>
        <v>17.780515595906692</v>
      </c>
      <c r="C17" t="s">
        <v>24</v>
      </c>
    </row>
    <row r="18" spans="1:3">
      <c r="A18" t="s">
        <v>32</v>
      </c>
    </row>
    <row r="19" spans="1:3">
      <c r="A19" t="s">
        <v>27</v>
      </c>
      <c r="B19">
        <f>0.5*B4*(B9-B12)^2</f>
        <v>1.8174508997713199</v>
      </c>
      <c r="C19" t="s">
        <v>29</v>
      </c>
    </row>
    <row r="20" spans="1:3">
      <c r="A20" t="s">
        <v>28</v>
      </c>
      <c r="B20">
        <f>B9-B12</f>
        <v>13.208909356114408</v>
      </c>
      <c r="C20" t="s">
        <v>30</v>
      </c>
    </row>
    <row r="21" spans="1:3">
      <c r="A21" t="s">
        <v>21</v>
      </c>
      <c r="B21">
        <f>1.486*(B19^(5/3))/(B6*B20^(2/3))</f>
        <v>44.987514345720953</v>
      </c>
      <c r="C21" t="s">
        <v>24</v>
      </c>
    </row>
    <row r="22" spans="1:3">
      <c r="A22" t="s">
        <v>33</v>
      </c>
    </row>
    <row r="23" spans="1:3">
      <c r="A23" t="s">
        <v>9</v>
      </c>
      <c r="B23">
        <f>B17/(B17+B21)</f>
        <v>0.2832734373285577</v>
      </c>
      <c r="C23" t="s">
        <v>34</v>
      </c>
    </row>
    <row r="24" spans="1:3">
      <c r="A24" t="s">
        <v>35</v>
      </c>
    </row>
    <row r="25" spans="1:3">
      <c r="A25" t="s">
        <v>19</v>
      </c>
      <c r="B25">
        <f>0.735+2.43*B11-0.265*B11^2+0.018*B11^3</f>
        <v>6.1260000000000003</v>
      </c>
      <c r="C25" t="s">
        <v>36</v>
      </c>
    </row>
    <row r="26" spans="1:3">
      <c r="A26" t="s">
        <v>37</v>
      </c>
    </row>
    <row r="27" spans="1:3">
      <c r="A27" t="s">
        <v>38</v>
      </c>
      <c r="B27">
        <f>2*B3/(B9*B9*B4)</f>
        <v>2.0117614808336652</v>
      </c>
      <c r="C27" t="s">
        <v>39</v>
      </c>
    </row>
    <row r="28" spans="1:3">
      <c r="A28" t="s">
        <v>40</v>
      </c>
    </row>
    <row r="29" spans="1:3">
      <c r="A29" t="s">
        <v>41</v>
      </c>
      <c r="B29">
        <f>IF(B27&gt;B25,1-0.3*(B27-B25),1)</f>
        <v>1</v>
      </c>
      <c r="C29" t="s">
        <v>43</v>
      </c>
    </row>
    <row r="30" spans="1:3">
      <c r="A30" t="s">
        <v>42</v>
      </c>
    </row>
    <row r="31" spans="1:3">
      <c r="A31" t="s">
        <v>44</v>
      </c>
      <c r="B31">
        <f>(1+(0.15*B27^1.8)/(B4*B11^2.3))^(-1)</f>
        <v>0.33059570381445813</v>
      </c>
      <c r="C31" t="s">
        <v>45</v>
      </c>
    </row>
    <row r="32" spans="1:3">
      <c r="A32" t="s">
        <v>46</v>
      </c>
    </row>
    <row r="33" spans="1:3">
      <c r="A33" t="s">
        <v>47</v>
      </c>
      <c r="B33">
        <f>B29*B23+B31*(1-B23)</f>
        <v>0.52022015975744051</v>
      </c>
      <c r="C33" t="s">
        <v>48</v>
      </c>
    </row>
    <row r="34" spans="1:3">
      <c r="A34" t="s">
        <v>49</v>
      </c>
    </row>
    <row r="35" spans="1:3">
      <c r="A35" t="s">
        <v>51</v>
      </c>
      <c r="B35">
        <f>B33*B3</f>
        <v>2.3585950176903183</v>
      </c>
      <c r="C35" t="s">
        <v>53</v>
      </c>
    </row>
    <row r="36" spans="1:3">
      <c r="A36" t="s">
        <v>50</v>
      </c>
    </row>
    <row r="37" spans="1:3">
      <c r="A37" t="s">
        <v>52</v>
      </c>
      <c r="B37">
        <f>B3-B35</f>
        <v>2.1752450756848485</v>
      </c>
      <c r="C37" t="s">
        <v>54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opLeftCell="A11" zoomScale="150" zoomScaleNormal="150" zoomScalePageLayoutView="150" workbookViewId="0">
      <selection activeCell="B37" sqref="B37"/>
    </sheetView>
  </sheetViews>
  <sheetFormatPr baseColWidth="10" defaultRowHeight="15" x14ac:dyDescent="0"/>
  <cols>
    <col min="2" max="2" width="8.6640625" customWidth="1"/>
  </cols>
  <sheetData>
    <row r="1" spans="1:3">
      <c r="A1" t="s">
        <v>8</v>
      </c>
    </row>
    <row r="2" spans="1:3">
      <c r="A2" t="s">
        <v>10</v>
      </c>
      <c r="B2" t="s">
        <v>56</v>
      </c>
    </row>
    <row r="3" spans="1:3">
      <c r="A3" t="s">
        <v>4</v>
      </c>
      <c r="B3">
        <v>2.5</v>
      </c>
      <c r="C3" t="s">
        <v>5</v>
      </c>
    </row>
    <row r="4" spans="1:3">
      <c r="A4" t="s">
        <v>0</v>
      </c>
      <c r="B4">
        <f>1/48</f>
        <v>2.0833333333333332E-2</v>
      </c>
      <c r="C4" t="s">
        <v>1</v>
      </c>
    </row>
    <row r="5" spans="1:3">
      <c r="A5" t="s">
        <v>2</v>
      </c>
      <c r="B5">
        <v>4.0000000000000001E-3</v>
      </c>
      <c r="C5" t="s">
        <v>3</v>
      </c>
    </row>
    <row r="6" spans="1:3">
      <c r="A6" t="s">
        <v>6</v>
      </c>
      <c r="B6">
        <v>1.6E-2</v>
      </c>
      <c r="C6" t="s">
        <v>7</v>
      </c>
    </row>
    <row r="8" spans="1:3">
      <c r="A8" t="s">
        <v>11</v>
      </c>
      <c r="B8" s="1">
        <f>1.243*((B3*B6*B4)/(SQRT(B5)))^(3/8)</f>
        <v>0.24512743059245787</v>
      </c>
      <c r="C8" t="s">
        <v>12</v>
      </c>
    </row>
    <row r="9" spans="1:3">
      <c r="A9" t="s">
        <v>13</v>
      </c>
      <c r="B9">
        <f>B8/B4</f>
        <v>11.766116668437979</v>
      </c>
      <c r="C9" t="s">
        <v>14</v>
      </c>
    </row>
    <row r="11" spans="1:3">
      <c r="A11" t="s">
        <v>15</v>
      </c>
      <c r="B11">
        <v>3</v>
      </c>
      <c r="C11" t="s">
        <v>16</v>
      </c>
    </row>
    <row r="12" spans="1:3">
      <c r="A12" t="s">
        <v>17</v>
      </c>
      <c r="B12">
        <v>1.5</v>
      </c>
      <c r="C12" t="s">
        <v>18</v>
      </c>
    </row>
    <row r="14" spans="1:3">
      <c r="A14" t="s">
        <v>31</v>
      </c>
    </row>
    <row r="15" spans="1:3">
      <c r="A15" t="s">
        <v>25</v>
      </c>
      <c r="B15">
        <f>0.5*B13*B12+B12*B4*(B9-0.5*B12)</f>
        <v>0.34425364588868684</v>
      </c>
      <c r="C15" t="s">
        <v>22</v>
      </c>
    </row>
    <row r="16" spans="1:3">
      <c r="A16" t="s">
        <v>26</v>
      </c>
      <c r="B16">
        <f>SQRT((B12*B4+B13)^2+B12^2)</f>
        <v>1.5003254855197254</v>
      </c>
      <c r="C16" t="s">
        <v>23</v>
      </c>
    </row>
    <row r="17" spans="1:3">
      <c r="A17" t="s">
        <v>20</v>
      </c>
      <c r="B17">
        <f>1.486*(B15^(5/3))/(B6*B16^(2/3))</f>
        <v>11.983198400650863</v>
      </c>
      <c r="C17" t="s">
        <v>24</v>
      </c>
    </row>
    <row r="18" spans="1:3">
      <c r="A18" t="s">
        <v>32</v>
      </c>
    </row>
    <row r="19" spans="1:3">
      <c r="A19" t="s">
        <v>27</v>
      </c>
      <c r="B19">
        <f>0.5*B4*(B9-B12)^2</f>
        <v>1.0978453276039595</v>
      </c>
      <c r="C19" t="s">
        <v>29</v>
      </c>
    </row>
    <row r="20" spans="1:3">
      <c r="A20" t="s">
        <v>28</v>
      </c>
      <c r="B20">
        <f>B9-B12</f>
        <v>10.266116668437979</v>
      </c>
      <c r="C20" t="s">
        <v>30</v>
      </c>
    </row>
    <row r="21" spans="1:3">
      <c r="A21" t="s">
        <v>21</v>
      </c>
      <c r="B21">
        <f>1.486*(B19^(5/3))/(B6*B20^(2/3))</f>
        <v>22.971884617535377</v>
      </c>
      <c r="C21" t="s">
        <v>24</v>
      </c>
    </row>
    <row r="22" spans="1:3">
      <c r="A22" t="s">
        <v>33</v>
      </c>
    </row>
    <row r="23" spans="1:3">
      <c r="A23" t="s">
        <v>9</v>
      </c>
      <c r="B23">
        <f>B17/(B17+B21)</f>
        <v>0.34281704879419994</v>
      </c>
      <c r="C23" t="s">
        <v>34</v>
      </c>
    </row>
    <row r="24" spans="1:3">
      <c r="A24" t="s">
        <v>35</v>
      </c>
    </row>
    <row r="25" spans="1:3">
      <c r="A25" t="s">
        <v>19</v>
      </c>
      <c r="B25">
        <f>0.735+2.43*B11-0.265*B11^2+0.018*B11^3</f>
        <v>6.1260000000000003</v>
      </c>
      <c r="C25" t="s">
        <v>36</v>
      </c>
    </row>
    <row r="26" spans="1:3">
      <c r="A26" t="s">
        <v>37</v>
      </c>
    </row>
    <row r="27" spans="1:3">
      <c r="A27" t="s">
        <v>38</v>
      </c>
      <c r="B27">
        <f>2*B3/(B9*B9*B4)</f>
        <v>1.7335842032708777</v>
      </c>
      <c r="C27" t="s">
        <v>39</v>
      </c>
    </row>
    <row r="28" spans="1:3">
      <c r="A28" t="s">
        <v>40</v>
      </c>
    </row>
    <row r="29" spans="1:3">
      <c r="A29" t="s">
        <v>41</v>
      </c>
      <c r="B29">
        <f>IF(B27&gt;B25,1-0.3*(B27-B25),1)</f>
        <v>1</v>
      </c>
      <c r="C29" t="s">
        <v>43</v>
      </c>
    </row>
    <row r="30" spans="1:3">
      <c r="A30" t="s">
        <v>42</v>
      </c>
    </row>
    <row r="31" spans="1:3">
      <c r="A31" t="s">
        <v>44</v>
      </c>
      <c r="B31">
        <f>(1+(0.15*B27^1.8)/(B4*B11^2.3))^(-1)</f>
        <v>0.39230901574494409</v>
      </c>
      <c r="C31" t="s">
        <v>45</v>
      </c>
    </row>
    <row r="32" spans="1:3">
      <c r="A32" t="s">
        <v>46</v>
      </c>
    </row>
    <row r="33" spans="1:3">
      <c r="A33" t="s">
        <v>47</v>
      </c>
      <c r="B33">
        <f>B29*B23+B31*(1-B23)</f>
        <v>0.60063584554610494</v>
      </c>
      <c r="C33" t="s">
        <v>48</v>
      </c>
    </row>
    <row r="34" spans="1:3">
      <c r="A34" t="s">
        <v>49</v>
      </c>
    </row>
    <row r="35" spans="1:3">
      <c r="A35" t="s">
        <v>51</v>
      </c>
      <c r="B35">
        <f>B33*B3</f>
        <v>1.5015896138652622</v>
      </c>
      <c r="C35" t="s">
        <v>53</v>
      </c>
    </row>
    <row r="36" spans="1:3">
      <c r="A36" t="s">
        <v>50</v>
      </c>
    </row>
    <row r="37" spans="1:3">
      <c r="A37" t="s">
        <v>52</v>
      </c>
      <c r="B37">
        <f>B3-B35</f>
        <v>0.99841038613473776</v>
      </c>
      <c r="C37" t="s">
        <v>54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topLeftCell="A27" zoomScale="150" zoomScaleNormal="150" zoomScalePageLayoutView="150" workbookViewId="0">
      <selection activeCell="B37" sqref="B37"/>
    </sheetView>
  </sheetViews>
  <sheetFormatPr baseColWidth="10" defaultRowHeight="15" x14ac:dyDescent="0"/>
  <cols>
    <col min="2" max="2" width="8.6640625" customWidth="1"/>
  </cols>
  <sheetData>
    <row r="1" spans="1:3">
      <c r="A1" t="s">
        <v>8</v>
      </c>
    </row>
    <row r="2" spans="1:3">
      <c r="A2" t="s">
        <v>10</v>
      </c>
      <c r="B2" t="s">
        <v>55</v>
      </c>
    </row>
    <row r="3" spans="1:3">
      <c r="A3" t="s">
        <v>4</v>
      </c>
      <c r="B3">
        <v>3.9634051969108834</v>
      </c>
      <c r="C3" t="s">
        <v>5</v>
      </c>
    </row>
    <row r="4" spans="1:3">
      <c r="A4" t="s">
        <v>0</v>
      </c>
      <c r="B4">
        <f>1/48</f>
        <v>2.0833333333333332E-2</v>
      </c>
      <c r="C4" t="s">
        <v>1</v>
      </c>
    </row>
    <row r="5" spans="1:3">
      <c r="A5" t="s">
        <v>2</v>
      </c>
      <c r="B5">
        <v>4.0000000000000001E-3</v>
      </c>
      <c r="C5" t="s">
        <v>3</v>
      </c>
    </row>
    <row r="6" spans="1:3">
      <c r="A6" t="s">
        <v>6</v>
      </c>
      <c r="B6">
        <v>1.6E-2</v>
      </c>
      <c r="C6" t="s">
        <v>7</v>
      </c>
    </row>
    <row r="8" spans="1:3">
      <c r="A8" t="s">
        <v>11</v>
      </c>
      <c r="B8" s="1">
        <f>1.243*((B3*B6*B4)/(SQRT(B5)))^(3/8)</f>
        <v>0.2913668157192677</v>
      </c>
      <c r="C8" t="s">
        <v>12</v>
      </c>
    </row>
    <row r="9" spans="1:3">
      <c r="A9" t="s">
        <v>13</v>
      </c>
      <c r="B9">
        <f>B8/B4</f>
        <v>13.98560715452485</v>
      </c>
      <c r="C9" t="s">
        <v>14</v>
      </c>
    </row>
    <row r="11" spans="1:3">
      <c r="A11" t="s">
        <v>15</v>
      </c>
      <c r="B11">
        <v>3</v>
      </c>
      <c r="C11" t="s">
        <v>16</v>
      </c>
    </row>
    <row r="12" spans="1:3">
      <c r="A12" t="s">
        <v>17</v>
      </c>
      <c r="B12">
        <v>1.5</v>
      </c>
      <c r="C12" t="s">
        <v>18</v>
      </c>
    </row>
    <row r="14" spans="1:3">
      <c r="A14" t="s">
        <v>31</v>
      </c>
    </row>
    <row r="15" spans="1:3">
      <c r="A15" t="s">
        <v>25</v>
      </c>
      <c r="B15">
        <f>0.5*B13*B12+B12*B4*(B9-0.5*B12)</f>
        <v>0.41361272357890155</v>
      </c>
      <c r="C15" t="s">
        <v>22</v>
      </c>
    </row>
    <row r="16" spans="1:3">
      <c r="A16" t="s">
        <v>26</v>
      </c>
      <c r="B16">
        <f>SQRT((B12*B4+B13)^2+B12^2)</f>
        <v>1.5003254855197254</v>
      </c>
      <c r="C16" t="s">
        <v>23</v>
      </c>
    </row>
    <row r="17" spans="1:3">
      <c r="A17" t="s">
        <v>20</v>
      </c>
      <c r="B17">
        <f>1.486*(B15^(5/3))/(B6*B16^(2/3))</f>
        <v>16.271652190171874</v>
      </c>
      <c r="C17" t="s">
        <v>24</v>
      </c>
    </row>
    <row r="18" spans="1:3">
      <c r="A18" t="s">
        <v>32</v>
      </c>
    </row>
    <row r="19" spans="1:3">
      <c r="A19" t="s">
        <v>27</v>
      </c>
      <c r="B19">
        <f>0.5*B4*(B9-B12)^2</f>
        <v>1.6238581876783553</v>
      </c>
      <c r="C19" t="s">
        <v>29</v>
      </c>
    </row>
    <row r="20" spans="1:3">
      <c r="A20" t="s">
        <v>28</v>
      </c>
      <c r="B20">
        <f>B9-B12</f>
        <v>12.48560715452485</v>
      </c>
      <c r="C20" t="s">
        <v>30</v>
      </c>
    </row>
    <row r="21" spans="1:3">
      <c r="A21" t="s">
        <v>21</v>
      </c>
      <c r="B21">
        <f>1.486*(B19^(5/3))/(B6*B20^(2/3))</f>
        <v>38.714401372698489</v>
      </c>
      <c r="C21" t="s">
        <v>24</v>
      </c>
    </row>
    <row r="22" spans="1:3">
      <c r="A22" t="s">
        <v>33</v>
      </c>
    </row>
    <row r="23" spans="1:3">
      <c r="A23" t="s">
        <v>9</v>
      </c>
      <c r="B23">
        <f>B17/(B17+B21)</f>
        <v>0.29592325936916114</v>
      </c>
      <c r="C23" t="s">
        <v>34</v>
      </c>
    </row>
    <row r="24" spans="1:3">
      <c r="A24" t="s">
        <v>35</v>
      </c>
    </row>
    <row r="25" spans="1:3">
      <c r="A25" t="s">
        <v>19</v>
      </c>
      <c r="B25">
        <f>0.735+2.43*B11-0.265*B11^2+0.018*B11^3</f>
        <v>6.1260000000000003</v>
      </c>
      <c r="C25" t="s">
        <v>36</v>
      </c>
    </row>
    <row r="26" spans="1:3">
      <c r="A26" t="s">
        <v>37</v>
      </c>
    </row>
    <row r="27" spans="1:3">
      <c r="A27" t="s">
        <v>38</v>
      </c>
      <c r="B27">
        <f>2*B3/(B9*B9*B4)</f>
        <v>1.9452573163192772</v>
      </c>
      <c r="C27" t="s">
        <v>39</v>
      </c>
    </row>
    <row r="28" spans="1:3">
      <c r="A28" t="s">
        <v>40</v>
      </c>
    </row>
    <row r="29" spans="1:3">
      <c r="A29" t="s">
        <v>41</v>
      </c>
      <c r="B29">
        <f>IF(B27&gt;B25,1-0.3*(B27-B25),1)</f>
        <v>1</v>
      </c>
      <c r="C29" t="s">
        <v>43</v>
      </c>
    </row>
    <row r="30" spans="1:3">
      <c r="A30" t="s">
        <v>42</v>
      </c>
    </row>
    <row r="31" spans="1:3">
      <c r="A31" t="s">
        <v>44</v>
      </c>
      <c r="B31">
        <f>(1+(0.15*B27^1.8)/(B4*B11^2.3))^(-1)</f>
        <v>0.3441211224620252</v>
      </c>
      <c r="C31" t="s">
        <v>45</v>
      </c>
    </row>
    <row r="32" spans="1:3">
      <c r="A32" t="s">
        <v>46</v>
      </c>
    </row>
    <row r="33" spans="1:3">
      <c r="A33" t="s">
        <v>47</v>
      </c>
      <c r="B33">
        <f>B29*B23+B31*(1-B23)</f>
        <v>0.53821093765444961</v>
      </c>
      <c r="C33" t="s">
        <v>48</v>
      </c>
    </row>
    <row r="34" spans="1:3">
      <c r="A34" t="s">
        <v>49</v>
      </c>
    </row>
    <row r="35" spans="1:3">
      <c r="A35" t="s">
        <v>51</v>
      </c>
      <c r="B35">
        <f>B33*B3</f>
        <v>2.1331480273339252</v>
      </c>
      <c r="C35" t="s">
        <v>53</v>
      </c>
    </row>
    <row r="36" spans="1:3">
      <c r="A36" t="s">
        <v>50</v>
      </c>
    </row>
    <row r="37" spans="1:3">
      <c r="A37" t="s">
        <v>52</v>
      </c>
      <c r="B37">
        <f>B3-B35</f>
        <v>1.8302571695769583</v>
      </c>
      <c r="C37" t="s">
        <v>54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opLeftCell="A21" zoomScale="150" zoomScaleNormal="150" zoomScalePageLayoutView="150" workbookViewId="0">
      <selection activeCell="F36" sqref="F36"/>
    </sheetView>
  </sheetViews>
  <sheetFormatPr baseColWidth="10" defaultRowHeight="15" x14ac:dyDescent="0"/>
  <cols>
    <col min="2" max="2" width="8.6640625" customWidth="1"/>
  </cols>
  <sheetData>
    <row r="1" spans="1:3">
      <c r="A1" t="s">
        <v>8</v>
      </c>
    </row>
    <row r="2" spans="1:3">
      <c r="A2" t="s">
        <v>10</v>
      </c>
      <c r="B2" t="s">
        <v>55</v>
      </c>
    </row>
    <row r="3" spans="1:3">
      <c r="A3" t="s">
        <v>4</v>
      </c>
      <c r="B3">
        <v>4.5338400933751668</v>
      </c>
      <c r="C3" t="s">
        <v>5</v>
      </c>
    </row>
    <row r="4" spans="1:3">
      <c r="A4" t="s">
        <v>0</v>
      </c>
      <c r="B4">
        <f>1/48</f>
        <v>2.0833333333333332E-2</v>
      </c>
      <c r="C4" t="s">
        <v>1</v>
      </c>
    </row>
    <row r="5" spans="1:3">
      <c r="A5" t="s">
        <v>2</v>
      </c>
      <c r="B5">
        <v>5.0000000000000001E-3</v>
      </c>
      <c r="C5" t="s">
        <v>3</v>
      </c>
    </row>
    <row r="6" spans="1:3">
      <c r="A6" t="s">
        <v>6</v>
      </c>
      <c r="B6">
        <v>1.6E-2</v>
      </c>
      <c r="C6" t="s">
        <v>7</v>
      </c>
    </row>
    <row r="8" spans="1:3">
      <c r="A8" t="s">
        <v>11</v>
      </c>
      <c r="B8" s="1">
        <f>1.243*((B3*B6*B4)/(SQRT(B5)))^(3/8)</f>
        <v>0.29387903616075778</v>
      </c>
      <c r="C8" t="s">
        <v>12</v>
      </c>
    </row>
    <row r="9" spans="1:3">
      <c r="A9" t="s">
        <v>13</v>
      </c>
      <c r="B9">
        <f>B8/B4</f>
        <v>14.106193735716374</v>
      </c>
      <c r="C9" t="s">
        <v>14</v>
      </c>
    </row>
    <row r="11" spans="1:3">
      <c r="A11" t="s">
        <v>15</v>
      </c>
      <c r="B11">
        <v>3</v>
      </c>
      <c r="C11" t="s">
        <v>16</v>
      </c>
    </row>
    <row r="12" spans="1:3">
      <c r="A12" t="s">
        <v>17</v>
      </c>
      <c r="B12">
        <v>1.5</v>
      </c>
      <c r="C12" t="s">
        <v>18</v>
      </c>
    </row>
    <row r="14" spans="1:3">
      <c r="A14" t="s">
        <v>31</v>
      </c>
    </row>
    <row r="15" spans="1:3">
      <c r="A15" t="s">
        <v>25</v>
      </c>
      <c r="B15">
        <f>0.5*B13*B12+B12*B4*(B9-0.5*B12)</f>
        <v>0.4173810542411367</v>
      </c>
      <c r="C15" t="s">
        <v>22</v>
      </c>
    </row>
    <row r="16" spans="1:3">
      <c r="A16" t="s">
        <v>26</v>
      </c>
      <c r="B16">
        <f>SQRT((B12*B4+B13)^2+B12^2)</f>
        <v>1.5003254855197254</v>
      </c>
      <c r="C16" t="s">
        <v>23</v>
      </c>
    </row>
    <row r="17" spans="1:3">
      <c r="A17" t="s">
        <v>20</v>
      </c>
      <c r="B17">
        <f>1.486*(B15^(5/3))/(B6*B16^(2/3))</f>
        <v>16.519480611011861</v>
      </c>
      <c r="C17" t="s">
        <v>24</v>
      </c>
    </row>
    <row r="18" spans="1:3">
      <c r="A18" t="s">
        <v>32</v>
      </c>
    </row>
    <row r="19" spans="1:3">
      <c r="A19" t="s">
        <v>27</v>
      </c>
      <c r="B19">
        <f>0.5*B4*(B9-B12)^2</f>
        <v>1.6553762552334867</v>
      </c>
      <c r="C19" t="s">
        <v>29</v>
      </c>
    </row>
    <row r="20" spans="1:3">
      <c r="A20" t="s">
        <v>28</v>
      </c>
      <c r="B20">
        <f>B9-B12</f>
        <v>12.606193735716374</v>
      </c>
      <c r="C20" t="s">
        <v>30</v>
      </c>
    </row>
    <row r="21" spans="1:3">
      <c r="A21" t="s">
        <v>21</v>
      </c>
      <c r="B21">
        <f>1.486*(B19^(5/3))/(B6*B20^(2/3))</f>
        <v>39.719524822996142</v>
      </c>
      <c r="C21" t="s">
        <v>24</v>
      </c>
    </row>
    <row r="22" spans="1:3">
      <c r="A22" t="s">
        <v>33</v>
      </c>
    </row>
    <row r="23" spans="1:3">
      <c r="A23" t="s">
        <v>9</v>
      </c>
      <c r="B23">
        <f>B17/(B17+B21)</f>
        <v>0.29373706884621487</v>
      </c>
      <c r="C23" t="s">
        <v>34</v>
      </c>
    </row>
    <row r="24" spans="1:3">
      <c r="A24" t="s">
        <v>35</v>
      </c>
    </row>
    <row r="25" spans="1:3">
      <c r="A25" t="s">
        <v>19</v>
      </c>
      <c r="B25">
        <f>0.735+2.43*B11-0.265*B11^2+0.018*B11^3</f>
        <v>6.1260000000000003</v>
      </c>
      <c r="C25" t="s">
        <v>36</v>
      </c>
    </row>
    <row r="26" spans="1:3">
      <c r="A26" t="s">
        <v>37</v>
      </c>
    </row>
    <row r="27" spans="1:3">
      <c r="A27" t="s">
        <v>38</v>
      </c>
      <c r="B27">
        <f>2*B3/(B9*B9*B4)</f>
        <v>2.1873472946643946</v>
      </c>
      <c r="C27" t="s">
        <v>39</v>
      </c>
    </row>
    <row r="28" spans="1:3">
      <c r="A28" t="s">
        <v>40</v>
      </c>
    </row>
    <row r="29" spans="1:3">
      <c r="A29" t="s">
        <v>41</v>
      </c>
      <c r="B29">
        <f>IF(B27&gt;B25,1-0.3*(B27-B25),1)</f>
        <v>1</v>
      </c>
      <c r="C29" t="s">
        <v>43</v>
      </c>
    </row>
    <row r="30" spans="1:3">
      <c r="A30" t="s">
        <v>42</v>
      </c>
    </row>
    <row r="31" spans="1:3">
      <c r="A31" t="s">
        <v>44</v>
      </c>
      <c r="B31">
        <f>(1+(0.15*B27^1.8)/(B4*B11^2.3))^(-1)</f>
        <v>0.29815189937076442</v>
      </c>
      <c r="C31" t="s">
        <v>45</v>
      </c>
    </row>
    <row r="32" spans="1:3">
      <c r="A32" t="s">
        <v>46</v>
      </c>
    </row>
    <row r="33" spans="1:3">
      <c r="A33" t="s">
        <v>47</v>
      </c>
      <c r="B33">
        <f>B29*B23+B31*(1-B23)</f>
        <v>0.50431070322487936</v>
      </c>
      <c r="C33" t="s">
        <v>48</v>
      </c>
    </row>
    <row r="34" spans="1:3">
      <c r="A34" t="s">
        <v>49</v>
      </c>
    </row>
    <row r="35" spans="1:3">
      <c r="A35" t="s">
        <v>51</v>
      </c>
      <c r="B35">
        <f>B33*B3</f>
        <v>2.2864640857991829</v>
      </c>
      <c r="C35" t="s">
        <v>53</v>
      </c>
    </row>
    <row r="36" spans="1:3">
      <c r="A36" t="s">
        <v>50</v>
      </c>
    </row>
    <row r="37" spans="1:3">
      <c r="A37" t="s">
        <v>52</v>
      </c>
      <c r="B37">
        <f>B3-B35</f>
        <v>2.2473760075759839</v>
      </c>
      <c r="C37" t="s">
        <v>54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GrateOnGrade-K1</vt:lpstr>
      <vt:lpstr>GrateOnGrade-L1</vt:lpstr>
      <vt:lpstr>GrateOnGrade-L2</vt:lpstr>
      <vt:lpstr>GrateOnGrade-L3</vt:lpstr>
    </vt:vector>
  </TitlesOfParts>
  <Company>texas tech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 cleveland</dc:creator>
  <cp:lastModifiedBy>theodore  cleveland</cp:lastModifiedBy>
  <dcterms:created xsi:type="dcterms:W3CDTF">2013-07-11T18:56:48Z</dcterms:created>
  <dcterms:modified xsi:type="dcterms:W3CDTF">2014-03-09T21:23:50Z</dcterms:modified>
</cp:coreProperties>
</file>