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Teaching/CE3372-WaterSystemsDesign/CE3372-2018-FALL/1-Lectures/Lecture18/DataInLecture/GoodwinStreetStormSewerDesign/"/>
    </mc:Choice>
  </mc:AlternateContent>
  <xr:revisionPtr revIDLastSave="0" documentId="13_ncr:1_{DD60BDBF-925A-A145-A5C5-2A62A5516825}" xr6:coauthVersionLast="36" xr6:coauthVersionMax="36" xr10:uidLastSave="{00000000-0000-0000-0000-000000000000}"/>
  <bookViews>
    <workbookView xWindow="8500" yWindow="840" windowWidth="28160" windowHeight="2016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1" i="1" l="1"/>
  <c r="E84" i="1"/>
  <c r="E87" i="1"/>
  <c r="E89" i="1"/>
  <c r="E92" i="1"/>
  <c r="E93" i="1"/>
  <c r="E94" i="1"/>
  <c r="E95" i="1"/>
  <c r="R21" i="1"/>
  <c r="P21" i="1"/>
  <c r="L25" i="1"/>
  <c r="O21" i="1"/>
  <c r="N49" i="1"/>
  <c r="N48" i="1"/>
  <c r="N42" i="1"/>
  <c r="N35" i="1"/>
  <c r="N34" i="1"/>
  <c r="N28" i="1"/>
  <c r="N22" i="1"/>
  <c r="N21" i="1"/>
  <c r="H21" i="1" l="1"/>
  <c r="E65" i="1" l="1"/>
  <c r="D66" i="1"/>
  <c r="E66" i="1" s="1"/>
  <c r="D68" i="1"/>
  <c r="E68" i="1" s="1"/>
  <c r="D70" i="1"/>
  <c r="E70" i="1" s="1"/>
  <c r="D71" i="1"/>
  <c r="E71" i="1" s="1"/>
  <c r="D72" i="1"/>
  <c r="E72" i="1" s="1"/>
  <c r="D73" i="1"/>
  <c r="E73" i="1" s="1"/>
  <c r="D75" i="1"/>
  <c r="E75" i="1" s="1"/>
  <c r="D76" i="1"/>
  <c r="E76" i="1" s="1"/>
  <c r="D77" i="1"/>
  <c r="E77" i="1" s="1"/>
  <c r="D78" i="1"/>
  <c r="E78" i="1" s="1"/>
  <c r="B18" i="1"/>
  <c r="F26" i="1"/>
  <c r="F32" i="1" s="1"/>
  <c r="F40" i="1" s="1"/>
  <c r="F46" i="1" s="1"/>
  <c r="F54" i="1" s="1"/>
  <c r="F58" i="1" s="1"/>
  <c r="H56" i="1"/>
  <c r="I56" i="1"/>
  <c r="J56" i="1" s="1"/>
  <c r="H50" i="1"/>
  <c r="I50" i="1" s="1"/>
  <c r="J50" i="1" s="1"/>
  <c r="M50" i="1"/>
  <c r="M56" i="1"/>
  <c r="K52" i="1"/>
  <c r="K51" i="1"/>
  <c r="Q48" i="1"/>
  <c r="D74" i="1" s="1"/>
  <c r="E74" i="1" s="1"/>
  <c r="I48" i="1"/>
  <c r="J48" i="1" s="1"/>
  <c r="J51" i="1" s="1"/>
  <c r="H49" i="1"/>
  <c r="I49" i="1" s="1"/>
  <c r="J49" i="1" s="1"/>
  <c r="H48" i="1"/>
  <c r="M43" i="1"/>
  <c r="K44" i="1"/>
  <c r="H43" i="1"/>
  <c r="I43" i="1"/>
  <c r="J43" i="1" s="1"/>
  <c r="H42" i="1"/>
  <c r="I42" i="1" s="1"/>
  <c r="J42" i="1" s="1"/>
  <c r="K38" i="1"/>
  <c r="K37" i="1"/>
  <c r="Q34" i="1"/>
  <c r="D69" i="1" s="1"/>
  <c r="E69" i="1" s="1"/>
  <c r="H36" i="1"/>
  <c r="I36" i="1" s="1"/>
  <c r="J36" i="1" s="1"/>
  <c r="H35" i="1"/>
  <c r="I35" i="1" s="1"/>
  <c r="J35" i="1" s="1"/>
  <c r="J38" i="1" s="1"/>
  <c r="H34" i="1"/>
  <c r="I34" i="1" s="1"/>
  <c r="J34" i="1" s="1"/>
  <c r="H29" i="1"/>
  <c r="I29" i="1" s="1"/>
  <c r="J29" i="1" s="1"/>
  <c r="Q28" i="1"/>
  <c r="D67" i="1" s="1"/>
  <c r="E67" i="1" s="1"/>
  <c r="H28" i="1"/>
  <c r="I28" i="1"/>
  <c r="J28" i="1"/>
  <c r="J30" i="1" s="1"/>
  <c r="M23" i="1"/>
  <c r="I21" i="1"/>
  <c r="J21" i="1" s="1"/>
  <c r="H22" i="1"/>
  <c r="I22" i="1" s="1"/>
  <c r="J22" i="1" s="1"/>
  <c r="O22" i="1" s="1"/>
  <c r="H23" i="1"/>
  <c r="I23" i="1" s="1"/>
  <c r="J23" i="1" s="1"/>
  <c r="J37" i="1" l="1"/>
  <c r="O34" i="1"/>
  <c r="R34" i="1" s="1"/>
  <c r="S34" i="1" s="1"/>
  <c r="L37" i="1" s="1"/>
  <c r="O28" i="1"/>
  <c r="P28" i="1" s="1"/>
  <c r="R22" i="1"/>
  <c r="S22" i="1" s="1"/>
  <c r="M25" i="1" s="1"/>
  <c r="P22" i="1"/>
  <c r="B66" i="1"/>
  <c r="M37" i="1"/>
  <c r="J52" i="1"/>
  <c r="O49" i="1"/>
  <c r="O42" i="1"/>
  <c r="J44" i="1"/>
  <c r="J26" i="1"/>
  <c r="B67" i="1"/>
  <c r="O35" i="1"/>
  <c r="O48" i="1"/>
  <c r="B69" i="1"/>
  <c r="P34" i="1"/>
  <c r="R28" i="1"/>
  <c r="S28" i="1" s="1"/>
  <c r="L30" i="1" s="1"/>
  <c r="M30" i="1" s="1"/>
  <c r="B75" i="1" l="1"/>
  <c r="R49" i="1"/>
  <c r="S49" i="1" s="1"/>
  <c r="L52" i="1" s="1"/>
  <c r="M52" i="1" s="1"/>
  <c r="P49" i="1"/>
  <c r="B65" i="1"/>
  <c r="S21" i="1"/>
  <c r="P48" i="1"/>
  <c r="R48" i="1"/>
  <c r="S48" i="1" s="1"/>
  <c r="L51" i="1" s="1"/>
  <c r="M51" i="1" s="1"/>
  <c r="B74" i="1"/>
  <c r="J31" i="1"/>
  <c r="J32" i="1" s="1"/>
  <c r="P35" i="1"/>
  <c r="B70" i="1"/>
  <c r="R35" i="1"/>
  <c r="S35" i="1" s="1"/>
  <c r="L38" i="1" s="1"/>
  <c r="M38" i="1" s="1"/>
  <c r="B72" i="1"/>
  <c r="R42" i="1"/>
  <c r="S42" i="1" s="1"/>
  <c r="L44" i="1" s="1"/>
  <c r="M44" i="1" s="1"/>
  <c r="P42" i="1"/>
  <c r="L24" i="1" l="1"/>
  <c r="M24" i="1" s="1"/>
  <c r="M26" i="1" s="1"/>
  <c r="J39" i="1"/>
  <c r="J40" i="1" s="1"/>
  <c r="K31" i="1" l="1"/>
  <c r="N26" i="1"/>
  <c r="O26" i="1" s="1"/>
  <c r="R26" i="1" s="1"/>
  <c r="S26" i="1" s="1"/>
  <c r="L31" i="1" s="1"/>
  <c r="M31" i="1" s="1"/>
  <c r="M32" i="1" s="1"/>
  <c r="K39" i="1" s="1"/>
  <c r="J45" i="1"/>
  <c r="J46" i="1" s="1"/>
  <c r="N32" i="1" l="1"/>
  <c r="O32" i="1" s="1"/>
  <c r="B68" i="1"/>
  <c r="P26" i="1"/>
  <c r="J53" i="1"/>
  <c r="J54" i="1" s="1"/>
  <c r="P32" i="1" l="1"/>
  <c r="R32" i="1"/>
  <c r="S32" i="1" s="1"/>
  <c r="L39" i="1" s="1"/>
  <c r="M39" i="1" s="1"/>
  <c r="M40" i="1" s="1"/>
  <c r="B71" i="1"/>
  <c r="J57" i="1"/>
  <c r="J58" i="1" s="1"/>
  <c r="N40" i="1" l="1"/>
  <c r="O40" i="1" s="1"/>
  <c r="K45" i="1"/>
  <c r="B73" i="1" l="1"/>
  <c r="R40" i="1"/>
  <c r="S40" i="1" s="1"/>
  <c r="L45" i="1" s="1"/>
  <c r="M45" i="1" s="1"/>
  <c r="M46" i="1" s="1"/>
  <c r="P40" i="1"/>
  <c r="K53" i="1" l="1"/>
  <c r="N46" i="1"/>
  <c r="O46" i="1" s="1"/>
  <c r="R46" i="1" l="1"/>
  <c r="S46" i="1" s="1"/>
  <c r="L53" i="1" s="1"/>
  <c r="M53" i="1" s="1"/>
  <c r="M54" i="1" s="1"/>
  <c r="P46" i="1"/>
  <c r="B76" i="1"/>
  <c r="K57" i="1" l="1"/>
  <c r="N54" i="1"/>
  <c r="O54" i="1" s="1"/>
  <c r="P54" i="1" l="1"/>
  <c r="B77" i="1"/>
  <c r="R54" i="1"/>
  <c r="S54" i="1" s="1"/>
  <c r="L57" i="1" s="1"/>
  <c r="M57" i="1" s="1"/>
  <c r="M58" i="1" s="1"/>
  <c r="N58" i="1" s="1"/>
  <c r="O58" i="1" s="1"/>
  <c r="B78" i="1" l="1"/>
  <c r="P58" i="1"/>
  <c r="R58" i="1"/>
  <c r="S58" i="1" s="1"/>
</calcChain>
</file>

<file path=xl/sharedStrings.xml><?xml version="1.0" encoding="utf-8"?>
<sst xmlns="http://schemas.openxmlformats.org/spreadsheetml/2006/main" count="85" uniqueCount="50">
  <si>
    <t>Storm Sewer Design Example</t>
  </si>
  <si>
    <t>Drainage Area ID</t>
  </si>
  <si>
    <t>Drainage Area (acres)</t>
  </si>
  <si>
    <t>Runoff Coefficient</t>
  </si>
  <si>
    <t>Inlet ID</t>
  </si>
  <si>
    <t>Inlet Time</t>
  </si>
  <si>
    <t>Inlet Time (min)</t>
  </si>
  <si>
    <t>PipeID</t>
  </si>
  <si>
    <t>1.1-2.1</t>
  </si>
  <si>
    <t>1.2-2.1</t>
  </si>
  <si>
    <t>2.1-3.1</t>
  </si>
  <si>
    <t>2.2-3.1</t>
  </si>
  <si>
    <t>3.2-4.1</t>
  </si>
  <si>
    <t>3.3-4.1</t>
  </si>
  <si>
    <t>3.1-4.1</t>
  </si>
  <si>
    <t>4.2-5.1</t>
  </si>
  <si>
    <t>4.1-5.1</t>
  </si>
  <si>
    <t>5.2-6.1</t>
  </si>
  <si>
    <t>5.3-6.1</t>
  </si>
  <si>
    <t>5.1-6.1</t>
  </si>
  <si>
    <t>6.1-7.1</t>
  </si>
  <si>
    <t>7.1-8.1</t>
  </si>
  <si>
    <t>NodeID-NodeID</t>
  </si>
  <si>
    <t>Pipe Length (ft)</t>
  </si>
  <si>
    <t>Pipe Slope</t>
  </si>
  <si>
    <t>Pipe ID</t>
  </si>
  <si>
    <t>Cum Area</t>
  </si>
  <si>
    <t>CA</t>
  </si>
  <si>
    <t>SumCA</t>
  </si>
  <si>
    <t>Upstream Sewer Time</t>
  </si>
  <si>
    <t>t_c</t>
  </si>
  <si>
    <t>i</t>
  </si>
  <si>
    <t>Qp</t>
  </si>
  <si>
    <t>D-computed</t>
  </si>
  <si>
    <t>D-used</t>
  </si>
  <si>
    <t>Sewer Time (min)</t>
  </si>
  <si>
    <t>V-used (ft/sec)</t>
  </si>
  <si>
    <t xml:space="preserve">Drainage Area to Pipe </t>
  </si>
  <si>
    <t>C</t>
  </si>
  <si>
    <t>Rational Calculations</t>
  </si>
  <si>
    <t>Summary</t>
  </si>
  <si>
    <t>PipeFlow</t>
  </si>
  <si>
    <t>Total</t>
  </si>
  <si>
    <t>PipeDiameter (ft)</t>
  </si>
  <si>
    <t>Pipe Diameter (inches)</t>
  </si>
  <si>
    <t xml:space="preserve">Pipe Slope </t>
  </si>
  <si>
    <t>e</t>
  </si>
  <si>
    <t>b</t>
  </si>
  <si>
    <t>d</t>
  </si>
  <si>
    <t>Elevation (Pipe 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</si>
</sst>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/>
    <xf numFmtId="0" fontId="1" fillId="2" borderId="1" xfId="1" applyBorder="1"/>
    <xf numFmtId="0" fontId="0" fillId="0" borderId="2" xfId="0" applyBorder="1"/>
    <xf numFmtId="164" fontId="0" fillId="0" borderId="2" xfId="0" applyNumberFormat="1" applyBorder="1"/>
    <xf numFmtId="0" fontId="1" fillId="2" borderId="2" xfId="1" applyBorder="1"/>
    <xf numFmtId="0" fontId="0" fillId="0" borderId="3" xfId="0" applyBorder="1"/>
    <xf numFmtId="0" fontId="1" fillId="2" borderId="4" xfId="1" applyBorder="1"/>
    <xf numFmtId="0" fontId="0" fillId="0" borderId="0" xfId="0" applyBorder="1"/>
    <xf numFmtId="164" fontId="0" fillId="0" borderId="0" xfId="0" applyNumberFormat="1" applyBorder="1"/>
    <xf numFmtId="0" fontId="1" fillId="2" borderId="0" xfId="1" applyBorder="1"/>
    <xf numFmtId="0" fontId="0" fillId="0" borderId="5" xfId="0" applyBorder="1"/>
    <xf numFmtId="0" fontId="0" fillId="0" borderId="4" xfId="0" applyBorder="1"/>
    <xf numFmtId="0" fontId="1" fillId="2" borderId="6" xfId="1" applyBorder="1"/>
    <xf numFmtId="0" fontId="0" fillId="0" borderId="7" xfId="0" applyBorder="1"/>
    <xf numFmtId="0" fontId="1" fillId="2" borderId="7" xfId="1" applyBorder="1"/>
    <xf numFmtId="0" fontId="0" fillId="0" borderId="8" xfId="0" applyBorder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2" fontId="0" fillId="0" borderId="2" xfId="0" applyNumberFormat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/>
    <xf numFmtId="1" fontId="0" fillId="0" borderId="2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317500</xdr:colOff>
      <xdr:row>0</xdr:row>
      <xdr:rowOff>152400</xdr:rowOff>
    </xdr:from>
    <xdr:to>
      <xdr:col>13</xdr:col>
      <xdr:colOff>736600</xdr:colOff>
      <xdr:row>17</xdr:row>
      <xdr:rowOff>105627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152400"/>
          <a:ext cx="2895600" cy="3407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"/>
  <sheetViews>
    <sheetView tabSelected="1" topLeftCell="A46" workbookViewId="0">
      <selection activeCell="E65" sqref="E65:E78"/>
    </sheetView>
  </sheetViews>
  <sheetFormatPr baseColWidth="10" defaultRowHeight="16"/>
  <cols>
    <col min="1" max="1" width="15.1640625" customWidth="1"/>
    <col min="8" max="8" width="15" customWidth="1"/>
    <col min="9" max="9" width="12.83203125" customWidth="1"/>
    <col min="10" max="10" width="14.83203125" customWidth="1"/>
    <col min="14" max="14" width="12.1640625" bestFit="1" customWidth="1"/>
  </cols>
  <sheetData>
    <row r="1" spans="1:17">
      <c r="A1" t="s">
        <v>0</v>
      </c>
    </row>
    <row r="3" spans="1:17" ht="51">
      <c r="A3" s="2" t="s">
        <v>1</v>
      </c>
      <c r="B3" s="2" t="s">
        <v>2</v>
      </c>
      <c r="C3" s="2" t="s">
        <v>3</v>
      </c>
      <c r="D3" s="2" t="s">
        <v>4</v>
      </c>
      <c r="E3" s="2" t="s">
        <v>6</v>
      </c>
      <c r="F3" s="3"/>
      <c r="G3" s="3" t="s">
        <v>7</v>
      </c>
      <c r="H3" s="2" t="s">
        <v>22</v>
      </c>
      <c r="I3" s="3" t="s">
        <v>23</v>
      </c>
      <c r="J3" s="1" t="s">
        <v>24</v>
      </c>
    </row>
    <row r="4" spans="1:17">
      <c r="A4">
        <v>1.1000000000000001</v>
      </c>
      <c r="B4">
        <v>2.2599999999999998</v>
      </c>
      <c r="C4" s="21">
        <v>0.65</v>
      </c>
      <c r="D4">
        <v>1.1000000000000001</v>
      </c>
      <c r="E4" s="22">
        <v>11</v>
      </c>
      <c r="G4">
        <v>1.1000000000000001</v>
      </c>
      <c r="H4" t="s">
        <v>8</v>
      </c>
      <c r="I4" s="20">
        <v>414.96000000000004</v>
      </c>
      <c r="J4" s="4">
        <v>0.02</v>
      </c>
      <c r="P4" t="s">
        <v>46</v>
      </c>
      <c r="Q4">
        <v>0.84444596443343833</v>
      </c>
    </row>
    <row r="5" spans="1:17">
      <c r="A5">
        <v>1.2</v>
      </c>
      <c r="B5">
        <v>1.26</v>
      </c>
      <c r="C5" s="21">
        <v>0.8</v>
      </c>
      <c r="D5">
        <v>1.2</v>
      </c>
      <c r="E5" s="22">
        <v>9.1999999999999993</v>
      </c>
      <c r="G5">
        <v>1.2</v>
      </c>
      <c r="H5" t="s">
        <v>9</v>
      </c>
      <c r="I5" s="20">
        <v>194.71200000000002</v>
      </c>
      <c r="J5" s="4">
        <v>4.1000000000000003E-3</v>
      </c>
      <c r="P5" t="s">
        <v>47</v>
      </c>
      <c r="Q5">
        <v>54.810046706444787</v>
      </c>
    </row>
    <row r="6" spans="1:17">
      <c r="A6">
        <v>2.1</v>
      </c>
      <c r="B6">
        <v>3.89</v>
      </c>
      <c r="C6" s="21">
        <v>0.7</v>
      </c>
      <c r="D6">
        <v>2.1</v>
      </c>
      <c r="E6" s="22">
        <v>13.7</v>
      </c>
      <c r="G6">
        <v>2.2000000000000002</v>
      </c>
      <c r="H6" t="s">
        <v>11</v>
      </c>
      <c r="I6" s="20">
        <v>212.8</v>
      </c>
      <c r="J6" s="4">
        <v>1.7999999999999999E-2</v>
      </c>
      <c r="P6" t="s">
        <v>48</v>
      </c>
      <c r="Q6">
        <v>9.2146013422426805</v>
      </c>
    </row>
    <row r="7" spans="1:17">
      <c r="A7">
        <v>2.2000000000000002</v>
      </c>
      <c r="B7">
        <v>0.53</v>
      </c>
      <c r="C7" s="21">
        <v>0.8</v>
      </c>
      <c r="D7">
        <v>2.2000000000000002</v>
      </c>
      <c r="E7" s="22">
        <v>5.2</v>
      </c>
      <c r="G7">
        <v>2.1</v>
      </c>
      <c r="H7" t="s">
        <v>10</v>
      </c>
      <c r="I7" s="20">
        <v>188.328</v>
      </c>
      <c r="J7" s="4">
        <v>2.4500000000000001E-2</v>
      </c>
    </row>
    <row r="8" spans="1:17">
      <c r="A8">
        <v>3.1</v>
      </c>
      <c r="B8">
        <v>0.68</v>
      </c>
      <c r="C8" s="21">
        <v>0.7</v>
      </c>
      <c r="D8">
        <v>3.1</v>
      </c>
      <c r="E8" s="22">
        <v>8.6999999999999993</v>
      </c>
      <c r="G8">
        <v>3.2</v>
      </c>
      <c r="H8" t="s">
        <v>12</v>
      </c>
      <c r="I8" s="20">
        <v>223.44</v>
      </c>
      <c r="J8" s="4">
        <v>1.7500000000000002E-2</v>
      </c>
    </row>
    <row r="9" spans="1:17">
      <c r="A9">
        <v>3.2</v>
      </c>
      <c r="B9">
        <v>0.45</v>
      </c>
      <c r="C9" s="21">
        <v>0.85</v>
      </c>
      <c r="D9">
        <v>3.2</v>
      </c>
      <c r="E9" s="22">
        <v>5.9</v>
      </c>
      <c r="G9">
        <v>3.3</v>
      </c>
      <c r="H9" t="s">
        <v>13</v>
      </c>
      <c r="I9" s="20">
        <v>138.32</v>
      </c>
      <c r="J9" s="4">
        <v>0.03</v>
      </c>
    </row>
    <row r="10" spans="1:17">
      <c r="A10">
        <v>3.3</v>
      </c>
      <c r="B10">
        <v>1.58</v>
      </c>
      <c r="C10" s="21">
        <v>0.65</v>
      </c>
      <c r="D10">
        <v>3.3</v>
      </c>
      <c r="E10" s="22">
        <v>11.8</v>
      </c>
      <c r="G10">
        <v>3.1</v>
      </c>
      <c r="H10" t="s">
        <v>14</v>
      </c>
      <c r="I10" s="20">
        <v>165.98400000000001</v>
      </c>
      <c r="J10" s="4">
        <v>1.04E-2</v>
      </c>
    </row>
    <row r="11" spans="1:17">
      <c r="A11">
        <v>4.0999999999999996</v>
      </c>
      <c r="B11">
        <v>2.0099999999999998</v>
      </c>
      <c r="C11" s="21">
        <v>0.75</v>
      </c>
      <c r="D11">
        <v>4.0999999999999996</v>
      </c>
      <c r="E11" s="22">
        <v>9.5</v>
      </c>
      <c r="G11">
        <v>4.2</v>
      </c>
      <c r="H11" t="s">
        <v>15</v>
      </c>
      <c r="I11" s="20">
        <v>212.8</v>
      </c>
      <c r="J11" s="4">
        <v>2.5999999999999999E-3</v>
      </c>
    </row>
    <row r="12" spans="1:17">
      <c r="A12">
        <v>4.2</v>
      </c>
      <c r="B12">
        <v>0.66</v>
      </c>
      <c r="C12" s="21">
        <v>0.85</v>
      </c>
      <c r="D12">
        <v>4.2</v>
      </c>
      <c r="E12" s="22">
        <v>6.2</v>
      </c>
      <c r="G12">
        <v>4.0999999999999996</v>
      </c>
      <c r="H12" t="s">
        <v>16</v>
      </c>
      <c r="I12" s="20">
        <v>192.584</v>
      </c>
      <c r="J12" s="4">
        <v>4.1000000000000003E-3</v>
      </c>
    </row>
    <row r="13" spans="1:17">
      <c r="A13">
        <v>5.0999999999999996</v>
      </c>
      <c r="B13">
        <v>1.17</v>
      </c>
      <c r="C13" s="21">
        <v>0.7</v>
      </c>
      <c r="D13">
        <v>5.0999999999999996</v>
      </c>
      <c r="E13" s="22">
        <v>10.3</v>
      </c>
      <c r="G13">
        <v>5.2</v>
      </c>
      <c r="H13" t="s">
        <v>17</v>
      </c>
      <c r="I13" s="20">
        <v>74.48</v>
      </c>
      <c r="J13" s="4">
        <v>2.5000000000000001E-2</v>
      </c>
    </row>
    <row r="14" spans="1:17">
      <c r="A14">
        <v>5.2</v>
      </c>
      <c r="B14">
        <v>0.66</v>
      </c>
      <c r="C14" s="21">
        <v>0.65</v>
      </c>
      <c r="D14">
        <v>5.2</v>
      </c>
      <c r="E14" s="22">
        <v>11.8</v>
      </c>
      <c r="G14">
        <v>5.3</v>
      </c>
      <c r="H14" t="s">
        <v>18</v>
      </c>
      <c r="I14" s="20">
        <v>138.32</v>
      </c>
      <c r="J14" s="4">
        <v>6.0000000000000001E-3</v>
      </c>
    </row>
    <row r="15" spans="1:17">
      <c r="A15">
        <v>5.3</v>
      </c>
      <c r="B15">
        <v>1.75</v>
      </c>
      <c r="C15" s="21">
        <v>0.55000000000000004</v>
      </c>
      <c r="D15">
        <v>5.3</v>
      </c>
      <c r="E15" s="22">
        <v>17.600000000000001</v>
      </c>
      <c r="G15">
        <v>5.0999999999999996</v>
      </c>
      <c r="H15" t="s">
        <v>19</v>
      </c>
      <c r="I15" s="20">
        <v>244.72000000000003</v>
      </c>
      <c r="J15" s="4">
        <v>2.8E-3</v>
      </c>
    </row>
    <row r="16" spans="1:17">
      <c r="A16">
        <v>6.1</v>
      </c>
      <c r="B16">
        <v>0.54</v>
      </c>
      <c r="C16" s="21">
        <v>0.75</v>
      </c>
      <c r="D16">
        <v>6.1</v>
      </c>
      <c r="E16" s="22">
        <v>7.3</v>
      </c>
      <c r="G16">
        <v>6.1</v>
      </c>
      <c r="H16" t="s">
        <v>20</v>
      </c>
      <c r="I16" s="20">
        <v>148.96</v>
      </c>
      <c r="J16" s="4">
        <v>3.0000000000000001E-3</v>
      </c>
    </row>
    <row r="17" spans="1:19">
      <c r="A17">
        <v>7.1</v>
      </c>
      <c r="B17">
        <v>2.17</v>
      </c>
      <c r="C17" s="21">
        <v>0.7</v>
      </c>
      <c r="D17">
        <v>7.1</v>
      </c>
      <c r="E17" s="22">
        <v>14.5</v>
      </c>
      <c r="G17">
        <v>7.1</v>
      </c>
      <c r="H17" t="s">
        <v>21</v>
      </c>
      <c r="I17" s="20">
        <v>266</v>
      </c>
      <c r="J17" s="4">
        <v>3.0000000000000001E-3</v>
      </c>
    </row>
    <row r="18" spans="1:19">
      <c r="A18" t="s">
        <v>42</v>
      </c>
      <c r="B18">
        <f>SUM(B4:B17)</f>
        <v>19.61</v>
      </c>
    </row>
    <row r="19" spans="1:19">
      <c r="A19" t="s">
        <v>39</v>
      </c>
    </row>
    <row r="20" spans="1:19" ht="52" thickBot="1">
      <c r="A20" t="s">
        <v>25</v>
      </c>
      <c r="E20" t="s">
        <v>37</v>
      </c>
      <c r="G20" t="s">
        <v>38</v>
      </c>
      <c r="H20" s="2" t="s">
        <v>26</v>
      </c>
      <c r="I20" s="2" t="s">
        <v>27</v>
      </c>
      <c r="J20" s="2" t="s">
        <v>28</v>
      </c>
      <c r="K20" s="2" t="s">
        <v>5</v>
      </c>
      <c r="L20" s="2" t="s">
        <v>29</v>
      </c>
      <c r="M20" s="2" t="s">
        <v>30</v>
      </c>
      <c r="N20" s="2" t="s">
        <v>31</v>
      </c>
      <c r="O20" s="2" t="s">
        <v>32</v>
      </c>
      <c r="P20" s="2" t="s">
        <v>33</v>
      </c>
      <c r="Q20" s="2" t="s">
        <v>34</v>
      </c>
      <c r="R20" s="2" t="s">
        <v>36</v>
      </c>
      <c r="S20" s="2" t="s">
        <v>35</v>
      </c>
    </row>
    <row r="21" spans="1:19">
      <c r="A21" s="5">
        <v>1.1000000000000001</v>
      </c>
      <c r="B21" s="6" t="s">
        <v>8</v>
      </c>
      <c r="C21" s="6">
        <v>415</v>
      </c>
      <c r="D21" s="7">
        <v>0.02</v>
      </c>
      <c r="E21" s="6">
        <v>1.1000000000000001</v>
      </c>
      <c r="F21" s="6">
        <v>2.2599999999999998</v>
      </c>
      <c r="G21" s="6">
        <v>0.65</v>
      </c>
      <c r="H21" s="6">
        <f t="shared" ref="H21:H23" si="0">F21</f>
        <v>2.2599999999999998</v>
      </c>
      <c r="I21" s="6">
        <f>G21*H21</f>
        <v>1.4689999999999999</v>
      </c>
      <c r="J21" s="6">
        <f>I21</f>
        <v>1.4689999999999999</v>
      </c>
      <c r="K21" s="6">
        <v>11</v>
      </c>
      <c r="L21" s="6">
        <v>0</v>
      </c>
      <c r="M21" s="6">
        <v>11</v>
      </c>
      <c r="N21" s="23">
        <f>$Q$5/(M21+$Q$6)^$Q$4</f>
        <v>4.3280919548129777</v>
      </c>
      <c r="O21" s="8">
        <f>N21*J21</f>
        <v>6.3579670816202638</v>
      </c>
      <c r="P21" s="6">
        <f>1.33*((O21*0.014)/SQRT(D21))^(3/8)</f>
        <v>1.1180233741377483</v>
      </c>
      <c r="Q21" s="6">
        <v>1.25</v>
      </c>
      <c r="R21" s="6">
        <f>4*O21/(PI()*Q21^2)</f>
        <v>5.1809376719637346</v>
      </c>
      <c r="S21" s="9">
        <f>(C21/R21)*(1/60)</f>
        <v>1.3350221725491318</v>
      </c>
    </row>
    <row r="22" spans="1:19">
      <c r="A22" s="10">
        <v>1.2</v>
      </c>
      <c r="B22" s="11" t="s">
        <v>9</v>
      </c>
      <c r="C22" s="24">
        <v>194.71200000000002</v>
      </c>
      <c r="D22" s="12">
        <v>4.1000000000000003E-3</v>
      </c>
      <c r="E22" s="11">
        <v>1.2</v>
      </c>
      <c r="F22" s="11">
        <v>1.26</v>
      </c>
      <c r="G22" s="11">
        <v>0.8</v>
      </c>
      <c r="H22" s="11">
        <f t="shared" si="0"/>
        <v>1.26</v>
      </c>
      <c r="I22" s="11">
        <f t="shared" ref="I22:I23" si="1">G22*H22</f>
        <v>1.008</v>
      </c>
      <c r="J22" s="11">
        <f>I22</f>
        <v>1.008</v>
      </c>
      <c r="K22" s="11">
        <v>9.1999999999999993</v>
      </c>
      <c r="L22" s="11">
        <v>0</v>
      </c>
      <c r="M22" s="11">
        <v>9.1999999999999993</v>
      </c>
      <c r="N22" s="25">
        <f>$Q$5/(M22+$Q$6)^$Q$4</f>
        <v>4.6827282528623835</v>
      </c>
      <c r="O22" s="13">
        <f>N22*J22</f>
        <v>4.7201900788852829</v>
      </c>
      <c r="P22" s="11">
        <f>1.33*((O22*0.014)/SQRT(D22))^(3/8)</f>
        <v>1.3458215838965495</v>
      </c>
      <c r="Q22" s="11">
        <v>1.5</v>
      </c>
      <c r="R22" s="11">
        <f>4*O22/(PI()*Q22^2)</f>
        <v>2.6710811853792573</v>
      </c>
      <c r="S22" s="14">
        <f>(C22/R22)*(1/60)</f>
        <v>1.2149387363301822</v>
      </c>
    </row>
    <row r="23" spans="1:19">
      <c r="A23" s="15">
        <v>2.1</v>
      </c>
      <c r="B23" s="11" t="s">
        <v>10</v>
      </c>
      <c r="C23" s="24">
        <v>188.328</v>
      </c>
      <c r="D23" s="12">
        <v>2.4500000000000001E-2</v>
      </c>
      <c r="E23" s="11">
        <v>2.1</v>
      </c>
      <c r="F23" s="11">
        <v>3.89</v>
      </c>
      <c r="G23" s="11">
        <v>0.7</v>
      </c>
      <c r="H23" s="11">
        <f t="shared" si="0"/>
        <v>3.89</v>
      </c>
      <c r="I23" s="11">
        <f t="shared" si="1"/>
        <v>2.7229999999999999</v>
      </c>
      <c r="J23" s="11">
        <f>I23</f>
        <v>2.7229999999999999</v>
      </c>
      <c r="K23" s="11">
        <v>13.7</v>
      </c>
      <c r="L23" s="11">
        <v>0</v>
      </c>
      <c r="M23" s="11">
        <f>MAX(K21:K23)</f>
        <v>13.7</v>
      </c>
      <c r="N23" s="11"/>
      <c r="O23" s="11"/>
      <c r="P23" s="11"/>
      <c r="Q23" s="11"/>
      <c r="R23" s="11"/>
      <c r="S23" s="14"/>
    </row>
    <row r="24" spans="1:19">
      <c r="A24" s="15"/>
      <c r="B24" s="11"/>
      <c r="C24" s="11"/>
      <c r="D24" s="11"/>
      <c r="E24" s="11">
        <v>1.1000000000000001</v>
      </c>
      <c r="F24" s="11"/>
      <c r="G24" s="11"/>
      <c r="H24" s="11"/>
      <c r="I24" s="11"/>
      <c r="J24" s="11"/>
      <c r="K24" s="11">
        <v>11</v>
      </c>
      <c r="L24" s="11">
        <f>S21</f>
        <v>1.3350221725491318</v>
      </c>
      <c r="M24" s="11">
        <f>L24+K24</f>
        <v>12.335022172549131</v>
      </c>
      <c r="N24" s="11"/>
      <c r="O24" s="11"/>
      <c r="P24" s="11"/>
      <c r="Q24" s="11"/>
      <c r="R24" s="11"/>
      <c r="S24" s="14"/>
    </row>
    <row r="25" spans="1:19">
      <c r="A25" s="15"/>
      <c r="B25" s="11"/>
      <c r="C25" s="11"/>
      <c r="D25" s="11"/>
      <c r="E25" s="11">
        <v>1.2</v>
      </c>
      <c r="F25" s="11"/>
      <c r="G25" s="11"/>
      <c r="H25" s="11"/>
      <c r="I25" s="11"/>
      <c r="J25" s="11"/>
      <c r="K25" s="11">
        <v>9.1999999999999993</v>
      </c>
      <c r="L25" s="11">
        <f>S22</f>
        <v>1.2149387363301822</v>
      </c>
      <c r="M25" s="11">
        <f>L25+K25</f>
        <v>10.414938736330182</v>
      </c>
      <c r="N25" s="11"/>
      <c r="O25" s="11"/>
      <c r="P25" s="11"/>
      <c r="Q25" s="11"/>
      <c r="R25" s="11"/>
      <c r="S25" s="14"/>
    </row>
    <row r="26" spans="1:19" ht="17" thickBot="1">
      <c r="A26" s="16">
        <v>2.1</v>
      </c>
      <c r="B26" s="17" t="s">
        <v>10</v>
      </c>
      <c r="C26" s="17"/>
      <c r="D26" s="17"/>
      <c r="E26" s="17"/>
      <c r="F26" s="17">
        <f>SUM(F21:F23)</f>
        <v>7.41</v>
      </c>
      <c r="G26" s="17"/>
      <c r="H26" s="17"/>
      <c r="I26" s="17"/>
      <c r="J26" s="17">
        <f>SUM(J21:J23)</f>
        <v>5.1999999999999993</v>
      </c>
      <c r="K26" s="17"/>
      <c r="L26" s="17"/>
      <c r="M26" s="17">
        <f>MAX(M23:M25)</f>
        <v>13.7</v>
      </c>
      <c r="N26" s="26">
        <f>$Q$5/(M26+$Q$6)^$Q$4</f>
        <v>3.8933085560686012</v>
      </c>
      <c r="O26" s="18">
        <f>N26*J26</f>
        <v>20.245204491556724</v>
      </c>
      <c r="P26" s="17">
        <f>1.33*((O26*0.014)/SQRT(D23))^(3/8)</f>
        <v>1.661696964272638</v>
      </c>
      <c r="Q26" s="17">
        <v>1.75</v>
      </c>
      <c r="R26" s="17">
        <f>4*O26/(PI()*Q26^2)</f>
        <v>8.4169779428244755</v>
      </c>
      <c r="S26" s="19">
        <f>(C23/R26)*(1/60)</f>
        <v>0.37291294111989992</v>
      </c>
    </row>
    <row r="27" spans="1:19" ht="17" thickBot="1"/>
    <row r="28" spans="1:19">
      <c r="A28" s="5">
        <v>2.2000000000000002</v>
      </c>
      <c r="B28" s="6" t="s">
        <v>11</v>
      </c>
      <c r="C28" s="33">
        <v>212.8</v>
      </c>
      <c r="D28" s="7">
        <v>1.7999999999999999E-2</v>
      </c>
      <c r="E28" s="6">
        <v>2.2000000000000002</v>
      </c>
      <c r="F28" s="6">
        <v>0.53</v>
      </c>
      <c r="G28" s="6">
        <v>0.8</v>
      </c>
      <c r="H28" s="6">
        <f>F28</f>
        <v>0.53</v>
      </c>
      <c r="I28" s="6">
        <f>G28*H28</f>
        <v>0.42400000000000004</v>
      </c>
      <c r="J28" s="6">
        <f>I28</f>
        <v>0.42400000000000004</v>
      </c>
      <c r="K28" s="6">
        <v>5.2</v>
      </c>
      <c r="L28" s="6">
        <v>0</v>
      </c>
      <c r="M28" s="6">
        <v>5.2</v>
      </c>
      <c r="N28" s="23">
        <f>$Q$5/(M28+$Q$6)^$Q$4</f>
        <v>5.7585608822845895</v>
      </c>
      <c r="O28" s="8">
        <f>N28*J28</f>
        <v>2.4416298140886661</v>
      </c>
      <c r="P28" s="6">
        <f>1.33*((O28*0.014)/SQRT(D28))^(3/8)</f>
        <v>0.79646370902106212</v>
      </c>
      <c r="Q28" s="6">
        <f>10/12</f>
        <v>0.83333333333333337</v>
      </c>
      <c r="R28" s="6">
        <f>4*O28/(PI()*Q28^2)</f>
        <v>4.476642671378956</v>
      </c>
      <c r="S28" s="9">
        <f>(C28/R28)*(1/60)</f>
        <v>0.79226038954191869</v>
      </c>
    </row>
    <row r="29" spans="1:19">
      <c r="A29" s="15">
        <v>3.1</v>
      </c>
      <c r="B29" s="11" t="s">
        <v>14</v>
      </c>
      <c r="C29" s="24">
        <v>165.98400000000001</v>
      </c>
      <c r="D29" s="12">
        <v>1.04E-2</v>
      </c>
      <c r="E29" s="11">
        <v>3.1</v>
      </c>
      <c r="F29" s="11">
        <v>0.68</v>
      </c>
      <c r="G29" s="11">
        <v>0.7</v>
      </c>
      <c r="H29" s="11">
        <f>F29</f>
        <v>0.68</v>
      </c>
      <c r="I29" s="11">
        <f>G29*H29</f>
        <v>0.47599999999999998</v>
      </c>
      <c r="J29" s="11">
        <f>I29</f>
        <v>0.47599999999999998</v>
      </c>
      <c r="K29" s="11">
        <v>8.6999999999999993</v>
      </c>
      <c r="L29" s="11">
        <v>0</v>
      </c>
      <c r="M29" s="11">
        <v>8.6999999999999993</v>
      </c>
      <c r="N29" s="11"/>
      <c r="O29" s="11"/>
      <c r="P29" s="11"/>
      <c r="Q29" s="11"/>
      <c r="R29" s="11"/>
      <c r="S29" s="14"/>
    </row>
    <row r="30" spans="1:19">
      <c r="A30" s="15"/>
      <c r="B30" s="11"/>
      <c r="C30" s="11"/>
      <c r="D30" s="11"/>
      <c r="E30" s="11">
        <v>2.2000000000000002</v>
      </c>
      <c r="F30" s="11"/>
      <c r="G30" s="11"/>
      <c r="H30" s="11"/>
      <c r="I30" s="11"/>
      <c r="J30" s="11">
        <f>J28</f>
        <v>0.42400000000000004</v>
      </c>
      <c r="K30" s="11">
        <v>5.2</v>
      </c>
      <c r="L30" s="11">
        <f>S28</f>
        <v>0.79226038954191869</v>
      </c>
      <c r="M30" s="11">
        <f>K30+L30</f>
        <v>5.9922603895419186</v>
      </c>
      <c r="N30" s="11"/>
      <c r="O30" s="11"/>
      <c r="P30" s="11"/>
      <c r="Q30" s="11"/>
      <c r="R30" s="11"/>
      <c r="S30" s="14"/>
    </row>
    <row r="31" spans="1:19">
      <c r="A31" s="15"/>
      <c r="B31" s="11"/>
      <c r="C31" s="11"/>
      <c r="D31" s="11"/>
      <c r="E31" s="11">
        <v>2.1</v>
      </c>
      <c r="F31" s="11"/>
      <c r="G31" s="11"/>
      <c r="H31" s="11"/>
      <c r="I31" s="11"/>
      <c r="J31" s="11">
        <f>J26</f>
        <v>5.1999999999999993</v>
      </c>
      <c r="K31" s="11">
        <f>M26</f>
        <v>13.7</v>
      </c>
      <c r="L31" s="11">
        <f>S26</f>
        <v>0.37291294111989992</v>
      </c>
      <c r="M31" s="11">
        <f>K31+L31</f>
        <v>14.072912941119899</v>
      </c>
      <c r="N31" s="11"/>
      <c r="O31" s="11"/>
      <c r="P31" s="11"/>
      <c r="Q31" s="11"/>
      <c r="R31" s="11"/>
      <c r="S31" s="14"/>
    </row>
    <row r="32" spans="1:19" ht="17" thickBot="1">
      <c r="A32" s="16">
        <v>3.1</v>
      </c>
      <c r="B32" s="17" t="s">
        <v>14</v>
      </c>
      <c r="C32" s="17"/>
      <c r="D32" s="17"/>
      <c r="E32" s="17"/>
      <c r="F32" s="17">
        <f>SUM(F28:F29)+F26</f>
        <v>8.620000000000001</v>
      </c>
      <c r="G32" s="17"/>
      <c r="H32" s="17"/>
      <c r="I32" s="17"/>
      <c r="J32" s="17">
        <f>SUM(J29:J31)</f>
        <v>6.1</v>
      </c>
      <c r="K32" s="17"/>
      <c r="L32" s="17"/>
      <c r="M32" s="17">
        <f>MAX(M28:M31)</f>
        <v>14.072912941119899</v>
      </c>
      <c r="N32" s="26">
        <f>$Q$5/(M32+$Q$6)^$Q$4</f>
        <v>3.8405954099065425</v>
      </c>
      <c r="O32" s="18">
        <f>N32*J32</f>
        <v>23.427632000429909</v>
      </c>
      <c r="P32" s="17">
        <f>1.33*((O32*0.014)/SQRT(D29))^(3/8)</f>
        <v>2.0611236701563729</v>
      </c>
      <c r="Q32" s="17">
        <v>2</v>
      </c>
      <c r="R32" s="17">
        <f>4*O32/(PI()*Q32^2)</f>
        <v>7.4572468756125767</v>
      </c>
      <c r="S32" s="19">
        <f>(C29/R32)*(1/60)</f>
        <v>0.37096800550441128</v>
      </c>
    </row>
    <row r="33" spans="1:19" ht="17" thickBot="1"/>
    <row r="34" spans="1:19">
      <c r="A34" s="27">
        <v>3.2</v>
      </c>
      <c r="B34" s="6" t="s">
        <v>12</v>
      </c>
      <c r="C34" s="33">
        <v>223.44</v>
      </c>
      <c r="D34" s="7">
        <v>1.7500000000000002E-2</v>
      </c>
      <c r="E34" s="6">
        <v>3.2</v>
      </c>
      <c r="F34" s="6">
        <v>0.45</v>
      </c>
      <c r="G34" s="6">
        <v>0.85</v>
      </c>
      <c r="H34" s="6">
        <f>F34</f>
        <v>0.45</v>
      </c>
      <c r="I34" s="6">
        <f>G34*H34</f>
        <v>0.38250000000000001</v>
      </c>
      <c r="J34" s="6">
        <f>I34</f>
        <v>0.38250000000000001</v>
      </c>
      <c r="K34" s="6">
        <v>5.9</v>
      </c>
      <c r="L34" s="6">
        <v>0</v>
      </c>
      <c r="M34" s="6">
        <v>5.9</v>
      </c>
      <c r="N34" s="23">
        <f>$Q$5/(M34+$Q$6)^$Q$4</f>
        <v>5.5325250760031448</v>
      </c>
      <c r="O34" s="28">
        <f>N34*J34</f>
        <v>2.116190841571203</v>
      </c>
      <c r="P34" s="6">
        <f>1.33*((O34*0.014)/SQRT(D34))^(3/8)</f>
        <v>0.75886248153268232</v>
      </c>
      <c r="Q34" s="6">
        <f>10/12</f>
        <v>0.83333333333333337</v>
      </c>
      <c r="R34" s="6">
        <f>4*O34/(PI()*Q34^2)</f>
        <v>3.8799617237205681</v>
      </c>
      <c r="S34" s="9">
        <f>(C34/R34)*(1/60)</f>
        <v>0.95980328291202488</v>
      </c>
    </row>
    <row r="35" spans="1:19">
      <c r="A35" s="29">
        <v>3.3</v>
      </c>
      <c r="B35" s="11" t="s">
        <v>13</v>
      </c>
      <c r="C35" s="24">
        <v>138.32</v>
      </c>
      <c r="D35" s="12">
        <v>0.03</v>
      </c>
      <c r="E35" s="11">
        <v>3.3</v>
      </c>
      <c r="F35" s="11">
        <v>1.58</v>
      </c>
      <c r="G35" s="11">
        <v>0.65</v>
      </c>
      <c r="H35" s="11">
        <f>F35</f>
        <v>1.58</v>
      </c>
      <c r="I35" s="11">
        <f>G35*H35</f>
        <v>1.0270000000000001</v>
      </c>
      <c r="J35" s="11">
        <f>I35</f>
        <v>1.0270000000000001</v>
      </c>
      <c r="K35" s="11">
        <v>11.8</v>
      </c>
      <c r="L35" s="11">
        <v>0</v>
      </c>
      <c r="M35" s="11">
        <v>11.8</v>
      </c>
      <c r="N35" s="25">
        <f>$Q$5/(M35+$Q$6)^$Q$4</f>
        <v>4.1885385741033403</v>
      </c>
      <c r="O35" s="30">
        <f>N35*J35</f>
        <v>4.3016291156041309</v>
      </c>
      <c r="P35" s="11">
        <f>1.33*((O35*0.014)/SQRT(D35))^(3/8)</f>
        <v>0.89495619826544992</v>
      </c>
      <c r="Q35" s="11">
        <v>1</v>
      </c>
      <c r="R35" s="11">
        <f>4*O35/(PI()*Q35^2)</f>
        <v>5.4770042967713239</v>
      </c>
      <c r="S35" s="14">
        <f>(C35/R35)*(1/60)</f>
        <v>0.42091136110525235</v>
      </c>
    </row>
    <row r="36" spans="1:19">
      <c r="A36" s="15">
        <v>4.0999999999999996</v>
      </c>
      <c r="B36" s="11" t="s">
        <v>16</v>
      </c>
      <c r="C36" s="24">
        <v>192.584</v>
      </c>
      <c r="D36" s="12">
        <v>4.1000000000000003E-3</v>
      </c>
      <c r="E36" s="11">
        <v>4.0999999999999996</v>
      </c>
      <c r="F36" s="11">
        <v>2.0099999999999998</v>
      </c>
      <c r="G36" s="11">
        <v>0.75</v>
      </c>
      <c r="H36" s="11">
        <f>F36</f>
        <v>2.0099999999999998</v>
      </c>
      <c r="I36" s="11">
        <f>G36*H36</f>
        <v>1.5074999999999998</v>
      </c>
      <c r="J36" s="11">
        <f>I36</f>
        <v>1.5074999999999998</v>
      </c>
      <c r="K36" s="11">
        <v>9.5</v>
      </c>
      <c r="L36" s="11">
        <v>0</v>
      </c>
      <c r="M36" s="11">
        <v>9.5</v>
      </c>
      <c r="N36" s="11"/>
      <c r="O36" s="11"/>
      <c r="P36" s="11"/>
      <c r="Q36" s="11"/>
      <c r="R36" s="11"/>
      <c r="S36" s="14"/>
    </row>
    <row r="37" spans="1:19">
      <c r="A37" s="15"/>
      <c r="B37" s="11"/>
      <c r="C37" s="11"/>
      <c r="D37" s="11"/>
      <c r="E37" s="11">
        <v>3.2</v>
      </c>
      <c r="F37" s="11"/>
      <c r="G37" s="11"/>
      <c r="H37" s="11"/>
      <c r="I37" s="11"/>
      <c r="J37" s="11">
        <f>J34</f>
        <v>0.38250000000000001</v>
      </c>
      <c r="K37" s="11">
        <f>K34</f>
        <v>5.9</v>
      </c>
      <c r="L37" s="11">
        <f>S34</f>
        <v>0.95980328291202488</v>
      </c>
      <c r="M37" s="11">
        <f>K37+L37</f>
        <v>6.8598032829120257</v>
      </c>
      <c r="N37" s="11"/>
      <c r="O37" s="11"/>
      <c r="P37" s="11"/>
      <c r="Q37" s="11"/>
      <c r="R37" s="11"/>
      <c r="S37" s="14"/>
    </row>
    <row r="38" spans="1:19">
      <c r="A38" s="15"/>
      <c r="B38" s="11"/>
      <c r="C38" s="11"/>
      <c r="D38" s="11"/>
      <c r="E38" s="11">
        <v>3.3</v>
      </c>
      <c r="F38" s="11"/>
      <c r="G38" s="11"/>
      <c r="H38" s="11"/>
      <c r="I38" s="11"/>
      <c r="J38" s="11">
        <f>J35</f>
        <v>1.0270000000000001</v>
      </c>
      <c r="K38" s="11">
        <f>K35</f>
        <v>11.8</v>
      </c>
      <c r="L38" s="11">
        <f>S35</f>
        <v>0.42091136110525235</v>
      </c>
      <c r="M38" s="11">
        <f t="shared" ref="M38:M39" si="2">K38+L38</f>
        <v>12.220911361105253</v>
      </c>
      <c r="N38" s="11"/>
      <c r="O38" s="11"/>
      <c r="P38" s="11"/>
      <c r="Q38" s="11"/>
      <c r="R38" s="11"/>
      <c r="S38" s="14"/>
    </row>
    <row r="39" spans="1:19">
      <c r="A39" s="15"/>
      <c r="B39" s="11"/>
      <c r="C39" s="11"/>
      <c r="D39" s="11"/>
      <c r="E39" s="11">
        <v>3.1</v>
      </c>
      <c r="F39" s="11"/>
      <c r="G39" s="11"/>
      <c r="H39" s="11"/>
      <c r="I39" s="11"/>
      <c r="J39" s="11">
        <f>J32</f>
        <v>6.1</v>
      </c>
      <c r="K39" s="11">
        <f>M32</f>
        <v>14.072912941119899</v>
      </c>
      <c r="L39" s="11">
        <f>S32</f>
        <v>0.37096800550441128</v>
      </c>
      <c r="M39" s="11">
        <f t="shared" si="2"/>
        <v>14.44388094662431</v>
      </c>
      <c r="N39" s="11"/>
      <c r="O39" s="11"/>
      <c r="P39" s="11"/>
      <c r="Q39" s="11"/>
      <c r="R39" s="11"/>
      <c r="S39" s="14"/>
    </row>
    <row r="40" spans="1:19" ht="17" thickBot="1">
      <c r="A40" s="32">
        <v>4.0999999999999996</v>
      </c>
      <c r="B40" s="17" t="s">
        <v>16</v>
      </c>
      <c r="C40" s="17"/>
      <c r="D40" s="17"/>
      <c r="E40" s="17"/>
      <c r="F40" s="17">
        <f>SUM(F34:F36)+F32</f>
        <v>12.66</v>
      </c>
      <c r="G40" s="17"/>
      <c r="H40" s="17"/>
      <c r="I40" s="17"/>
      <c r="J40" s="17">
        <f>SUM(J36:J39)</f>
        <v>9.0169999999999995</v>
      </c>
      <c r="K40" s="17"/>
      <c r="L40" s="17"/>
      <c r="M40" s="17">
        <f>MAX(M36:M39)</f>
        <v>14.44388094662431</v>
      </c>
      <c r="N40" s="26">
        <f>$Q$5/(M40+$Q$6)^$Q$4</f>
        <v>3.7896796133773041</v>
      </c>
      <c r="O40" s="31">
        <f>N40*J40</f>
        <v>34.17154107382315</v>
      </c>
      <c r="P40" s="17">
        <f>1.33*((O40*0.014)/SQRT(D36))^(3/8)</f>
        <v>2.8273325503500768</v>
      </c>
      <c r="Q40" s="17">
        <v>3</v>
      </c>
      <c r="R40" s="17">
        <f>4*O40/(PI()*Q40^2)</f>
        <v>4.8342841555259444</v>
      </c>
      <c r="S40" s="19">
        <f>(C36/R40)*(1/60)</f>
        <v>0.66395214473778308</v>
      </c>
    </row>
    <row r="41" spans="1:19" ht="17" thickBot="1"/>
    <row r="42" spans="1:19">
      <c r="A42" s="27">
        <v>4.2</v>
      </c>
      <c r="B42" s="6" t="s">
        <v>15</v>
      </c>
      <c r="C42" s="33">
        <v>212.8</v>
      </c>
      <c r="D42" s="7">
        <v>2.5999999999999999E-3</v>
      </c>
      <c r="E42" s="6">
        <v>4.2</v>
      </c>
      <c r="F42" s="6">
        <v>0.66</v>
      </c>
      <c r="G42" s="6">
        <v>0.85</v>
      </c>
      <c r="H42" s="6">
        <f>F42</f>
        <v>0.66</v>
      </c>
      <c r="I42" s="6">
        <f>G42*H42</f>
        <v>0.56100000000000005</v>
      </c>
      <c r="J42" s="6">
        <f>I42</f>
        <v>0.56100000000000005</v>
      </c>
      <c r="K42" s="6">
        <v>6.2</v>
      </c>
      <c r="L42" s="6">
        <v>0</v>
      </c>
      <c r="M42" s="6">
        <v>6.2</v>
      </c>
      <c r="N42" s="23">
        <f>$Q$5/(M42+$Q$6)^$Q$4</f>
        <v>5.4414612105744231</v>
      </c>
      <c r="O42" s="28">
        <f>N42*J42</f>
        <v>3.0526597391322516</v>
      </c>
      <c r="P42" s="6">
        <f>1.33*((O42*0.014)/SQRT(D42))^(3/8)</f>
        <v>1.2447913197040084</v>
      </c>
      <c r="Q42" s="6">
        <v>1.25</v>
      </c>
      <c r="R42" s="6">
        <f>4*O42/(PI()*Q42^2)</f>
        <v>2.4875309417498292</v>
      </c>
      <c r="S42" s="9">
        <f>(C42/R42)*(1/60)</f>
        <v>1.4257779097902592</v>
      </c>
    </row>
    <row r="43" spans="1:19">
      <c r="A43" s="15">
        <v>5.0999999999999996</v>
      </c>
      <c r="B43" s="11" t="s">
        <v>19</v>
      </c>
      <c r="C43" s="24">
        <v>244.72000000000003</v>
      </c>
      <c r="D43" s="12">
        <v>2.8E-3</v>
      </c>
      <c r="E43" s="11">
        <v>5.0999999999999996</v>
      </c>
      <c r="F43" s="11">
        <v>1.17</v>
      </c>
      <c r="G43" s="11">
        <v>0.7</v>
      </c>
      <c r="H43" s="11">
        <f>F43</f>
        <v>1.17</v>
      </c>
      <c r="I43" s="11">
        <f>G43*H43</f>
        <v>0.81899999999999995</v>
      </c>
      <c r="J43" s="11">
        <f>I43</f>
        <v>0.81899999999999995</v>
      </c>
      <c r="K43" s="11">
        <v>10.3</v>
      </c>
      <c r="L43" s="11">
        <v>0</v>
      </c>
      <c r="M43" s="11">
        <f>K43+L43</f>
        <v>10.3</v>
      </c>
      <c r="N43" s="11"/>
      <c r="O43" s="11"/>
      <c r="P43" s="11"/>
      <c r="Q43" s="11"/>
      <c r="R43" s="11"/>
      <c r="S43" s="14"/>
    </row>
    <row r="44" spans="1:19">
      <c r="A44" s="15"/>
      <c r="B44" s="11"/>
      <c r="C44" s="11"/>
      <c r="D44" s="11"/>
      <c r="E44" s="11">
        <v>4.2</v>
      </c>
      <c r="F44" s="11"/>
      <c r="G44" s="11"/>
      <c r="H44" s="11"/>
      <c r="I44" s="11"/>
      <c r="J44" s="11">
        <f>J42</f>
        <v>0.56100000000000005</v>
      </c>
      <c r="K44" s="11">
        <f>K42</f>
        <v>6.2</v>
      </c>
      <c r="L44" s="11">
        <f>S42</f>
        <v>1.4257779097902592</v>
      </c>
      <c r="M44" s="11">
        <f t="shared" ref="M44:M45" si="3">K44+L44</f>
        <v>7.6257779097902594</v>
      </c>
      <c r="N44" s="11"/>
      <c r="O44" s="11"/>
      <c r="P44" s="11"/>
      <c r="Q44" s="11"/>
      <c r="R44" s="11"/>
      <c r="S44" s="14"/>
    </row>
    <row r="45" spans="1:19">
      <c r="A45" s="15"/>
      <c r="B45" s="11"/>
      <c r="C45" s="11"/>
      <c r="D45" s="11"/>
      <c r="E45" s="11">
        <v>4.0999999999999996</v>
      </c>
      <c r="F45" s="11"/>
      <c r="G45" s="11"/>
      <c r="H45" s="11"/>
      <c r="I45" s="11"/>
      <c r="J45" s="11">
        <f>J40</f>
        <v>9.0169999999999995</v>
      </c>
      <c r="K45" s="11">
        <f>M40</f>
        <v>14.44388094662431</v>
      </c>
      <c r="L45" s="11">
        <f>S40</f>
        <v>0.66395214473778308</v>
      </c>
      <c r="M45" s="11">
        <f t="shared" si="3"/>
        <v>15.107833091362092</v>
      </c>
      <c r="N45" s="11"/>
      <c r="O45" s="11"/>
      <c r="P45" s="11"/>
      <c r="Q45" s="11"/>
      <c r="R45" s="11"/>
      <c r="S45" s="14"/>
    </row>
    <row r="46" spans="1:19" ht="17" thickBot="1">
      <c r="A46" s="32">
        <v>5.0999999999999996</v>
      </c>
      <c r="B46" s="17" t="s">
        <v>19</v>
      </c>
      <c r="C46" s="17"/>
      <c r="D46" s="17"/>
      <c r="E46" s="17"/>
      <c r="F46" s="17">
        <f>SUM(F42:F43)+F40</f>
        <v>14.49</v>
      </c>
      <c r="G46" s="17"/>
      <c r="H46" s="17"/>
      <c r="I46" s="17"/>
      <c r="J46" s="17">
        <f>SUM(J43:J45)</f>
        <v>10.396999999999998</v>
      </c>
      <c r="K46" s="17"/>
      <c r="L46" s="17"/>
      <c r="M46" s="17">
        <f>MAX(M43:M45)</f>
        <v>15.107833091362092</v>
      </c>
      <c r="N46" s="26">
        <f>$Q$5/(M46+$Q$6)^$Q$4</f>
        <v>3.7021338746083186</v>
      </c>
      <c r="O46" s="31">
        <f>N46*J46</f>
        <v>38.491085894302685</v>
      </c>
      <c r="P46" s="17">
        <f>1.33*((O46*0.014)/SQRT(D43))^(3/8)</f>
        <v>3.1755399790822589</v>
      </c>
      <c r="Q46" s="17">
        <v>3.5</v>
      </c>
      <c r="R46" s="17">
        <f>4*O46/(PI()*Q46^2)</f>
        <v>4.0006834841162444</v>
      </c>
      <c r="S46" s="19">
        <f>(C43/R46)*(1/60)</f>
        <v>1.0194924649400625</v>
      </c>
    </row>
    <row r="47" spans="1:19" ht="17" thickBot="1"/>
    <row r="48" spans="1:19">
      <c r="A48" s="27">
        <v>5.2</v>
      </c>
      <c r="B48" s="6" t="s">
        <v>17</v>
      </c>
      <c r="C48" s="33">
        <v>74.48</v>
      </c>
      <c r="D48" s="7">
        <v>2.5000000000000001E-2</v>
      </c>
      <c r="E48" s="6">
        <v>5.2</v>
      </c>
      <c r="F48" s="6">
        <v>0.66</v>
      </c>
      <c r="G48" s="6">
        <v>0.65</v>
      </c>
      <c r="H48" s="6">
        <f t="shared" ref="H48:H49" si="4">F48</f>
        <v>0.66</v>
      </c>
      <c r="I48" s="6">
        <f>G48*H48</f>
        <v>0.42900000000000005</v>
      </c>
      <c r="J48" s="6">
        <f>I48</f>
        <v>0.42900000000000005</v>
      </c>
      <c r="K48" s="6">
        <v>11.8</v>
      </c>
      <c r="L48" s="6">
        <v>0</v>
      </c>
      <c r="M48" s="6">
        <v>11.8</v>
      </c>
      <c r="N48" s="23">
        <f>$Q$5/(M48+$Q$6)^$Q$4</f>
        <v>4.1885385741033403</v>
      </c>
      <c r="O48" s="28">
        <f>N48*J48</f>
        <v>1.7968830482903333</v>
      </c>
      <c r="P48" s="6">
        <f>1.33*((O48*0.014)/SQRT(D48))^(3/8)</f>
        <v>0.66754543766464769</v>
      </c>
      <c r="Q48" s="6">
        <f>8/12</f>
        <v>0.66666666666666663</v>
      </c>
      <c r="R48" s="6">
        <f>4*O48/(PI()*Q48^2)</f>
        <v>5.14769074728191</v>
      </c>
      <c r="S48" s="9">
        <f>(C48/R48)*(1/60)</f>
        <v>0.24114372721181507</v>
      </c>
    </row>
    <row r="49" spans="1:19">
      <c r="A49" s="29">
        <v>5.3</v>
      </c>
      <c r="B49" s="11" t="s">
        <v>18</v>
      </c>
      <c r="C49" s="24">
        <v>138.32</v>
      </c>
      <c r="D49" s="12">
        <v>6.0000000000000001E-3</v>
      </c>
      <c r="E49" s="11">
        <v>5.3</v>
      </c>
      <c r="F49" s="11">
        <v>1.75</v>
      </c>
      <c r="G49" s="11">
        <v>0.55000000000000004</v>
      </c>
      <c r="H49" s="11">
        <f t="shared" si="4"/>
        <v>1.75</v>
      </c>
      <c r="I49" s="11">
        <f>G49*H49</f>
        <v>0.96250000000000013</v>
      </c>
      <c r="J49" s="11">
        <f>I49</f>
        <v>0.96250000000000013</v>
      </c>
      <c r="K49" s="11">
        <v>17.600000000000001</v>
      </c>
      <c r="L49" s="11">
        <v>0</v>
      </c>
      <c r="M49" s="11">
        <v>17.600000000000001</v>
      </c>
      <c r="N49" s="25">
        <f>$Q$5/(M49+$Q$6)^$Q$4</f>
        <v>3.4093984116385716</v>
      </c>
      <c r="O49" s="30">
        <f>N49*J49</f>
        <v>3.2815459712021258</v>
      </c>
      <c r="P49" s="11">
        <f>1.33*((O49*0.014)/SQRT(D49))^(3/8)</f>
        <v>1.093391591332777</v>
      </c>
      <c r="Q49" s="11">
        <v>1.25</v>
      </c>
      <c r="R49" s="11">
        <f>4*O49/(PI()*Q49^2)</f>
        <v>2.6740442229765771</v>
      </c>
      <c r="S49" s="14">
        <f>(C49/R49)*(1/60)</f>
        <v>0.86211488707811335</v>
      </c>
    </row>
    <row r="50" spans="1:19">
      <c r="A50" s="15">
        <v>6.1</v>
      </c>
      <c r="B50" s="11" t="s">
        <v>20</v>
      </c>
      <c r="C50" s="24">
        <v>148.96</v>
      </c>
      <c r="D50" s="12">
        <v>3.0000000000000001E-3</v>
      </c>
      <c r="E50" s="11">
        <v>6.1</v>
      </c>
      <c r="F50" s="11">
        <v>0.54</v>
      </c>
      <c r="G50" s="11">
        <v>0.75</v>
      </c>
      <c r="H50" s="11">
        <f t="shared" ref="H50" si="5">F50</f>
        <v>0.54</v>
      </c>
      <c r="I50" s="11">
        <f>G50*H50</f>
        <v>0.40500000000000003</v>
      </c>
      <c r="J50" s="11">
        <f>I50</f>
        <v>0.40500000000000003</v>
      </c>
      <c r="K50" s="11">
        <v>7.3</v>
      </c>
      <c r="L50" s="11">
        <v>0</v>
      </c>
      <c r="M50" s="11">
        <f t="shared" ref="M50:M53" si="6">K50+L50</f>
        <v>7.3</v>
      </c>
      <c r="N50" s="11"/>
      <c r="O50" s="11"/>
      <c r="P50" s="11"/>
      <c r="Q50" s="11"/>
      <c r="R50" s="11"/>
      <c r="S50" s="14"/>
    </row>
    <row r="51" spans="1:19">
      <c r="A51" s="15"/>
      <c r="B51" s="11"/>
      <c r="C51" s="11"/>
      <c r="D51" s="11"/>
      <c r="E51" s="11">
        <v>5.2</v>
      </c>
      <c r="F51" s="11"/>
      <c r="G51" s="11"/>
      <c r="H51" s="11"/>
      <c r="I51" s="11"/>
      <c r="J51" s="11">
        <f>J48</f>
        <v>0.42900000000000005</v>
      </c>
      <c r="K51" s="11">
        <f>K48</f>
        <v>11.8</v>
      </c>
      <c r="L51" s="11">
        <f>S48</f>
        <v>0.24114372721181507</v>
      </c>
      <c r="M51" s="11">
        <f t="shared" si="6"/>
        <v>12.041143727211816</v>
      </c>
      <c r="N51" s="11"/>
      <c r="O51" s="11"/>
      <c r="P51" s="11"/>
      <c r="Q51" s="11"/>
      <c r="R51" s="11"/>
      <c r="S51" s="14"/>
    </row>
    <row r="52" spans="1:19">
      <c r="A52" s="15"/>
      <c r="B52" s="11"/>
      <c r="C52" s="11"/>
      <c r="D52" s="11"/>
      <c r="E52" s="11">
        <v>5.3</v>
      </c>
      <c r="F52" s="11"/>
      <c r="G52" s="11"/>
      <c r="H52" s="11"/>
      <c r="I52" s="11"/>
      <c r="J52" s="11">
        <f>J49</f>
        <v>0.96250000000000013</v>
      </c>
      <c r="K52" s="11">
        <f>K49</f>
        <v>17.600000000000001</v>
      </c>
      <c r="L52" s="11">
        <f>S49</f>
        <v>0.86211488707811335</v>
      </c>
      <c r="M52" s="11">
        <f t="shared" si="6"/>
        <v>18.462114887078116</v>
      </c>
      <c r="N52" s="11"/>
      <c r="O52" s="11"/>
      <c r="P52" s="11"/>
      <c r="Q52" s="11"/>
      <c r="R52" s="11"/>
      <c r="S52" s="14"/>
    </row>
    <row r="53" spans="1:19">
      <c r="A53" s="15"/>
      <c r="B53" s="11"/>
      <c r="C53" s="11"/>
      <c r="D53" s="11"/>
      <c r="E53" s="11">
        <v>5.0999999999999996</v>
      </c>
      <c r="F53" s="11"/>
      <c r="G53" s="11"/>
      <c r="H53" s="11"/>
      <c r="I53" s="11"/>
      <c r="J53" s="11">
        <f>J46</f>
        <v>10.396999999999998</v>
      </c>
      <c r="K53" s="11">
        <f>M46</f>
        <v>15.107833091362092</v>
      </c>
      <c r="L53" s="11">
        <f>S46</f>
        <v>1.0194924649400625</v>
      </c>
      <c r="M53" s="11">
        <f t="shared" si="6"/>
        <v>16.127325556302154</v>
      </c>
      <c r="N53" s="11"/>
      <c r="O53" s="11"/>
      <c r="P53" s="11"/>
      <c r="Q53" s="11"/>
      <c r="R53" s="11"/>
      <c r="S53" s="14"/>
    </row>
    <row r="54" spans="1:19" ht="17" thickBot="1">
      <c r="A54" s="32">
        <v>6.1</v>
      </c>
      <c r="B54" s="17" t="s">
        <v>20</v>
      </c>
      <c r="C54" s="17"/>
      <c r="D54" s="17"/>
      <c r="E54" s="17"/>
      <c r="F54" s="17">
        <f>SUM(F48:F50)+F46</f>
        <v>17.440000000000001</v>
      </c>
      <c r="G54" s="17"/>
      <c r="H54" s="17"/>
      <c r="I54" s="17"/>
      <c r="J54" s="17">
        <f>SUM(J50:J53)</f>
        <v>12.193499999999998</v>
      </c>
      <c r="K54" s="17"/>
      <c r="L54" s="17"/>
      <c r="M54" s="17">
        <f>MAX(M48:M53)</f>
        <v>18.462114887078116</v>
      </c>
      <c r="N54" s="26">
        <f>$Q$5/(M54+$Q$6)^$Q$4</f>
        <v>3.3194975384276422</v>
      </c>
      <c r="O54" s="31">
        <f>N54*J54</f>
        <v>40.476293234817447</v>
      </c>
      <c r="P54" s="17">
        <f>1.33*((O54*0.014)/SQRT(D50))^(3/8)</f>
        <v>3.1944029199247126</v>
      </c>
      <c r="Q54" s="17">
        <v>3.5</v>
      </c>
      <c r="R54" s="17">
        <f>4*O54/(PI()*Q54^2)</f>
        <v>4.2070218098666059</v>
      </c>
      <c r="S54" s="19">
        <f>(C50/R54)*(1/60)</f>
        <v>0.5901245058545076</v>
      </c>
    </row>
    <row r="55" spans="1:19" ht="17" thickBot="1"/>
    <row r="56" spans="1:19">
      <c r="A56" s="27">
        <v>7.1</v>
      </c>
      <c r="B56" s="6" t="s">
        <v>21</v>
      </c>
      <c r="C56" s="33">
        <v>266</v>
      </c>
      <c r="D56" s="7">
        <v>3.0000000000000001E-3</v>
      </c>
      <c r="E56" s="6">
        <v>7.1</v>
      </c>
      <c r="F56" s="6">
        <v>2.17</v>
      </c>
      <c r="G56" s="6">
        <v>0.7</v>
      </c>
      <c r="H56" s="6">
        <f t="shared" ref="H56" si="7">F56</f>
        <v>2.17</v>
      </c>
      <c r="I56" s="6">
        <f>G56*H56</f>
        <v>1.5189999999999999</v>
      </c>
      <c r="J56" s="6">
        <f>I56</f>
        <v>1.5189999999999999</v>
      </c>
      <c r="K56" s="6">
        <v>14.5</v>
      </c>
      <c r="L56" s="6">
        <v>0</v>
      </c>
      <c r="M56" s="6">
        <f t="shared" ref="M56:M57" si="8">K56+L56</f>
        <v>14.5</v>
      </c>
      <c r="N56" s="6"/>
      <c r="O56" s="6"/>
      <c r="P56" s="6"/>
      <c r="Q56" s="6"/>
      <c r="R56" s="6"/>
      <c r="S56" s="9"/>
    </row>
    <row r="57" spans="1:19">
      <c r="A57" s="15"/>
      <c r="B57" s="11"/>
      <c r="C57" s="11"/>
      <c r="D57" s="11"/>
      <c r="E57" s="11">
        <v>6.1</v>
      </c>
      <c r="F57" s="11"/>
      <c r="G57" s="11"/>
      <c r="H57" s="11"/>
      <c r="I57" s="11"/>
      <c r="J57" s="11">
        <f>J54</f>
        <v>12.193499999999998</v>
      </c>
      <c r="K57" s="11">
        <f>M54</f>
        <v>18.462114887078116</v>
      </c>
      <c r="L57" s="11">
        <f>S54</f>
        <v>0.5901245058545076</v>
      </c>
      <c r="M57" s="11">
        <f t="shared" si="8"/>
        <v>19.052239392932623</v>
      </c>
      <c r="N57" s="11"/>
      <c r="O57" s="11"/>
      <c r="P57" s="11"/>
      <c r="Q57" s="11"/>
      <c r="R57" s="11"/>
      <c r="S57" s="14"/>
    </row>
    <row r="58" spans="1:19" ht="17" thickBot="1">
      <c r="A58" s="32">
        <v>7.1</v>
      </c>
      <c r="B58" s="17" t="s">
        <v>21</v>
      </c>
      <c r="C58" s="17"/>
      <c r="D58" s="17"/>
      <c r="E58" s="17"/>
      <c r="F58" s="17">
        <f>SUM(F56)+F54</f>
        <v>19.61</v>
      </c>
      <c r="G58" s="17"/>
      <c r="H58" s="17"/>
      <c r="I58" s="17"/>
      <c r="J58" s="17">
        <f>SUM(J56:J57)</f>
        <v>13.712499999999999</v>
      </c>
      <c r="K58" s="17"/>
      <c r="L58" s="17"/>
      <c r="M58" s="17">
        <f>MAX(M50:M57)</f>
        <v>19.052239392932623</v>
      </c>
      <c r="N58" s="26">
        <f>$Q$5/(M58+$Q$6)^$Q$4</f>
        <v>3.2608808970344363</v>
      </c>
      <c r="O58" s="31">
        <f>N58*J58</f>
        <v>44.714829300584704</v>
      </c>
      <c r="P58" s="17">
        <f>1.33*((O58*0.014)/SQRT(D56))^(3/8)</f>
        <v>3.3159560102085992</v>
      </c>
      <c r="Q58" s="17">
        <v>3.5</v>
      </c>
      <c r="R58" s="17">
        <f>4*O58/(PI()*Q58^2)</f>
        <v>4.6475664409458766</v>
      </c>
      <c r="S58" s="19">
        <f>(C56/R58)*(1/60)</f>
        <v>0.95390423992110973</v>
      </c>
    </row>
    <row r="62" spans="1:19">
      <c r="A62" t="s">
        <v>40</v>
      </c>
    </row>
    <row r="64" spans="1:19" ht="17">
      <c r="A64" s="3" t="s">
        <v>7</v>
      </c>
      <c r="B64" t="s">
        <v>41</v>
      </c>
      <c r="C64" t="s">
        <v>45</v>
      </c>
      <c r="D64" t="s">
        <v>43</v>
      </c>
      <c r="E64" t="s">
        <v>44</v>
      </c>
    </row>
    <row r="65" spans="1:5">
      <c r="A65">
        <v>1.1000000000000001</v>
      </c>
      <c r="B65">
        <f>O21</f>
        <v>6.3579670816202638</v>
      </c>
      <c r="C65" s="4">
        <v>0.02</v>
      </c>
      <c r="D65">
        <v>1.25</v>
      </c>
      <c r="E65">
        <f>12*D65</f>
        <v>15</v>
      </c>
    </row>
    <row r="66" spans="1:5">
      <c r="A66">
        <v>1.2</v>
      </c>
      <c r="B66">
        <f>O22</f>
        <v>4.7201900788852829</v>
      </c>
      <c r="C66" s="4">
        <v>4.1000000000000003E-3</v>
      </c>
      <c r="D66">
        <f>Q22</f>
        <v>1.5</v>
      </c>
      <c r="E66">
        <f t="shared" ref="E66:E78" si="9">12*D66</f>
        <v>18</v>
      </c>
    </row>
    <row r="67" spans="1:5">
      <c r="A67">
        <v>2.2000000000000002</v>
      </c>
      <c r="B67">
        <f>O28</f>
        <v>2.4416298140886661</v>
      </c>
      <c r="C67" s="4">
        <v>1.7999999999999999E-2</v>
      </c>
      <c r="D67">
        <f>Q28</f>
        <v>0.83333333333333337</v>
      </c>
      <c r="E67">
        <f t="shared" si="9"/>
        <v>10</v>
      </c>
    </row>
    <row r="68" spans="1:5">
      <c r="A68">
        <v>2.1</v>
      </c>
      <c r="B68">
        <f>O26</f>
        <v>20.245204491556724</v>
      </c>
      <c r="C68" s="4">
        <v>2.4500000000000001E-2</v>
      </c>
      <c r="D68">
        <f>Q26</f>
        <v>1.75</v>
      </c>
      <c r="E68">
        <f t="shared" si="9"/>
        <v>21</v>
      </c>
    </row>
    <row r="69" spans="1:5">
      <c r="A69">
        <v>3.2</v>
      </c>
      <c r="B69">
        <f>O34</f>
        <v>2.116190841571203</v>
      </c>
      <c r="C69" s="4">
        <v>1.7500000000000002E-2</v>
      </c>
      <c r="D69">
        <f>Q34</f>
        <v>0.83333333333333337</v>
      </c>
      <c r="E69">
        <f t="shared" si="9"/>
        <v>10</v>
      </c>
    </row>
    <row r="70" spans="1:5">
      <c r="A70">
        <v>3.3</v>
      </c>
      <c r="B70">
        <f>O35</f>
        <v>4.3016291156041309</v>
      </c>
      <c r="C70" s="4">
        <v>0.03</v>
      </c>
      <c r="D70">
        <f>Q35</f>
        <v>1</v>
      </c>
      <c r="E70">
        <f t="shared" si="9"/>
        <v>12</v>
      </c>
    </row>
    <row r="71" spans="1:5">
      <c r="A71">
        <v>3.1</v>
      </c>
      <c r="B71">
        <f>O32</f>
        <v>23.427632000429909</v>
      </c>
      <c r="C71" s="4">
        <v>1.04E-2</v>
      </c>
      <c r="D71">
        <f>Q32</f>
        <v>2</v>
      </c>
      <c r="E71">
        <f t="shared" si="9"/>
        <v>24</v>
      </c>
    </row>
    <row r="72" spans="1:5">
      <c r="A72">
        <v>4.2</v>
      </c>
      <c r="B72">
        <f>O42</f>
        <v>3.0526597391322516</v>
      </c>
      <c r="C72" s="4">
        <v>2.5999999999999999E-3</v>
      </c>
      <c r="D72">
        <f>Q42</f>
        <v>1.25</v>
      </c>
      <c r="E72">
        <f t="shared" si="9"/>
        <v>15</v>
      </c>
    </row>
    <row r="73" spans="1:5">
      <c r="A73">
        <v>4.0999999999999996</v>
      </c>
      <c r="B73">
        <f>O40</f>
        <v>34.17154107382315</v>
      </c>
      <c r="C73" s="4">
        <v>4.1000000000000003E-3</v>
      </c>
      <c r="D73">
        <f>Q40</f>
        <v>3</v>
      </c>
      <c r="E73">
        <f t="shared" si="9"/>
        <v>36</v>
      </c>
    </row>
    <row r="74" spans="1:5">
      <c r="A74">
        <v>5.2</v>
      </c>
      <c r="B74">
        <f>O48</f>
        <v>1.7968830482903333</v>
      </c>
      <c r="C74" s="4">
        <v>2.5000000000000001E-2</v>
      </c>
      <c r="D74">
        <f>Q48</f>
        <v>0.66666666666666663</v>
      </c>
      <c r="E74">
        <f t="shared" si="9"/>
        <v>8</v>
      </c>
    </row>
    <row r="75" spans="1:5">
      <c r="A75">
        <v>5.3</v>
      </c>
      <c r="B75">
        <f>O49</f>
        <v>3.2815459712021258</v>
      </c>
      <c r="C75" s="4">
        <v>6.0000000000000001E-3</v>
      </c>
      <c r="D75">
        <f>Q49</f>
        <v>1.25</v>
      </c>
      <c r="E75">
        <f t="shared" si="9"/>
        <v>15</v>
      </c>
    </row>
    <row r="76" spans="1:5">
      <c r="A76">
        <v>5.0999999999999996</v>
      </c>
      <c r="B76">
        <f>O46</f>
        <v>38.491085894302685</v>
      </c>
      <c r="C76" s="4">
        <v>2.8E-3</v>
      </c>
      <c r="D76">
        <f>Q46</f>
        <v>3.5</v>
      </c>
      <c r="E76">
        <f t="shared" si="9"/>
        <v>42</v>
      </c>
    </row>
    <row r="77" spans="1:5">
      <c r="A77">
        <v>6.1</v>
      </c>
      <c r="B77">
        <f>O54</f>
        <v>40.476293234817447</v>
      </c>
      <c r="C77" s="4">
        <v>3.0000000000000001E-3</v>
      </c>
      <c r="D77">
        <f>Q54</f>
        <v>3.5</v>
      </c>
      <c r="E77">
        <f t="shared" si="9"/>
        <v>42</v>
      </c>
    </row>
    <row r="78" spans="1:5">
      <c r="A78">
        <v>7.1</v>
      </c>
      <c r="B78">
        <f>O58</f>
        <v>44.714829300584704</v>
      </c>
      <c r="C78" s="4">
        <v>3.0000000000000001E-3</v>
      </c>
      <c r="D78">
        <f>Q58</f>
        <v>3.5</v>
      </c>
      <c r="E78">
        <f t="shared" si="9"/>
        <v>42</v>
      </c>
    </row>
    <row r="80" spans="1:5">
      <c r="E80" t="s">
        <v>49</v>
      </c>
    </row>
    <row r="81" spans="1:5">
      <c r="A81">
        <v>1.1000000000000001</v>
      </c>
      <c r="B81" t="s">
        <v>8</v>
      </c>
      <c r="C81" s="20">
        <v>414.96000000000004</v>
      </c>
      <c r="D81" s="4">
        <v>0.02</v>
      </c>
      <c r="E81">
        <f>D81*C81+E84</f>
        <v>735.85916000000009</v>
      </c>
    </row>
    <row r="82" spans="1:5">
      <c r="A82">
        <v>1.2</v>
      </c>
      <c r="B82" t="s">
        <v>9</v>
      </c>
      <c r="C82" s="20">
        <v>194.71200000000002</v>
      </c>
      <c r="D82" s="4">
        <v>4.1000000000000003E-3</v>
      </c>
    </row>
    <row r="83" spans="1:5">
      <c r="A83">
        <v>2.2000000000000002</v>
      </c>
      <c r="B83" t="s">
        <v>11</v>
      </c>
      <c r="C83" s="20">
        <v>212.8</v>
      </c>
      <c r="D83" s="4">
        <v>1.7999999999999999E-2</v>
      </c>
    </row>
    <row r="84" spans="1:5">
      <c r="A84">
        <v>2.1</v>
      </c>
      <c r="B84" t="s">
        <v>10</v>
      </c>
      <c r="C84" s="20">
        <v>188.328</v>
      </c>
      <c r="D84" s="4">
        <v>2.4500000000000001E-2</v>
      </c>
      <c r="E84">
        <f>D84*C84+E87</f>
        <v>727.55996000000005</v>
      </c>
    </row>
    <row r="85" spans="1:5">
      <c r="A85">
        <v>3.2</v>
      </c>
      <c r="B85" t="s">
        <v>12</v>
      </c>
      <c r="C85" s="20">
        <v>223.44</v>
      </c>
      <c r="D85" s="4">
        <v>1.7500000000000002E-2</v>
      </c>
    </row>
    <row r="86" spans="1:5">
      <c r="A86">
        <v>3.3</v>
      </c>
      <c r="B86" t="s">
        <v>13</v>
      </c>
      <c r="C86" s="20">
        <v>138.32</v>
      </c>
      <c r="D86" s="4">
        <v>0.03</v>
      </c>
    </row>
    <row r="87" spans="1:5">
      <c r="A87">
        <v>3.1</v>
      </c>
      <c r="B87" t="s">
        <v>14</v>
      </c>
      <c r="C87" s="20">
        <v>165.98400000000001</v>
      </c>
      <c r="D87" s="4">
        <v>1.04E-2</v>
      </c>
      <c r="E87">
        <f>D87*C87+E89</f>
        <v>722.94592399999999</v>
      </c>
    </row>
    <row r="88" spans="1:5">
      <c r="A88">
        <v>4.2</v>
      </c>
      <c r="B88" t="s">
        <v>15</v>
      </c>
      <c r="C88" s="20">
        <v>212.8</v>
      </c>
      <c r="D88" s="4">
        <v>2.5999999999999999E-3</v>
      </c>
    </row>
    <row r="89" spans="1:5">
      <c r="A89">
        <v>4.0999999999999996</v>
      </c>
      <c r="B89" t="s">
        <v>16</v>
      </c>
      <c r="C89" s="20">
        <v>192.584</v>
      </c>
      <c r="D89" s="4">
        <v>4.1000000000000003E-3</v>
      </c>
      <c r="E89">
        <f>D89*C89+E92</f>
        <v>721.21969039999999</v>
      </c>
    </row>
    <row r="90" spans="1:5">
      <c r="A90">
        <v>5.2</v>
      </c>
      <c r="B90" t="s">
        <v>17</v>
      </c>
      <c r="C90" s="20">
        <v>74.48</v>
      </c>
      <c r="D90" s="4">
        <v>2.5000000000000001E-2</v>
      </c>
    </row>
    <row r="91" spans="1:5">
      <c r="A91">
        <v>5.3</v>
      </c>
      <c r="B91" t="s">
        <v>18</v>
      </c>
      <c r="C91" s="20">
        <v>138.32</v>
      </c>
      <c r="D91" s="4">
        <v>6.0000000000000001E-3</v>
      </c>
    </row>
    <row r="92" spans="1:5">
      <c r="A92">
        <v>5.0999999999999996</v>
      </c>
      <c r="B92" t="s">
        <v>19</v>
      </c>
      <c r="C92" s="20">
        <v>244.72000000000003</v>
      </c>
      <c r="D92" s="4">
        <v>2.8E-3</v>
      </c>
      <c r="E92">
        <f>D92*C92+E93</f>
        <v>720.43009599999993</v>
      </c>
    </row>
    <row r="93" spans="1:5">
      <c r="A93">
        <v>6.1</v>
      </c>
      <c r="B93" t="s">
        <v>20</v>
      </c>
      <c r="C93" s="20">
        <v>148.96</v>
      </c>
      <c r="D93" s="4">
        <v>3.0000000000000001E-3</v>
      </c>
      <c r="E93">
        <f>D93*C93+E94</f>
        <v>719.74487999999997</v>
      </c>
    </row>
    <row r="94" spans="1:5">
      <c r="A94">
        <v>7.1</v>
      </c>
      <c r="B94" t="s">
        <v>21</v>
      </c>
      <c r="C94" s="20">
        <v>266</v>
      </c>
      <c r="D94" s="4">
        <v>3.0000000000000001E-3</v>
      </c>
      <c r="E94">
        <f>D94*C94+E95</f>
        <v>719.298</v>
      </c>
    </row>
    <row r="95" spans="1:5">
      <c r="A95">
        <v>8.1</v>
      </c>
      <c r="E95">
        <f>715+3.5</f>
        <v>718.5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Cleveland, Theodore</cp:lastModifiedBy>
  <dcterms:created xsi:type="dcterms:W3CDTF">2016-11-22T21:00:00Z</dcterms:created>
  <dcterms:modified xsi:type="dcterms:W3CDTF">2018-10-29T20:14:19Z</dcterms:modified>
</cp:coreProperties>
</file>