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a096e38ac0dbbe/Desktop/Valuepath/CursorExperiments/ExcelShrinkerv6/datasets/evergreen-asset-acquisition/raw_data/"/>
    </mc:Choice>
  </mc:AlternateContent>
  <xr:revisionPtr revIDLastSave="64" documentId="8_{DC7CB69D-B6B8-4134-B9D1-00B151D37046}" xr6:coauthVersionLast="47" xr6:coauthVersionMax="47" xr10:uidLastSave="{C1A640CF-DCF1-4A0A-AD15-0E3E8A5F23CC}"/>
  <bookViews>
    <workbookView xWindow="57480" yWindow="-120" windowWidth="38640" windowHeight="21120" tabRatio="848" firstSheet="2" activeTab="20" xr2:uid="{00000000-000D-0000-FFFF-FFFF00000000}"/>
  </bookViews>
  <sheets>
    <sheet name="Assumptions" sheetId="8" state="hidden" r:id="rId1"/>
    <sheet name="Use_Summary" sheetId="1" state="hidden" r:id="rId2"/>
    <sheet name="Region Assumptions" sheetId="72" r:id="rId3"/>
    <sheet name="Deal Summary" sheetId="35" r:id="rId4"/>
    <sheet name="TOTAL FFU" sheetId="83" r:id="rId5"/>
    <sheet name="COCP" sheetId="73" r:id="rId6"/>
    <sheet name="DCCP" sheetId="74" r:id="rId7"/>
    <sheet name="GCCP" sheetId="75" r:id="rId8"/>
    <sheet name="MCCP" sheetId="76" r:id="rId9"/>
    <sheet name="MWCP" sheetId="77" r:id="rId10"/>
    <sheet name="SACP" sheetId="78" r:id="rId11"/>
    <sheet name="PSW" sheetId="25" r:id="rId12"/>
    <sheet name="Customer Output - LA" sheetId="70" state="hidden" r:id="rId13"/>
    <sheet name="Customer Output - APMT" sheetId="69" state="hidden" r:id="rId14"/>
    <sheet name="PNW" sheetId="79" r:id="rId15"/>
    <sheet name="Oakland" sheetId="80" r:id="rId16"/>
    <sheet name="NE" sheetId="84" r:id="rId17"/>
    <sheet name="HRCP" sheetId="82" r:id="rId18"/>
    <sheet name="Support Data --&gt;" sheetId="23" r:id="rId19"/>
    <sheet name="PoP Usage Data" sheetId="68" state="hidden" r:id="rId20"/>
    <sheet name="Fleet Summary - Pending" sheetId="63" r:id="rId21"/>
    <sheet name="Fleet Sizing" sheetId="71" state="hidden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2" hidden="1">'Region Assumptions'!$E$10:$E$18</definedName>
    <definedName name="age_cutoff" localSheetId="5">'[1]Chassis Roster'!$AB$3</definedName>
    <definedName name="age_cutoff" localSheetId="12">#REF!</definedName>
    <definedName name="age_cutoff" localSheetId="6">'[1]Chassis Roster'!$AB$3</definedName>
    <definedName name="age_cutoff" localSheetId="7">'[1]Chassis Roster'!$AB$3</definedName>
    <definedName name="age_cutoff" localSheetId="17">'[1]Chassis Roster'!$AB$3</definedName>
    <definedName name="age_cutoff" localSheetId="8">'[1]Chassis Roster'!$AB$3</definedName>
    <definedName name="age_cutoff" localSheetId="9">'[1]Chassis Roster'!$AB$3</definedName>
    <definedName name="age_cutoff" localSheetId="16">'[1]Chassis Roster'!$AB$3</definedName>
    <definedName name="age_cutoff" localSheetId="15">'[1]Chassis Roster'!$AB$3</definedName>
    <definedName name="age_cutoff" localSheetId="14">'[1]Chassis Roster'!$AB$3</definedName>
    <definedName name="age_cutoff" localSheetId="11">'[1]Chassis Roster'!$AB$3</definedName>
    <definedName name="age_cutoff" localSheetId="2">#REF!</definedName>
    <definedName name="age_cutoff" localSheetId="10">'[1]Chassis Roster'!$AB$3</definedName>
    <definedName name="age_cutoff" localSheetId="18">#REF!</definedName>
    <definedName name="age_cutoff" localSheetId="4">'[1]Chassis Roster'!$AB$3</definedName>
    <definedName name="age_cutoff" localSheetId="1">'[2]Chassis Roster'!$AB$3</definedName>
    <definedName name="age_cutoff">#REF!</definedName>
    <definedName name="bv_sale" localSheetId="5">#REF!</definedName>
    <definedName name="bv_sale" localSheetId="12">#REF!</definedName>
    <definedName name="bv_sale" localSheetId="6">#REF!</definedName>
    <definedName name="bv_sale" localSheetId="7">#REF!</definedName>
    <definedName name="bv_sale" localSheetId="17">#REF!</definedName>
    <definedName name="bv_sale" localSheetId="8">#REF!</definedName>
    <definedName name="bv_sale" localSheetId="9">#REF!</definedName>
    <definedName name="bv_sale" localSheetId="16">#REF!</definedName>
    <definedName name="bv_sale" localSheetId="15">#REF!</definedName>
    <definedName name="bv_sale" localSheetId="14">#REF!</definedName>
    <definedName name="bv_sale" localSheetId="11">#REF!</definedName>
    <definedName name="bv_sale" localSheetId="2">#REF!</definedName>
    <definedName name="bv_sale" localSheetId="10">#REF!</definedName>
    <definedName name="bv_sale" localSheetId="18">#REF!</definedName>
    <definedName name="bv_sale" localSheetId="4">#REF!</definedName>
    <definedName name="bv_sale">#REF!</definedName>
    <definedName name="case" localSheetId="5">COCP!#REF!</definedName>
    <definedName name="case" localSheetId="12">#REF!</definedName>
    <definedName name="case" localSheetId="6">DCCP!#REF!</definedName>
    <definedName name="case" localSheetId="7">GCCP!#REF!</definedName>
    <definedName name="case" localSheetId="17">HRCP!#REF!</definedName>
    <definedName name="case" localSheetId="8">MCCP!#REF!</definedName>
    <definedName name="case" localSheetId="9">MWCP!#REF!</definedName>
    <definedName name="case" localSheetId="16">NE!#REF!</definedName>
    <definedName name="case" localSheetId="15">Oakland!#REF!</definedName>
    <definedName name="case" localSheetId="14">PNW!#REF!</definedName>
    <definedName name="case" localSheetId="11">PSW!#REF!</definedName>
    <definedName name="case" localSheetId="2">#REF!</definedName>
    <definedName name="case" localSheetId="10">SACP!#REF!</definedName>
    <definedName name="case" localSheetId="18">#REF!</definedName>
    <definedName name="case" localSheetId="4">'TOTAL FFU'!#REF!</definedName>
    <definedName name="case" localSheetId="1">'[2]LALB-700'!$AD$23</definedName>
    <definedName name="case">#REF!</definedName>
    <definedName name="CIQWBGuid" hidden="1">"Hapag Fleet Model_v16.xlsx"</definedName>
    <definedName name="Factor" localSheetId="2">[3]Assumptions!$D$2</definedName>
    <definedName name="Factor">Assumptions!$D$2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"nbnn034"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5" hidden="1">41463.4891782407</definedName>
    <definedName name="IQ_NAMES_REVISION_DATE_" localSheetId="6" hidden="1">41463.4891782407</definedName>
    <definedName name="IQ_NAMES_REVISION_DATE_" localSheetId="7" hidden="1">41463.4891782407</definedName>
    <definedName name="IQ_NAMES_REVISION_DATE_" localSheetId="17" hidden="1">41463.4891782407</definedName>
    <definedName name="IQ_NAMES_REVISION_DATE_" localSheetId="8" hidden="1">41463.4891782407</definedName>
    <definedName name="IQ_NAMES_REVISION_DATE_" localSheetId="9" hidden="1">41463.4891782407</definedName>
    <definedName name="IQ_NAMES_REVISION_DATE_" localSheetId="16" hidden="1">41463.4891782407</definedName>
    <definedName name="IQ_NAMES_REVISION_DATE_" localSheetId="15" hidden="1">41463.4891782407</definedName>
    <definedName name="IQ_NAMES_REVISION_DATE_" localSheetId="14" hidden="1">41463.4891782407</definedName>
    <definedName name="IQ_NAMES_REVISION_DATE_" localSheetId="11" hidden="1">41463.4891782407</definedName>
    <definedName name="IQ_NAMES_REVISION_DATE_" localSheetId="10" hidden="1">41463.4891782407</definedName>
    <definedName name="IQ_NAMES_REVISION_DATE_" localSheetId="4" hidden="1">41463.4891782407</definedName>
    <definedName name="IQ_NAMES_REVISION_DATE_" localSheetId="1" hidden="1">41608.7016319444</definedName>
    <definedName name="IQ_NAMES_REVISION_DATE_" hidden="1">41525.996712963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op_offhire" localSheetId="5">#REF!</definedName>
    <definedName name="op_offhire" localSheetId="12">#REF!</definedName>
    <definedName name="op_offhire" localSheetId="6">#REF!</definedName>
    <definedName name="op_offhire" localSheetId="7">#REF!</definedName>
    <definedName name="op_offhire" localSheetId="17">#REF!</definedName>
    <definedName name="op_offhire" localSheetId="8">#REF!</definedName>
    <definedName name="op_offhire" localSheetId="9">#REF!</definedName>
    <definedName name="op_offhire" localSheetId="16">#REF!</definedName>
    <definedName name="op_offhire" localSheetId="15">#REF!</definedName>
    <definedName name="op_offhire" localSheetId="14">#REF!</definedName>
    <definedName name="op_offhire" localSheetId="11">#REF!</definedName>
    <definedName name="op_offhire" localSheetId="2">#REF!</definedName>
    <definedName name="op_offhire" localSheetId="10">#REF!</definedName>
    <definedName name="op_offhire" localSheetId="18">#REF!</definedName>
    <definedName name="op_offhire" localSheetId="4">#REF!</definedName>
    <definedName name="op_offhire" localSheetId="1">#REF!</definedName>
    <definedName name="op_offhire">#REF!</definedName>
    <definedName name="oplease_usage" localSheetId="5">#REF!</definedName>
    <definedName name="oplease_usage" localSheetId="12">#REF!</definedName>
    <definedName name="oplease_usage" localSheetId="6">#REF!</definedName>
    <definedName name="oplease_usage" localSheetId="7">#REF!</definedName>
    <definedName name="oplease_usage" localSheetId="17">#REF!</definedName>
    <definedName name="oplease_usage" localSheetId="8">#REF!</definedName>
    <definedName name="oplease_usage" localSheetId="9">#REF!</definedName>
    <definedName name="oplease_usage" localSheetId="16">#REF!</definedName>
    <definedName name="oplease_usage" localSheetId="15">#REF!</definedName>
    <definedName name="oplease_usage" localSheetId="14">#REF!</definedName>
    <definedName name="oplease_usage" localSheetId="11">#REF!</definedName>
    <definedName name="oplease_usage" localSheetId="10">#REF!</definedName>
    <definedName name="oplease_usage" localSheetId="18">#REF!</definedName>
    <definedName name="oplease_usage" localSheetId="4">#REF!</definedName>
    <definedName name="oplease_usage" localSheetId="1">#REF!</definedName>
    <definedName name="oplease_usage">#REF!</definedName>
    <definedName name="prem" localSheetId="5">#REF!</definedName>
    <definedName name="prem" localSheetId="12">#REF!</definedName>
    <definedName name="prem" localSheetId="6">#REF!</definedName>
    <definedName name="prem" localSheetId="7">#REF!</definedName>
    <definedName name="prem" localSheetId="17">#REF!</definedName>
    <definedName name="prem" localSheetId="8">#REF!</definedName>
    <definedName name="prem" localSheetId="9">#REF!</definedName>
    <definedName name="prem" localSheetId="16">#REF!</definedName>
    <definedName name="prem" localSheetId="15">#REF!</definedName>
    <definedName name="prem" localSheetId="14">#REF!</definedName>
    <definedName name="prem" localSheetId="11">#REF!</definedName>
    <definedName name="prem" localSheetId="10">#REF!</definedName>
    <definedName name="prem" localSheetId="18">#REF!</definedName>
    <definedName name="prem" localSheetId="4">#REF!</definedName>
    <definedName name="prem">#REF!</definedName>
    <definedName name="_xlnm.Print_Area" localSheetId="5">COCP!$B$1:$R$137</definedName>
    <definedName name="_xlnm.Print_Area" localSheetId="12">'Customer Output - LA'!$A$1:$H$33</definedName>
    <definedName name="_xlnm.Print_Area" localSheetId="6">DCCP!$B$1:$R$137</definedName>
    <definedName name="_xlnm.Print_Area" localSheetId="3">'Deal Summary'!$A$1:$S$46</definedName>
    <definedName name="_xlnm.Print_Area" localSheetId="7">GCCP!$B$1:$R$137</definedName>
    <definedName name="_xlnm.Print_Area" localSheetId="17">HRCP!$B$1:$R$137</definedName>
    <definedName name="_xlnm.Print_Area" localSheetId="8">MCCP!$B$1:$R$137</definedName>
    <definedName name="_xlnm.Print_Area" localSheetId="9">MWCP!$B$1:$R$137</definedName>
    <definedName name="_xlnm.Print_Area" localSheetId="16">NE!$B$1:$R$137</definedName>
    <definedName name="_xlnm.Print_Area" localSheetId="15">Oakland!$B$1:$R$137</definedName>
    <definedName name="_xlnm.Print_Area" localSheetId="14">PNW!$B$1:$R$137</definedName>
    <definedName name="_xlnm.Print_Area" localSheetId="19">'PoP Usage Data'!$A$1:$H$58</definedName>
    <definedName name="_xlnm.Print_Area" localSheetId="11">PSW!$B$1:$R$137</definedName>
    <definedName name="_xlnm.Print_Area" localSheetId="10">SACP!$B$1:$R$137</definedName>
    <definedName name="_xlnm.Print_Area" localSheetId="4">'TOTAL FFU'!$B$1:$R$137</definedName>
    <definedName name="_xlnm.Print_Area" localSheetId="1">Use_Summary!$A$1:$G$86</definedName>
    <definedName name="_xlnm.Print_Titles" localSheetId="5">COCP!$B:$F,COCP!$1:$22</definedName>
    <definedName name="_xlnm.Print_Titles" localSheetId="6">DCCP!$B:$F,DCCP!$1:$22</definedName>
    <definedName name="_xlnm.Print_Titles" localSheetId="3">'Deal Summary'!$1:$3</definedName>
    <definedName name="_xlnm.Print_Titles" localSheetId="7">GCCP!$B:$F,GCCP!$1:$22</definedName>
    <definedName name="_xlnm.Print_Titles" localSheetId="17">HRCP!$B:$F,HRCP!$1:$22</definedName>
    <definedName name="_xlnm.Print_Titles" localSheetId="8">MCCP!$B:$F,MCCP!$1:$22</definedName>
    <definedName name="_xlnm.Print_Titles" localSheetId="9">MWCP!$B:$F,MWCP!$1:$22</definedName>
    <definedName name="_xlnm.Print_Titles" localSheetId="16">NE!$B:$F,NE!$1:$22</definedName>
    <definedName name="_xlnm.Print_Titles" localSheetId="15">Oakland!$B:$F,Oakland!$1:$22</definedName>
    <definedName name="_xlnm.Print_Titles" localSheetId="14">PNW!$B:$F,PNW!$1:$22</definedName>
    <definedName name="_xlnm.Print_Titles" localSheetId="11">PSW!$B:$F,PSW!$1:$22</definedName>
    <definedName name="_xlnm.Print_Titles" localSheetId="10">SACP!$B:$F,SACP!$1:$22</definedName>
    <definedName name="_xlnm.Print_Titles" localSheetId="4">'TOTAL FFU'!$B:$F,'TOTAL FFU'!$1:$22</definedName>
    <definedName name="Recover">[4]Macro1!$A$36</definedName>
    <definedName name="remac" localSheetId="5">#REF!</definedName>
    <definedName name="remac" localSheetId="12">#REF!</definedName>
    <definedName name="remac" localSheetId="6">#REF!</definedName>
    <definedName name="remac" localSheetId="7">#REF!</definedName>
    <definedName name="remac" localSheetId="17">#REF!</definedName>
    <definedName name="remac" localSheetId="8">#REF!</definedName>
    <definedName name="remac" localSheetId="9">#REF!</definedName>
    <definedName name="remac" localSheetId="16">#REF!</definedName>
    <definedName name="remac" localSheetId="15">#REF!</definedName>
    <definedName name="remac" localSheetId="14">#REF!</definedName>
    <definedName name="remac" localSheetId="11">#REF!</definedName>
    <definedName name="remac" localSheetId="2">#REF!</definedName>
    <definedName name="remac" localSheetId="10">#REF!</definedName>
    <definedName name="remac" localSheetId="18">#REF!</definedName>
    <definedName name="remac" localSheetId="4">#REF!</definedName>
    <definedName name="remac">#REF!</definedName>
    <definedName name="remac_cost" localSheetId="5">#REF!</definedName>
    <definedName name="remac_cost" localSheetId="12">#REF!</definedName>
    <definedName name="remac_cost" localSheetId="6">#REF!</definedName>
    <definedName name="remac_cost" localSheetId="7">#REF!</definedName>
    <definedName name="remac_cost" localSheetId="17">#REF!</definedName>
    <definedName name="remac_cost" localSheetId="8">#REF!</definedName>
    <definedName name="remac_cost" localSheetId="9">#REF!</definedName>
    <definedName name="remac_cost" localSheetId="16">#REF!</definedName>
    <definedName name="remac_cost" localSheetId="15">#REF!</definedName>
    <definedName name="remac_cost" localSheetId="14">#REF!</definedName>
    <definedName name="remac_cost" localSheetId="11">#REF!</definedName>
    <definedName name="remac_cost" localSheetId="2">#REF!</definedName>
    <definedName name="remac_cost" localSheetId="10">#REF!</definedName>
    <definedName name="remac_cost" localSheetId="18">#REF!</definedName>
    <definedName name="remac_cost" localSheetId="4">#REF!</definedName>
    <definedName name="remac_cost">#REF!</definedName>
    <definedName name="remac_life" localSheetId="5">#REF!</definedName>
    <definedName name="remac_life" localSheetId="12">#REF!</definedName>
    <definedName name="remac_life" localSheetId="6">#REF!</definedName>
    <definedName name="remac_life" localSheetId="7">#REF!</definedName>
    <definedName name="remac_life" localSheetId="17">#REF!</definedName>
    <definedName name="remac_life" localSheetId="8">#REF!</definedName>
    <definedName name="remac_life" localSheetId="9">#REF!</definedName>
    <definedName name="remac_life" localSheetId="16">#REF!</definedName>
    <definedName name="remac_life" localSheetId="15">#REF!</definedName>
    <definedName name="remac_life" localSheetId="14">#REF!</definedName>
    <definedName name="remac_life" localSheetId="11">#REF!</definedName>
    <definedName name="remac_life" localSheetId="2">#REF!</definedName>
    <definedName name="remac_life" localSheetId="10">#REF!</definedName>
    <definedName name="remac_life" localSheetId="18">#REF!</definedName>
    <definedName name="remac_life" localSheetId="4">#REF!</definedName>
    <definedName name="remac_life">#REF!</definedName>
    <definedName name="replac" localSheetId="5">'[1]Chassis Roster'!$AB$1</definedName>
    <definedName name="replac" localSheetId="12">#REF!</definedName>
    <definedName name="replac" localSheetId="6">'[1]Chassis Roster'!$AB$1</definedName>
    <definedName name="replac" localSheetId="7">'[1]Chassis Roster'!$AB$1</definedName>
    <definedName name="replac" localSheetId="17">'[1]Chassis Roster'!$AB$1</definedName>
    <definedName name="replac" localSheetId="8">'[1]Chassis Roster'!$AB$1</definedName>
    <definedName name="replac" localSheetId="9">'[1]Chassis Roster'!$AB$1</definedName>
    <definedName name="replac" localSheetId="16">'[1]Chassis Roster'!$AB$1</definedName>
    <definedName name="replac" localSheetId="15">'[1]Chassis Roster'!$AB$1</definedName>
    <definedName name="replac" localSheetId="14">'[1]Chassis Roster'!$AB$1</definedName>
    <definedName name="replac" localSheetId="11">'[1]Chassis Roster'!$AB$1</definedName>
    <definedName name="replac" localSheetId="2">#REF!</definedName>
    <definedName name="replac" localSheetId="10">'[1]Chassis Roster'!$AB$1</definedName>
    <definedName name="replac" localSheetId="18">#REF!</definedName>
    <definedName name="replac" localSheetId="4">'[1]Chassis Roster'!$AB$1</definedName>
    <definedName name="replac" localSheetId="1">'[2]Chassis Roster'!$AB$1</definedName>
    <definedName name="replac">#REF!</definedName>
    <definedName name="resid" localSheetId="5">'[1]Chassis Roster'!$AB$2</definedName>
    <definedName name="resid" localSheetId="12">#REF!</definedName>
    <definedName name="resid" localSheetId="6">'[1]Chassis Roster'!$AB$2</definedName>
    <definedName name="resid" localSheetId="7">'[1]Chassis Roster'!$AB$2</definedName>
    <definedName name="resid" localSheetId="17">'[1]Chassis Roster'!$AB$2</definedName>
    <definedName name="resid" localSheetId="8">'[1]Chassis Roster'!$AB$2</definedName>
    <definedName name="resid" localSheetId="9">'[1]Chassis Roster'!$AB$2</definedName>
    <definedName name="resid" localSheetId="16">'[1]Chassis Roster'!$AB$2</definedName>
    <definedName name="resid" localSheetId="15">'[1]Chassis Roster'!$AB$2</definedName>
    <definedName name="resid" localSheetId="14">'[1]Chassis Roster'!$AB$2</definedName>
    <definedName name="resid" localSheetId="11">'[1]Chassis Roster'!$AB$2</definedName>
    <definedName name="resid" localSheetId="2">#REF!</definedName>
    <definedName name="resid" localSheetId="10">'[1]Chassis Roster'!$AB$2</definedName>
    <definedName name="resid" localSheetId="18">#REF!</definedName>
    <definedName name="resid" localSheetId="4">'[1]Chassis Roster'!$AB$2</definedName>
    <definedName name="resid" localSheetId="1">'[2]Chassis Roster'!$AB$2</definedName>
    <definedName name="resid">#REF!</definedName>
    <definedName name="resid2">'[5]Chassis Roster'!$Z$2</definedName>
    <definedName name="SendFlag">'[6]On wheels by line'!$W$10</definedName>
    <definedName name="solver_adj" localSheetId="3" hidden="1">'Deal Summary'!#REF!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'Deal Summary'!#REF!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0.12</definedName>
    <definedName name="solver_ver" localSheetId="3" hidden="1">3</definedName>
    <definedName name="TableName">"Dummy"</definedName>
    <definedName name="TM1REBUILDOPTION">1</definedName>
    <definedName name="trucker" localSheetId="5">COCP!#REF!</definedName>
    <definedName name="trucker" localSheetId="12">#REF!</definedName>
    <definedName name="trucker" localSheetId="6">DCCP!#REF!</definedName>
    <definedName name="trucker" localSheetId="7">GCCP!#REF!</definedName>
    <definedName name="trucker" localSheetId="17">HRCP!#REF!</definedName>
    <definedName name="trucker" localSheetId="8">MCCP!#REF!</definedName>
    <definedName name="trucker" localSheetId="9">MWCP!#REF!</definedName>
    <definedName name="trucker" localSheetId="16">NE!#REF!</definedName>
    <definedName name="trucker" localSheetId="15">Oakland!#REF!</definedName>
    <definedName name="trucker" localSheetId="14">PNW!#REF!</definedName>
    <definedName name="trucker" localSheetId="11">PSW!#REF!</definedName>
    <definedName name="trucker" localSheetId="2">#REF!</definedName>
    <definedName name="trucker" localSheetId="10">SACP!#REF!</definedName>
    <definedName name="trucker" localSheetId="18">#REF!</definedName>
    <definedName name="trucker" localSheetId="4">'TOTAL FFU'!#REF!</definedName>
    <definedName name="trucker" localSheetId="1">#REF!</definedName>
    <definedName name="trucker">#REF!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35" l="1"/>
  <c r="AE12" i="72" s="1"/>
  <c r="H10" i="75" s="1"/>
  <c r="C42" i="35"/>
  <c r="C4" i="72" s="1"/>
  <c r="D8" i="35"/>
  <c r="G10" i="35" s="1"/>
  <c r="G20" i="35"/>
  <c r="Z19" i="72"/>
  <c r="E18" i="84" s="1"/>
  <c r="G95" i="84"/>
  <c r="F88" i="84"/>
  <c r="E42" i="35"/>
  <c r="N11" i="72" s="1"/>
  <c r="G85" i="74" s="1"/>
  <c r="F42" i="35"/>
  <c r="AC19" i="72" s="1"/>
  <c r="H37" i="84" s="1"/>
  <c r="I37" i="84" s="1"/>
  <c r="J37" i="84" s="1"/>
  <c r="K37" i="84" s="1"/>
  <c r="L37" i="84" s="1"/>
  <c r="M37" i="84" s="1"/>
  <c r="N37" i="84" s="1"/>
  <c r="O37" i="84" s="1"/>
  <c r="P37" i="84" s="1"/>
  <c r="Q37" i="84" s="1"/>
  <c r="L33" i="84"/>
  <c r="M33" i="84" s="1"/>
  <c r="N33" i="84" s="1"/>
  <c r="O33" i="84"/>
  <c r="P33" i="84" s="1"/>
  <c r="Q33" i="84"/>
  <c r="D42" i="35"/>
  <c r="P19" i="72" s="1"/>
  <c r="H61" i="84" s="1"/>
  <c r="I61" i="84" s="1"/>
  <c r="J61" i="84" s="1"/>
  <c r="K61" i="84" s="1"/>
  <c r="L61" i="84" s="1"/>
  <c r="H62" i="84"/>
  <c r="I62" i="84" s="1"/>
  <c r="I71" i="84"/>
  <c r="J62" i="84"/>
  <c r="J71" i="84" s="1"/>
  <c r="K62" i="84"/>
  <c r="H63" i="84"/>
  <c r="I63" i="84" s="1"/>
  <c r="J63" i="84"/>
  <c r="K63" i="84" s="1"/>
  <c r="H29" i="84"/>
  <c r="I29" i="84" s="1"/>
  <c r="J29" i="84" s="1"/>
  <c r="G18" i="84"/>
  <c r="F18" i="84"/>
  <c r="G12" i="84"/>
  <c r="H12" i="84" s="1"/>
  <c r="I12" i="84" s="1"/>
  <c r="J12" i="84" s="1"/>
  <c r="K12" i="84" s="1"/>
  <c r="L12" i="84" s="1"/>
  <c r="M12" i="84" s="1"/>
  <c r="H122" i="84"/>
  <c r="H57" i="84"/>
  <c r="H59" i="84"/>
  <c r="H60" i="84"/>
  <c r="I60" i="84" s="1"/>
  <c r="J60" i="84" s="1"/>
  <c r="K60" i="84" s="1"/>
  <c r="L60" i="84" s="1"/>
  <c r="E128" i="84"/>
  <c r="H131" i="84"/>
  <c r="I122" i="84"/>
  <c r="V34" i="84"/>
  <c r="I33" i="84" s="1"/>
  <c r="J33" i="84" s="1"/>
  <c r="K33" i="84" s="1"/>
  <c r="V36" i="84"/>
  <c r="I57" i="84"/>
  <c r="J57" i="84" s="1"/>
  <c r="K57" i="84" s="1"/>
  <c r="I59" i="84"/>
  <c r="J59" i="84" s="1"/>
  <c r="K59" i="84" s="1"/>
  <c r="L59" i="84" s="1"/>
  <c r="M59" i="84" s="1"/>
  <c r="N59" i="84" s="1"/>
  <c r="O59" i="84" s="1"/>
  <c r="P59" i="84" s="1"/>
  <c r="Q59" i="84" s="1"/>
  <c r="I114" i="84"/>
  <c r="I131" i="84" s="1"/>
  <c r="J122" i="84"/>
  <c r="J114" i="84"/>
  <c r="K122" i="84"/>
  <c r="K29" i="84"/>
  <c r="L29" i="84" s="1"/>
  <c r="M29" i="84" s="1"/>
  <c r="N29" i="84" s="1"/>
  <c r="O29" i="84" s="1"/>
  <c r="P29" i="84" s="1"/>
  <c r="Q29" i="84" s="1"/>
  <c r="L122" i="84"/>
  <c r="L57" i="84"/>
  <c r="M57" i="84" s="1"/>
  <c r="E130" i="84"/>
  <c r="H21" i="84"/>
  <c r="H104" i="84" s="1"/>
  <c r="H121" i="84" s="1"/>
  <c r="I21" i="84"/>
  <c r="G104" i="84"/>
  <c r="G121" i="84"/>
  <c r="M60" i="84"/>
  <c r="N60" i="84" s="1"/>
  <c r="O60" i="84" s="1"/>
  <c r="P60" i="84" s="1"/>
  <c r="Q60" i="84" s="1"/>
  <c r="N12" i="84"/>
  <c r="O12" i="84" s="1"/>
  <c r="P12" i="84" s="1"/>
  <c r="Q12" i="84" s="1"/>
  <c r="N57" i="84"/>
  <c r="O57" i="84" s="1"/>
  <c r="P57" i="84" s="1"/>
  <c r="Q57" i="84" s="1"/>
  <c r="G11" i="84"/>
  <c r="E12" i="63"/>
  <c r="E17" i="72"/>
  <c r="E18" i="72"/>
  <c r="K18" i="72"/>
  <c r="E19" i="72"/>
  <c r="D21" i="72"/>
  <c r="C21" i="72"/>
  <c r="D7" i="35" s="1"/>
  <c r="H17" i="72"/>
  <c r="H18" i="72"/>
  <c r="H19" i="72"/>
  <c r="V34" i="83"/>
  <c r="E20" i="72"/>
  <c r="K20" i="72"/>
  <c r="H20" i="72"/>
  <c r="Q33" i="76"/>
  <c r="H60" i="83"/>
  <c r="H10" i="72"/>
  <c r="H11" i="72"/>
  <c r="H12" i="72"/>
  <c r="H13" i="72"/>
  <c r="H14" i="72"/>
  <c r="H15" i="72"/>
  <c r="H16" i="72"/>
  <c r="G12" i="73"/>
  <c r="H12" i="73" s="1"/>
  <c r="I12" i="73" s="1"/>
  <c r="J12" i="73" s="1"/>
  <c r="K12" i="73" s="1"/>
  <c r="L12" i="73" s="1"/>
  <c r="M12" i="73" s="1"/>
  <c r="N12" i="73" s="1"/>
  <c r="O12" i="73" s="1"/>
  <c r="P12" i="73" s="1"/>
  <c r="Q12" i="73" s="1"/>
  <c r="G12" i="74"/>
  <c r="H12" i="74"/>
  <c r="I12" i="74" s="1"/>
  <c r="J12" i="74" s="1"/>
  <c r="K12" i="74" s="1"/>
  <c r="L12" i="74" s="1"/>
  <c r="M12" i="74" s="1"/>
  <c r="N12" i="74" s="1"/>
  <c r="O12" i="74" s="1"/>
  <c r="P12" i="74" s="1"/>
  <c r="Q12" i="74" s="1"/>
  <c r="G12" i="75"/>
  <c r="H12" i="75"/>
  <c r="G12" i="76"/>
  <c r="H12" i="76" s="1"/>
  <c r="G12" i="77"/>
  <c r="H12" i="77" s="1"/>
  <c r="G12" i="78"/>
  <c r="H12" i="78" s="1"/>
  <c r="I12" i="78" s="1"/>
  <c r="J12" i="78" s="1"/>
  <c r="K12" i="78" s="1"/>
  <c r="L12" i="78" s="1"/>
  <c r="M12" i="78" s="1"/>
  <c r="N12" i="78" s="1"/>
  <c r="O12" i="78" s="1"/>
  <c r="P12" i="78" s="1"/>
  <c r="Q12" i="78" s="1"/>
  <c r="G12" i="25"/>
  <c r="H12" i="25" s="1"/>
  <c r="I12" i="25" s="1"/>
  <c r="G12" i="79"/>
  <c r="H12" i="79" s="1"/>
  <c r="I12" i="79" s="1"/>
  <c r="J12" i="79" s="1"/>
  <c r="K12" i="79" s="1"/>
  <c r="L12" i="79" s="1"/>
  <c r="M12" i="79" s="1"/>
  <c r="G12" i="80"/>
  <c r="H12" i="80"/>
  <c r="I12" i="75"/>
  <c r="J12" i="75" s="1"/>
  <c r="I12" i="76"/>
  <c r="J12" i="76" s="1"/>
  <c r="K12" i="76" s="1"/>
  <c r="L12" i="76" s="1"/>
  <c r="M12" i="76" s="1"/>
  <c r="N12" i="76" s="1"/>
  <c r="I12" i="77"/>
  <c r="I12" i="80"/>
  <c r="J12" i="77"/>
  <c r="K12" i="77" s="1"/>
  <c r="L12" i="77" s="1"/>
  <c r="M12" i="77" s="1"/>
  <c r="N12" i="77" s="1"/>
  <c r="O12" i="77" s="1"/>
  <c r="P12" i="77" s="1"/>
  <c r="Q12" i="77" s="1"/>
  <c r="J12" i="25"/>
  <c r="K12" i="25" s="1"/>
  <c r="J12" i="80"/>
  <c r="K12" i="80" s="1"/>
  <c r="L12" i="80" s="1"/>
  <c r="M12" i="80" s="1"/>
  <c r="N12" i="80" s="1"/>
  <c r="O12" i="80" s="1"/>
  <c r="P12" i="80" s="1"/>
  <c r="Q12" i="80" s="1"/>
  <c r="K12" i="75"/>
  <c r="L12" i="75" s="1"/>
  <c r="L12" i="25"/>
  <c r="M12" i="75"/>
  <c r="N12" i="75" s="1"/>
  <c r="O12" i="75" s="1"/>
  <c r="P12" i="75" s="1"/>
  <c r="Q12" i="75" s="1"/>
  <c r="M12" i="25"/>
  <c r="N12" i="25"/>
  <c r="O12" i="25" s="1"/>
  <c r="P12" i="25" s="1"/>
  <c r="Q12" i="25" s="1"/>
  <c r="N12" i="79"/>
  <c r="O12" i="79" s="1"/>
  <c r="O12" i="76"/>
  <c r="P12" i="76" s="1"/>
  <c r="P12" i="79"/>
  <c r="Q12" i="79" s="1"/>
  <c r="Q12" i="76"/>
  <c r="G11" i="73"/>
  <c r="G11" i="74"/>
  <c r="G11" i="75"/>
  <c r="G11" i="76"/>
  <c r="G11" i="77"/>
  <c r="G11" i="78"/>
  <c r="G11" i="25"/>
  <c r="G11" i="79"/>
  <c r="G11" i="80"/>
  <c r="F88" i="83"/>
  <c r="E10" i="72"/>
  <c r="H122" i="83"/>
  <c r="E128" i="83"/>
  <c r="H131" i="83"/>
  <c r="I122" i="83"/>
  <c r="V36" i="83"/>
  <c r="I60" i="83"/>
  <c r="J60" i="83" s="1"/>
  <c r="K60" i="83" s="1"/>
  <c r="L60" i="83" s="1"/>
  <c r="M60" i="83" s="1"/>
  <c r="N60" i="83" s="1"/>
  <c r="O60" i="83" s="1"/>
  <c r="P60" i="83" s="1"/>
  <c r="Q60" i="83" s="1"/>
  <c r="I114" i="83"/>
  <c r="I131" i="83"/>
  <c r="J122" i="83"/>
  <c r="J114" i="83"/>
  <c r="K114" i="83" s="1"/>
  <c r="K131" i="83" s="1"/>
  <c r="J131" i="83"/>
  <c r="K122" i="83"/>
  <c r="L122" i="83"/>
  <c r="E130" i="83"/>
  <c r="H21" i="83"/>
  <c r="I21" i="83" s="1"/>
  <c r="H104" i="83"/>
  <c r="H121" i="83"/>
  <c r="G104" i="83"/>
  <c r="G121" i="83" s="1"/>
  <c r="G95" i="82"/>
  <c r="F88" i="82"/>
  <c r="H62" i="82"/>
  <c r="I62" i="82"/>
  <c r="I71" i="82" s="1"/>
  <c r="J62" i="82"/>
  <c r="J71" i="82" s="1"/>
  <c r="K62" i="82"/>
  <c r="H63" i="82"/>
  <c r="I63" i="82" s="1"/>
  <c r="J63" i="82" s="1"/>
  <c r="K63" i="82" s="1"/>
  <c r="G12" i="82"/>
  <c r="H12" i="82" s="1"/>
  <c r="I12" i="82" s="1"/>
  <c r="J12" i="82" s="1"/>
  <c r="K12" i="82" s="1"/>
  <c r="H29" i="82"/>
  <c r="I29" i="82" s="1"/>
  <c r="J29" i="82" s="1"/>
  <c r="K29" i="82" s="1"/>
  <c r="L29" i="82" s="1"/>
  <c r="M29" i="82" s="1"/>
  <c r="N29" i="82" s="1"/>
  <c r="O29" i="82" s="1"/>
  <c r="P29" i="82" s="1"/>
  <c r="Q29" i="82" s="1"/>
  <c r="N33" i="82"/>
  <c r="O33" i="82" s="1"/>
  <c r="P33" i="82" s="1"/>
  <c r="Q33" i="82" s="1"/>
  <c r="H71" i="82"/>
  <c r="G18" i="82"/>
  <c r="H59" i="82" s="1"/>
  <c r="I59" i="82" s="1"/>
  <c r="J59" i="82" s="1"/>
  <c r="K59" i="82" s="1"/>
  <c r="L59" i="82" s="1"/>
  <c r="M59" i="82" s="1"/>
  <c r="N59" i="82" s="1"/>
  <c r="O59" i="82" s="1"/>
  <c r="P59" i="82" s="1"/>
  <c r="Q59" i="82" s="1"/>
  <c r="F18" i="82"/>
  <c r="E18" i="82"/>
  <c r="H122" i="82"/>
  <c r="H57" i="82"/>
  <c r="I57" i="82" s="1"/>
  <c r="J57" i="82" s="1"/>
  <c r="K57" i="82" s="1"/>
  <c r="L57" i="82" s="1"/>
  <c r="M57" i="82" s="1"/>
  <c r="N57" i="82" s="1"/>
  <c r="O57" i="82" s="1"/>
  <c r="P57" i="82" s="1"/>
  <c r="Q57" i="82" s="1"/>
  <c r="H60" i="82"/>
  <c r="I60" i="82" s="1"/>
  <c r="E128" i="82"/>
  <c r="H131" i="82"/>
  <c r="I122" i="82"/>
  <c r="V34" i="82"/>
  <c r="I33" i="82" s="1"/>
  <c r="J33" i="82" s="1"/>
  <c r="K33" i="82" s="1"/>
  <c r="L33" i="82" s="1"/>
  <c r="M33" i="82" s="1"/>
  <c r="V36" i="82"/>
  <c r="I114" i="82"/>
  <c r="I131" i="82" s="1"/>
  <c r="J122" i="82"/>
  <c r="J60" i="82"/>
  <c r="K60" i="82" s="1"/>
  <c r="L60" i="82" s="1"/>
  <c r="K122" i="82"/>
  <c r="L122" i="82"/>
  <c r="L12" i="82"/>
  <c r="M12" i="82" s="1"/>
  <c r="N12" i="82" s="1"/>
  <c r="O12" i="82" s="1"/>
  <c r="P12" i="82" s="1"/>
  <c r="Q12" i="82" s="1"/>
  <c r="E130" i="82"/>
  <c r="H21" i="82"/>
  <c r="H104" i="82" s="1"/>
  <c r="I21" i="82"/>
  <c r="H121" i="82"/>
  <c r="G104" i="82"/>
  <c r="G121" i="82"/>
  <c r="M60" i="82"/>
  <c r="N60" i="82" s="1"/>
  <c r="O60" i="82"/>
  <c r="P60" i="82" s="1"/>
  <c r="Q60" i="82" s="1"/>
  <c r="G11" i="82"/>
  <c r="Z18" i="72"/>
  <c r="E18" i="80" s="1"/>
  <c r="H57" i="80" s="1"/>
  <c r="I57" i="80" s="1"/>
  <c r="J57" i="80" s="1"/>
  <c r="K57" i="80" s="1"/>
  <c r="L57" i="80" s="1"/>
  <c r="M57" i="80" s="1"/>
  <c r="N57" i="80" s="1"/>
  <c r="O57" i="80" s="1"/>
  <c r="P57" i="80" s="1"/>
  <c r="Q57" i="80" s="1"/>
  <c r="Z17" i="72"/>
  <c r="E18" i="79" s="1"/>
  <c r="Z15" i="72"/>
  <c r="E18" i="78"/>
  <c r="Z14" i="72"/>
  <c r="E18" i="77" s="1"/>
  <c r="H57" i="77" s="1"/>
  <c r="I57" i="77" s="1"/>
  <c r="J57" i="77"/>
  <c r="K57" i="77" s="1"/>
  <c r="L57" i="77" s="1"/>
  <c r="M57" i="77" s="1"/>
  <c r="N57" i="77" s="1"/>
  <c r="O57" i="77" s="1"/>
  <c r="P57" i="77" s="1"/>
  <c r="Q57" i="77" s="1"/>
  <c r="Z13" i="72"/>
  <c r="E18" i="76" s="1"/>
  <c r="H57" i="76" s="1"/>
  <c r="I57" i="76" s="1"/>
  <c r="J57" i="76" s="1"/>
  <c r="K57" i="76" s="1"/>
  <c r="L57" i="76" s="1"/>
  <c r="M57" i="76" s="1"/>
  <c r="N57" i="76" s="1"/>
  <c r="O57" i="76" s="1"/>
  <c r="P57" i="76" s="1"/>
  <c r="Q57" i="76" s="1"/>
  <c r="Z12" i="72"/>
  <c r="E18" i="75" s="1"/>
  <c r="H57" i="75" s="1"/>
  <c r="I57" i="75" s="1"/>
  <c r="J57" i="75" s="1"/>
  <c r="K57" i="75" s="1"/>
  <c r="L57" i="75" s="1"/>
  <c r="M57" i="75" s="1"/>
  <c r="N57" i="75" s="1"/>
  <c r="O57" i="75" s="1"/>
  <c r="P57" i="75" s="1"/>
  <c r="Q57" i="75" s="1"/>
  <c r="Z11" i="72"/>
  <c r="E18" i="74" s="1"/>
  <c r="H57" i="74" s="1"/>
  <c r="I57" i="74" s="1"/>
  <c r="J57" i="74"/>
  <c r="K57" i="74" s="1"/>
  <c r="L57" i="74" s="1"/>
  <c r="M57" i="74" s="1"/>
  <c r="N57" i="74" s="1"/>
  <c r="O57" i="74" s="1"/>
  <c r="P57" i="74" s="1"/>
  <c r="Q57" i="74" s="1"/>
  <c r="Z10" i="72"/>
  <c r="G95" i="80"/>
  <c r="F88" i="80"/>
  <c r="H62" i="80"/>
  <c r="I62" i="80"/>
  <c r="H63" i="80"/>
  <c r="I63" i="80" s="1"/>
  <c r="H29" i="80"/>
  <c r="I29" i="80" s="1"/>
  <c r="J29" i="80"/>
  <c r="K29" i="80" s="1"/>
  <c r="L29" i="80"/>
  <c r="M29" i="80"/>
  <c r="N29" i="80"/>
  <c r="O29" i="80" s="1"/>
  <c r="P29" i="80" s="1"/>
  <c r="Q29" i="80" s="1"/>
  <c r="H71" i="80"/>
  <c r="G18" i="80"/>
  <c r="F18" i="80"/>
  <c r="H122" i="80"/>
  <c r="H58" i="80"/>
  <c r="I58" i="80" s="1"/>
  <c r="J58" i="80" s="1"/>
  <c r="K58" i="80" s="1"/>
  <c r="L58" i="80" s="1"/>
  <c r="M58" i="80" s="1"/>
  <c r="N58" i="80" s="1"/>
  <c r="H60" i="80"/>
  <c r="E128" i="80"/>
  <c r="H131" i="80"/>
  <c r="I122" i="80"/>
  <c r="V34" i="80"/>
  <c r="I33" i="80" s="1"/>
  <c r="J33" i="80" s="1"/>
  <c r="K33" i="80" s="1"/>
  <c r="L33" i="80" s="1"/>
  <c r="M33" i="80" s="1"/>
  <c r="N33" i="80" s="1"/>
  <c r="O33" i="80" s="1"/>
  <c r="P33" i="80" s="1"/>
  <c r="Q33" i="80" s="1"/>
  <c r="V36" i="80"/>
  <c r="I60" i="80"/>
  <c r="J60" i="80" s="1"/>
  <c r="I114" i="80"/>
  <c r="I131" i="80"/>
  <c r="J122" i="80"/>
  <c r="J114" i="80"/>
  <c r="J131" i="80"/>
  <c r="K122" i="80"/>
  <c r="K60" i="80"/>
  <c r="L60" i="80" s="1"/>
  <c r="M60" i="80" s="1"/>
  <c r="N60" i="80" s="1"/>
  <c r="O60" i="80" s="1"/>
  <c r="P60" i="80" s="1"/>
  <c r="Q60" i="80" s="1"/>
  <c r="K114" i="80"/>
  <c r="L122" i="80"/>
  <c r="E130" i="80"/>
  <c r="H21" i="80"/>
  <c r="I21" i="80"/>
  <c r="I104" i="80" s="1"/>
  <c r="I121" i="80" s="1"/>
  <c r="J21" i="80"/>
  <c r="H104" i="80"/>
  <c r="H121" i="80" s="1"/>
  <c r="G104" i="80"/>
  <c r="G121" i="80"/>
  <c r="O58" i="80"/>
  <c r="P58" i="80" s="1"/>
  <c r="Q58" i="80" s="1"/>
  <c r="G95" i="79"/>
  <c r="F88" i="79"/>
  <c r="H62" i="79"/>
  <c r="H63" i="79"/>
  <c r="I63" i="79" s="1"/>
  <c r="H29" i="79"/>
  <c r="I29" i="79" s="1"/>
  <c r="J29" i="79"/>
  <c r="K29" i="79"/>
  <c r="L29" i="79" s="1"/>
  <c r="M29" i="79" s="1"/>
  <c r="N29" i="79" s="1"/>
  <c r="O29" i="79" s="1"/>
  <c r="P29" i="79" s="1"/>
  <c r="Q29" i="79" s="1"/>
  <c r="G18" i="79"/>
  <c r="H59" i="79" s="1"/>
  <c r="I59" i="79" s="1"/>
  <c r="J59" i="79" s="1"/>
  <c r="K59" i="79" s="1"/>
  <c r="L59" i="79" s="1"/>
  <c r="M59" i="79" s="1"/>
  <c r="N59" i="79" s="1"/>
  <c r="O59" i="79" s="1"/>
  <c r="P59" i="79" s="1"/>
  <c r="Q59" i="79" s="1"/>
  <c r="F18" i="79"/>
  <c r="H122" i="79"/>
  <c r="H60" i="79"/>
  <c r="I60" i="79" s="1"/>
  <c r="E128" i="79"/>
  <c r="H131" i="79"/>
  <c r="I122" i="79"/>
  <c r="V34" i="79"/>
  <c r="I33" i="79" s="1"/>
  <c r="J33" i="79" s="1"/>
  <c r="K33" i="79" s="1"/>
  <c r="L33" i="79" s="1"/>
  <c r="M33" i="79" s="1"/>
  <c r="N33" i="79" s="1"/>
  <c r="O33" i="79" s="1"/>
  <c r="P33" i="79" s="1"/>
  <c r="Q33" i="79" s="1"/>
  <c r="V36" i="79"/>
  <c r="I114" i="79"/>
  <c r="J114" i="79" s="1"/>
  <c r="J131" i="79" s="1"/>
  <c r="I131" i="79"/>
  <c r="J122" i="79"/>
  <c r="J60" i="79"/>
  <c r="K122" i="79"/>
  <c r="K60" i="79"/>
  <c r="L60" i="79" s="1"/>
  <c r="M60" i="79" s="1"/>
  <c r="N60" i="79" s="1"/>
  <c r="O60" i="79" s="1"/>
  <c r="P60" i="79" s="1"/>
  <c r="Q60" i="79" s="1"/>
  <c r="K114" i="79"/>
  <c r="L114" i="79" s="1"/>
  <c r="M114" i="79" s="1"/>
  <c r="N114" i="79" s="1"/>
  <c r="O114" i="79" s="1"/>
  <c r="P114" i="79" s="1"/>
  <c r="Q114" i="79" s="1"/>
  <c r="K131" i="79"/>
  <c r="L122" i="79"/>
  <c r="L131" i="79"/>
  <c r="E130" i="79"/>
  <c r="H21" i="79"/>
  <c r="G104" i="79"/>
  <c r="G121" i="79" s="1"/>
  <c r="E15" i="72"/>
  <c r="G95" i="78"/>
  <c r="F88" i="78"/>
  <c r="H62" i="78"/>
  <c r="I62" i="78" s="1"/>
  <c r="H63" i="78"/>
  <c r="I63" i="78"/>
  <c r="J63" i="78"/>
  <c r="K63" i="78"/>
  <c r="H29" i="78"/>
  <c r="I29" i="78"/>
  <c r="J29" i="78" s="1"/>
  <c r="K29" i="78"/>
  <c r="L29" i="78"/>
  <c r="M29" i="78" s="1"/>
  <c r="N29" i="78" s="1"/>
  <c r="O29" i="78" s="1"/>
  <c r="P29" i="78" s="1"/>
  <c r="Q29" i="78" s="1"/>
  <c r="H71" i="78"/>
  <c r="G18" i="78"/>
  <c r="F18" i="78"/>
  <c r="H122" i="78"/>
  <c r="H60" i="78"/>
  <c r="E128" i="78"/>
  <c r="H131" i="78"/>
  <c r="I122" i="78"/>
  <c r="V34" i="78"/>
  <c r="I33" i="78" s="1"/>
  <c r="J33" i="78" s="1"/>
  <c r="K33" i="78" s="1"/>
  <c r="L33" i="78" s="1"/>
  <c r="M33" i="78" s="1"/>
  <c r="N33" i="78" s="1"/>
  <c r="O33" i="78" s="1"/>
  <c r="P33" i="78" s="1"/>
  <c r="Q33" i="78" s="1"/>
  <c r="V36" i="78"/>
  <c r="I60" i="78"/>
  <c r="I114" i="78"/>
  <c r="I131" i="78" s="1"/>
  <c r="J122" i="78"/>
  <c r="J60" i="78"/>
  <c r="K60" i="78" s="1"/>
  <c r="L60" i="78" s="1"/>
  <c r="M60" i="78" s="1"/>
  <c r="N60" i="78" s="1"/>
  <c r="O60" i="78" s="1"/>
  <c r="P60" i="78" s="1"/>
  <c r="Q60" i="78" s="1"/>
  <c r="J114" i="78"/>
  <c r="K122" i="78"/>
  <c r="L122" i="78"/>
  <c r="E130" i="78"/>
  <c r="H21" i="78"/>
  <c r="I21" i="78"/>
  <c r="J21" i="78" s="1"/>
  <c r="K21" i="78" s="1"/>
  <c r="K104" i="78" s="1"/>
  <c r="K121" i="78" s="1"/>
  <c r="J104" i="78"/>
  <c r="J121" i="78" s="1"/>
  <c r="I104" i="78"/>
  <c r="I121" i="78" s="1"/>
  <c r="H104" i="78"/>
  <c r="H121" i="78" s="1"/>
  <c r="G104" i="78"/>
  <c r="G121" i="78"/>
  <c r="E14" i="72"/>
  <c r="G95" i="77"/>
  <c r="F88" i="77"/>
  <c r="H62" i="77"/>
  <c r="H71" i="77" s="1"/>
  <c r="I62" i="77"/>
  <c r="J62" i="77" s="1"/>
  <c r="I71" i="77"/>
  <c r="H63" i="77"/>
  <c r="I63" i="77" s="1"/>
  <c r="H29" i="77"/>
  <c r="I29" i="77" s="1"/>
  <c r="J29" i="77" s="1"/>
  <c r="K29" i="77" s="1"/>
  <c r="L29" i="77" s="1"/>
  <c r="M29" i="77"/>
  <c r="N29" i="77" s="1"/>
  <c r="O29" i="77" s="1"/>
  <c r="P29" i="77" s="1"/>
  <c r="Q29" i="77" s="1"/>
  <c r="G18" i="77"/>
  <c r="H59" i="77" s="1"/>
  <c r="I59" i="77" s="1"/>
  <c r="J59" i="77" s="1"/>
  <c r="F18" i="77"/>
  <c r="H58" i="77" s="1"/>
  <c r="I58" i="77" s="1"/>
  <c r="H122" i="77"/>
  <c r="H60" i="77"/>
  <c r="E128" i="77"/>
  <c r="H131" i="77"/>
  <c r="I122" i="77"/>
  <c r="V34" i="77"/>
  <c r="I33" i="77" s="1"/>
  <c r="J33" i="77" s="1"/>
  <c r="K33" i="77" s="1"/>
  <c r="L33" i="77" s="1"/>
  <c r="M33" i="77" s="1"/>
  <c r="N33" i="77" s="1"/>
  <c r="O33" i="77" s="1"/>
  <c r="P33" i="77" s="1"/>
  <c r="Q33" i="77" s="1"/>
  <c r="V36" i="77"/>
  <c r="I60" i="77"/>
  <c r="I114" i="77"/>
  <c r="J114" i="77" s="1"/>
  <c r="I131" i="77"/>
  <c r="J122" i="77"/>
  <c r="J58" i="77"/>
  <c r="K58" i="77" s="1"/>
  <c r="L58" i="77" s="1"/>
  <c r="M58" i="77" s="1"/>
  <c r="N58" i="77" s="1"/>
  <c r="O58" i="77" s="1"/>
  <c r="J60" i="77"/>
  <c r="K60" i="77" s="1"/>
  <c r="L60" i="77" s="1"/>
  <c r="M60" i="77" s="1"/>
  <c r="N60" i="77" s="1"/>
  <c r="O60" i="77" s="1"/>
  <c r="P60" i="77" s="1"/>
  <c r="Q60" i="77" s="1"/>
  <c r="K122" i="77"/>
  <c r="K59" i="77"/>
  <c r="L59" i="77" s="1"/>
  <c r="L122" i="77"/>
  <c r="E130" i="77"/>
  <c r="H21" i="77"/>
  <c r="I21" i="77"/>
  <c r="I104" i="77" s="1"/>
  <c r="I121" i="77" s="1"/>
  <c r="H104" i="77"/>
  <c r="H121" i="77" s="1"/>
  <c r="G104" i="77"/>
  <c r="G121" i="77" s="1"/>
  <c r="M59" i="77"/>
  <c r="N59" i="77" s="1"/>
  <c r="O59" i="77" s="1"/>
  <c r="P59" i="77" s="1"/>
  <c r="Q59" i="77" s="1"/>
  <c r="P58" i="77"/>
  <c r="Q58" i="77" s="1"/>
  <c r="E13" i="72"/>
  <c r="G95" i="76"/>
  <c r="F88" i="76"/>
  <c r="H62" i="76"/>
  <c r="I62" i="76"/>
  <c r="H63" i="76"/>
  <c r="I63" i="76"/>
  <c r="H29" i="76"/>
  <c r="I29" i="76"/>
  <c r="J29" i="76" s="1"/>
  <c r="K29" i="76"/>
  <c r="L29" i="76" s="1"/>
  <c r="M29" i="76" s="1"/>
  <c r="N29" i="76" s="1"/>
  <c r="O29" i="76" s="1"/>
  <c r="P29" i="76" s="1"/>
  <c r="Q29" i="76" s="1"/>
  <c r="H71" i="76"/>
  <c r="G18" i="76"/>
  <c r="F18" i="76"/>
  <c r="H122" i="76"/>
  <c r="H58" i="76"/>
  <c r="I58" i="76" s="1"/>
  <c r="J58" i="76" s="1"/>
  <c r="K58" i="76" s="1"/>
  <c r="L58" i="76" s="1"/>
  <c r="M58" i="76" s="1"/>
  <c r="N58" i="76" s="1"/>
  <c r="O58" i="76" s="1"/>
  <c r="P58" i="76" s="1"/>
  <c r="Q58" i="76" s="1"/>
  <c r="H59" i="76"/>
  <c r="H60" i="76"/>
  <c r="I60" i="76" s="1"/>
  <c r="J60" i="76" s="1"/>
  <c r="K60" i="76" s="1"/>
  <c r="L60" i="76" s="1"/>
  <c r="M60" i="76" s="1"/>
  <c r="N60" i="76" s="1"/>
  <c r="O60" i="76" s="1"/>
  <c r="P60" i="76" s="1"/>
  <c r="Q60" i="76" s="1"/>
  <c r="E128" i="76"/>
  <c r="H131" i="76"/>
  <c r="I122" i="76"/>
  <c r="V34" i="76"/>
  <c r="I33" i="76" s="1"/>
  <c r="J33" i="76" s="1"/>
  <c r="K33" i="76" s="1"/>
  <c r="L33" i="76" s="1"/>
  <c r="M33" i="76" s="1"/>
  <c r="N33" i="76" s="1"/>
  <c r="O33" i="76" s="1"/>
  <c r="P33" i="76" s="1"/>
  <c r="V36" i="76"/>
  <c r="I59" i="76"/>
  <c r="I114" i="76"/>
  <c r="I131" i="76" s="1"/>
  <c r="J122" i="76"/>
  <c r="J59" i="76"/>
  <c r="K59" i="76" s="1"/>
  <c r="L59" i="76" s="1"/>
  <c r="M59" i="76" s="1"/>
  <c r="N59" i="76" s="1"/>
  <c r="O59" i="76" s="1"/>
  <c r="P59" i="76" s="1"/>
  <c r="Q59" i="76" s="1"/>
  <c r="J114" i="76"/>
  <c r="K122" i="76"/>
  <c r="L122" i="76"/>
  <c r="E130" i="76"/>
  <c r="H21" i="76"/>
  <c r="H104" i="76" s="1"/>
  <c r="H121" i="76"/>
  <c r="G104" i="76"/>
  <c r="G121" i="76"/>
  <c r="E12" i="72"/>
  <c r="G95" i="75"/>
  <c r="F88" i="75"/>
  <c r="H62" i="75"/>
  <c r="I62" i="75"/>
  <c r="I71" i="75"/>
  <c r="J62" i="75"/>
  <c r="H63" i="75"/>
  <c r="I63" i="75"/>
  <c r="J63" i="75" s="1"/>
  <c r="K63" i="75" s="1"/>
  <c r="H29" i="75"/>
  <c r="I29" i="75" s="1"/>
  <c r="J29" i="75"/>
  <c r="K29" i="75" s="1"/>
  <c r="L29" i="75" s="1"/>
  <c r="M29" i="75" s="1"/>
  <c r="N29" i="75" s="1"/>
  <c r="O29" i="75" s="1"/>
  <c r="P29" i="75" s="1"/>
  <c r="Q29" i="75" s="1"/>
  <c r="H71" i="75"/>
  <c r="G18" i="75"/>
  <c r="H59" i="75" s="1"/>
  <c r="I59" i="75" s="1"/>
  <c r="F18" i="75"/>
  <c r="H122" i="75"/>
  <c r="H58" i="75"/>
  <c r="H60" i="75"/>
  <c r="E128" i="75"/>
  <c r="H131" i="75"/>
  <c r="I122" i="75"/>
  <c r="V34" i="75"/>
  <c r="I33" i="75" s="1"/>
  <c r="J33" i="75" s="1"/>
  <c r="K33" i="75" s="1"/>
  <c r="L33" i="75" s="1"/>
  <c r="M33" i="75" s="1"/>
  <c r="N33" i="75" s="1"/>
  <c r="O33" i="75" s="1"/>
  <c r="P33" i="75" s="1"/>
  <c r="Q33" i="75" s="1"/>
  <c r="V36" i="75"/>
  <c r="I58" i="75"/>
  <c r="J58" i="75" s="1"/>
  <c r="I60" i="75"/>
  <c r="J60" i="75" s="1"/>
  <c r="K60" i="75" s="1"/>
  <c r="L60" i="75" s="1"/>
  <c r="M60" i="75" s="1"/>
  <c r="N60" i="75" s="1"/>
  <c r="O60" i="75" s="1"/>
  <c r="P60" i="75" s="1"/>
  <c r="Q60" i="75" s="1"/>
  <c r="I114" i="75"/>
  <c r="I131" i="75" s="1"/>
  <c r="J122" i="75"/>
  <c r="J59" i="75"/>
  <c r="K59" i="75" s="1"/>
  <c r="J114" i="75"/>
  <c r="K114" i="75" s="1"/>
  <c r="K131" i="75" s="1"/>
  <c r="J131" i="75"/>
  <c r="K122" i="75"/>
  <c r="K58" i="75"/>
  <c r="L58" i="75" s="1"/>
  <c r="M58" i="75" s="1"/>
  <c r="N58" i="75" s="1"/>
  <c r="O58" i="75" s="1"/>
  <c r="P58" i="75" s="1"/>
  <c r="Q58" i="75" s="1"/>
  <c r="L122" i="75"/>
  <c r="L59" i="75"/>
  <c r="M59" i="75" s="1"/>
  <c r="N59" i="75" s="1"/>
  <c r="O59" i="75" s="1"/>
  <c r="P59" i="75" s="1"/>
  <c r="Q59" i="75" s="1"/>
  <c r="L114" i="75"/>
  <c r="L131" i="75" s="1"/>
  <c r="E130" i="75"/>
  <c r="H21" i="75"/>
  <c r="I21" i="75"/>
  <c r="J21" i="75" s="1"/>
  <c r="I104" i="75"/>
  <c r="I121" i="75" s="1"/>
  <c r="H104" i="75"/>
  <c r="H121" i="75"/>
  <c r="G104" i="75"/>
  <c r="G121" i="75"/>
  <c r="M114" i="75"/>
  <c r="N114" i="75" s="1"/>
  <c r="O114" i="75" s="1"/>
  <c r="P114" i="75" s="1"/>
  <c r="Q114" i="75" s="1"/>
  <c r="H62" i="74"/>
  <c r="H63" i="74"/>
  <c r="I63" i="74"/>
  <c r="H29" i="74"/>
  <c r="I29" i="74"/>
  <c r="J29" i="74" s="1"/>
  <c r="K29" i="74" s="1"/>
  <c r="L29" i="74" s="1"/>
  <c r="M29" i="74" s="1"/>
  <c r="N29" i="74" s="1"/>
  <c r="O29" i="74" s="1"/>
  <c r="P29" i="74" s="1"/>
  <c r="Q29" i="74" s="1"/>
  <c r="H29" i="73"/>
  <c r="I29" i="73"/>
  <c r="J29" i="73" s="1"/>
  <c r="K29" i="73" s="1"/>
  <c r="L29" i="73" s="1"/>
  <c r="M29" i="73" s="1"/>
  <c r="N29" i="73" s="1"/>
  <c r="O29" i="73" s="1"/>
  <c r="P29" i="73" s="1"/>
  <c r="Q29" i="73" s="1"/>
  <c r="H63" i="73"/>
  <c r="I63" i="73"/>
  <c r="J63" i="73"/>
  <c r="K63" i="73" s="1"/>
  <c r="L63" i="73"/>
  <c r="H62" i="73"/>
  <c r="I62" i="73" s="1"/>
  <c r="I71" i="73" s="1"/>
  <c r="J62" i="73"/>
  <c r="E11" i="72"/>
  <c r="G95" i="74"/>
  <c r="F88" i="74"/>
  <c r="G18" i="74"/>
  <c r="F18" i="74"/>
  <c r="H58" i="74" s="1"/>
  <c r="H122" i="74"/>
  <c r="H60" i="74"/>
  <c r="I60" i="74" s="1"/>
  <c r="J60" i="74" s="1"/>
  <c r="E128" i="74"/>
  <c r="H131" i="74"/>
  <c r="I122" i="74"/>
  <c r="V34" i="74"/>
  <c r="I33" i="74" s="1"/>
  <c r="J33" i="74" s="1"/>
  <c r="K33" i="74" s="1"/>
  <c r="L33" i="74" s="1"/>
  <c r="M33" i="74" s="1"/>
  <c r="N33" i="74" s="1"/>
  <c r="O33" i="74" s="1"/>
  <c r="P33" i="74" s="1"/>
  <c r="Q33" i="74" s="1"/>
  <c r="V36" i="74"/>
  <c r="I58" i="74"/>
  <c r="J58" i="74" s="1"/>
  <c r="K58" i="74" s="1"/>
  <c r="L58" i="74" s="1"/>
  <c r="M58" i="74" s="1"/>
  <c r="I114" i="74"/>
  <c r="I131" i="74"/>
  <c r="J122" i="74"/>
  <c r="J114" i="74"/>
  <c r="K122" i="74"/>
  <c r="K60" i="74"/>
  <c r="L60" i="74" s="1"/>
  <c r="M60" i="74" s="1"/>
  <c r="N60" i="74" s="1"/>
  <c r="O60" i="74" s="1"/>
  <c r="P60" i="74" s="1"/>
  <c r="Q60" i="74" s="1"/>
  <c r="L122" i="74"/>
  <c r="E130" i="74"/>
  <c r="H21" i="74"/>
  <c r="I21" i="74" s="1"/>
  <c r="G104" i="74"/>
  <c r="G121" i="74"/>
  <c r="N58" i="74"/>
  <c r="O58" i="74" s="1"/>
  <c r="P58" i="74" s="1"/>
  <c r="Q58" i="74" s="1"/>
  <c r="F88" i="73"/>
  <c r="G18" i="73"/>
  <c r="F18" i="73"/>
  <c r="H122" i="73"/>
  <c r="H58" i="73"/>
  <c r="H59" i="73"/>
  <c r="H60" i="73"/>
  <c r="I60" i="73" s="1"/>
  <c r="J60" i="73" s="1"/>
  <c r="K60" i="73" s="1"/>
  <c r="L60" i="73" s="1"/>
  <c r="M60" i="73" s="1"/>
  <c r="N60" i="73" s="1"/>
  <c r="O60" i="73" s="1"/>
  <c r="P60" i="73" s="1"/>
  <c r="Q60" i="73" s="1"/>
  <c r="E128" i="73"/>
  <c r="H131" i="73"/>
  <c r="I122" i="73"/>
  <c r="V34" i="73"/>
  <c r="I33" i="73" s="1"/>
  <c r="J33" i="73" s="1"/>
  <c r="K33" i="73" s="1"/>
  <c r="L33" i="73" s="1"/>
  <c r="M33" i="73" s="1"/>
  <c r="N33" i="73" s="1"/>
  <c r="O33" i="73" s="1"/>
  <c r="P33" i="73" s="1"/>
  <c r="Q33" i="73" s="1"/>
  <c r="V36" i="73"/>
  <c r="I58" i="73"/>
  <c r="J58" i="73" s="1"/>
  <c r="K58" i="73" s="1"/>
  <c r="L58" i="73" s="1"/>
  <c r="M58" i="73" s="1"/>
  <c r="N58" i="73" s="1"/>
  <c r="O58" i="73" s="1"/>
  <c r="P58" i="73" s="1"/>
  <c r="Q58" i="73" s="1"/>
  <c r="I59" i="73"/>
  <c r="J59" i="73" s="1"/>
  <c r="K59" i="73" s="1"/>
  <c r="L59" i="73" s="1"/>
  <c r="M59" i="73" s="1"/>
  <c r="N59" i="73" s="1"/>
  <c r="O59" i="73" s="1"/>
  <c r="P59" i="73" s="1"/>
  <c r="Q59" i="73" s="1"/>
  <c r="I114" i="73"/>
  <c r="J114" i="73" s="1"/>
  <c r="I131" i="73"/>
  <c r="J122" i="73"/>
  <c r="K122" i="73"/>
  <c r="L122" i="73"/>
  <c r="E130" i="73"/>
  <c r="H21" i="73"/>
  <c r="G104" i="73"/>
  <c r="G121" i="73" s="1"/>
  <c r="H63" i="25"/>
  <c r="I63" i="25" s="1"/>
  <c r="J63" i="25"/>
  <c r="H62" i="25"/>
  <c r="I62" i="25"/>
  <c r="I71" i="25"/>
  <c r="J62" i="25"/>
  <c r="K62" i="25" s="1"/>
  <c r="J71" i="25"/>
  <c r="H71" i="25"/>
  <c r="E16" i="72"/>
  <c r="C54" i="8"/>
  <c r="H29" i="25"/>
  <c r="I29" i="25"/>
  <c r="J29" i="25" s="1"/>
  <c r="K29" i="25" s="1"/>
  <c r="L29" i="25" s="1"/>
  <c r="M29" i="25" s="1"/>
  <c r="N29" i="25" s="1"/>
  <c r="O29" i="25" s="1"/>
  <c r="P29" i="25" s="1"/>
  <c r="Q29" i="25" s="1"/>
  <c r="Z16" i="72"/>
  <c r="E18" i="25"/>
  <c r="F18" i="25"/>
  <c r="H58" i="25" s="1"/>
  <c r="I58" i="25" s="1"/>
  <c r="J58" i="25" s="1"/>
  <c r="K58" i="25" s="1"/>
  <c r="L58" i="25" s="1"/>
  <c r="M58" i="25" s="1"/>
  <c r="N58" i="25" s="1"/>
  <c r="G18" i="25"/>
  <c r="H59" i="25" s="1"/>
  <c r="I59" i="25" s="1"/>
  <c r="J59" i="25"/>
  <c r="K59" i="25" s="1"/>
  <c r="L59" i="25" s="1"/>
  <c r="F88" i="25"/>
  <c r="G95" i="25"/>
  <c r="H60" i="25"/>
  <c r="V34" i="25"/>
  <c r="I33" i="25" s="1"/>
  <c r="J33" i="25" s="1"/>
  <c r="K33" i="25" s="1"/>
  <c r="L33" i="25" s="1"/>
  <c r="M33" i="25" s="1"/>
  <c r="N33" i="25" s="1"/>
  <c r="O33" i="25" s="1"/>
  <c r="P33" i="25" s="1"/>
  <c r="Q33" i="25" s="1"/>
  <c r="V36" i="25"/>
  <c r="O58" i="25"/>
  <c r="P58" i="25" s="1"/>
  <c r="Q58" i="25" s="1"/>
  <c r="M57" i="25"/>
  <c r="H57" i="35"/>
  <c r="H58" i="35"/>
  <c r="H59" i="35"/>
  <c r="H56" i="35"/>
  <c r="G57" i="35"/>
  <c r="G58" i="35"/>
  <c r="G59" i="35"/>
  <c r="G56" i="35"/>
  <c r="F57" i="35"/>
  <c r="F58" i="35"/>
  <c r="F59" i="35"/>
  <c r="F56" i="35"/>
  <c r="E13" i="63"/>
  <c r="F12" i="63" s="1"/>
  <c r="C39" i="8"/>
  <c r="I60" i="25"/>
  <c r="H21" i="25"/>
  <c r="I21" i="25" s="1"/>
  <c r="I104" i="25" s="1"/>
  <c r="I121" i="25" s="1"/>
  <c r="I114" i="25"/>
  <c r="J60" i="25"/>
  <c r="J21" i="25"/>
  <c r="J114" i="25"/>
  <c r="K114" i="25" s="1"/>
  <c r="K60" i="25"/>
  <c r="L60" i="25" s="1"/>
  <c r="M60" i="25" s="1"/>
  <c r="N60" i="25" s="1"/>
  <c r="O60" i="25" s="1"/>
  <c r="P60" i="25" s="1"/>
  <c r="Q60" i="25" s="1"/>
  <c r="M59" i="25"/>
  <c r="N59" i="25" s="1"/>
  <c r="O59" i="25" s="1"/>
  <c r="P59" i="25" s="1"/>
  <c r="Q59" i="25" s="1"/>
  <c r="N57" i="25"/>
  <c r="O57" i="25"/>
  <c r="P57" i="25" s="1"/>
  <c r="Q57" i="25" s="1"/>
  <c r="C5" i="71"/>
  <c r="C7" i="71" s="1"/>
  <c r="B5" i="71"/>
  <c r="B7" i="71" s="1"/>
  <c r="B9" i="71" s="1"/>
  <c r="E49" i="35"/>
  <c r="E50" i="35"/>
  <c r="E51" i="35"/>
  <c r="E52" i="35"/>
  <c r="E53" i="35"/>
  <c r="E54" i="35"/>
  <c r="E48" i="35"/>
  <c r="C49" i="35"/>
  <c r="C50" i="35" s="1"/>
  <c r="C51" i="35" s="1"/>
  <c r="C52" i="35"/>
  <c r="C53" i="35" s="1"/>
  <c r="C54" i="35" s="1"/>
  <c r="B39" i="35"/>
  <c r="B40" i="35"/>
  <c r="B41" i="35" s="1"/>
  <c r="L18" i="35"/>
  <c r="F20" i="35"/>
  <c r="C12" i="63"/>
  <c r="D12" i="63" s="1"/>
  <c r="D51" i="1"/>
  <c r="D65" i="1"/>
  <c r="B21" i="63"/>
  <c r="B22" i="63"/>
  <c r="B23" i="63"/>
  <c r="B24" i="63"/>
  <c r="B25" i="63" s="1"/>
  <c r="F18" i="69"/>
  <c r="F19" i="69"/>
  <c r="G18" i="69"/>
  <c r="G19" i="69"/>
  <c r="E20" i="35"/>
  <c r="E33" i="69"/>
  <c r="E30" i="69"/>
  <c r="E29" i="69"/>
  <c r="E26" i="69"/>
  <c r="E25" i="69"/>
  <c r="E22" i="69"/>
  <c r="G21" i="69"/>
  <c r="E21" i="69"/>
  <c r="G20" i="69"/>
  <c r="E20" i="69"/>
  <c r="E19" i="69"/>
  <c r="E18" i="69"/>
  <c r="G17" i="69"/>
  <c r="E17" i="69"/>
  <c r="G16" i="69"/>
  <c r="E16" i="69"/>
  <c r="G15" i="69"/>
  <c r="F15" i="69"/>
  <c r="E15" i="69"/>
  <c r="G14" i="69"/>
  <c r="F14" i="69"/>
  <c r="E14" i="69"/>
  <c r="B15" i="70"/>
  <c r="B16" i="70"/>
  <c r="B17" i="70"/>
  <c r="B18" i="70" s="1"/>
  <c r="B19" i="70" s="1"/>
  <c r="B20" i="70"/>
  <c r="B21" i="70"/>
  <c r="B22" i="70"/>
  <c r="B23" i="70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15" i="69"/>
  <c r="B16" i="69"/>
  <c r="B17" i="69"/>
  <c r="B18" i="69" s="1"/>
  <c r="B19" i="69" s="1"/>
  <c r="B20" i="69" s="1"/>
  <c r="B21" i="69" s="1"/>
  <c r="B22" i="69" s="1"/>
  <c r="B23" i="69" s="1"/>
  <c r="B24" i="69" s="1"/>
  <c r="B25" i="69" s="1"/>
  <c r="B26" i="69" s="1"/>
  <c r="B27" i="69" s="1"/>
  <c r="B28" i="69" s="1"/>
  <c r="B29" i="69" s="1"/>
  <c r="B30" i="69" s="1"/>
  <c r="B31" i="69" s="1"/>
  <c r="B32" i="69" s="1"/>
  <c r="B33" i="69" s="1"/>
  <c r="C25" i="68"/>
  <c r="C24" i="68"/>
  <c r="C23" i="68"/>
  <c r="C12" i="68"/>
  <c r="C11" i="68"/>
  <c r="C5" i="68"/>
  <c r="K122" i="25"/>
  <c r="L122" i="25"/>
  <c r="H131" i="25"/>
  <c r="E130" i="25"/>
  <c r="E128" i="25"/>
  <c r="G104" i="25"/>
  <c r="G121" i="25"/>
  <c r="F22" i="1"/>
  <c r="D48" i="1"/>
  <c r="D73" i="1"/>
  <c r="F73" i="1"/>
  <c r="D61" i="1"/>
  <c r="F61" i="1"/>
  <c r="F64" i="1" s="1"/>
  <c r="D57" i="1"/>
  <c r="F57" i="1"/>
  <c r="D59" i="1"/>
  <c r="F59" i="1"/>
  <c r="D68" i="1"/>
  <c r="D67" i="1"/>
  <c r="D60" i="1"/>
  <c r="F60" i="1"/>
  <c r="F66" i="1"/>
  <c r="D58" i="1"/>
  <c r="F58" i="1" s="1"/>
  <c r="F63" i="1" s="1"/>
  <c r="F81" i="1"/>
  <c r="F13" i="63"/>
  <c r="D26" i="1"/>
  <c r="F26" i="1"/>
  <c r="J122" i="25"/>
  <c r="G27" i="69"/>
  <c r="G26" i="69"/>
  <c r="F16" i="69"/>
  <c r="G31" i="69"/>
  <c r="G29" i="69"/>
  <c r="G33" i="69"/>
  <c r="G32" i="69"/>
  <c r="G28" i="69"/>
  <c r="G30" i="69"/>
  <c r="G23" i="69"/>
  <c r="G25" i="69"/>
  <c r="G22" i="69"/>
  <c r="G24" i="69"/>
  <c r="E32" i="69"/>
  <c r="E28" i="69"/>
  <c r="E24" i="69"/>
  <c r="E31" i="69"/>
  <c r="E27" i="69"/>
  <c r="E23" i="69"/>
  <c r="F23" i="69"/>
  <c r="F22" i="69"/>
  <c r="F17" i="69"/>
  <c r="F20" i="69"/>
  <c r="F26" i="69"/>
  <c r="F30" i="69"/>
  <c r="F27" i="69"/>
  <c r="F31" i="69"/>
  <c r="F24" i="69"/>
  <c r="F21" i="69"/>
  <c r="F25" i="69"/>
  <c r="F32" i="69"/>
  <c r="F28" i="69"/>
  <c r="F29" i="69"/>
  <c r="F33" i="69"/>
  <c r="I122" i="25"/>
  <c r="I131" i="25"/>
  <c r="H104" i="25"/>
  <c r="H121" i="25" s="1"/>
  <c r="D69" i="1"/>
  <c r="D66" i="1"/>
  <c r="D63" i="1"/>
  <c r="B26" i="63"/>
  <c r="B27" i="63" s="1"/>
  <c r="B28" i="63" s="1"/>
  <c r="B29" i="63" s="1"/>
  <c r="B30" i="63" s="1"/>
  <c r="B31" i="63" s="1"/>
  <c r="B32" i="63" s="1"/>
  <c r="B33" i="63" s="1"/>
  <c r="B34" i="63" s="1"/>
  <c r="B35" i="63" s="1"/>
  <c r="B36" i="63" s="1"/>
  <c r="B37" i="63" s="1"/>
  <c r="B38" i="63" s="1"/>
  <c r="J131" i="25"/>
  <c r="F65" i="1"/>
  <c r="D16" i="63"/>
  <c r="K16" i="63" s="1"/>
  <c r="L16" i="63" s="1"/>
  <c r="H122" i="25"/>
  <c r="D64" i="1"/>
  <c r="D20" i="35"/>
  <c r="D52" i="1"/>
  <c r="D14" i="1"/>
  <c r="D16" i="1"/>
  <c r="N16" i="72" l="1"/>
  <c r="G85" i="25" s="1"/>
  <c r="C18" i="8"/>
  <c r="C19" i="8" s="1"/>
  <c r="C55" i="8"/>
  <c r="AC16" i="72"/>
  <c r="H37" i="25" s="1"/>
  <c r="I37" i="25" s="1"/>
  <c r="J37" i="25" s="1"/>
  <c r="K37" i="25" s="1"/>
  <c r="L37" i="25" s="1"/>
  <c r="M37" i="25" s="1"/>
  <c r="N37" i="25" s="1"/>
  <c r="O37" i="25" s="1"/>
  <c r="P37" i="25" s="1"/>
  <c r="Q37" i="25" s="1"/>
  <c r="AC18" i="72"/>
  <c r="H37" i="80" s="1"/>
  <c r="I37" i="80" s="1"/>
  <c r="J37" i="80" s="1"/>
  <c r="K37" i="80" s="1"/>
  <c r="L37" i="80" s="1"/>
  <c r="M37" i="80" s="1"/>
  <c r="N37" i="80" s="1"/>
  <c r="O37" i="80" s="1"/>
  <c r="P37" i="80" s="1"/>
  <c r="Q37" i="80" s="1"/>
  <c r="N17" i="72"/>
  <c r="G85" i="79" s="1"/>
  <c r="AC17" i="72"/>
  <c r="H37" i="79" s="1"/>
  <c r="I37" i="79" s="1"/>
  <c r="J37" i="79" s="1"/>
  <c r="K37" i="79" s="1"/>
  <c r="L37" i="79" s="1"/>
  <c r="M37" i="79" s="1"/>
  <c r="N37" i="79" s="1"/>
  <c r="O37" i="79" s="1"/>
  <c r="P37" i="79" s="1"/>
  <c r="Q37" i="79" s="1"/>
  <c r="AC12" i="72"/>
  <c r="H37" i="75" s="1"/>
  <c r="I37" i="75" s="1"/>
  <c r="J37" i="75" s="1"/>
  <c r="K37" i="75" s="1"/>
  <c r="L37" i="75" s="1"/>
  <c r="M37" i="75" s="1"/>
  <c r="N37" i="75" s="1"/>
  <c r="O37" i="75" s="1"/>
  <c r="P37" i="75" s="1"/>
  <c r="Q37" i="75" s="1"/>
  <c r="AC15" i="72"/>
  <c r="H37" i="78" s="1"/>
  <c r="I37" i="78" s="1"/>
  <c r="J37" i="78" s="1"/>
  <c r="K37" i="78" s="1"/>
  <c r="L37" i="78" s="1"/>
  <c r="M37" i="78" s="1"/>
  <c r="N37" i="78" s="1"/>
  <c r="O37" i="78" s="1"/>
  <c r="P37" i="78" s="1"/>
  <c r="Q37" i="78" s="1"/>
  <c r="N12" i="72"/>
  <c r="G85" i="75" s="1"/>
  <c r="F18" i="72"/>
  <c r="G83" i="80" s="1"/>
  <c r="F15" i="72"/>
  <c r="N15" i="72"/>
  <c r="G85" i="78" s="1"/>
  <c r="P14" i="72"/>
  <c r="H61" i="77" s="1"/>
  <c r="I61" i="77" s="1"/>
  <c r="J61" i="77" s="1"/>
  <c r="K61" i="77" s="1"/>
  <c r="L61" i="77" s="1"/>
  <c r="M61" i="77" s="1"/>
  <c r="P15" i="72"/>
  <c r="H61" i="78" s="1"/>
  <c r="I61" i="78" s="1"/>
  <c r="AC13" i="72"/>
  <c r="H37" i="76" s="1"/>
  <c r="I37" i="76" s="1"/>
  <c r="J37" i="76" s="1"/>
  <c r="K37" i="76" s="1"/>
  <c r="L37" i="76" s="1"/>
  <c r="M37" i="76" s="1"/>
  <c r="N37" i="76" s="1"/>
  <c r="O37" i="76" s="1"/>
  <c r="P37" i="76" s="1"/>
  <c r="Q37" i="76" s="1"/>
  <c r="P11" i="72"/>
  <c r="H61" i="74" s="1"/>
  <c r="I61" i="74" s="1"/>
  <c r="J61" i="74" s="1"/>
  <c r="K61" i="74" s="1"/>
  <c r="L61" i="74" s="1"/>
  <c r="N13" i="72"/>
  <c r="G85" i="76" s="1"/>
  <c r="E6" i="8"/>
  <c r="C34" i="8" s="1"/>
  <c r="C40" i="8" s="1"/>
  <c r="AC14" i="72"/>
  <c r="H37" i="77" s="1"/>
  <c r="I37" i="77" s="1"/>
  <c r="J37" i="77" s="1"/>
  <c r="K37" i="77" s="1"/>
  <c r="L37" i="77" s="1"/>
  <c r="M37" i="77" s="1"/>
  <c r="N37" i="77" s="1"/>
  <c r="O37" i="77" s="1"/>
  <c r="P37" i="77" s="1"/>
  <c r="Q37" i="77" s="1"/>
  <c r="AC11" i="72"/>
  <c r="H37" i="74" s="1"/>
  <c r="I37" i="74" s="1"/>
  <c r="J37" i="74" s="1"/>
  <c r="K37" i="74" s="1"/>
  <c r="L37" i="74" s="1"/>
  <c r="M37" i="74" s="1"/>
  <c r="N37" i="74" s="1"/>
  <c r="O37" i="74" s="1"/>
  <c r="P37" i="74" s="1"/>
  <c r="Q37" i="74" s="1"/>
  <c r="N14" i="72"/>
  <c r="G85" i="77" s="1"/>
  <c r="P16" i="72"/>
  <c r="H61" i="25" s="1"/>
  <c r="I61" i="25" s="1"/>
  <c r="C22" i="8"/>
  <c r="P18" i="72"/>
  <c r="H61" i="80" s="1"/>
  <c r="I61" i="80" s="1"/>
  <c r="AC20" i="72"/>
  <c r="H37" i="82" s="1"/>
  <c r="I37" i="82" s="1"/>
  <c r="J37" i="82" s="1"/>
  <c r="K37" i="82" s="1"/>
  <c r="L37" i="82" s="1"/>
  <c r="M37" i="82" s="1"/>
  <c r="N37" i="82" s="1"/>
  <c r="O37" i="82" s="1"/>
  <c r="P37" i="82" s="1"/>
  <c r="Q37" i="82" s="1"/>
  <c r="P10" i="72"/>
  <c r="H61" i="73" s="1"/>
  <c r="I61" i="73" s="1"/>
  <c r="J61" i="73" s="1"/>
  <c r="K61" i="73" s="1"/>
  <c r="AE20" i="72"/>
  <c r="H10" i="82" s="1"/>
  <c r="I10" i="82" s="1"/>
  <c r="P12" i="72"/>
  <c r="H61" i="75" s="1"/>
  <c r="I61" i="75" s="1"/>
  <c r="J61" i="75" s="1"/>
  <c r="C57" i="8"/>
  <c r="P20" i="72"/>
  <c r="H61" i="82" s="1"/>
  <c r="I61" i="82" s="1"/>
  <c r="J61" i="82" s="1"/>
  <c r="K61" i="82" s="1"/>
  <c r="L61" i="82" s="1"/>
  <c r="M61" i="82" s="1"/>
  <c r="G96" i="84"/>
  <c r="G96" i="82"/>
  <c r="AE10" i="72"/>
  <c r="H10" i="73" s="1"/>
  <c r="I10" i="73" s="1"/>
  <c r="AE18" i="72"/>
  <c r="H10" i="80" s="1"/>
  <c r="I10" i="80" s="1"/>
  <c r="P13" i="72"/>
  <c r="H61" i="76" s="1"/>
  <c r="I61" i="76" s="1"/>
  <c r="AE16" i="72"/>
  <c r="H10" i="25" s="1"/>
  <c r="D43" i="1" s="1"/>
  <c r="G96" i="80"/>
  <c r="AE19" i="72"/>
  <c r="H10" i="84" s="1"/>
  <c r="I10" i="84" s="1"/>
  <c r="P17" i="72"/>
  <c r="H61" i="79" s="1"/>
  <c r="I61" i="79" s="1"/>
  <c r="J61" i="79" s="1"/>
  <c r="AE17" i="72"/>
  <c r="H10" i="79" s="1"/>
  <c r="AE11" i="72"/>
  <c r="H10" i="74" s="1"/>
  <c r="AC10" i="72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L114" i="25"/>
  <c r="K131" i="25"/>
  <c r="C11" i="71"/>
  <c r="D11" i="71" s="1"/>
  <c r="C9" i="71"/>
  <c r="C12" i="71" s="1"/>
  <c r="D7" i="71"/>
  <c r="C12" i="8" s="1"/>
  <c r="B11" i="71"/>
  <c r="B12" i="71" s="1"/>
  <c r="H104" i="73"/>
  <c r="H121" i="73" s="1"/>
  <c r="I21" i="73"/>
  <c r="H71" i="74"/>
  <c r="I62" i="74"/>
  <c r="J104" i="25"/>
  <c r="J121" i="25" s="1"/>
  <c r="K21" i="25"/>
  <c r="K63" i="25"/>
  <c r="D10" i="63"/>
  <c r="G16" i="63"/>
  <c r="D13" i="63"/>
  <c r="C20" i="35" s="1"/>
  <c r="G12" i="63"/>
  <c r="K12" i="63"/>
  <c r="J71" i="73"/>
  <c r="K62" i="73"/>
  <c r="G96" i="74"/>
  <c r="K11" i="72"/>
  <c r="K21" i="75"/>
  <c r="J104" i="75"/>
  <c r="J121" i="75" s="1"/>
  <c r="M63" i="73"/>
  <c r="J63" i="74"/>
  <c r="K71" i="25"/>
  <c r="L62" i="25"/>
  <c r="K114" i="73"/>
  <c r="J131" i="73"/>
  <c r="H104" i="74"/>
  <c r="H121" i="74" s="1"/>
  <c r="L63" i="75"/>
  <c r="I104" i="74"/>
  <c r="I121" i="74" s="1"/>
  <c r="J21" i="74"/>
  <c r="J71" i="75"/>
  <c r="K62" i="75"/>
  <c r="H71" i="73"/>
  <c r="K114" i="77"/>
  <c r="J131" i="77"/>
  <c r="K114" i="74"/>
  <c r="J131" i="74"/>
  <c r="H59" i="74"/>
  <c r="I59" i="74" s="1"/>
  <c r="J59" i="74" s="1"/>
  <c r="K59" i="74" s="1"/>
  <c r="L59" i="74" s="1"/>
  <c r="M59" i="74" s="1"/>
  <c r="N59" i="74" s="1"/>
  <c r="O59" i="74" s="1"/>
  <c r="P59" i="74" s="1"/>
  <c r="Q59" i="74" s="1"/>
  <c r="I21" i="79"/>
  <c r="H104" i="79"/>
  <c r="H121" i="79" s="1"/>
  <c r="K114" i="78"/>
  <c r="J131" i="78"/>
  <c r="G96" i="25"/>
  <c r="K16" i="72"/>
  <c r="I21" i="76"/>
  <c r="J63" i="77"/>
  <c r="J63" i="76"/>
  <c r="K114" i="76"/>
  <c r="J131" i="76"/>
  <c r="J104" i="80"/>
  <c r="J121" i="80" s="1"/>
  <c r="K21" i="80"/>
  <c r="I71" i="76"/>
  <c r="J62" i="76"/>
  <c r="G96" i="75"/>
  <c r="K12" i="72"/>
  <c r="G96" i="76"/>
  <c r="K13" i="72"/>
  <c r="L21" i="78"/>
  <c r="H58" i="78"/>
  <c r="H59" i="78"/>
  <c r="I59" i="78" s="1"/>
  <c r="J59" i="78" s="1"/>
  <c r="K59" i="78" s="1"/>
  <c r="L59" i="78" s="1"/>
  <c r="M59" i="78" s="1"/>
  <c r="N59" i="78" s="1"/>
  <c r="O59" i="78" s="1"/>
  <c r="P59" i="78" s="1"/>
  <c r="Q59" i="78" s="1"/>
  <c r="H59" i="80"/>
  <c r="I59" i="80" s="1"/>
  <c r="J59" i="80" s="1"/>
  <c r="K59" i="80" s="1"/>
  <c r="L59" i="80" s="1"/>
  <c r="M59" i="80" s="1"/>
  <c r="N59" i="80" s="1"/>
  <c r="O59" i="80" s="1"/>
  <c r="P59" i="80" s="1"/>
  <c r="Q59" i="80" s="1"/>
  <c r="I62" i="79"/>
  <c r="H71" i="79"/>
  <c r="J21" i="77"/>
  <c r="H57" i="78"/>
  <c r="I57" i="78" s="1"/>
  <c r="J57" i="78" s="1"/>
  <c r="K57" i="78" s="1"/>
  <c r="L57" i="78" s="1"/>
  <c r="M57" i="78" s="1"/>
  <c r="N57" i="78" s="1"/>
  <c r="O57" i="78" s="1"/>
  <c r="P57" i="78" s="1"/>
  <c r="Q57" i="78" s="1"/>
  <c r="L63" i="78"/>
  <c r="H58" i="79"/>
  <c r="I58" i="79" s="1"/>
  <c r="J58" i="79" s="1"/>
  <c r="K58" i="79" s="1"/>
  <c r="L58" i="79" s="1"/>
  <c r="M58" i="79" s="1"/>
  <c r="N58" i="79" s="1"/>
  <c r="O58" i="79" s="1"/>
  <c r="P58" i="79" s="1"/>
  <c r="Q58" i="79" s="1"/>
  <c r="J71" i="77"/>
  <c r="K62" i="77"/>
  <c r="H57" i="79"/>
  <c r="I57" i="79" s="1"/>
  <c r="J57" i="79" s="1"/>
  <c r="K57" i="79" s="1"/>
  <c r="L57" i="79" s="1"/>
  <c r="M57" i="79" s="1"/>
  <c r="N57" i="79" s="1"/>
  <c r="O57" i="79" s="1"/>
  <c r="P57" i="79" s="1"/>
  <c r="Q57" i="79" s="1"/>
  <c r="L114" i="80"/>
  <c r="K131" i="80"/>
  <c r="G96" i="78"/>
  <c r="K15" i="72"/>
  <c r="I71" i="80"/>
  <c r="J62" i="80"/>
  <c r="J63" i="79"/>
  <c r="G96" i="79"/>
  <c r="K17" i="72"/>
  <c r="I71" i="78"/>
  <c r="J62" i="78"/>
  <c r="H58" i="82"/>
  <c r="I58" i="82" s="1"/>
  <c r="J58" i="82" s="1"/>
  <c r="K58" i="82" s="1"/>
  <c r="L58" i="82" s="1"/>
  <c r="M58" i="82" s="1"/>
  <c r="N58" i="82" s="1"/>
  <c r="O58" i="82" s="1"/>
  <c r="P58" i="82" s="1"/>
  <c r="Q58" i="82" s="1"/>
  <c r="G96" i="77"/>
  <c r="K14" i="72"/>
  <c r="I104" i="82"/>
  <c r="I121" i="82" s="1"/>
  <c r="J21" i="82"/>
  <c r="J63" i="80"/>
  <c r="E18" i="73"/>
  <c r="I104" i="84"/>
  <c r="I121" i="84" s="1"/>
  <c r="J21" i="84"/>
  <c r="L63" i="82"/>
  <c r="M61" i="84"/>
  <c r="K71" i="82"/>
  <c r="L62" i="82"/>
  <c r="I104" i="83"/>
  <c r="I121" i="83" s="1"/>
  <c r="J21" i="83"/>
  <c r="L114" i="83"/>
  <c r="K114" i="84"/>
  <c r="J131" i="84"/>
  <c r="J114" i="82"/>
  <c r="E21" i="72"/>
  <c r="G96" i="73"/>
  <c r="K10" i="72"/>
  <c r="L63" i="84"/>
  <c r="N18" i="72"/>
  <c r="G85" i="80" s="1"/>
  <c r="N19" i="72"/>
  <c r="G85" i="84" s="1"/>
  <c r="N10" i="72"/>
  <c r="N20" i="72"/>
  <c r="G85" i="82" s="1"/>
  <c r="K71" i="84"/>
  <c r="L62" i="84"/>
  <c r="H21" i="72"/>
  <c r="K19" i="72"/>
  <c r="H58" i="84"/>
  <c r="I58" i="84" s="1"/>
  <c r="J58" i="84" s="1"/>
  <c r="K58" i="84" s="1"/>
  <c r="L58" i="84" s="1"/>
  <c r="M58" i="84" s="1"/>
  <c r="N58" i="84" s="1"/>
  <c r="O58" i="84" s="1"/>
  <c r="P58" i="84" s="1"/>
  <c r="Q58" i="84" s="1"/>
  <c r="G9" i="80"/>
  <c r="H62" i="83"/>
  <c r="G95" i="73"/>
  <c r="G95" i="83" s="1"/>
  <c r="P14" i="35" s="1"/>
  <c r="D9" i="35"/>
  <c r="G7" i="35"/>
  <c r="H71" i="84"/>
  <c r="H11" i="75"/>
  <c r="I10" i="75"/>
  <c r="F12" i="72"/>
  <c r="F17" i="72"/>
  <c r="F11" i="72"/>
  <c r="F16" i="72"/>
  <c r="F10" i="72"/>
  <c r="F14" i="72"/>
  <c r="F19" i="72"/>
  <c r="AE15" i="72"/>
  <c r="H10" i="78" s="1"/>
  <c r="AE14" i="72"/>
  <c r="H10" i="77" s="1"/>
  <c r="F20" i="72"/>
  <c r="F13" i="72"/>
  <c r="AE13" i="72"/>
  <c r="H10" i="76" s="1"/>
  <c r="D53" i="1" l="1"/>
  <c r="G18" i="72"/>
  <c r="H23" i="80" s="1"/>
  <c r="H41" i="80" s="1"/>
  <c r="H66" i="80" s="1"/>
  <c r="C20" i="8"/>
  <c r="H11" i="82"/>
  <c r="C37" i="8"/>
  <c r="H11" i="73"/>
  <c r="C7" i="8"/>
  <c r="G15" i="72"/>
  <c r="J15" i="72" s="1"/>
  <c r="G83" i="78"/>
  <c r="C6" i="8"/>
  <c r="D8" i="8" s="1"/>
  <c r="H11" i="79"/>
  <c r="I10" i="79"/>
  <c r="H11" i="25"/>
  <c r="H11" i="80"/>
  <c r="H7" i="80" s="1"/>
  <c r="H32" i="80" s="1"/>
  <c r="H11" i="84"/>
  <c r="I10" i="25"/>
  <c r="J10" i="25" s="1"/>
  <c r="I10" i="74"/>
  <c r="H11" i="74"/>
  <c r="G9" i="76"/>
  <c r="L61" i="73"/>
  <c r="J61" i="76"/>
  <c r="K63" i="74"/>
  <c r="I71" i="74"/>
  <c r="J62" i="74"/>
  <c r="G19" i="72"/>
  <c r="H23" i="84" s="1"/>
  <c r="G83" i="84"/>
  <c r="K21" i="84"/>
  <c r="J104" i="84"/>
  <c r="J121" i="84" s="1"/>
  <c r="J71" i="78"/>
  <c r="K62" i="78"/>
  <c r="G9" i="75"/>
  <c r="J104" i="74"/>
  <c r="J121" i="74" s="1"/>
  <c r="K21" i="74"/>
  <c r="K21" i="82"/>
  <c r="J104" i="82"/>
  <c r="J121" i="82" s="1"/>
  <c r="N63" i="73"/>
  <c r="G18" i="83"/>
  <c r="F18" i="83"/>
  <c r="H29" i="83"/>
  <c r="I29" i="83" s="1"/>
  <c r="J29" i="83" s="1"/>
  <c r="K29" i="83" s="1"/>
  <c r="L29" i="83" s="1"/>
  <c r="M29" i="83" s="1"/>
  <c r="N29" i="83" s="1"/>
  <c r="O29" i="83" s="1"/>
  <c r="P29" i="83" s="1"/>
  <c r="Q29" i="83" s="1"/>
  <c r="K21" i="72"/>
  <c r="D11" i="35" s="1"/>
  <c r="G9" i="73"/>
  <c r="H37" i="83"/>
  <c r="I37" i="83" s="1"/>
  <c r="J37" i="83" s="1"/>
  <c r="K37" i="83" s="1"/>
  <c r="L37" i="83" s="1"/>
  <c r="M37" i="83" s="1"/>
  <c r="N37" i="83" s="1"/>
  <c r="O37" i="83" s="1"/>
  <c r="P37" i="83" s="1"/>
  <c r="Q37" i="83" s="1"/>
  <c r="K114" i="82"/>
  <c r="J131" i="82"/>
  <c r="K131" i="84"/>
  <c r="L114" i="84"/>
  <c r="H57" i="73"/>
  <c r="I57" i="73" s="1"/>
  <c r="J57" i="73" s="1"/>
  <c r="K57" i="73" s="1"/>
  <c r="L57" i="73" s="1"/>
  <c r="M57" i="73" s="1"/>
  <c r="N57" i="73" s="1"/>
  <c r="O57" i="73" s="1"/>
  <c r="P57" i="73" s="1"/>
  <c r="Q57" i="73" s="1"/>
  <c r="K61" i="79"/>
  <c r="K61" i="75"/>
  <c r="N61" i="77"/>
  <c r="M61" i="74"/>
  <c r="J10" i="80"/>
  <c r="I11" i="80"/>
  <c r="I7" i="80" s="1"/>
  <c r="I32" i="80" s="1"/>
  <c r="L131" i="83"/>
  <c r="M114" i="83"/>
  <c r="N114" i="83" s="1"/>
  <c r="O114" i="83" s="1"/>
  <c r="P114" i="83" s="1"/>
  <c r="Q114" i="83" s="1"/>
  <c r="E18" i="83"/>
  <c r="K63" i="79"/>
  <c r="L62" i="77"/>
  <c r="K71" i="77"/>
  <c r="L21" i="75"/>
  <c r="K104" i="75"/>
  <c r="K121" i="75" s="1"/>
  <c r="I104" i="73"/>
  <c r="I121" i="73" s="1"/>
  <c r="J21" i="73"/>
  <c r="L131" i="80"/>
  <c r="M114" i="80"/>
  <c r="N114" i="80" s="1"/>
  <c r="O114" i="80" s="1"/>
  <c r="P114" i="80" s="1"/>
  <c r="Q114" i="80" s="1"/>
  <c r="G96" i="83"/>
  <c r="G14" i="72"/>
  <c r="J14" i="72" s="1"/>
  <c r="I14" i="72" s="1"/>
  <c r="J72" i="77" s="1"/>
  <c r="G83" i="77"/>
  <c r="G9" i="79"/>
  <c r="I71" i="79"/>
  <c r="J62" i="79"/>
  <c r="K63" i="77"/>
  <c r="G9" i="74"/>
  <c r="H6" i="80"/>
  <c r="H28" i="80" s="1"/>
  <c r="I6" i="80"/>
  <c r="I28" i="80" s="1"/>
  <c r="H8" i="80"/>
  <c r="H36" i="80" s="1"/>
  <c r="N8" i="80"/>
  <c r="N36" i="80" s="1"/>
  <c r="G6" i="80"/>
  <c r="P8" i="80"/>
  <c r="P36" i="80" s="1"/>
  <c r="Q8" i="80"/>
  <c r="Q36" i="80" s="1"/>
  <c r="K8" i="80"/>
  <c r="K36" i="80" s="1"/>
  <c r="L8" i="80"/>
  <c r="L36" i="80" s="1"/>
  <c r="I8" i="80"/>
  <c r="I36" i="80" s="1"/>
  <c r="O8" i="80"/>
  <c r="O36" i="80" s="1"/>
  <c r="M8" i="80"/>
  <c r="M36" i="80" s="1"/>
  <c r="J8" i="80"/>
  <c r="J36" i="80" s="1"/>
  <c r="H9" i="80"/>
  <c r="G7" i="80"/>
  <c r="G8" i="80"/>
  <c r="J71" i="76"/>
  <c r="K62" i="76"/>
  <c r="J21" i="76"/>
  <c r="I104" i="76"/>
  <c r="I121" i="76" s="1"/>
  <c r="M63" i="75"/>
  <c r="J61" i="25"/>
  <c r="L71" i="84"/>
  <c r="M62" i="84"/>
  <c r="K63" i="76"/>
  <c r="G83" i="73"/>
  <c r="G10" i="72"/>
  <c r="F21" i="72"/>
  <c r="J10" i="82"/>
  <c r="I11" i="82"/>
  <c r="I11" i="73"/>
  <c r="J10" i="73"/>
  <c r="K21" i="83"/>
  <c r="J104" i="83"/>
  <c r="J121" i="83" s="1"/>
  <c r="N61" i="82"/>
  <c r="G9" i="25"/>
  <c r="L114" i="74"/>
  <c r="K131" i="74"/>
  <c r="L63" i="25"/>
  <c r="C13" i="8"/>
  <c r="C14" i="8" s="1"/>
  <c r="J10" i="84"/>
  <c r="I11" i="84"/>
  <c r="L114" i="77"/>
  <c r="K131" i="77"/>
  <c r="L62" i="73"/>
  <c r="K71" i="73"/>
  <c r="G16" i="72"/>
  <c r="H70" i="25" s="1"/>
  <c r="G83" i="25"/>
  <c r="G83" i="79"/>
  <c r="G17" i="72"/>
  <c r="J70" i="79" s="1"/>
  <c r="G92" i="80"/>
  <c r="G91" i="80"/>
  <c r="G93" i="80"/>
  <c r="G90" i="80"/>
  <c r="K131" i="78"/>
  <c r="L114" i="78"/>
  <c r="L114" i="73"/>
  <c r="K131" i="73"/>
  <c r="D12" i="71"/>
  <c r="D13" i="71" s="1"/>
  <c r="E11" i="71"/>
  <c r="C48" i="8" s="1"/>
  <c r="H11" i="77"/>
  <c r="I10" i="77"/>
  <c r="J61" i="80"/>
  <c r="J104" i="77"/>
  <c r="J121" i="77" s="1"/>
  <c r="K21" i="77"/>
  <c r="J71" i="80"/>
  <c r="K62" i="80"/>
  <c r="M63" i="78"/>
  <c r="K63" i="80"/>
  <c r="G9" i="77"/>
  <c r="G9" i="78"/>
  <c r="I58" i="78"/>
  <c r="K131" i="76"/>
  <c r="L114" i="76"/>
  <c r="L71" i="25"/>
  <c r="M62" i="25"/>
  <c r="G9" i="84"/>
  <c r="L71" i="82"/>
  <c r="M62" i="82"/>
  <c r="H11" i="76"/>
  <c r="I10" i="76"/>
  <c r="L17" i="35"/>
  <c r="G13" i="72"/>
  <c r="H70" i="76" s="1"/>
  <c r="G83" i="76"/>
  <c r="M63" i="84"/>
  <c r="J21" i="79"/>
  <c r="I104" i="79"/>
  <c r="I121" i="79" s="1"/>
  <c r="L12" i="63"/>
  <c r="K13" i="63"/>
  <c r="L21" i="25"/>
  <c r="K104" i="25"/>
  <c r="K121" i="25" s="1"/>
  <c r="M63" i="82"/>
  <c r="I10" i="78"/>
  <c r="H11" i="78"/>
  <c r="G16" i="35"/>
  <c r="Q25" i="35"/>
  <c r="I62" i="83"/>
  <c r="H71" i="83"/>
  <c r="G11" i="72"/>
  <c r="J11" i="72" s="1"/>
  <c r="I11" i="72" s="1"/>
  <c r="G83" i="74"/>
  <c r="G83" i="75"/>
  <c r="G12" i="72"/>
  <c r="J12" i="72" s="1"/>
  <c r="I12" i="72" s="1"/>
  <c r="J10" i="75"/>
  <c r="I11" i="75"/>
  <c r="J61" i="78"/>
  <c r="L21" i="80"/>
  <c r="K104" i="80"/>
  <c r="K121" i="80" s="1"/>
  <c r="G85" i="73"/>
  <c r="G85" i="83"/>
  <c r="G20" i="72"/>
  <c r="H23" i="82" s="1"/>
  <c r="G83" i="82"/>
  <c r="N61" i="84"/>
  <c r="L104" i="78"/>
  <c r="L121" i="78" s="1"/>
  <c r="M21" i="78"/>
  <c r="K71" i="75"/>
  <c r="L62" i="75"/>
  <c r="M10" i="72"/>
  <c r="M19" i="72"/>
  <c r="M20" i="72"/>
  <c r="M18" i="72"/>
  <c r="M17" i="72"/>
  <c r="M15" i="72"/>
  <c r="M13" i="72"/>
  <c r="M12" i="72"/>
  <c r="M16" i="72"/>
  <c r="M14" i="72"/>
  <c r="G13" i="63"/>
  <c r="C17" i="8" s="1"/>
  <c r="H12" i="63"/>
  <c r="M11" i="72"/>
  <c r="C19" i="63"/>
  <c r="M114" i="25"/>
  <c r="N114" i="25" s="1"/>
  <c r="O114" i="25" s="1"/>
  <c r="P114" i="25" s="1"/>
  <c r="Q114" i="25" s="1"/>
  <c r="L131" i="25"/>
  <c r="I70" i="80" l="1"/>
  <c r="H70" i="80"/>
  <c r="J18" i="72"/>
  <c r="I18" i="72" s="1"/>
  <c r="J72" i="80" s="1"/>
  <c r="H23" i="76"/>
  <c r="I17" i="76" s="1"/>
  <c r="I70" i="78"/>
  <c r="H23" i="25"/>
  <c r="I17" i="25" s="1"/>
  <c r="I15" i="72"/>
  <c r="L72" i="78" s="1"/>
  <c r="G92" i="78"/>
  <c r="G93" i="78"/>
  <c r="G90" i="78"/>
  <c r="G91" i="78"/>
  <c r="H23" i="78"/>
  <c r="H70" i="78"/>
  <c r="M70" i="84"/>
  <c r="M70" i="77"/>
  <c r="I70" i="25"/>
  <c r="I23" i="80"/>
  <c r="J23" i="80" s="1"/>
  <c r="I11" i="25"/>
  <c r="I7" i="25" s="1"/>
  <c r="I32" i="25" s="1"/>
  <c r="J10" i="74"/>
  <c r="J6" i="74" s="1"/>
  <c r="J28" i="74" s="1"/>
  <c r="I11" i="74"/>
  <c r="I7" i="74" s="1"/>
  <c r="I32" i="74" s="1"/>
  <c r="J17" i="72"/>
  <c r="I17" i="72" s="1"/>
  <c r="I17" i="80"/>
  <c r="J10" i="79"/>
  <c r="J6" i="79" s="1"/>
  <c r="J28" i="79" s="1"/>
  <c r="I11" i="79"/>
  <c r="I7" i="79" s="1"/>
  <c r="I32" i="79" s="1"/>
  <c r="H23" i="79"/>
  <c r="H41" i="79" s="1"/>
  <c r="H66" i="79" s="1"/>
  <c r="H23" i="77"/>
  <c r="I23" i="77" s="1"/>
  <c r="J19" i="72"/>
  <c r="I19" i="72" s="1"/>
  <c r="L72" i="84" s="1"/>
  <c r="I72" i="75"/>
  <c r="H72" i="75"/>
  <c r="K72" i="75"/>
  <c r="J72" i="75"/>
  <c r="L72" i="75"/>
  <c r="I34" i="80"/>
  <c r="I48" i="80" s="1"/>
  <c r="I50" i="80"/>
  <c r="C10" i="8"/>
  <c r="C43" i="8" s="1"/>
  <c r="D34" i="1"/>
  <c r="F34" i="1" s="1"/>
  <c r="F42" i="1" s="1"/>
  <c r="D27" i="1"/>
  <c r="F27" i="1" s="1"/>
  <c r="I23" i="84"/>
  <c r="H41" i="84"/>
  <c r="H66" i="84" s="1"/>
  <c r="I17" i="84"/>
  <c r="H72" i="74"/>
  <c r="I72" i="74"/>
  <c r="J72" i="74"/>
  <c r="O14" i="72"/>
  <c r="G84" i="77"/>
  <c r="G86" i="77" s="1"/>
  <c r="G87" i="77" s="1"/>
  <c r="L38" i="80"/>
  <c r="L51" i="80"/>
  <c r="L26" i="80"/>
  <c r="L71" i="77"/>
  <c r="M62" i="77"/>
  <c r="O63" i="73"/>
  <c r="G93" i="82"/>
  <c r="G92" i="82"/>
  <c r="G91" i="82"/>
  <c r="G90" i="82"/>
  <c r="K104" i="83"/>
  <c r="K121" i="83" s="1"/>
  <c r="L21" i="83"/>
  <c r="G84" i="25"/>
  <c r="G86" i="25" s="1"/>
  <c r="Q106" i="25" s="1"/>
  <c r="O16" i="72"/>
  <c r="K10" i="73"/>
  <c r="K6" i="73" s="1"/>
  <c r="J11" i="73"/>
  <c r="J7" i="73" s="1"/>
  <c r="K51" i="80"/>
  <c r="K38" i="80"/>
  <c r="K26" i="80"/>
  <c r="L63" i="79"/>
  <c r="I70" i="84"/>
  <c r="K70" i="84"/>
  <c r="L70" i="84"/>
  <c r="H70" i="84"/>
  <c r="J70" i="84"/>
  <c r="L131" i="78"/>
  <c r="M114" i="78"/>
  <c r="N114" i="78" s="1"/>
  <c r="O114" i="78" s="1"/>
  <c r="P114" i="78" s="1"/>
  <c r="Q114" i="78" s="1"/>
  <c r="L131" i="77"/>
  <c r="M114" i="77"/>
  <c r="N114" i="77" s="1"/>
  <c r="O114" i="77" s="1"/>
  <c r="P114" i="77" s="1"/>
  <c r="Q114" i="77" s="1"/>
  <c r="G9" i="82"/>
  <c r="I17" i="82"/>
  <c r="I23" i="82"/>
  <c r="H41" i="82"/>
  <c r="H66" i="82" s="1"/>
  <c r="M71" i="25"/>
  <c r="N62" i="25"/>
  <c r="G84" i="75"/>
  <c r="G86" i="75" s="1"/>
  <c r="G87" i="75" s="1"/>
  <c r="O12" i="72"/>
  <c r="H70" i="82"/>
  <c r="K70" i="82"/>
  <c r="L70" i="82"/>
  <c r="I70" i="82"/>
  <c r="J70" i="82"/>
  <c r="J20" i="72"/>
  <c r="I20" i="72" s="1"/>
  <c r="M72" i="82" s="1"/>
  <c r="I71" i="83"/>
  <c r="J62" i="83"/>
  <c r="N63" i="78"/>
  <c r="J11" i="84"/>
  <c r="J7" i="84" s="1"/>
  <c r="J32" i="84" s="1"/>
  <c r="K10" i="84"/>
  <c r="M72" i="75"/>
  <c r="N63" i="75"/>
  <c r="H6" i="79"/>
  <c r="H28" i="79" s="1"/>
  <c r="H7" i="79"/>
  <c r="H32" i="79" s="1"/>
  <c r="I6" i="79"/>
  <c r="I28" i="79" s="1"/>
  <c r="K8" i="79"/>
  <c r="K36" i="79" s="1"/>
  <c r="I8" i="79"/>
  <c r="I36" i="79" s="1"/>
  <c r="G7" i="79"/>
  <c r="J8" i="79"/>
  <c r="J36" i="79" s="1"/>
  <c r="M8" i="79"/>
  <c r="M36" i="79" s="1"/>
  <c r="P8" i="79"/>
  <c r="P36" i="79" s="1"/>
  <c r="O8" i="79"/>
  <c r="O36" i="79" s="1"/>
  <c r="G6" i="79"/>
  <c r="L8" i="79"/>
  <c r="L36" i="79" s="1"/>
  <c r="G8" i="79"/>
  <c r="H8" i="79"/>
  <c r="H36" i="79" s="1"/>
  <c r="N8" i="79"/>
  <c r="N36" i="79" s="1"/>
  <c r="Q8" i="79"/>
  <c r="Q36" i="79" s="1"/>
  <c r="H9" i="79"/>
  <c r="K62" i="74"/>
  <c r="J71" i="74"/>
  <c r="N63" i="84"/>
  <c r="M114" i="76"/>
  <c r="N114" i="76" s="1"/>
  <c r="O114" i="76" s="1"/>
  <c r="P114" i="76" s="1"/>
  <c r="Q114" i="76" s="1"/>
  <c r="L131" i="76"/>
  <c r="Q38" i="80"/>
  <c r="Q51" i="80"/>
  <c r="Q26" i="80"/>
  <c r="Q24" i="35"/>
  <c r="C16" i="35"/>
  <c r="H57" i="83"/>
  <c r="I57" i="83" s="1"/>
  <c r="J57" i="83" s="1"/>
  <c r="K57" i="83" s="1"/>
  <c r="L57" i="83" s="1"/>
  <c r="M57" i="83" s="1"/>
  <c r="N57" i="83" s="1"/>
  <c r="O57" i="83" s="1"/>
  <c r="P57" i="83" s="1"/>
  <c r="Q57" i="83" s="1"/>
  <c r="L131" i="84"/>
  <c r="M114" i="84"/>
  <c r="N114" i="84" s="1"/>
  <c r="O114" i="84" s="1"/>
  <c r="P114" i="84" s="1"/>
  <c r="Q114" i="84" s="1"/>
  <c r="L21" i="82"/>
  <c r="K104" i="82"/>
  <c r="K121" i="82" s="1"/>
  <c r="G84" i="78"/>
  <c r="G86" i="78" s="1"/>
  <c r="G87" i="78" s="1"/>
  <c r="O15" i="72"/>
  <c r="K71" i="80"/>
  <c r="L62" i="80"/>
  <c r="J11" i="82"/>
  <c r="K10" i="82"/>
  <c r="G90" i="77"/>
  <c r="G93" i="77"/>
  <c r="G92" i="77"/>
  <c r="G91" i="77"/>
  <c r="K104" i="74"/>
  <c r="K121" i="74" s="1"/>
  <c r="L21" i="74"/>
  <c r="K21" i="76"/>
  <c r="J104" i="76"/>
  <c r="J121" i="76" s="1"/>
  <c r="P26" i="80"/>
  <c r="P38" i="80"/>
  <c r="P51" i="80"/>
  <c r="H70" i="77"/>
  <c r="J70" i="77"/>
  <c r="K70" i="77"/>
  <c r="I70" i="77"/>
  <c r="L70" i="77"/>
  <c r="K72" i="74"/>
  <c r="L63" i="74"/>
  <c r="G84" i="80"/>
  <c r="G86" i="80" s="1"/>
  <c r="O18" i="72"/>
  <c r="L104" i="80"/>
  <c r="L121" i="80" s="1"/>
  <c r="M21" i="80"/>
  <c r="J10" i="78"/>
  <c r="J6" i="78" s="1"/>
  <c r="J28" i="78" s="1"/>
  <c r="I11" i="78"/>
  <c r="I7" i="78" s="1"/>
  <c r="I32" i="78" s="1"/>
  <c r="J58" i="78"/>
  <c r="L21" i="77"/>
  <c r="K104" i="77"/>
  <c r="K121" i="77" s="1"/>
  <c r="G21" i="72"/>
  <c r="G8" i="35" s="1"/>
  <c r="L23" i="35" s="1"/>
  <c r="H70" i="73"/>
  <c r="I70" i="73"/>
  <c r="H61" i="83"/>
  <c r="J70" i="73"/>
  <c r="K71" i="76"/>
  <c r="L62" i="76"/>
  <c r="H34" i="80"/>
  <c r="H48" i="80" s="1"/>
  <c r="H50" i="80"/>
  <c r="K131" i="82"/>
  <c r="L114" i="82"/>
  <c r="K61" i="76"/>
  <c r="J70" i="76"/>
  <c r="M63" i="25"/>
  <c r="G84" i="82"/>
  <c r="G86" i="82" s="1"/>
  <c r="G87" i="82" s="1"/>
  <c r="O20" i="72"/>
  <c r="K61" i="78"/>
  <c r="J70" i="78"/>
  <c r="H70" i="79"/>
  <c r="I70" i="79"/>
  <c r="H23" i="73"/>
  <c r="P15" i="35"/>
  <c r="L70" i="74"/>
  <c r="H6" i="73"/>
  <c r="H7" i="73"/>
  <c r="I7" i="73"/>
  <c r="N8" i="73"/>
  <c r="I6" i="73"/>
  <c r="J8" i="73"/>
  <c r="J6" i="73"/>
  <c r="O8" i="73"/>
  <c r="P8" i="73"/>
  <c r="G8" i="73"/>
  <c r="M8" i="73"/>
  <c r="L8" i="73"/>
  <c r="K8" i="73"/>
  <c r="I8" i="73"/>
  <c r="H8" i="73"/>
  <c r="Q8" i="73"/>
  <c r="G6" i="73"/>
  <c r="G7" i="73"/>
  <c r="H9" i="73"/>
  <c r="J6" i="75"/>
  <c r="J28" i="75" s="1"/>
  <c r="H7" i="75"/>
  <c r="H32" i="75" s="1"/>
  <c r="H6" i="75"/>
  <c r="H28" i="75" s="1"/>
  <c r="M8" i="75"/>
  <c r="M36" i="75" s="1"/>
  <c r="Q8" i="75"/>
  <c r="Q36" i="75" s="1"/>
  <c r="I6" i="75"/>
  <c r="I28" i="75" s="1"/>
  <c r="G6" i="75"/>
  <c r="K8" i="75"/>
  <c r="K36" i="75" s="1"/>
  <c r="N8" i="75"/>
  <c r="N36" i="75" s="1"/>
  <c r="J8" i="75"/>
  <c r="J36" i="75" s="1"/>
  <c r="I7" i="75"/>
  <c r="I32" i="75" s="1"/>
  <c r="I8" i="75"/>
  <c r="I36" i="75" s="1"/>
  <c r="O8" i="75"/>
  <c r="O36" i="75" s="1"/>
  <c r="G8" i="75"/>
  <c r="G7" i="75"/>
  <c r="L8" i="75"/>
  <c r="L36" i="75" s="1"/>
  <c r="H8" i="75"/>
  <c r="H36" i="75" s="1"/>
  <c r="P8" i="75"/>
  <c r="P36" i="75" s="1"/>
  <c r="H9" i="75"/>
  <c r="I70" i="76"/>
  <c r="G90" i="76"/>
  <c r="G93" i="76"/>
  <c r="G91" i="76"/>
  <c r="G92" i="76"/>
  <c r="G91" i="73"/>
  <c r="G92" i="73"/>
  <c r="G83" i="83"/>
  <c r="G93" i="73"/>
  <c r="G90" i="73"/>
  <c r="H73" i="80"/>
  <c r="H40" i="80"/>
  <c r="H30" i="80"/>
  <c r="H43" i="80"/>
  <c r="K10" i="80"/>
  <c r="J11" i="80"/>
  <c r="J7" i="80" s="1"/>
  <c r="J32" i="80" s="1"/>
  <c r="G84" i="84"/>
  <c r="G86" i="84" s="1"/>
  <c r="G87" i="84" s="1"/>
  <c r="O19" i="72"/>
  <c r="N63" i="82"/>
  <c r="I6" i="78"/>
  <c r="I28" i="78" s="1"/>
  <c r="H7" i="78"/>
  <c r="H32" i="78" s="1"/>
  <c r="L8" i="78"/>
  <c r="L36" i="78" s="1"/>
  <c r="H6" i="78"/>
  <c r="H28" i="78" s="1"/>
  <c r="K8" i="78"/>
  <c r="K36" i="78" s="1"/>
  <c r="G6" i="78"/>
  <c r="O8" i="78"/>
  <c r="O36" i="78" s="1"/>
  <c r="P8" i="78"/>
  <c r="P36" i="78" s="1"/>
  <c r="G8" i="78"/>
  <c r="H8" i="78"/>
  <c r="H36" i="78" s="1"/>
  <c r="N8" i="78"/>
  <c r="N36" i="78" s="1"/>
  <c r="M8" i="78"/>
  <c r="M36" i="78" s="1"/>
  <c r="I8" i="78"/>
  <c r="I36" i="78" s="1"/>
  <c r="Q8" i="78"/>
  <c r="Q36" i="78" s="1"/>
  <c r="J8" i="78"/>
  <c r="J36" i="78" s="1"/>
  <c r="G7" i="78"/>
  <c r="H9" i="78"/>
  <c r="G84" i="73"/>
  <c r="G86" i="73" s="1"/>
  <c r="G87" i="73" s="1"/>
  <c r="O10" i="72"/>
  <c r="G84" i="83"/>
  <c r="G86" i="83" s="1"/>
  <c r="J70" i="80"/>
  <c r="K61" i="80"/>
  <c r="G92" i="79"/>
  <c r="G90" i="79"/>
  <c r="G93" i="79"/>
  <c r="G91" i="79"/>
  <c r="M114" i="74"/>
  <c r="N114" i="74" s="1"/>
  <c r="O114" i="74" s="1"/>
  <c r="P114" i="74" s="1"/>
  <c r="Q114" i="74" s="1"/>
  <c r="L131" i="74"/>
  <c r="L63" i="76"/>
  <c r="M70" i="74"/>
  <c r="N61" i="74"/>
  <c r="K71" i="78"/>
  <c r="L62" i="78"/>
  <c r="L70" i="73"/>
  <c r="M61" i="73"/>
  <c r="I9" i="80"/>
  <c r="H13" i="80"/>
  <c r="H24" i="80" s="1"/>
  <c r="N26" i="80"/>
  <c r="N38" i="80"/>
  <c r="N51" i="80"/>
  <c r="H7" i="74"/>
  <c r="H32" i="74" s="1"/>
  <c r="I6" i="74"/>
  <c r="I28" i="74" s="1"/>
  <c r="H6" i="74"/>
  <c r="H28" i="74" s="1"/>
  <c r="J8" i="74"/>
  <c r="J36" i="74" s="1"/>
  <c r="G8" i="74"/>
  <c r="I8" i="74"/>
  <c r="I36" i="74" s="1"/>
  <c r="K8" i="74"/>
  <c r="K36" i="74" s="1"/>
  <c r="M8" i="74"/>
  <c r="M36" i="74" s="1"/>
  <c r="N8" i="74"/>
  <c r="N36" i="74" s="1"/>
  <c r="O8" i="74"/>
  <c r="O36" i="74" s="1"/>
  <c r="G7" i="74"/>
  <c r="H8" i="74"/>
  <c r="H36" i="74" s="1"/>
  <c r="L8" i="74"/>
  <c r="L36" i="74" s="1"/>
  <c r="G6" i="74"/>
  <c r="Q8" i="74"/>
  <c r="Q36" i="74" s="1"/>
  <c r="P8" i="74"/>
  <c r="P36" i="74" s="1"/>
  <c r="H9" i="74"/>
  <c r="O61" i="77"/>
  <c r="N70" i="77"/>
  <c r="D10" i="35"/>
  <c r="G12" i="35"/>
  <c r="K70" i="73"/>
  <c r="J104" i="73"/>
  <c r="J121" i="73" s="1"/>
  <c r="K21" i="73"/>
  <c r="J16" i="72"/>
  <c r="I16" i="72" s="1"/>
  <c r="L72" i="25" s="1"/>
  <c r="M38" i="80"/>
  <c r="M51" i="80"/>
  <c r="M26" i="80"/>
  <c r="K70" i="75"/>
  <c r="L61" i="75"/>
  <c r="J10" i="72"/>
  <c r="L21" i="84"/>
  <c r="K104" i="84"/>
  <c r="K121" i="84" s="1"/>
  <c r="J13" i="72"/>
  <c r="I13" i="72" s="1"/>
  <c r="K72" i="76" s="1"/>
  <c r="J104" i="79"/>
  <c r="J121" i="79" s="1"/>
  <c r="K21" i="79"/>
  <c r="G84" i="76"/>
  <c r="G86" i="76" s="1"/>
  <c r="G87" i="76" s="1"/>
  <c r="O13" i="72"/>
  <c r="G84" i="79"/>
  <c r="G86" i="79" s="1"/>
  <c r="G87" i="79" s="1"/>
  <c r="O17" i="72"/>
  <c r="J11" i="75"/>
  <c r="J7" i="75" s="1"/>
  <c r="J32" i="75" s="1"/>
  <c r="K10" i="75"/>
  <c r="K6" i="75" s="1"/>
  <c r="K28" i="75" s="1"/>
  <c r="G92" i="25"/>
  <c r="D12" i="1" s="1"/>
  <c r="F12" i="1" s="1"/>
  <c r="G93" i="25"/>
  <c r="D13" i="1" s="1"/>
  <c r="F13" i="1" s="1"/>
  <c r="G91" i="25"/>
  <c r="D11" i="1" s="1"/>
  <c r="F11" i="1" s="1"/>
  <c r="G90" i="25"/>
  <c r="D21" i="1"/>
  <c r="D7" i="1"/>
  <c r="F7" i="1" s="1"/>
  <c r="H70" i="75"/>
  <c r="I70" i="75"/>
  <c r="H6" i="77"/>
  <c r="H28" i="77" s="1"/>
  <c r="I6" i="77"/>
  <c r="I28" i="77" s="1"/>
  <c r="H7" i="77"/>
  <c r="H32" i="77" s="1"/>
  <c r="P8" i="77"/>
  <c r="P36" i="77" s="1"/>
  <c r="L8" i="77"/>
  <c r="L36" i="77" s="1"/>
  <c r="G6" i="77"/>
  <c r="M8" i="77"/>
  <c r="M36" i="77" s="1"/>
  <c r="H8" i="77"/>
  <c r="H36" i="77" s="1"/>
  <c r="K8" i="77"/>
  <c r="K36" i="77" s="1"/>
  <c r="N8" i="77"/>
  <c r="N36" i="77" s="1"/>
  <c r="G8" i="77"/>
  <c r="J8" i="77"/>
  <c r="J36" i="77" s="1"/>
  <c r="I8" i="77"/>
  <c r="I36" i="77" s="1"/>
  <c r="Q8" i="77"/>
  <c r="Q36" i="77" s="1"/>
  <c r="O8" i="77"/>
  <c r="O36" i="77" s="1"/>
  <c r="G7" i="77"/>
  <c r="H9" i="77"/>
  <c r="N62" i="84"/>
  <c r="M71" i="84"/>
  <c r="G90" i="75"/>
  <c r="G93" i="75"/>
  <c r="G92" i="75"/>
  <c r="G91" i="75"/>
  <c r="L104" i="25"/>
  <c r="L121" i="25" s="1"/>
  <c r="M21" i="25"/>
  <c r="M71" i="82"/>
  <c r="N62" i="82"/>
  <c r="L63" i="80"/>
  <c r="O61" i="82"/>
  <c r="N70" i="82"/>
  <c r="O38" i="80"/>
  <c r="O51" i="80"/>
  <c r="O26" i="80"/>
  <c r="J6" i="80"/>
  <c r="J28" i="80" s="1"/>
  <c r="L63" i="77"/>
  <c r="K72" i="77"/>
  <c r="J70" i="75"/>
  <c r="D16" i="35"/>
  <c r="Q26" i="35"/>
  <c r="H58" i="83"/>
  <c r="I58" i="83" s="1"/>
  <c r="J58" i="83" s="1"/>
  <c r="K58" i="83" s="1"/>
  <c r="L58" i="83" s="1"/>
  <c r="M58" i="83" s="1"/>
  <c r="N58" i="83" s="1"/>
  <c r="O58" i="83" s="1"/>
  <c r="P58" i="83" s="1"/>
  <c r="Q58" i="83" s="1"/>
  <c r="H7" i="76"/>
  <c r="H32" i="76" s="1"/>
  <c r="I6" i="76"/>
  <c r="I28" i="76" s="1"/>
  <c r="H6" i="76"/>
  <c r="H28" i="76" s="1"/>
  <c r="I8" i="76"/>
  <c r="I36" i="76" s="1"/>
  <c r="M8" i="76"/>
  <c r="M36" i="76" s="1"/>
  <c r="H8" i="76"/>
  <c r="H36" i="76" s="1"/>
  <c r="K8" i="76"/>
  <c r="K36" i="76" s="1"/>
  <c r="L8" i="76"/>
  <c r="L36" i="76" s="1"/>
  <c r="N8" i="76"/>
  <c r="N36" i="76" s="1"/>
  <c r="G7" i="76"/>
  <c r="G6" i="76"/>
  <c r="O8" i="76"/>
  <c r="O36" i="76" s="1"/>
  <c r="Q8" i="76"/>
  <c r="Q36" i="76" s="1"/>
  <c r="J8" i="76"/>
  <c r="J36" i="76" s="1"/>
  <c r="G8" i="76"/>
  <c r="P8" i="76"/>
  <c r="P36" i="76" s="1"/>
  <c r="H9" i="76"/>
  <c r="I70" i="74"/>
  <c r="H70" i="74"/>
  <c r="K70" i="74"/>
  <c r="J70" i="74"/>
  <c r="J10" i="76"/>
  <c r="I11" i="76"/>
  <c r="I7" i="76" s="1"/>
  <c r="I32" i="76" s="1"/>
  <c r="J10" i="77"/>
  <c r="J6" i="77" s="1"/>
  <c r="J28" i="77" s="1"/>
  <c r="I11" i="77"/>
  <c r="I7" i="77" s="1"/>
  <c r="I32" i="77" s="1"/>
  <c r="H6" i="25"/>
  <c r="H28" i="25" s="1"/>
  <c r="J6" i="25"/>
  <c r="J28" i="25" s="1"/>
  <c r="I6" i="25"/>
  <c r="I28" i="25" s="1"/>
  <c r="H7" i="25"/>
  <c r="H32" i="25" s="1"/>
  <c r="J8" i="25"/>
  <c r="J36" i="25" s="1"/>
  <c r="O8" i="25"/>
  <c r="O36" i="25" s="1"/>
  <c r="G7" i="25"/>
  <c r="H8" i="25"/>
  <c r="H36" i="25" s="1"/>
  <c r="N8" i="25"/>
  <c r="N36" i="25" s="1"/>
  <c r="K8" i="25"/>
  <c r="K36" i="25" s="1"/>
  <c r="M8" i="25"/>
  <c r="M36" i="25" s="1"/>
  <c r="L8" i="25"/>
  <c r="L36" i="25" s="1"/>
  <c r="Q8" i="25"/>
  <c r="Q36" i="25" s="1"/>
  <c r="P8" i="25"/>
  <c r="P36" i="25" s="1"/>
  <c r="G6" i="25"/>
  <c r="G8" i="25"/>
  <c r="I8" i="25"/>
  <c r="I36" i="25" s="1"/>
  <c r="H9" i="25"/>
  <c r="H51" i="80"/>
  <c r="H38" i="80"/>
  <c r="H26" i="80"/>
  <c r="N21" i="78"/>
  <c r="M104" i="78"/>
  <c r="G84" i="74"/>
  <c r="G86" i="74" s="1"/>
  <c r="G87" i="74" s="1"/>
  <c r="O11" i="72"/>
  <c r="H23" i="75"/>
  <c r="I12" i="63"/>
  <c r="I13" i="63" s="1"/>
  <c r="H13" i="63"/>
  <c r="I20" i="35" s="1"/>
  <c r="O61" i="84"/>
  <c r="N70" i="84"/>
  <c r="G93" i="74"/>
  <c r="G90" i="74"/>
  <c r="G91" i="74"/>
  <c r="G92" i="74"/>
  <c r="M12" i="63"/>
  <c r="M13" i="63" s="1"/>
  <c r="L13" i="63"/>
  <c r="L71" i="73"/>
  <c r="M62" i="73"/>
  <c r="M70" i="82"/>
  <c r="I26" i="80"/>
  <c r="I38" i="80"/>
  <c r="I51" i="80"/>
  <c r="I73" i="80"/>
  <c r="I40" i="80"/>
  <c r="I30" i="80"/>
  <c r="M21" i="75"/>
  <c r="L104" i="75"/>
  <c r="L121" i="75" s="1"/>
  <c r="H59" i="83"/>
  <c r="I59" i="83" s="1"/>
  <c r="J59" i="83" s="1"/>
  <c r="K59" i="83" s="1"/>
  <c r="L59" i="83" s="1"/>
  <c r="M59" i="83" s="1"/>
  <c r="N59" i="83" s="1"/>
  <c r="O59" i="83" s="1"/>
  <c r="P59" i="83" s="1"/>
  <c r="Q59" i="83" s="1"/>
  <c r="M62" i="75"/>
  <c r="L71" i="75"/>
  <c r="J11" i="25"/>
  <c r="J7" i="25" s="1"/>
  <c r="J32" i="25" s="1"/>
  <c r="K10" i="25"/>
  <c r="K6" i="25" s="1"/>
  <c r="K28" i="25" s="1"/>
  <c r="I72" i="77"/>
  <c r="H72" i="77"/>
  <c r="J38" i="80"/>
  <c r="J26" i="80"/>
  <c r="J51" i="80"/>
  <c r="C26" i="69"/>
  <c r="D26" i="69" s="1"/>
  <c r="C14" i="69"/>
  <c r="D14" i="69" s="1"/>
  <c r="C27" i="69"/>
  <c r="D27" i="69" s="1"/>
  <c r="C17" i="69"/>
  <c r="D17" i="69" s="1"/>
  <c r="C21" i="69"/>
  <c r="D21" i="69" s="1"/>
  <c r="C15" i="69"/>
  <c r="D15" i="69" s="1"/>
  <c r="C20" i="69"/>
  <c r="D20" i="69" s="1"/>
  <c r="C32" i="69"/>
  <c r="D32" i="69" s="1"/>
  <c r="C22" i="69"/>
  <c r="D22" i="69" s="1"/>
  <c r="C24" i="69"/>
  <c r="D24" i="69" s="1"/>
  <c r="C16" i="69"/>
  <c r="D16" i="69" s="1"/>
  <c r="C29" i="69"/>
  <c r="D29" i="69" s="1"/>
  <c r="C23" i="69"/>
  <c r="D23" i="69" s="1"/>
  <c r="C19" i="69"/>
  <c r="D19" i="69" s="1"/>
  <c r="C18" i="69"/>
  <c r="D18" i="69" s="1"/>
  <c r="C28" i="69"/>
  <c r="D28" i="69" s="1"/>
  <c r="C33" i="69"/>
  <c r="D33" i="69" s="1"/>
  <c r="C30" i="69"/>
  <c r="D30" i="69" s="1"/>
  <c r="C31" i="69"/>
  <c r="D31" i="69" s="1"/>
  <c r="C25" i="69"/>
  <c r="D25" i="69" s="1"/>
  <c r="H23" i="74"/>
  <c r="H6" i="84"/>
  <c r="H28" i="84" s="1"/>
  <c r="I6" i="84"/>
  <c r="I28" i="84" s="1"/>
  <c r="K8" i="84"/>
  <c r="K36" i="84" s="1"/>
  <c r="H7" i="84"/>
  <c r="H32" i="84" s="1"/>
  <c r="J6" i="84"/>
  <c r="J28" i="84" s="1"/>
  <c r="J8" i="84"/>
  <c r="J36" i="84" s="1"/>
  <c r="H9" i="84"/>
  <c r="I8" i="84"/>
  <c r="I36" i="84" s="1"/>
  <c r="O8" i="84"/>
  <c r="O36" i="84" s="1"/>
  <c r="G8" i="84"/>
  <c r="G7" i="84"/>
  <c r="L8" i="84"/>
  <c r="L36" i="84" s="1"/>
  <c r="Q8" i="84"/>
  <c r="Q36" i="84" s="1"/>
  <c r="M8" i="84"/>
  <c r="M36" i="84" s="1"/>
  <c r="N8" i="84"/>
  <c r="N36" i="84" s="1"/>
  <c r="P8" i="84"/>
  <c r="P36" i="84" s="1"/>
  <c r="H8" i="84"/>
  <c r="H36" i="84" s="1"/>
  <c r="G6" i="84"/>
  <c r="I7" i="84"/>
  <c r="I32" i="84" s="1"/>
  <c r="L131" i="73"/>
  <c r="M114" i="73"/>
  <c r="N114" i="73" s="1"/>
  <c r="O114" i="73" s="1"/>
  <c r="P114" i="73" s="1"/>
  <c r="Q114" i="73" s="1"/>
  <c r="J70" i="25"/>
  <c r="K61" i="25"/>
  <c r="J71" i="79"/>
  <c r="K62" i="79"/>
  <c r="K70" i="79"/>
  <c r="L61" i="79"/>
  <c r="G93" i="84"/>
  <c r="G92" i="84"/>
  <c r="G90" i="84"/>
  <c r="G91" i="84"/>
  <c r="I23" i="25" l="1"/>
  <c r="J23" i="25" s="1"/>
  <c r="I23" i="76"/>
  <c r="J23" i="76" s="1"/>
  <c r="K72" i="80"/>
  <c r="I72" i="80"/>
  <c r="H72" i="80"/>
  <c r="H72" i="78"/>
  <c r="K72" i="78"/>
  <c r="J72" i="78"/>
  <c r="I72" i="78"/>
  <c r="H41" i="25"/>
  <c r="H66" i="25" s="1"/>
  <c r="H41" i="76"/>
  <c r="H66" i="76" s="1"/>
  <c r="M72" i="78"/>
  <c r="I23" i="79"/>
  <c r="J23" i="79" s="1"/>
  <c r="K72" i="84"/>
  <c r="H72" i="84"/>
  <c r="I72" i="84"/>
  <c r="M72" i="84"/>
  <c r="I41" i="80"/>
  <c r="I66" i="80" s="1"/>
  <c r="I23" i="78"/>
  <c r="I17" i="78"/>
  <c r="H41" i="78"/>
  <c r="H66" i="78" s="1"/>
  <c r="I45" i="80"/>
  <c r="I69" i="80" s="1"/>
  <c r="I17" i="77"/>
  <c r="H72" i="79"/>
  <c r="I72" i="79"/>
  <c r="J72" i="79"/>
  <c r="K72" i="79"/>
  <c r="H41" i="77"/>
  <c r="H66" i="77" s="1"/>
  <c r="I17" i="79"/>
  <c r="K10" i="79"/>
  <c r="J11" i="79"/>
  <c r="J7" i="79" s="1"/>
  <c r="J32" i="79" s="1"/>
  <c r="J50" i="79" s="1"/>
  <c r="Q106" i="78"/>
  <c r="Q106" i="84"/>
  <c r="G93" i="83"/>
  <c r="P13" i="35" s="1"/>
  <c r="K10" i="74"/>
  <c r="J11" i="74"/>
  <c r="J7" i="74" s="1"/>
  <c r="J32" i="74" s="1"/>
  <c r="J40" i="74" s="1"/>
  <c r="Q106" i="75"/>
  <c r="Q106" i="74"/>
  <c r="J72" i="84"/>
  <c r="Q106" i="83"/>
  <c r="K73" i="75"/>
  <c r="K30" i="75"/>
  <c r="I34" i="77"/>
  <c r="I48" i="77" s="1"/>
  <c r="I50" i="77"/>
  <c r="L10" i="84"/>
  <c r="K11" i="84"/>
  <c r="K7" i="84" s="1"/>
  <c r="K32" i="84" s="1"/>
  <c r="G88" i="73"/>
  <c r="G89" i="73" s="1"/>
  <c r="I73" i="78"/>
  <c r="I30" i="78"/>
  <c r="I40" i="78"/>
  <c r="H26" i="75"/>
  <c r="H38" i="75"/>
  <c r="H51" i="75"/>
  <c r="I73" i="75"/>
  <c r="I40" i="75"/>
  <c r="I30" i="75"/>
  <c r="H13" i="73"/>
  <c r="I9" i="73"/>
  <c r="J32" i="73"/>
  <c r="K28" i="73"/>
  <c r="M72" i="25"/>
  <c r="N63" i="25"/>
  <c r="L26" i="79"/>
  <c r="L51" i="79"/>
  <c r="L38" i="79"/>
  <c r="K26" i="79"/>
  <c r="K51" i="79"/>
  <c r="K38" i="79"/>
  <c r="I41" i="82"/>
  <c r="I66" i="82" s="1"/>
  <c r="J23" i="82"/>
  <c r="P63" i="73"/>
  <c r="J73" i="75"/>
  <c r="J40" i="75"/>
  <c r="J30" i="75"/>
  <c r="K73" i="25"/>
  <c r="K30" i="25"/>
  <c r="I41" i="25"/>
  <c r="I66" i="25" s="1"/>
  <c r="K38" i="74"/>
  <c r="K51" i="74"/>
  <c r="K26" i="74"/>
  <c r="N70" i="74"/>
  <c r="O61" i="74"/>
  <c r="H13" i="78"/>
  <c r="H24" i="78" s="1"/>
  <c r="I9" i="78"/>
  <c r="L51" i="75"/>
  <c r="L38" i="75"/>
  <c r="L26" i="75"/>
  <c r="G7" i="83"/>
  <c r="N72" i="78"/>
  <c r="O63" i="78"/>
  <c r="K54" i="80"/>
  <c r="K49" i="80"/>
  <c r="L71" i="78"/>
  <c r="M62" i="78"/>
  <c r="J38" i="76"/>
  <c r="J51" i="76"/>
  <c r="J26" i="76"/>
  <c r="H54" i="80"/>
  <c r="H49" i="80"/>
  <c r="H52" i="80" s="1"/>
  <c r="L72" i="80"/>
  <c r="M63" i="80"/>
  <c r="I9" i="77"/>
  <c r="H13" i="77"/>
  <c r="H25" i="77" s="1"/>
  <c r="G88" i="76"/>
  <c r="G89" i="76" s="1"/>
  <c r="L16" i="35"/>
  <c r="L25" i="35"/>
  <c r="J73" i="74"/>
  <c r="J30" i="74"/>
  <c r="K38" i="78"/>
  <c r="K51" i="78"/>
  <c r="K26" i="78"/>
  <c r="G92" i="83"/>
  <c r="P8" i="35" s="1"/>
  <c r="G6" i="83"/>
  <c r="I28" i="73"/>
  <c r="I6" i="83"/>
  <c r="K70" i="76"/>
  <c r="L61" i="76"/>
  <c r="K11" i="82"/>
  <c r="K7" i="82" s="1"/>
  <c r="K32" i="82" s="1"/>
  <c r="L10" i="82"/>
  <c r="L6" i="82" s="1"/>
  <c r="L28" i="82" s="1"/>
  <c r="Q54" i="80"/>
  <c r="Q49" i="80"/>
  <c r="H6" i="82"/>
  <c r="H28" i="82" s="1"/>
  <c r="N8" i="82"/>
  <c r="N36" i="82" s="1"/>
  <c r="H7" i="82"/>
  <c r="H32" i="82" s="1"/>
  <c r="K8" i="82"/>
  <c r="K36" i="82" s="1"/>
  <c r="K6" i="82"/>
  <c r="K28" i="82" s="1"/>
  <c r="O8" i="82"/>
  <c r="O36" i="82" s="1"/>
  <c r="H8" i="82"/>
  <c r="H36" i="82" s="1"/>
  <c r="P8" i="82"/>
  <c r="P36" i="82" s="1"/>
  <c r="M8" i="82"/>
  <c r="M36" i="82" s="1"/>
  <c r="I7" i="82"/>
  <c r="I32" i="82" s="1"/>
  <c r="J7" i="82"/>
  <c r="J32" i="82" s="1"/>
  <c r="Q8" i="82"/>
  <c r="Q36" i="82" s="1"/>
  <c r="J6" i="82"/>
  <c r="J28" i="82" s="1"/>
  <c r="H9" i="82"/>
  <c r="L8" i="82"/>
  <c r="L36" i="82" s="1"/>
  <c r="J8" i="82"/>
  <c r="J36" i="82" s="1"/>
  <c r="G8" i="82"/>
  <c r="I6" i="82"/>
  <c r="I28" i="82" s="1"/>
  <c r="I8" i="82"/>
  <c r="I36" i="82" s="1"/>
  <c r="G7" i="82"/>
  <c r="G6" i="82"/>
  <c r="M71" i="77"/>
  <c r="N62" i="77"/>
  <c r="K51" i="84"/>
  <c r="K26" i="84"/>
  <c r="K38" i="84"/>
  <c r="K104" i="73"/>
  <c r="K121" i="73" s="1"/>
  <c r="L21" i="73"/>
  <c r="G88" i="79"/>
  <c r="G89" i="79" s="1"/>
  <c r="H73" i="84"/>
  <c r="H40" i="84"/>
  <c r="H43" i="84"/>
  <c r="H30" i="84"/>
  <c r="O62" i="82"/>
  <c r="N71" i="82"/>
  <c r="L26" i="77"/>
  <c r="L51" i="77"/>
  <c r="L38" i="77"/>
  <c r="K104" i="79"/>
  <c r="K121" i="79" s="1"/>
  <c r="L21" i="79"/>
  <c r="G9" i="35"/>
  <c r="L22" i="35" s="1"/>
  <c r="L19" i="35"/>
  <c r="J38" i="78"/>
  <c r="J51" i="78"/>
  <c r="J26" i="78"/>
  <c r="H73" i="78"/>
  <c r="H40" i="78"/>
  <c r="H30" i="78"/>
  <c r="G91" i="83"/>
  <c r="P11" i="35" s="1"/>
  <c r="Q51" i="75"/>
  <c r="Q26" i="75"/>
  <c r="Q38" i="75"/>
  <c r="Q8" i="83"/>
  <c r="Q36" i="73"/>
  <c r="N8" i="83"/>
  <c r="N36" i="73"/>
  <c r="L131" i="82"/>
  <c r="M114" i="82"/>
  <c r="N114" i="82" s="1"/>
  <c r="O114" i="82" s="1"/>
  <c r="P114" i="82" s="1"/>
  <c r="Q114" i="82" s="1"/>
  <c r="L104" i="77"/>
  <c r="L121" i="77" s="1"/>
  <c r="M21" i="77"/>
  <c r="O51" i="79"/>
  <c r="O38" i="79"/>
  <c r="O26" i="79"/>
  <c r="K62" i="83"/>
  <c r="J71" i="83"/>
  <c r="J23" i="84"/>
  <c r="I41" i="84"/>
  <c r="I66" i="84" s="1"/>
  <c r="J34" i="84"/>
  <c r="J48" i="84" s="1"/>
  <c r="J50" i="84"/>
  <c r="J38" i="74"/>
  <c r="J26" i="74"/>
  <c r="J51" i="74"/>
  <c r="G90" i="83"/>
  <c r="L72" i="74"/>
  <c r="M63" i="74"/>
  <c r="I50" i="84"/>
  <c r="I34" i="84"/>
  <c r="I48" i="84" s="1"/>
  <c r="I9" i="25"/>
  <c r="H13" i="25"/>
  <c r="H24" i="25" s="1"/>
  <c r="D37" i="1" s="1"/>
  <c r="M62" i="80"/>
  <c r="L71" i="80"/>
  <c r="P38" i="79"/>
  <c r="P51" i="79"/>
  <c r="P26" i="79"/>
  <c r="K11" i="73"/>
  <c r="K7" i="73" s="1"/>
  <c r="L10" i="73"/>
  <c r="I8" i="83"/>
  <c r="I36" i="73"/>
  <c r="H23" i="83"/>
  <c r="I23" i="73"/>
  <c r="I17" i="73"/>
  <c r="H41" i="73"/>
  <c r="H66" i="73" s="1"/>
  <c r="K58" i="78"/>
  <c r="M51" i="79"/>
  <c r="M38" i="79"/>
  <c r="M26" i="79"/>
  <c r="I72" i="82"/>
  <c r="J72" i="82"/>
  <c r="H72" i="82"/>
  <c r="K72" i="82"/>
  <c r="L72" i="82"/>
  <c r="M26" i="74"/>
  <c r="M51" i="74"/>
  <c r="M38" i="74"/>
  <c r="H26" i="84"/>
  <c r="H38" i="84"/>
  <c r="H51" i="84"/>
  <c r="Q51" i="76"/>
  <c r="Q26" i="76"/>
  <c r="Q38" i="76"/>
  <c r="O38" i="25"/>
  <c r="O26" i="25"/>
  <c r="O51" i="25"/>
  <c r="G88" i="84"/>
  <c r="G89" i="84" s="1"/>
  <c r="K8" i="83"/>
  <c r="K36" i="73"/>
  <c r="O63" i="84"/>
  <c r="N72" i="84"/>
  <c r="J38" i="79"/>
  <c r="J26" i="79"/>
  <c r="J51" i="79"/>
  <c r="I34" i="79"/>
  <c r="I48" i="79" s="1"/>
  <c r="I50" i="79"/>
  <c r="K23" i="80"/>
  <c r="J41" i="80"/>
  <c r="J66" i="80" s="1"/>
  <c r="L54" i="80"/>
  <c r="L49" i="80"/>
  <c r="P26" i="75"/>
  <c r="P38" i="75"/>
  <c r="P51" i="75"/>
  <c r="N104" i="78"/>
  <c r="O21" i="78"/>
  <c r="Q26" i="78"/>
  <c r="Q38" i="78"/>
  <c r="Q51" i="78"/>
  <c r="I51" i="76"/>
  <c r="I38" i="76"/>
  <c r="I26" i="76"/>
  <c r="I73" i="74"/>
  <c r="I30" i="74"/>
  <c r="I40" i="74"/>
  <c r="I26" i="84"/>
  <c r="I38" i="84"/>
  <c r="I51" i="84"/>
  <c r="J34" i="25"/>
  <c r="J48" i="25" s="1"/>
  <c r="J50" i="25"/>
  <c r="K10" i="77"/>
  <c r="J11" i="77"/>
  <c r="J7" i="77" s="1"/>
  <c r="J32" i="77" s="1"/>
  <c r="J40" i="77" s="1"/>
  <c r="I50" i="76"/>
  <c r="I34" i="76"/>
  <c r="I48" i="76" s="1"/>
  <c r="J38" i="77"/>
  <c r="J51" i="77"/>
  <c r="J26" i="77"/>
  <c r="L104" i="84"/>
  <c r="L121" i="84" s="1"/>
  <c r="M21" i="84"/>
  <c r="P51" i="74"/>
  <c r="P26" i="74"/>
  <c r="P38" i="74"/>
  <c r="I34" i="74"/>
  <c r="I48" i="74" s="1"/>
  <c r="I50" i="74"/>
  <c r="H34" i="74"/>
  <c r="H48" i="74" s="1"/>
  <c r="H50" i="74"/>
  <c r="Q106" i="79"/>
  <c r="M38" i="78"/>
  <c r="M51" i="78"/>
  <c r="M26" i="78"/>
  <c r="L26" i="78"/>
  <c r="L51" i="78"/>
  <c r="L38" i="78"/>
  <c r="J50" i="80"/>
  <c r="J34" i="80"/>
  <c r="J48" i="80" s="1"/>
  <c r="J23" i="77"/>
  <c r="I41" i="77"/>
  <c r="I66" i="77" s="1"/>
  <c r="P49" i="80"/>
  <c r="P54" i="80"/>
  <c r="G88" i="78"/>
  <c r="G89" i="78" s="1"/>
  <c r="I73" i="79"/>
  <c r="I40" i="79"/>
  <c r="I30" i="79"/>
  <c r="G88" i="77"/>
  <c r="G89" i="77" s="1"/>
  <c r="I34" i="25"/>
  <c r="I48" i="25" s="1"/>
  <c r="I50" i="25"/>
  <c r="O51" i="76"/>
  <c r="O26" i="76"/>
  <c r="O38" i="76"/>
  <c r="L72" i="76"/>
  <c r="M63" i="76"/>
  <c r="N72" i="82"/>
  <c r="O63" i="82"/>
  <c r="H8" i="83"/>
  <c r="H36" i="73"/>
  <c r="P38" i="84"/>
  <c r="P26" i="84"/>
  <c r="P51" i="84"/>
  <c r="H73" i="25"/>
  <c r="H40" i="25"/>
  <c r="H30" i="25"/>
  <c r="I72" i="76"/>
  <c r="H72" i="76"/>
  <c r="J72" i="76"/>
  <c r="I50" i="78"/>
  <c r="I34" i="78"/>
  <c r="I48" i="78" s="1"/>
  <c r="M26" i="84"/>
  <c r="M51" i="84"/>
  <c r="M38" i="84"/>
  <c r="I65" i="80"/>
  <c r="I68" i="80"/>
  <c r="I67" i="80"/>
  <c r="N26" i="76"/>
  <c r="N51" i="76"/>
  <c r="N38" i="76"/>
  <c r="L72" i="77"/>
  <c r="M63" i="77"/>
  <c r="H34" i="77"/>
  <c r="H48" i="77" s="1"/>
  <c r="H50" i="77"/>
  <c r="D23" i="1"/>
  <c r="F21" i="1"/>
  <c r="J21" i="72"/>
  <c r="G11" i="35" s="1"/>
  <c r="L24" i="35" s="1"/>
  <c r="I10" i="72"/>
  <c r="O72" i="73" s="1"/>
  <c r="Q51" i="74"/>
  <c r="Q26" i="74"/>
  <c r="Q38" i="74"/>
  <c r="N26" i="78"/>
  <c r="N38" i="78"/>
  <c r="N51" i="78"/>
  <c r="K11" i="80"/>
  <c r="K7" i="80" s="1"/>
  <c r="K32" i="80" s="1"/>
  <c r="L10" i="80"/>
  <c r="K6" i="80"/>
  <c r="K28" i="80" s="1"/>
  <c r="Q106" i="76"/>
  <c r="L8" i="83"/>
  <c r="L36" i="73"/>
  <c r="H25" i="80"/>
  <c r="I41" i="76"/>
  <c r="I66" i="76" s="1"/>
  <c r="D8" i="1"/>
  <c r="G87" i="25"/>
  <c r="I51" i="25"/>
  <c r="I38" i="25"/>
  <c r="I26" i="25"/>
  <c r="O26" i="84"/>
  <c r="O38" i="84"/>
  <c r="O51" i="84"/>
  <c r="H34" i="25"/>
  <c r="H48" i="25" s="1"/>
  <c r="H50" i="25"/>
  <c r="N38" i="84"/>
  <c r="N26" i="84"/>
  <c r="N51" i="84"/>
  <c r="I9" i="84"/>
  <c r="H13" i="84"/>
  <c r="H24" i="84" s="1"/>
  <c r="P26" i="25"/>
  <c r="P51" i="25"/>
  <c r="P38" i="25"/>
  <c r="L70" i="79"/>
  <c r="M61" i="79"/>
  <c r="J51" i="84"/>
  <c r="J26" i="84"/>
  <c r="J38" i="84"/>
  <c r="P61" i="84"/>
  <c r="O70" i="84"/>
  <c r="Q38" i="25"/>
  <c r="Q51" i="25"/>
  <c r="Q26" i="25"/>
  <c r="K10" i="76"/>
  <c r="J11" i="76"/>
  <c r="J7" i="76" s="1"/>
  <c r="J32" i="76" s="1"/>
  <c r="L38" i="76"/>
  <c r="L26" i="76"/>
  <c r="L51" i="76"/>
  <c r="J73" i="80"/>
  <c r="J30" i="80"/>
  <c r="J40" i="80"/>
  <c r="N26" i="77"/>
  <c r="N38" i="77"/>
  <c r="N51" i="77"/>
  <c r="D10" i="1"/>
  <c r="F10" i="1" s="1"/>
  <c r="M61" i="75"/>
  <c r="L70" i="75"/>
  <c r="N49" i="80"/>
  <c r="N54" i="80"/>
  <c r="H51" i="78"/>
  <c r="H38" i="78"/>
  <c r="H26" i="78"/>
  <c r="O38" i="75"/>
  <c r="O26" i="75"/>
  <c r="O51" i="75"/>
  <c r="M8" i="83"/>
  <c r="M36" i="73"/>
  <c r="L104" i="82"/>
  <c r="L121" i="82" s="1"/>
  <c r="M21" i="82"/>
  <c r="K71" i="74"/>
  <c r="L62" i="74"/>
  <c r="L104" i="83"/>
  <c r="L121" i="83" s="1"/>
  <c r="M21" i="83"/>
  <c r="N26" i="74"/>
  <c r="N51" i="74"/>
  <c r="N38" i="74"/>
  <c r="J8" i="83"/>
  <c r="J36" i="73"/>
  <c r="I30" i="84"/>
  <c r="I73" i="84"/>
  <c r="I40" i="84"/>
  <c r="M71" i="75"/>
  <c r="N62" i="75"/>
  <c r="O51" i="77"/>
  <c r="O26" i="77"/>
  <c r="O38" i="77"/>
  <c r="J38" i="25"/>
  <c r="J51" i="25"/>
  <c r="J26" i="25"/>
  <c r="M104" i="25"/>
  <c r="N21" i="25"/>
  <c r="H45" i="80"/>
  <c r="I26" i="75"/>
  <c r="I51" i="75"/>
  <c r="I38" i="75"/>
  <c r="H73" i="75"/>
  <c r="H30" i="75"/>
  <c r="H40" i="75"/>
  <c r="G8" i="83"/>
  <c r="I7" i="83"/>
  <c r="I32" i="83" s="1"/>
  <c r="I32" i="73"/>
  <c r="J11" i="78"/>
  <c r="J7" i="78" s="1"/>
  <c r="J32" i="78" s="1"/>
  <c r="K10" i="78"/>
  <c r="L21" i="76"/>
  <c r="K104" i="76"/>
  <c r="K121" i="76" s="1"/>
  <c r="I38" i="79"/>
  <c r="I26" i="79"/>
  <c r="I51" i="79"/>
  <c r="P51" i="76"/>
  <c r="P26" i="76"/>
  <c r="P38" i="76"/>
  <c r="J73" i="25"/>
  <c r="J30" i="25"/>
  <c r="J40" i="25"/>
  <c r="P26" i="77"/>
  <c r="P38" i="77"/>
  <c r="P51" i="77"/>
  <c r="M38" i="75"/>
  <c r="M51" i="75"/>
  <c r="M26" i="75"/>
  <c r="Q38" i="77"/>
  <c r="Q51" i="77"/>
  <c r="Q26" i="77"/>
  <c r="I51" i="74"/>
  <c r="I38" i="74"/>
  <c r="I26" i="74"/>
  <c r="J54" i="80"/>
  <c r="J49" i="80"/>
  <c r="L38" i="25"/>
  <c r="L26" i="25"/>
  <c r="L51" i="25"/>
  <c r="L62" i="79"/>
  <c r="K71" i="79"/>
  <c r="I49" i="80"/>
  <c r="I52" i="80" s="1"/>
  <c r="I54" i="80"/>
  <c r="M38" i="25"/>
  <c r="M26" i="25"/>
  <c r="M51" i="25"/>
  <c r="H38" i="76"/>
  <c r="H51" i="76"/>
  <c r="H26" i="76"/>
  <c r="I73" i="77"/>
  <c r="I30" i="77"/>
  <c r="I40" i="77"/>
  <c r="H51" i="74"/>
  <c r="H38" i="74"/>
  <c r="H26" i="74"/>
  <c r="P51" i="78"/>
  <c r="P26" i="78"/>
  <c r="P38" i="78"/>
  <c r="H65" i="80"/>
  <c r="H17" i="80"/>
  <c r="H67" i="80"/>
  <c r="H68" i="80"/>
  <c r="H42" i="80"/>
  <c r="I50" i="75"/>
  <c r="I34" i="75"/>
  <c r="I48" i="75" s="1"/>
  <c r="P8" i="83"/>
  <c r="P36" i="73"/>
  <c r="L71" i="76"/>
  <c r="M62" i="76"/>
  <c r="M104" i="80"/>
  <c r="N21" i="80"/>
  <c r="L104" i="74"/>
  <c r="L121" i="74" s="1"/>
  <c r="M21" i="74"/>
  <c r="H13" i="79"/>
  <c r="H25" i="79" s="1"/>
  <c r="I9" i="79"/>
  <c r="H34" i="79"/>
  <c r="H48" i="79" s="1"/>
  <c r="H50" i="79"/>
  <c r="Q106" i="82"/>
  <c r="L51" i="84"/>
  <c r="L26" i="84"/>
  <c r="L38" i="84"/>
  <c r="M104" i="75"/>
  <c r="N21" i="75"/>
  <c r="I73" i="25"/>
  <c r="I40" i="25"/>
  <c r="I30" i="25"/>
  <c r="K38" i="76"/>
  <c r="K51" i="76"/>
  <c r="K26" i="76"/>
  <c r="H73" i="76"/>
  <c r="H40" i="76"/>
  <c r="H30" i="76"/>
  <c r="K38" i="77"/>
  <c r="K51" i="77"/>
  <c r="K26" i="77"/>
  <c r="J73" i="77"/>
  <c r="J30" i="77"/>
  <c r="I23" i="75"/>
  <c r="H41" i="75"/>
  <c r="H66" i="75" s="1"/>
  <c r="I17" i="75"/>
  <c r="K38" i="25"/>
  <c r="K26" i="25"/>
  <c r="K51" i="25"/>
  <c r="M38" i="76"/>
  <c r="M26" i="76"/>
  <c r="M51" i="76"/>
  <c r="I73" i="76"/>
  <c r="I30" i="76"/>
  <c r="I40" i="76"/>
  <c r="O49" i="80"/>
  <c r="O54" i="80"/>
  <c r="H26" i="77"/>
  <c r="H38" i="77"/>
  <c r="H51" i="77"/>
  <c r="I13" i="80"/>
  <c r="J9" i="80"/>
  <c r="K70" i="80"/>
  <c r="L61" i="80"/>
  <c r="O26" i="78"/>
  <c r="O51" i="78"/>
  <c r="O38" i="78"/>
  <c r="J73" i="78"/>
  <c r="J30" i="78"/>
  <c r="J51" i="75"/>
  <c r="J26" i="75"/>
  <c r="J38" i="75"/>
  <c r="O8" i="83"/>
  <c r="O36" i="73"/>
  <c r="K70" i="78"/>
  <c r="L61" i="78"/>
  <c r="Q38" i="79"/>
  <c r="Q26" i="79"/>
  <c r="Q51" i="79"/>
  <c r="J73" i="79"/>
  <c r="J30" i="79"/>
  <c r="H73" i="79"/>
  <c r="H43" i="79"/>
  <c r="H30" i="79"/>
  <c r="H40" i="79"/>
  <c r="G88" i="75"/>
  <c r="G89" i="75" s="1"/>
  <c r="M63" i="79"/>
  <c r="L72" i="79"/>
  <c r="I23" i="74"/>
  <c r="I17" i="74"/>
  <c r="H41" i="74"/>
  <c r="H66" i="74" s="1"/>
  <c r="L51" i="74"/>
  <c r="L38" i="74"/>
  <c r="L26" i="74"/>
  <c r="K70" i="25"/>
  <c r="L61" i="25"/>
  <c r="N38" i="25"/>
  <c r="N26" i="25"/>
  <c r="N51" i="25"/>
  <c r="J6" i="76"/>
  <c r="J28" i="76" s="1"/>
  <c r="O62" i="84"/>
  <c r="N71" i="84"/>
  <c r="M38" i="77"/>
  <c r="M51" i="77"/>
  <c r="M26" i="77"/>
  <c r="L10" i="75"/>
  <c r="K11" i="75"/>
  <c r="K7" i="75" s="1"/>
  <c r="K32" i="75" s="1"/>
  <c r="K40" i="75" s="1"/>
  <c r="M54" i="80"/>
  <c r="M49" i="80"/>
  <c r="M70" i="73"/>
  <c r="N61" i="73"/>
  <c r="H34" i="78"/>
  <c r="H48" i="78" s="1"/>
  <c r="H50" i="78"/>
  <c r="N38" i="75"/>
  <c r="N26" i="75"/>
  <c r="N51" i="75"/>
  <c r="J28" i="73"/>
  <c r="H32" i="73"/>
  <c r="H7" i="83"/>
  <c r="H32" i="83" s="1"/>
  <c r="Q106" i="77"/>
  <c r="N51" i="79"/>
  <c r="N38" i="79"/>
  <c r="N26" i="79"/>
  <c r="N72" i="75"/>
  <c r="O63" i="75"/>
  <c r="O62" i="25"/>
  <c r="N71" i="25"/>
  <c r="P61" i="82"/>
  <c r="O70" i="82"/>
  <c r="H73" i="74"/>
  <c r="H30" i="74"/>
  <c r="H40" i="74"/>
  <c r="O70" i="77"/>
  <c r="P61" i="77"/>
  <c r="I38" i="78"/>
  <c r="I26" i="78"/>
  <c r="I51" i="78"/>
  <c r="J34" i="75"/>
  <c r="J48" i="75" s="1"/>
  <c r="J50" i="75"/>
  <c r="I38" i="77"/>
  <c r="I51" i="77"/>
  <c r="I26" i="77"/>
  <c r="I9" i="74"/>
  <c r="H13" i="74"/>
  <c r="H25" i="74" s="1"/>
  <c r="K6" i="84"/>
  <c r="K28" i="84" s="1"/>
  <c r="J73" i="84"/>
  <c r="J40" i="84"/>
  <c r="J30" i="84"/>
  <c r="L10" i="25"/>
  <c r="K11" i="25"/>
  <c r="K7" i="25" s="1"/>
  <c r="K32" i="25" s="1"/>
  <c r="Q38" i="84"/>
  <c r="Q26" i="84"/>
  <c r="Q51" i="84"/>
  <c r="H50" i="84"/>
  <c r="H34" i="84"/>
  <c r="H48" i="84" s="1"/>
  <c r="M71" i="73"/>
  <c r="N62" i="73"/>
  <c r="G88" i="74"/>
  <c r="G89" i="74" s="1"/>
  <c r="H38" i="25"/>
  <c r="H26" i="25"/>
  <c r="D39" i="1" s="1"/>
  <c r="H51" i="25"/>
  <c r="H13" i="76"/>
  <c r="H25" i="76" s="1"/>
  <c r="I9" i="76"/>
  <c r="H50" i="76"/>
  <c r="H34" i="76"/>
  <c r="H48" i="76" s="1"/>
  <c r="H73" i="77"/>
  <c r="H40" i="77"/>
  <c r="H30" i="77"/>
  <c r="I72" i="25"/>
  <c r="H72" i="25"/>
  <c r="J72" i="25"/>
  <c r="K72" i="25"/>
  <c r="O51" i="74"/>
  <c r="O26" i="74"/>
  <c r="O38" i="74"/>
  <c r="G87" i="83"/>
  <c r="K37" i="35"/>
  <c r="Q7" i="35" s="1"/>
  <c r="Q106" i="73"/>
  <c r="I9" i="75"/>
  <c r="H13" i="75"/>
  <c r="H25" i="75" s="1"/>
  <c r="K51" i="75"/>
  <c r="K38" i="75"/>
  <c r="K26" i="75"/>
  <c r="H34" i="75"/>
  <c r="H48" i="75" s="1"/>
  <c r="H50" i="75"/>
  <c r="H6" i="83"/>
  <c r="H28" i="73"/>
  <c r="G88" i="82"/>
  <c r="G89" i="82" s="1"/>
  <c r="H70" i="83"/>
  <c r="I61" i="83"/>
  <c r="G87" i="80"/>
  <c r="Q106" i="80"/>
  <c r="H38" i="79"/>
  <c r="H51" i="79"/>
  <c r="H26" i="79"/>
  <c r="H43" i="76" l="1"/>
  <c r="J40" i="79"/>
  <c r="J68" i="79" s="1"/>
  <c r="H43" i="25"/>
  <c r="D42" i="1" s="1"/>
  <c r="H43" i="77"/>
  <c r="I41" i="79"/>
  <c r="I66" i="79" s="1"/>
  <c r="I43" i="25"/>
  <c r="I42" i="80"/>
  <c r="H24" i="77"/>
  <c r="H43" i="78"/>
  <c r="H25" i="78"/>
  <c r="H53" i="80"/>
  <c r="I43" i="80"/>
  <c r="H45" i="74"/>
  <c r="H113" i="74" s="1"/>
  <c r="I46" i="80"/>
  <c r="J45" i="25"/>
  <c r="J69" i="25" s="1"/>
  <c r="J45" i="80"/>
  <c r="J113" i="80" s="1"/>
  <c r="J130" i="80" s="1"/>
  <c r="J23" i="78"/>
  <c r="I41" i="78"/>
  <c r="I42" i="78" s="1"/>
  <c r="L10" i="74"/>
  <c r="K11" i="74"/>
  <c r="K7" i="74" s="1"/>
  <c r="K32" i="74" s="1"/>
  <c r="K6" i="74"/>
  <c r="K28" i="74" s="1"/>
  <c r="H25" i="84"/>
  <c r="H24" i="79"/>
  <c r="I45" i="76"/>
  <c r="I69" i="76" s="1"/>
  <c r="K11" i="79"/>
  <c r="K7" i="79" s="1"/>
  <c r="K32" i="79" s="1"/>
  <c r="L10" i="79"/>
  <c r="K6" i="79"/>
  <c r="K28" i="79" s="1"/>
  <c r="J50" i="74"/>
  <c r="I43" i="84"/>
  <c r="J34" i="74"/>
  <c r="J48" i="74" s="1"/>
  <c r="J34" i="79"/>
  <c r="J48" i="79" s="1"/>
  <c r="I53" i="80"/>
  <c r="H24" i="76"/>
  <c r="H43" i="75"/>
  <c r="H43" i="74"/>
  <c r="J43" i="80"/>
  <c r="I45" i="79"/>
  <c r="I46" i="79" s="1"/>
  <c r="I43" i="77"/>
  <c r="I74" i="80"/>
  <c r="I76" i="80" s="1"/>
  <c r="I78" i="80" s="1"/>
  <c r="H25" i="25"/>
  <c r="D38" i="1" s="1"/>
  <c r="F38" i="1" s="1"/>
  <c r="I45" i="84"/>
  <c r="I46" i="84" s="1"/>
  <c r="H45" i="77"/>
  <c r="H113" i="77" s="1"/>
  <c r="F37" i="1"/>
  <c r="K67" i="75"/>
  <c r="K68" i="75"/>
  <c r="K65" i="75"/>
  <c r="K23" i="77"/>
  <c r="J41" i="77"/>
  <c r="J42" i="77" s="1"/>
  <c r="I45" i="74"/>
  <c r="L11" i="73"/>
  <c r="L7" i="73" s="1"/>
  <c r="M10" i="73"/>
  <c r="L6" i="73"/>
  <c r="I9" i="82"/>
  <c r="H13" i="82"/>
  <c r="H24" i="82" s="1"/>
  <c r="H40" i="82"/>
  <c r="H73" i="82"/>
  <c r="H43" i="82"/>
  <c r="H30" i="82"/>
  <c r="K50" i="84"/>
  <c r="K34" i="84"/>
  <c r="K48" i="84" s="1"/>
  <c r="L71" i="79"/>
  <c r="M62" i="79"/>
  <c r="N54" i="79"/>
  <c r="N49" i="79"/>
  <c r="H65" i="76"/>
  <c r="H68" i="76"/>
  <c r="H42" i="76"/>
  <c r="H17" i="76"/>
  <c r="H67" i="76"/>
  <c r="N49" i="77"/>
  <c r="N54" i="77"/>
  <c r="I21" i="72"/>
  <c r="H63" i="83"/>
  <c r="J72" i="73"/>
  <c r="H72" i="73"/>
  <c r="K72" i="73"/>
  <c r="I72" i="73"/>
  <c r="L72" i="73"/>
  <c r="M72" i="73"/>
  <c r="N72" i="73"/>
  <c r="M54" i="84"/>
  <c r="M49" i="84"/>
  <c r="P49" i="84"/>
  <c r="P54" i="84"/>
  <c r="J53" i="80"/>
  <c r="J52" i="80"/>
  <c r="P49" i="74"/>
  <c r="P54" i="74"/>
  <c r="O54" i="25"/>
  <c r="O49" i="25"/>
  <c r="K32" i="73"/>
  <c r="K40" i="73" s="1"/>
  <c r="M72" i="74"/>
  <c r="N63" i="74"/>
  <c r="O54" i="79"/>
  <c r="O49" i="79"/>
  <c r="H67" i="78"/>
  <c r="H68" i="78"/>
  <c r="H65" i="78"/>
  <c r="H42" i="78"/>
  <c r="H17" i="78"/>
  <c r="J30" i="82"/>
  <c r="J40" i="82"/>
  <c r="J73" i="82"/>
  <c r="I28" i="83"/>
  <c r="I9" i="83"/>
  <c r="I12" i="83" s="1"/>
  <c r="I10" i="83"/>
  <c r="I11" i="83" s="1"/>
  <c r="P63" i="78"/>
  <c r="O72" i="78"/>
  <c r="K23" i="82"/>
  <c r="J41" i="82"/>
  <c r="J66" i="82" s="1"/>
  <c r="M10" i="84"/>
  <c r="L11" i="84"/>
  <c r="L7" i="84" s="1"/>
  <c r="L32" i="84" s="1"/>
  <c r="L6" i="84"/>
  <c r="L28" i="84" s="1"/>
  <c r="J73" i="76"/>
  <c r="J40" i="76"/>
  <c r="J30" i="76"/>
  <c r="O38" i="73"/>
  <c r="O26" i="73"/>
  <c r="O51" i="73"/>
  <c r="P38" i="73"/>
  <c r="P51" i="73"/>
  <c r="P26" i="73"/>
  <c r="P70" i="84"/>
  <c r="Q61" i="84"/>
  <c r="Q70" i="84" s="1"/>
  <c r="K30" i="84"/>
  <c r="K40" i="84"/>
  <c r="K73" i="84"/>
  <c r="H65" i="79"/>
  <c r="H17" i="79"/>
  <c r="H42" i="79"/>
  <c r="H67" i="79"/>
  <c r="H68" i="79"/>
  <c r="O36" i="83"/>
  <c r="I25" i="80"/>
  <c r="I24" i="80"/>
  <c r="K54" i="25"/>
  <c r="K49" i="25"/>
  <c r="L49" i="84"/>
  <c r="L54" i="84"/>
  <c r="P36" i="83"/>
  <c r="I68" i="77"/>
  <c r="I65" i="77"/>
  <c r="I67" i="77"/>
  <c r="I42" i="77"/>
  <c r="J67" i="25"/>
  <c r="J68" i="25"/>
  <c r="I67" i="84"/>
  <c r="I68" i="84"/>
  <c r="I65" i="84"/>
  <c r="I42" i="84"/>
  <c r="M26" i="73"/>
  <c r="M51" i="73"/>
  <c r="M38" i="73"/>
  <c r="J49" i="84"/>
  <c r="J52" i="84" s="1"/>
  <c r="J54" i="84"/>
  <c r="H51" i="73"/>
  <c r="H26" i="73"/>
  <c r="H38" i="73"/>
  <c r="L23" i="80"/>
  <c r="K41" i="80"/>
  <c r="K66" i="80" s="1"/>
  <c r="Q54" i="76"/>
  <c r="Q49" i="76"/>
  <c r="O71" i="82"/>
  <c r="P62" i="82"/>
  <c r="Q26" i="82"/>
  <c r="Q38" i="82"/>
  <c r="Q51" i="82"/>
  <c r="L73" i="82"/>
  <c r="L30" i="82"/>
  <c r="I73" i="73"/>
  <c r="I73" i="83" s="1"/>
  <c r="I30" i="73"/>
  <c r="I40" i="73"/>
  <c r="J9" i="77"/>
  <c r="I13" i="77"/>
  <c r="K49" i="74"/>
  <c r="K54" i="74"/>
  <c r="K54" i="75"/>
  <c r="K49" i="75"/>
  <c r="N71" i="73"/>
  <c r="O62" i="73"/>
  <c r="H42" i="74"/>
  <c r="H17" i="74"/>
  <c r="H67" i="74"/>
  <c r="H68" i="74"/>
  <c r="H65" i="74"/>
  <c r="J49" i="75"/>
  <c r="J52" i="75" s="1"/>
  <c r="J54" i="75"/>
  <c r="M36" i="83"/>
  <c r="J42" i="80"/>
  <c r="J65" i="80"/>
  <c r="J67" i="80"/>
  <c r="J68" i="80"/>
  <c r="O49" i="84"/>
  <c r="O54" i="84"/>
  <c r="K23" i="76"/>
  <c r="J41" i="76"/>
  <c r="J66" i="76" s="1"/>
  <c r="H36" i="83"/>
  <c r="N21" i="77"/>
  <c r="M104" i="77"/>
  <c r="H45" i="84"/>
  <c r="G9" i="83"/>
  <c r="L14" i="35" s="1"/>
  <c r="L7" i="35"/>
  <c r="G10" i="83"/>
  <c r="M72" i="80"/>
  <c r="N63" i="80"/>
  <c r="K49" i="79"/>
  <c r="K54" i="79"/>
  <c r="I45" i="75"/>
  <c r="H49" i="25"/>
  <c r="H52" i="25" s="1"/>
  <c r="H54" i="25"/>
  <c r="J65" i="84"/>
  <c r="J67" i="84"/>
  <c r="J68" i="84"/>
  <c r="P54" i="77"/>
  <c r="P49" i="77"/>
  <c r="J13" i="80"/>
  <c r="K9" i="80"/>
  <c r="H65" i="77"/>
  <c r="H17" i="77"/>
  <c r="H67" i="77"/>
  <c r="H68" i="77"/>
  <c r="H42" i="77"/>
  <c r="L49" i="25"/>
  <c r="L54" i="25"/>
  <c r="I13" i="74"/>
  <c r="J9" i="74"/>
  <c r="H24" i="74"/>
  <c r="H50" i="83"/>
  <c r="N54" i="25"/>
  <c r="N49" i="25"/>
  <c r="H45" i="79"/>
  <c r="H54" i="77"/>
  <c r="H49" i="77"/>
  <c r="H52" i="77" s="1"/>
  <c r="I45" i="77"/>
  <c r="K23" i="79"/>
  <c r="J41" i="79"/>
  <c r="D29" i="1"/>
  <c r="F23" i="1"/>
  <c r="O72" i="82"/>
  <c r="P63" i="82"/>
  <c r="I68" i="79"/>
  <c r="I65" i="79"/>
  <c r="I67" i="79"/>
  <c r="L54" i="78"/>
  <c r="L49" i="78"/>
  <c r="M104" i="84"/>
  <c r="N21" i="84"/>
  <c r="P49" i="79"/>
  <c r="P54" i="79"/>
  <c r="P10" i="35"/>
  <c r="K50" i="82"/>
  <c r="K34" i="82"/>
  <c r="K48" i="82" s="1"/>
  <c r="J50" i="82"/>
  <c r="J34" i="82"/>
  <c r="J48" i="82" s="1"/>
  <c r="K23" i="25"/>
  <c r="J41" i="25"/>
  <c r="J42" i="25" s="1"/>
  <c r="I67" i="75"/>
  <c r="I68" i="75"/>
  <c r="I65" i="75"/>
  <c r="I50" i="73"/>
  <c r="I34" i="73"/>
  <c r="I48" i="73" s="1"/>
  <c r="N104" i="25"/>
  <c r="O21" i="25"/>
  <c r="J26" i="73"/>
  <c r="J51" i="73"/>
  <c r="J38" i="73"/>
  <c r="M70" i="79"/>
  <c r="N61" i="79"/>
  <c r="L26" i="73"/>
  <c r="L51" i="73"/>
  <c r="L38" i="73"/>
  <c r="I54" i="76"/>
  <c r="I49" i="76"/>
  <c r="I53" i="76" s="1"/>
  <c r="H65" i="84"/>
  <c r="H67" i="84"/>
  <c r="H68" i="84"/>
  <c r="H17" i="84"/>
  <c r="H42" i="84"/>
  <c r="I34" i="82"/>
  <c r="I48" i="82" s="1"/>
  <c r="I50" i="82"/>
  <c r="K40" i="25"/>
  <c r="H49" i="84"/>
  <c r="H52" i="84" s="1"/>
  <c r="H54" i="84"/>
  <c r="M54" i="79"/>
  <c r="M49" i="79"/>
  <c r="M71" i="80"/>
  <c r="N62" i="80"/>
  <c r="J49" i="78"/>
  <c r="J54" i="78"/>
  <c r="M38" i="82"/>
  <c r="M26" i="82"/>
  <c r="M51" i="82"/>
  <c r="L49" i="75"/>
  <c r="L54" i="75"/>
  <c r="L49" i="79"/>
  <c r="L54" i="79"/>
  <c r="P49" i="25"/>
  <c r="P54" i="25"/>
  <c r="J54" i="74"/>
  <c r="J49" i="74"/>
  <c r="N26" i="73"/>
  <c r="N51" i="73"/>
  <c r="N38" i="73"/>
  <c r="P51" i="82"/>
  <c r="P26" i="82"/>
  <c r="P38" i="82"/>
  <c r="K49" i="78"/>
  <c r="K54" i="78"/>
  <c r="H49" i="75"/>
  <c r="H52" i="75" s="1"/>
  <c r="H54" i="75"/>
  <c r="J34" i="78"/>
  <c r="J48" i="78" s="1"/>
  <c r="J50" i="78"/>
  <c r="H54" i="79"/>
  <c r="H49" i="79"/>
  <c r="H53" i="79" s="1"/>
  <c r="L36" i="83"/>
  <c r="N63" i="76"/>
  <c r="M72" i="76"/>
  <c r="I49" i="77"/>
  <c r="I53" i="77" s="1"/>
  <c r="I54" i="77"/>
  <c r="J6" i="83"/>
  <c r="J65" i="77"/>
  <c r="J67" i="77"/>
  <c r="J68" i="77"/>
  <c r="I45" i="25"/>
  <c r="I54" i="74"/>
  <c r="I49" i="74"/>
  <c r="I52" i="74" s="1"/>
  <c r="P54" i="76"/>
  <c r="P49" i="76"/>
  <c r="N54" i="74"/>
  <c r="N49" i="74"/>
  <c r="G88" i="80"/>
  <c r="G89" i="80" s="1"/>
  <c r="Q61" i="82"/>
  <c r="Q70" i="82" s="1"/>
  <c r="P70" i="82"/>
  <c r="L54" i="74"/>
  <c r="L49" i="74"/>
  <c r="J65" i="79"/>
  <c r="J40" i="78"/>
  <c r="I43" i="76"/>
  <c r="H67" i="75"/>
  <c r="H68" i="75"/>
  <c r="H65" i="75"/>
  <c r="H17" i="75"/>
  <c r="H42" i="75"/>
  <c r="H49" i="78"/>
  <c r="H53" i="78" s="1"/>
  <c r="H54" i="78"/>
  <c r="G88" i="25"/>
  <c r="G89" i="25" s="1"/>
  <c r="D9" i="1"/>
  <c r="F9" i="1" s="1"/>
  <c r="F8" i="1" s="1"/>
  <c r="K73" i="80"/>
  <c r="K40" i="80"/>
  <c r="K30" i="80"/>
  <c r="M72" i="77"/>
  <c r="N63" i="77"/>
  <c r="O54" i="76"/>
  <c r="O49" i="76"/>
  <c r="I49" i="84"/>
  <c r="I52" i="84" s="1"/>
  <c r="I54" i="84"/>
  <c r="Q49" i="78"/>
  <c r="Q54" i="78"/>
  <c r="J54" i="79"/>
  <c r="J49" i="79"/>
  <c r="M54" i="74"/>
  <c r="M49" i="74"/>
  <c r="J9" i="25"/>
  <c r="I13" i="25"/>
  <c r="N36" i="83"/>
  <c r="H51" i="82"/>
  <c r="H38" i="82"/>
  <c r="H26" i="82"/>
  <c r="M61" i="25"/>
  <c r="L70" i="25"/>
  <c r="J23" i="75"/>
  <c r="I41" i="75"/>
  <c r="I42" i="75" s="1"/>
  <c r="J73" i="73"/>
  <c r="J40" i="73"/>
  <c r="J30" i="73"/>
  <c r="L11" i="80"/>
  <c r="L7" i="80" s="1"/>
  <c r="L32" i="80" s="1"/>
  <c r="M10" i="80"/>
  <c r="L6" i="80"/>
  <c r="L28" i="80" s="1"/>
  <c r="M54" i="78"/>
  <c r="M49" i="78"/>
  <c r="L58" i="78"/>
  <c r="Q38" i="73"/>
  <c r="Q51" i="73"/>
  <c r="Q26" i="73"/>
  <c r="I38" i="82"/>
  <c r="I26" i="82"/>
  <c r="I51" i="82"/>
  <c r="J9" i="78"/>
  <c r="I13" i="78"/>
  <c r="N72" i="25"/>
  <c r="O63" i="25"/>
  <c r="I68" i="78"/>
  <c r="I67" i="78"/>
  <c r="I65" i="78"/>
  <c r="O21" i="75"/>
  <c r="N104" i="75"/>
  <c r="N21" i="82"/>
  <c r="M104" i="82"/>
  <c r="H33" i="83"/>
  <c r="H25" i="73"/>
  <c r="H50" i="73"/>
  <c r="H34" i="73"/>
  <c r="H48" i="73" s="1"/>
  <c r="J36" i="83"/>
  <c r="I42" i="76"/>
  <c r="I65" i="76"/>
  <c r="I67" i="76"/>
  <c r="I68" i="76"/>
  <c r="N54" i="75"/>
  <c r="N49" i="75"/>
  <c r="K34" i="80"/>
  <c r="K48" i="80" s="1"/>
  <c r="K50" i="80"/>
  <c r="N54" i="76"/>
  <c r="N49" i="76"/>
  <c r="P21" i="78"/>
  <c r="O104" i="78"/>
  <c r="O72" i="84"/>
  <c r="P63" i="84"/>
  <c r="Q36" i="83"/>
  <c r="M21" i="73"/>
  <c r="L104" i="73"/>
  <c r="L121" i="73" s="1"/>
  <c r="I30" i="82"/>
  <c r="I43" i="82"/>
  <c r="I40" i="82"/>
  <c r="I73" i="82"/>
  <c r="O51" i="82"/>
  <c r="O26" i="82"/>
  <c r="O38" i="82"/>
  <c r="K49" i="76"/>
  <c r="K54" i="76"/>
  <c r="I50" i="83"/>
  <c r="O54" i="75"/>
  <c r="O49" i="75"/>
  <c r="H24" i="75"/>
  <c r="L54" i="76"/>
  <c r="L49" i="76"/>
  <c r="K34" i="25"/>
  <c r="K48" i="25" s="1"/>
  <c r="K50" i="25"/>
  <c r="O72" i="75"/>
  <c r="P63" i="75"/>
  <c r="M10" i="75"/>
  <c r="L11" i="75"/>
  <c r="L7" i="75" s="1"/>
  <c r="L32" i="75" s="1"/>
  <c r="L6" i="75"/>
  <c r="L28" i="75" s="1"/>
  <c r="M104" i="74"/>
  <c r="N21" i="74"/>
  <c r="P49" i="78"/>
  <c r="P54" i="78"/>
  <c r="Q49" i="77"/>
  <c r="Q54" i="77"/>
  <c r="H45" i="75"/>
  <c r="J34" i="76"/>
  <c r="J48" i="76" s="1"/>
  <c r="J50" i="76"/>
  <c r="J9" i="84"/>
  <c r="I13" i="84"/>
  <c r="K26" i="73"/>
  <c r="K38" i="73"/>
  <c r="K51" i="73"/>
  <c r="Q54" i="75"/>
  <c r="Q49" i="75"/>
  <c r="K73" i="82"/>
  <c r="K30" i="82"/>
  <c r="K40" i="82"/>
  <c r="J65" i="74"/>
  <c r="J67" i="74"/>
  <c r="J68" i="74"/>
  <c r="O70" i="74"/>
  <c r="P61" i="74"/>
  <c r="I45" i="78"/>
  <c r="J54" i="77"/>
  <c r="J49" i="77"/>
  <c r="O54" i="74"/>
  <c r="O49" i="74"/>
  <c r="J23" i="74"/>
  <c r="I41" i="74"/>
  <c r="O49" i="78"/>
  <c r="O54" i="78"/>
  <c r="M54" i="25"/>
  <c r="M49" i="25"/>
  <c r="I49" i="79"/>
  <c r="I52" i="79" s="1"/>
  <c r="I54" i="79"/>
  <c r="M104" i="83"/>
  <c r="N21" i="83"/>
  <c r="L10" i="76"/>
  <c r="K11" i="76"/>
  <c r="K7" i="76" s="1"/>
  <c r="K32" i="76" s="1"/>
  <c r="K6" i="76"/>
  <c r="N49" i="78"/>
  <c r="N54" i="78"/>
  <c r="H45" i="25"/>
  <c r="K36" i="83"/>
  <c r="I23" i="83"/>
  <c r="I41" i="83" s="1"/>
  <c r="I66" i="83" s="1"/>
  <c r="J23" i="73"/>
  <c r="I41" i="73"/>
  <c r="I66" i="73" s="1"/>
  <c r="K23" i="84"/>
  <c r="J41" i="84"/>
  <c r="J42" i="84" s="1"/>
  <c r="L104" i="79"/>
  <c r="L121" i="79" s="1"/>
  <c r="M21" i="79"/>
  <c r="K49" i="84"/>
  <c r="K54" i="84"/>
  <c r="K51" i="82"/>
  <c r="K38" i="82"/>
  <c r="K26" i="82"/>
  <c r="J54" i="76"/>
  <c r="J49" i="76"/>
  <c r="J45" i="75"/>
  <c r="K73" i="73"/>
  <c r="K30" i="73"/>
  <c r="H69" i="80"/>
  <c r="H74" i="80" s="1"/>
  <c r="H76" i="80" s="1"/>
  <c r="H46" i="80"/>
  <c r="H113" i="80"/>
  <c r="I113" i="80"/>
  <c r="I130" i="80" s="1"/>
  <c r="J9" i="75"/>
  <c r="I13" i="75"/>
  <c r="I70" i="83"/>
  <c r="J61" i="83"/>
  <c r="G88" i="83"/>
  <c r="P12" i="35" s="1"/>
  <c r="P7" i="35"/>
  <c r="I67" i="25"/>
  <c r="I68" i="25"/>
  <c r="I42" i="25"/>
  <c r="J9" i="79"/>
  <c r="I13" i="79"/>
  <c r="F17" i="80"/>
  <c r="F19" i="80" s="1"/>
  <c r="E17" i="80"/>
  <c r="E19" i="80" s="1"/>
  <c r="G17" i="80"/>
  <c r="G19" i="80" s="1"/>
  <c r="H54" i="76"/>
  <c r="H49" i="76"/>
  <c r="H53" i="76" s="1"/>
  <c r="J54" i="25"/>
  <c r="J49" i="25"/>
  <c r="J53" i="25" s="1"/>
  <c r="M70" i="75"/>
  <c r="N61" i="75"/>
  <c r="H68" i="25"/>
  <c r="H67" i="25"/>
  <c r="H17" i="25"/>
  <c r="H42" i="25"/>
  <c r="D41" i="1" s="1"/>
  <c r="P49" i="75"/>
  <c r="P54" i="75"/>
  <c r="H41" i="83"/>
  <c r="H66" i="83" s="1"/>
  <c r="P26" i="35" s="1"/>
  <c r="I17" i="83"/>
  <c r="J51" i="82"/>
  <c r="J26" i="82"/>
  <c r="J38" i="82"/>
  <c r="H34" i="82"/>
  <c r="H48" i="82" s="1"/>
  <c r="H50" i="82"/>
  <c r="M10" i="82"/>
  <c r="L11" i="82"/>
  <c r="L7" i="82" s="1"/>
  <c r="L32" i="82" s="1"/>
  <c r="N62" i="78"/>
  <c r="M71" i="78"/>
  <c r="J68" i="75"/>
  <c r="J65" i="75"/>
  <c r="J67" i="75"/>
  <c r="J50" i="73"/>
  <c r="J34" i="73"/>
  <c r="J48" i="73" s="1"/>
  <c r="P70" i="77"/>
  <c r="Q61" i="77"/>
  <c r="Q70" i="77" s="1"/>
  <c r="Q54" i="84"/>
  <c r="Q49" i="84"/>
  <c r="K34" i="75"/>
  <c r="K48" i="75" s="1"/>
  <c r="K50" i="75"/>
  <c r="O49" i="77"/>
  <c r="O54" i="77"/>
  <c r="I13" i="76"/>
  <c r="J9" i="76"/>
  <c r="M10" i="25"/>
  <c r="L11" i="25"/>
  <c r="L7" i="25" s="1"/>
  <c r="L32" i="25" s="1"/>
  <c r="L6" i="25"/>
  <c r="L28" i="25" s="1"/>
  <c r="H73" i="73"/>
  <c r="H73" i="83" s="1"/>
  <c r="H43" i="73"/>
  <c r="H40" i="73"/>
  <c r="H30" i="73"/>
  <c r="H24" i="73"/>
  <c r="K54" i="77"/>
  <c r="K49" i="77"/>
  <c r="O21" i="80"/>
  <c r="N104" i="80"/>
  <c r="I54" i="75"/>
  <c r="I49" i="75"/>
  <c r="I53" i="75" s="1"/>
  <c r="H9" i="83"/>
  <c r="H13" i="83" s="1"/>
  <c r="H28" i="83"/>
  <c r="H10" i="83"/>
  <c r="H11" i="83" s="1"/>
  <c r="O61" i="73"/>
  <c r="N70" i="73"/>
  <c r="M54" i="77"/>
  <c r="M49" i="77"/>
  <c r="Q49" i="79"/>
  <c r="Q54" i="79"/>
  <c r="M54" i="75"/>
  <c r="M49" i="75"/>
  <c r="L104" i="76"/>
  <c r="L121" i="76" s="1"/>
  <c r="M21" i="76"/>
  <c r="N71" i="75"/>
  <c r="O62" i="75"/>
  <c r="M62" i="74"/>
  <c r="L71" i="74"/>
  <c r="N54" i="84"/>
  <c r="N49" i="84"/>
  <c r="Q49" i="74"/>
  <c r="Q54" i="74"/>
  <c r="J34" i="77"/>
  <c r="J48" i="77" s="1"/>
  <c r="J50" i="77"/>
  <c r="I38" i="73"/>
  <c r="I26" i="73"/>
  <c r="I51" i="73"/>
  <c r="K71" i="83"/>
  <c r="L62" i="83"/>
  <c r="L54" i="77"/>
  <c r="L49" i="77"/>
  <c r="J7" i="83"/>
  <c r="J32" i="83" s="1"/>
  <c r="O71" i="84"/>
  <c r="P62" i="84"/>
  <c r="I49" i="25"/>
  <c r="I52" i="25" s="1"/>
  <c r="I54" i="25"/>
  <c r="O71" i="25"/>
  <c r="P62" i="25"/>
  <c r="F39" i="1"/>
  <c r="D47" i="1" s="1"/>
  <c r="F53" i="1" s="1"/>
  <c r="J45" i="84"/>
  <c r="I49" i="78"/>
  <c r="I52" i="78" s="1"/>
  <c r="I54" i="78"/>
  <c r="M72" i="79"/>
  <c r="N63" i="79"/>
  <c r="M61" i="78"/>
  <c r="L70" i="78"/>
  <c r="M61" i="80"/>
  <c r="L70" i="80"/>
  <c r="M54" i="76"/>
  <c r="M49" i="76"/>
  <c r="H45" i="76"/>
  <c r="M71" i="76"/>
  <c r="N62" i="76"/>
  <c r="H49" i="74"/>
  <c r="H52" i="74" s="1"/>
  <c r="H54" i="74"/>
  <c r="L10" i="78"/>
  <c r="K11" i="78"/>
  <c r="K7" i="78" s="1"/>
  <c r="K32" i="78" s="1"/>
  <c r="K6" i="78"/>
  <c r="K28" i="78" s="1"/>
  <c r="Q54" i="25"/>
  <c r="Q49" i="25"/>
  <c r="K11" i="77"/>
  <c r="K7" i="77" s="1"/>
  <c r="K32" i="77" s="1"/>
  <c r="L10" i="77"/>
  <c r="K6" i="77"/>
  <c r="K28" i="77" s="1"/>
  <c r="I65" i="74"/>
  <c r="I68" i="74"/>
  <c r="I67" i="74"/>
  <c r="I36" i="83"/>
  <c r="H45" i="78"/>
  <c r="N71" i="77"/>
  <c r="O62" i="77"/>
  <c r="L38" i="82"/>
  <c r="L26" i="82"/>
  <c r="L51" i="82"/>
  <c r="N51" i="82"/>
  <c r="N26" i="82"/>
  <c r="N38" i="82"/>
  <c r="M61" i="76"/>
  <c r="L70" i="76"/>
  <c r="P72" i="73"/>
  <c r="Q63" i="73"/>
  <c r="Q72" i="73" s="1"/>
  <c r="I13" i="73"/>
  <c r="I24" i="73" s="1"/>
  <c r="J9" i="73"/>
  <c r="I42" i="79" l="1"/>
  <c r="I43" i="79"/>
  <c r="J42" i="79"/>
  <c r="J67" i="79"/>
  <c r="J53" i="74"/>
  <c r="J113" i="84"/>
  <c r="J130" i="84" s="1"/>
  <c r="H46" i="74"/>
  <c r="J46" i="80"/>
  <c r="H69" i="74"/>
  <c r="H74" i="74" s="1"/>
  <c r="H76" i="74" s="1"/>
  <c r="J45" i="74"/>
  <c r="J69" i="74" s="1"/>
  <c r="I113" i="74"/>
  <c r="I130" i="74" s="1"/>
  <c r="J53" i="75"/>
  <c r="I69" i="84"/>
  <c r="I74" i="84" s="1"/>
  <c r="I76" i="84" s="1"/>
  <c r="I77" i="84" s="1"/>
  <c r="H25" i="82"/>
  <c r="H53" i="84"/>
  <c r="J46" i="25"/>
  <c r="J69" i="80"/>
  <c r="J74" i="80" s="1"/>
  <c r="J76" i="80" s="1"/>
  <c r="J53" i="79"/>
  <c r="I69" i="79"/>
  <c r="I74" i="79" s="1"/>
  <c r="I76" i="79" s="1"/>
  <c r="I108" i="80"/>
  <c r="I125" i="80" s="1"/>
  <c r="D40" i="1"/>
  <c r="F40" i="1" s="1"/>
  <c r="F41" i="1" s="1"/>
  <c r="J53" i="84"/>
  <c r="J73" i="83"/>
  <c r="H53" i="77"/>
  <c r="J52" i="74"/>
  <c r="H52" i="78"/>
  <c r="H53" i="75"/>
  <c r="H69" i="77"/>
  <c r="H74" i="77" s="1"/>
  <c r="H76" i="77" s="1"/>
  <c r="I66" i="78"/>
  <c r="I43" i="78"/>
  <c r="K43" i="80"/>
  <c r="K23" i="78"/>
  <c r="J41" i="78"/>
  <c r="G89" i="83"/>
  <c r="I77" i="80"/>
  <c r="J43" i="76"/>
  <c r="I45" i="82"/>
  <c r="I46" i="82" s="1"/>
  <c r="J45" i="79"/>
  <c r="K73" i="79"/>
  <c r="K40" i="79"/>
  <c r="K30" i="79"/>
  <c r="H46" i="77"/>
  <c r="L11" i="79"/>
  <c r="L7" i="79" s="1"/>
  <c r="L32" i="79" s="1"/>
  <c r="M10" i="79"/>
  <c r="L6" i="79"/>
  <c r="L28" i="79" s="1"/>
  <c r="K34" i="79"/>
  <c r="K48" i="79" s="1"/>
  <c r="K50" i="79"/>
  <c r="I52" i="76"/>
  <c r="I46" i="76"/>
  <c r="K40" i="74"/>
  <c r="K73" i="74"/>
  <c r="K30" i="74"/>
  <c r="I79" i="80"/>
  <c r="K50" i="74"/>
  <c r="K34" i="74"/>
  <c r="K48" i="74" s="1"/>
  <c r="L11" i="74"/>
  <c r="L7" i="74" s="1"/>
  <c r="L32" i="74" s="1"/>
  <c r="M10" i="74"/>
  <c r="L6" i="74"/>
  <c r="L28" i="74" s="1"/>
  <c r="I53" i="25"/>
  <c r="H53" i="74"/>
  <c r="J45" i="78"/>
  <c r="J69" i="78" s="1"/>
  <c r="I53" i="79"/>
  <c r="D46" i="1"/>
  <c r="F52" i="1" s="1"/>
  <c r="J43" i="82"/>
  <c r="L71" i="83"/>
  <c r="M62" i="83"/>
  <c r="P70" i="74"/>
  <c r="Q61" i="74"/>
  <c r="Q70" i="74" s="1"/>
  <c r="I25" i="84"/>
  <c r="I24" i="84"/>
  <c r="J51" i="83"/>
  <c r="J26" i="83"/>
  <c r="J38" i="83"/>
  <c r="I24" i="78"/>
  <c r="I25" i="78"/>
  <c r="N61" i="25"/>
  <c r="M70" i="25"/>
  <c r="J24" i="80"/>
  <c r="J25" i="80"/>
  <c r="N72" i="80"/>
  <c r="O63" i="80"/>
  <c r="I43" i="73"/>
  <c r="M23" i="80"/>
  <c r="L41" i="80"/>
  <c r="L66" i="80" s="1"/>
  <c r="K52" i="84"/>
  <c r="K53" i="84"/>
  <c r="I53" i="74"/>
  <c r="K51" i="83"/>
  <c r="K26" i="83"/>
  <c r="K38" i="83"/>
  <c r="Q26" i="83"/>
  <c r="Q51" i="83"/>
  <c r="Q38" i="83"/>
  <c r="M58" i="78"/>
  <c r="K67" i="80"/>
  <c r="K68" i="80"/>
  <c r="K65" i="80"/>
  <c r="K42" i="80"/>
  <c r="J65" i="78"/>
  <c r="J67" i="78"/>
  <c r="J68" i="78"/>
  <c r="P54" i="82"/>
  <c r="P49" i="82"/>
  <c r="N72" i="79"/>
  <c r="O63" i="79"/>
  <c r="M11" i="82"/>
  <c r="M7" i="82" s="1"/>
  <c r="M32" i="82" s="1"/>
  <c r="N10" i="82"/>
  <c r="M6" i="82"/>
  <c r="M28" i="82" s="1"/>
  <c r="K9" i="84"/>
  <c r="J13" i="84"/>
  <c r="L73" i="75"/>
  <c r="L30" i="75"/>
  <c r="L40" i="75"/>
  <c r="K53" i="80"/>
  <c r="K52" i="80"/>
  <c r="J13" i="78"/>
  <c r="K9" i="78"/>
  <c r="N72" i="76"/>
  <c r="O63" i="76"/>
  <c r="J13" i="74"/>
  <c r="K9" i="74"/>
  <c r="O71" i="73"/>
  <c r="P62" i="73"/>
  <c r="J52" i="25"/>
  <c r="K65" i="84"/>
  <c r="K68" i="84"/>
  <c r="K67" i="84"/>
  <c r="H72" i="83"/>
  <c r="P25" i="35" s="1"/>
  <c r="I63" i="83"/>
  <c r="L34" i="75"/>
  <c r="L48" i="75" s="1"/>
  <c r="L50" i="75"/>
  <c r="I25" i="73"/>
  <c r="I25" i="74"/>
  <c r="I24" i="74"/>
  <c r="L8" i="35"/>
  <c r="L9" i="35" s="1"/>
  <c r="G11" i="83"/>
  <c r="K45" i="84"/>
  <c r="K113" i="84" s="1"/>
  <c r="K130" i="84" s="1"/>
  <c r="J45" i="76"/>
  <c r="J65" i="82"/>
  <c r="J67" i="82"/>
  <c r="J68" i="82"/>
  <c r="J42" i="82"/>
  <c r="J66" i="77"/>
  <c r="J43" i="77"/>
  <c r="M10" i="77"/>
  <c r="L11" i="77"/>
  <c r="L7" i="77" s="1"/>
  <c r="L32" i="77" s="1"/>
  <c r="L6" i="77"/>
  <c r="L28" i="77" s="1"/>
  <c r="O71" i="77"/>
  <c r="P62" i="77"/>
  <c r="H69" i="78"/>
  <c r="H74" i="78" s="1"/>
  <c r="H76" i="78" s="1"/>
  <c r="H113" i="78"/>
  <c r="I113" i="78"/>
  <c r="I130" i="78" s="1"/>
  <c r="H46" i="78"/>
  <c r="L73" i="25"/>
  <c r="L30" i="25"/>
  <c r="L40" i="25"/>
  <c r="K73" i="78"/>
  <c r="K40" i="78"/>
  <c r="K30" i="78"/>
  <c r="L34" i="25"/>
  <c r="L48" i="25" s="1"/>
  <c r="L50" i="25"/>
  <c r="K9" i="75"/>
  <c r="J13" i="75"/>
  <c r="K54" i="82"/>
  <c r="K49" i="82"/>
  <c r="K53" i="82" s="1"/>
  <c r="N10" i="75"/>
  <c r="M11" i="75"/>
  <c r="M7" i="75" s="1"/>
  <c r="M32" i="75" s="1"/>
  <c r="M6" i="75"/>
  <c r="M28" i="75" s="1"/>
  <c r="I53" i="84"/>
  <c r="L26" i="83"/>
  <c r="L51" i="83"/>
  <c r="L38" i="83"/>
  <c r="N49" i="73"/>
  <c r="N54" i="73"/>
  <c r="K67" i="25"/>
  <c r="K68" i="25"/>
  <c r="O21" i="84"/>
  <c r="N104" i="84"/>
  <c r="J66" i="79"/>
  <c r="J43" i="79"/>
  <c r="L10" i="35"/>
  <c r="L11" i="35"/>
  <c r="L40" i="82"/>
  <c r="J67" i="76"/>
  <c r="J42" i="76"/>
  <c r="J68" i="76"/>
  <c r="J65" i="76"/>
  <c r="J45" i="82"/>
  <c r="H53" i="25"/>
  <c r="L23" i="77"/>
  <c r="K41" i="77"/>
  <c r="K66" i="77" s="1"/>
  <c r="F17" i="25"/>
  <c r="F19" i="25" s="1"/>
  <c r="E17" i="25"/>
  <c r="E19" i="25" s="1"/>
  <c r="G17" i="25"/>
  <c r="G19" i="25" s="1"/>
  <c r="H113" i="25"/>
  <c r="H69" i="25"/>
  <c r="I113" i="25"/>
  <c r="I130" i="25" s="1"/>
  <c r="D74" i="1"/>
  <c r="H46" i="25"/>
  <c r="J52" i="76"/>
  <c r="J53" i="76"/>
  <c r="P72" i="75"/>
  <c r="Q63" i="75"/>
  <c r="Q72" i="75" s="1"/>
  <c r="L73" i="80"/>
  <c r="L30" i="80"/>
  <c r="L40" i="80"/>
  <c r="I69" i="25"/>
  <c r="I46" i="25"/>
  <c r="J113" i="25"/>
  <c r="J130" i="25" s="1"/>
  <c r="I53" i="78"/>
  <c r="L23" i="79"/>
  <c r="K41" i="79"/>
  <c r="L12" i="35"/>
  <c r="L13" i="35" s="1"/>
  <c r="L15" i="35"/>
  <c r="O51" i="83"/>
  <c r="O26" i="83"/>
  <c r="O38" i="83"/>
  <c r="F17" i="78"/>
  <c r="F19" i="78" s="1"/>
  <c r="E17" i="78"/>
  <c r="E19" i="78" s="1"/>
  <c r="G17" i="78"/>
  <c r="G19" i="78" s="1"/>
  <c r="I33" i="83"/>
  <c r="Q20" i="35"/>
  <c r="N10" i="80"/>
  <c r="M11" i="80"/>
  <c r="M7" i="80" s="1"/>
  <c r="M32" i="80" s="1"/>
  <c r="M6" i="80"/>
  <c r="M28" i="80" s="1"/>
  <c r="J52" i="79"/>
  <c r="I69" i="77"/>
  <c r="I74" i="77" s="1"/>
  <c r="I76" i="77" s="1"/>
  <c r="I46" i="77"/>
  <c r="H69" i="84"/>
  <c r="H74" i="84" s="1"/>
  <c r="H76" i="84" s="1"/>
  <c r="H46" i="84"/>
  <c r="I113" i="84"/>
  <c r="I130" i="84" s="1"/>
  <c r="H113" i="84"/>
  <c r="H130" i="77"/>
  <c r="G94" i="77"/>
  <c r="G97" i="77" s="1"/>
  <c r="L73" i="84"/>
  <c r="L40" i="84"/>
  <c r="L30" i="84"/>
  <c r="H45" i="82"/>
  <c r="L49" i="73"/>
  <c r="L54" i="73"/>
  <c r="I52" i="75"/>
  <c r="L50" i="84"/>
  <c r="L34" i="84"/>
  <c r="L48" i="84" s="1"/>
  <c r="M71" i="74"/>
  <c r="N62" i="74"/>
  <c r="I24" i="76"/>
  <c r="I25" i="76"/>
  <c r="L34" i="80"/>
  <c r="L48" i="80" s="1"/>
  <c r="L50" i="80"/>
  <c r="J53" i="77"/>
  <c r="J52" i="77"/>
  <c r="K67" i="82"/>
  <c r="K68" i="82"/>
  <c r="K65" i="82"/>
  <c r="H54" i="73"/>
  <c r="H49" i="73"/>
  <c r="H52" i="73" s="1"/>
  <c r="I113" i="77"/>
  <c r="I130" i="77" s="1"/>
  <c r="N10" i="84"/>
  <c r="M11" i="84"/>
  <c r="M7" i="84" s="1"/>
  <c r="M32" i="84" s="1"/>
  <c r="M6" i="84"/>
  <c r="M28" i="84" s="1"/>
  <c r="G94" i="74"/>
  <c r="G97" i="74" s="1"/>
  <c r="H130" i="74"/>
  <c r="J13" i="73"/>
  <c r="K9" i="73"/>
  <c r="K50" i="78"/>
  <c r="K34" i="78"/>
  <c r="K48" i="78" s="1"/>
  <c r="M10" i="78"/>
  <c r="L11" i="78"/>
  <c r="L7" i="78" s="1"/>
  <c r="L32" i="78" s="1"/>
  <c r="L6" i="78"/>
  <c r="L28" i="78" s="1"/>
  <c r="K9" i="76"/>
  <c r="J13" i="76"/>
  <c r="I25" i="79"/>
  <c r="I24" i="79"/>
  <c r="K9" i="79"/>
  <c r="J13" i="79"/>
  <c r="I66" i="74"/>
  <c r="I43" i="74"/>
  <c r="J69" i="84"/>
  <c r="J46" i="84"/>
  <c r="G94" i="80"/>
  <c r="G97" i="80" s="1"/>
  <c r="G100" i="80" s="1"/>
  <c r="H130" i="80"/>
  <c r="N21" i="79"/>
  <c r="M104" i="79"/>
  <c r="K23" i="74"/>
  <c r="J41" i="74"/>
  <c r="K52" i="25"/>
  <c r="K53" i="25"/>
  <c r="O21" i="82"/>
  <c r="N104" i="82"/>
  <c r="I49" i="82"/>
  <c r="I53" i="82" s="1"/>
  <c r="I54" i="82"/>
  <c r="J45" i="77"/>
  <c r="J66" i="25"/>
  <c r="J43" i="25"/>
  <c r="N104" i="77"/>
  <c r="O21" i="77"/>
  <c r="M26" i="83"/>
  <c r="M51" i="83"/>
  <c r="M38" i="83"/>
  <c r="N71" i="76"/>
  <c r="O62" i="76"/>
  <c r="K45" i="75"/>
  <c r="K113" i="75" s="1"/>
  <c r="K130" i="75" s="1"/>
  <c r="K45" i="82"/>
  <c r="Q21" i="78"/>
  <c r="Q104" i="78" s="1"/>
  <c r="P104" i="78"/>
  <c r="I74" i="76"/>
  <c r="I76" i="76" s="1"/>
  <c r="J45" i="73"/>
  <c r="H54" i="82"/>
  <c r="H49" i="82"/>
  <c r="H52" i="82" s="1"/>
  <c r="L23" i="25"/>
  <c r="K41" i="25"/>
  <c r="Q54" i="82"/>
  <c r="Q49" i="82"/>
  <c r="G17" i="79"/>
  <c r="G19" i="79" s="1"/>
  <c r="F17" i="79"/>
  <c r="F19" i="79" s="1"/>
  <c r="E17" i="79"/>
  <c r="E19" i="79" s="1"/>
  <c r="G17" i="76"/>
  <c r="G19" i="76" s="1"/>
  <c r="F17" i="76"/>
  <c r="F19" i="76" s="1"/>
  <c r="E17" i="76"/>
  <c r="E19" i="76" s="1"/>
  <c r="I54" i="73"/>
  <c r="I49" i="73"/>
  <c r="I52" i="73" s="1"/>
  <c r="Q62" i="84"/>
  <c r="Q71" i="84" s="1"/>
  <c r="P71" i="84"/>
  <c r="N61" i="76"/>
  <c r="M70" i="76"/>
  <c r="I51" i="83"/>
  <c r="I26" i="83"/>
  <c r="I38" i="83"/>
  <c r="J66" i="84"/>
  <c r="J43" i="84"/>
  <c r="I67" i="82"/>
  <c r="I65" i="82"/>
  <c r="I68" i="82"/>
  <c r="I42" i="82"/>
  <c r="O104" i="75"/>
  <c r="P21" i="75"/>
  <c r="J65" i="73"/>
  <c r="J67" i="73"/>
  <c r="J68" i="73"/>
  <c r="E17" i="75"/>
  <c r="E19" i="75" s="1"/>
  <c r="G17" i="75"/>
  <c r="G19" i="75" s="1"/>
  <c r="F17" i="75"/>
  <c r="F19" i="75" s="1"/>
  <c r="N70" i="79"/>
  <c r="O61" i="79"/>
  <c r="L23" i="82"/>
  <c r="K41" i="82"/>
  <c r="K42" i="82" s="1"/>
  <c r="H67" i="82"/>
  <c r="H17" i="82"/>
  <c r="H68" i="82"/>
  <c r="H65" i="82"/>
  <c r="H42" i="82"/>
  <c r="O21" i="74"/>
  <c r="N104" i="74"/>
  <c r="H52" i="76"/>
  <c r="J52" i="78"/>
  <c r="J53" i="78"/>
  <c r="M54" i="82"/>
  <c r="M49" i="82"/>
  <c r="H113" i="79"/>
  <c r="H69" i="79"/>
  <c r="H74" i="79" s="1"/>
  <c r="H76" i="79" s="1"/>
  <c r="I113" i="79"/>
  <c r="I130" i="79" s="1"/>
  <c r="H46" i="79"/>
  <c r="P71" i="82"/>
  <c r="Q62" i="82"/>
  <c r="Q71" i="82" s="1"/>
  <c r="L49" i="82"/>
  <c r="L54" i="82"/>
  <c r="K50" i="77"/>
  <c r="K34" i="77"/>
  <c r="K48" i="77" s="1"/>
  <c r="M70" i="78"/>
  <c r="N61" i="78"/>
  <c r="N10" i="25"/>
  <c r="M11" i="25"/>
  <c r="M7" i="25" s="1"/>
  <c r="M32" i="25" s="1"/>
  <c r="M6" i="25"/>
  <c r="M28" i="25" s="1"/>
  <c r="J49" i="82"/>
  <c r="J52" i="82" s="1"/>
  <c r="J54" i="82"/>
  <c r="H78" i="80"/>
  <c r="H108" i="80"/>
  <c r="H79" i="80"/>
  <c r="H77" i="80"/>
  <c r="Q63" i="84"/>
  <c r="Q72" i="84" s="1"/>
  <c r="P72" i="84"/>
  <c r="N54" i="82"/>
  <c r="N49" i="82"/>
  <c r="P71" i="25"/>
  <c r="Q62" i="25"/>
  <c r="Q71" i="25" s="1"/>
  <c r="L23" i="84"/>
  <c r="K41" i="84"/>
  <c r="K42" i="84" s="1"/>
  <c r="J50" i="83"/>
  <c r="O70" i="73"/>
  <c r="P61" i="73"/>
  <c r="H65" i="73"/>
  <c r="H68" i="73"/>
  <c r="H42" i="73"/>
  <c r="H67" i="73"/>
  <c r="H17" i="73"/>
  <c r="K52" i="75"/>
  <c r="K53" i="75"/>
  <c r="K67" i="73"/>
  <c r="K68" i="73"/>
  <c r="K65" i="73"/>
  <c r="K28" i="76"/>
  <c r="K6" i="83"/>
  <c r="N26" i="83"/>
  <c r="N51" i="83"/>
  <c r="N38" i="83"/>
  <c r="J54" i="73"/>
  <c r="J49" i="73"/>
  <c r="J53" i="73" s="1"/>
  <c r="P72" i="82"/>
  <c r="Q63" i="82"/>
  <c r="Q72" i="82" s="1"/>
  <c r="I52" i="77"/>
  <c r="I25" i="77"/>
  <c r="I24" i="77"/>
  <c r="P72" i="78"/>
  <c r="Q63" i="78"/>
  <c r="Q72" i="78" s="1"/>
  <c r="N72" i="74"/>
  <c r="O63" i="74"/>
  <c r="I13" i="82"/>
  <c r="J9" i="82"/>
  <c r="J70" i="83"/>
  <c r="K61" i="83"/>
  <c r="O71" i="75"/>
  <c r="P62" i="75"/>
  <c r="O104" i="80"/>
  <c r="P21" i="80"/>
  <c r="O54" i="82"/>
  <c r="O49" i="82"/>
  <c r="H69" i="76"/>
  <c r="H74" i="76" s="1"/>
  <c r="H76" i="76" s="1"/>
  <c r="I113" i="76"/>
  <c r="I130" i="76" s="1"/>
  <c r="H113" i="76"/>
  <c r="H46" i="76"/>
  <c r="H45" i="73"/>
  <c r="O61" i="75"/>
  <c r="N70" i="75"/>
  <c r="K34" i="76"/>
  <c r="K48" i="76" s="1"/>
  <c r="K50" i="76"/>
  <c r="I24" i="25"/>
  <c r="I25" i="25"/>
  <c r="N72" i="77"/>
  <c r="O63" i="77"/>
  <c r="G17" i="84"/>
  <c r="G19" i="84" s="1"/>
  <c r="E17" i="84"/>
  <c r="E19" i="84" s="1"/>
  <c r="F17" i="84"/>
  <c r="F19" i="84" s="1"/>
  <c r="H12" i="83"/>
  <c r="H25" i="83" s="1"/>
  <c r="J13" i="77"/>
  <c r="K9" i="77"/>
  <c r="M49" i="73"/>
  <c r="M54" i="73"/>
  <c r="P26" i="83"/>
  <c r="P51" i="83"/>
  <c r="P38" i="83"/>
  <c r="P49" i="73"/>
  <c r="P54" i="73"/>
  <c r="L28" i="73"/>
  <c r="F43" i="1"/>
  <c r="N71" i="78"/>
  <c r="O62" i="78"/>
  <c r="L34" i="82"/>
  <c r="L48" i="82" s="1"/>
  <c r="L50" i="82"/>
  <c r="I42" i="74"/>
  <c r="H40" i="83"/>
  <c r="H30" i="83"/>
  <c r="H43" i="83"/>
  <c r="H24" i="83"/>
  <c r="M10" i="76"/>
  <c r="L11" i="76"/>
  <c r="L7" i="76" s="1"/>
  <c r="L32" i="76" s="1"/>
  <c r="L6" i="76"/>
  <c r="L28" i="76" s="1"/>
  <c r="I66" i="75"/>
  <c r="I43" i="75"/>
  <c r="H52" i="79"/>
  <c r="J10" i="83"/>
  <c r="J11" i="83" s="1"/>
  <c r="J9" i="83"/>
  <c r="J28" i="83"/>
  <c r="K45" i="25"/>
  <c r="G12" i="83"/>
  <c r="N71" i="80"/>
  <c r="O62" i="80"/>
  <c r="E17" i="77"/>
  <c r="E19" i="77" s="1"/>
  <c r="F17" i="77"/>
  <c r="F19" i="77" s="1"/>
  <c r="G17" i="77"/>
  <c r="G19" i="77" s="1"/>
  <c r="I46" i="75"/>
  <c r="I69" i="75"/>
  <c r="J113" i="75"/>
  <c r="J130" i="75" s="1"/>
  <c r="H51" i="83"/>
  <c r="H26" i="83"/>
  <c r="H38" i="83"/>
  <c r="I65" i="73"/>
  <c r="I68" i="73"/>
  <c r="I42" i="73"/>
  <c r="I67" i="73"/>
  <c r="I13" i="83"/>
  <c r="I25" i="83" s="1"/>
  <c r="K50" i="73"/>
  <c r="K34" i="73"/>
  <c r="K48" i="73" s="1"/>
  <c r="N10" i="73"/>
  <c r="M11" i="73"/>
  <c r="M7" i="73" s="1"/>
  <c r="M6" i="73"/>
  <c r="D45" i="1"/>
  <c r="F51" i="1" s="1"/>
  <c r="M104" i="76"/>
  <c r="N21" i="76"/>
  <c r="I25" i="75"/>
  <c r="I24" i="75"/>
  <c r="H46" i="75"/>
  <c r="H69" i="75"/>
  <c r="H74" i="75" s="1"/>
  <c r="H76" i="75" s="1"/>
  <c r="H113" i="75"/>
  <c r="I113" i="75"/>
  <c r="I130" i="75" s="1"/>
  <c r="K23" i="73"/>
  <c r="J23" i="83"/>
  <c r="J41" i="83" s="1"/>
  <c r="J66" i="83" s="1"/>
  <c r="J41" i="73"/>
  <c r="K9" i="25"/>
  <c r="J13" i="25"/>
  <c r="K73" i="77"/>
  <c r="K40" i="77"/>
  <c r="K30" i="77"/>
  <c r="M70" i="80"/>
  <c r="N61" i="80"/>
  <c r="O21" i="83"/>
  <c r="N104" i="83"/>
  <c r="K54" i="73"/>
  <c r="K49" i="73"/>
  <c r="N21" i="73"/>
  <c r="M104" i="73"/>
  <c r="O72" i="25"/>
  <c r="P63" i="25"/>
  <c r="Q49" i="73"/>
  <c r="Q54" i="73"/>
  <c r="K23" i="75"/>
  <c r="J41" i="75"/>
  <c r="K45" i="80"/>
  <c r="P21" i="25"/>
  <c r="O104" i="25"/>
  <c r="F29" i="1"/>
  <c r="D31" i="1"/>
  <c r="F31" i="1" s="1"/>
  <c r="I45" i="73"/>
  <c r="I40" i="83"/>
  <c r="I43" i="83"/>
  <c r="I30" i="83"/>
  <c r="K7" i="83"/>
  <c r="K32" i="83" s="1"/>
  <c r="N62" i="79"/>
  <c r="M71" i="79"/>
  <c r="L32" i="73"/>
  <c r="J46" i="75"/>
  <c r="J69" i="75"/>
  <c r="I69" i="78"/>
  <c r="I46" i="78"/>
  <c r="H34" i="83"/>
  <c r="L9" i="80"/>
  <c r="K13" i="80"/>
  <c r="L23" i="76"/>
  <c r="K41" i="76"/>
  <c r="K66" i="76" s="1"/>
  <c r="E17" i="74"/>
  <c r="E19" i="74" s="1"/>
  <c r="F17" i="74"/>
  <c r="F19" i="74" s="1"/>
  <c r="G17" i="74"/>
  <c r="G19" i="74" s="1"/>
  <c r="O54" i="73"/>
  <c r="O49" i="73"/>
  <c r="J113" i="74"/>
  <c r="J130" i="74" s="1"/>
  <c r="I46" i="74"/>
  <c r="I69" i="74"/>
  <c r="J46" i="74" l="1"/>
  <c r="I69" i="82"/>
  <c r="I74" i="82" s="1"/>
  <c r="I76" i="82" s="1"/>
  <c r="K52" i="82"/>
  <c r="I52" i="82"/>
  <c r="J113" i="82"/>
  <c r="J130" i="82" s="1"/>
  <c r="K53" i="79"/>
  <c r="I74" i="78"/>
  <c r="I76" i="78" s="1"/>
  <c r="I78" i="78" s="1"/>
  <c r="K45" i="73"/>
  <c r="K46" i="73" s="1"/>
  <c r="K43" i="77"/>
  <c r="J66" i="78"/>
  <c r="J74" i="78" s="1"/>
  <c r="J76" i="78" s="1"/>
  <c r="J43" i="78"/>
  <c r="L23" i="78"/>
  <c r="K41" i="78"/>
  <c r="K42" i="78" s="1"/>
  <c r="I79" i="84"/>
  <c r="I108" i="84"/>
  <c r="I125" i="84" s="1"/>
  <c r="I78" i="84"/>
  <c r="J42" i="78"/>
  <c r="L73" i="79"/>
  <c r="L40" i="79"/>
  <c r="L30" i="79"/>
  <c r="L30" i="74"/>
  <c r="L73" i="74"/>
  <c r="L40" i="74"/>
  <c r="N10" i="79"/>
  <c r="M11" i="79"/>
  <c r="M7" i="79" s="1"/>
  <c r="M32" i="79" s="1"/>
  <c r="M6" i="79"/>
  <c r="M28" i="79" s="1"/>
  <c r="M11" i="74"/>
  <c r="M7" i="74" s="1"/>
  <c r="M32" i="74" s="1"/>
  <c r="N10" i="74"/>
  <c r="M6" i="74"/>
  <c r="M28" i="74" s="1"/>
  <c r="L50" i="79"/>
  <c r="L34" i="79"/>
  <c r="L48" i="79" s="1"/>
  <c r="L34" i="74"/>
  <c r="L48" i="74" s="1"/>
  <c r="L50" i="74"/>
  <c r="K45" i="74"/>
  <c r="J46" i="79"/>
  <c r="J69" i="79"/>
  <c r="J74" i="79" s="1"/>
  <c r="J76" i="79" s="1"/>
  <c r="J113" i="79"/>
  <c r="J130" i="79" s="1"/>
  <c r="J74" i="84"/>
  <c r="J76" i="84" s="1"/>
  <c r="J108" i="84" s="1"/>
  <c r="K45" i="79"/>
  <c r="K52" i="79"/>
  <c r="J46" i="78"/>
  <c r="K67" i="74"/>
  <c r="K65" i="74"/>
  <c r="K68" i="74"/>
  <c r="K53" i="74"/>
  <c r="K52" i="74"/>
  <c r="I74" i="74"/>
  <c r="I76" i="74" s="1"/>
  <c r="I108" i="74" s="1"/>
  <c r="J113" i="78"/>
  <c r="J130" i="78" s="1"/>
  <c r="L45" i="25"/>
  <c r="L46" i="25" s="1"/>
  <c r="K65" i="79"/>
  <c r="K68" i="79"/>
  <c r="K67" i="79"/>
  <c r="J53" i="82"/>
  <c r="I74" i="75"/>
  <c r="I76" i="75" s="1"/>
  <c r="I78" i="75" s="1"/>
  <c r="K45" i="77"/>
  <c r="K46" i="77" s="1"/>
  <c r="L7" i="83"/>
  <c r="L32" i="83" s="1"/>
  <c r="L50" i="83" s="1"/>
  <c r="J52" i="73"/>
  <c r="L45" i="80"/>
  <c r="L46" i="80" s="1"/>
  <c r="L43" i="80"/>
  <c r="H108" i="79"/>
  <c r="H79" i="79"/>
  <c r="H77" i="79"/>
  <c r="H78" i="79"/>
  <c r="H108" i="78"/>
  <c r="H78" i="78"/>
  <c r="H77" i="78"/>
  <c r="H79" i="78"/>
  <c r="H108" i="76"/>
  <c r="H78" i="76"/>
  <c r="H77" i="76"/>
  <c r="H79" i="76"/>
  <c r="I108" i="77"/>
  <c r="I78" i="77"/>
  <c r="I77" i="77"/>
  <c r="I79" i="77"/>
  <c r="H77" i="84"/>
  <c r="H108" i="84"/>
  <c r="H78" i="84"/>
  <c r="H79" i="84"/>
  <c r="J66" i="75"/>
  <c r="J74" i="75" s="1"/>
  <c r="J76" i="75" s="1"/>
  <c r="J43" i="75"/>
  <c r="J42" i="75"/>
  <c r="M50" i="75"/>
  <c r="M34" i="75"/>
  <c r="M48" i="75" s="1"/>
  <c r="L67" i="25"/>
  <c r="L68" i="25"/>
  <c r="H57" i="25"/>
  <c r="H53" i="73"/>
  <c r="P63" i="76"/>
  <c r="O72" i="76"/>
  <c r="J24" i="84"/>
  <c r="J25" i="84"/>
  <c r="L34" i="73"/>
  <c r="L48" i="73" s="1"/>
  <c r="L50" i="73"/>
  <c r="L23" i="74"/>
  <c r="K41" i="74"/>
  <c r="M23" i="76"/>
  <c r="L41" i="76"/>
  <c r="L66" i="76" s="1"/>
  <c r="M23" i="25"/>
  <c r="L41" i="25"/>
  <c r="L9" i="76"/>
  <c r="K13" i="76"/>
  <c r="K25" i="76" s="1"/>
  <c r="J33" i="83"/>
  <c r="I34" i="83"/>
  <c r="I48" i="83" s="1"/>
  <c r="J69" i="82"/>
  <c r="J74" i="82" s="1"/>
  <c r="J76" i="82" s="1"/>
  <c r="J46" i="82"/>
  <c r="K113" i="82"/>
  <c r="K130" i="82" s="1"/>
  <c r="O10" i="75"/>
  <c r="N11" i="75"/>
  <c r="N7" i="75" s="1"/>
  <c r="N32" i="75" s="1"/>
  <c r="N6" i="75"/>
  <c r="N28" i="75" s="1"/>
  <c r="K13" i="84"/>
  <c r="L9" i="84"/>
  <c r="J49" i="83"/>
  <c r="J54" i="83"/>
  <c r="K66" i="25"/>
  <c r="K43" i="25"/>
  <c r="P21" i="77"/>
  <c r="O104" i="77"/>
  <c r="G98" i="77"/>
  <c r="G105" i="77" s="1"/>
  <c r="G100" i="77"/>
  <c r="L23" i="75"/>
  <c r="K41" i="75"/>
  <c r="O21" i="76"/>
  <c r="N104" i="76"/>
  <c r="O71" i="78"/>
  <c r="P62" i="78"/>
  <c r="K25" i="80"/>
  <c r="K24" i="80"/>
  <c r="J24" i="77"/>
  <c r="J25" i="77"/>
  <c r="P71" i="75"/>
  <c r="Q62" i="75"/>
  <c r="Q71" i="75" s="1"/>
  <c r="N104" i="79"/>
  <c r="O21" i="79"/>
  <c r="L52" i="82"/>
  <c r="L53" i="82"/>
  <c r="K67" i="77"/>
  <c r="K68" i="77"/>
  <c r="K65" i="77"/>
  <c r="K42" i="77"/>
  <c r="I54" i="83"/>
  <c r="I49" i="83"/>
  <c r="L73" i="78"/>
  <c r="L30" i="78"/>
  <c r="L40" i="78"/>
  <c r="L73" i="76"/>
  <c r="L30" i="76"/>
  <c r="L40" i="76"/>
  <c r="H108" i="74"/>
  <c r="H78" i="74"/>
  <c r="H79" i="74"/>
  <c r="H77" i="74"/>
  <c r="K9" i="83"/>
  <c r="K10" i="83"/>
  <c r="K11" i="83" s="1"/>
  <c r="K28" i="83"/>
  <c r="G17" i="82"/>
  <c r="G19" i="82" s="1"/>
  <c r="E17" i="82"/>
  <c r="E19" i="82" s="1"/>
  <c r="F17" i="82"/>
  <c r="F19" i="82" s="1"/>
  <c r="L34" i="78"/>
  <c r="L48" i="78" s="1"/>
  <c r="L50" i="78"/>
  <c r="L52" i="84"/>
  <c r="L53" i="84"/>
  <c r="G94" i="84"/>
  <c r="G97" i="84" s="1"/>
  <c r="H130" i="84"/>
  <c r="J69" i="76"/>
  <c r="J74" i="76" s="1"/>
  <c r="J76" i="76" s="1"/>
  <c r="J46" i="76"/>
  <c r="J113" i="76"/>
  <c r="J130" i="76" s="1"/>
  <c r="Q21" i="80"/>
  <c r="Q104" i="80" s="1"/>
  <c r="P104" i="80"/>
  <c r="M9" i="80"/>
  <c r="L13" i="80"/>
  <c r="N71" i="79"/>
  <c r="O62" i="79"/>
  <c r="P20" i="35"/>
  <c r="H48" i="83"/>
  <c r="K50" i="83"/>
  <c r="Q63" i="25"/>
  <c r="Q72" i="25" s="1"/>
  <c r="P72" i="25"/>
  <c r="J24" i="25"/>
  <c r="J25" i="25"/>
  <c r="M28" i="73"/>
  <c r="L34" i="76"/>
  <c r="L48" i="76" s="1"/>
  <c r="L50" i="76"/>
  <c r="L6" i="83"/>
  <c r="K53" i="76"/>
  <c r="K52" i="76"/>
  <c r="K70" i="83"/>
  <c r="L61" i="83"/>
  <c r="K73" i="76"/>
  <c r="K73" i="83" s="1"/>
  <c r="K40" i="76"/>
  <c r="K30" i="76"/>
  <c r="K45" i="76" s="1"/>
  <c r="K113" i="76" s="1"/>
  <c r="K130" i="76" s="1"/>
  <c r="K43" i="76"/>
  <c r="M11" i="78"/>
  <c r="M7" i="78" s="1"/>
  <c r="M32" i="78" s="1"/>
  <c r="N10" i="78"/>
  <c r="M6" i="78"/>
  <c r="M28" i="78" s="1"/>
  <c r="L54" i="83"/>
  <c r="L49" i="83"/>
  <c r="J25" i="75"/>
  <c r="J24" i="75"/>
  <c r="K46" i="84"/>
  <c r="K69" i="84"/>
  <c r="L52" i="75"/>
  <c r="L53" i="75"/>
  <c r="J66" i="73"/>
  <c r="J43" i="73"/>
  <c r="J25" i="76"/>
  <c r="J24" i="76"/>
  <c r="L9" i="77"/>
  <c r="K13" i="77"/>
  <c r="G17" i="73"/>
  <c r="G19" i="73" s="1"/>
  <c r="F17" i="73"/>
  <c r="F19" i="73" s="1"/>
  <c r="E17" i="73"/>
  <c r="E19" i="73" s="1"/>
  <c r="I24" i="83"/>
  <c r="K13" i="25"/>
  <c r="L9" i="25"/>
  <c r="M32" i="73"/>
  <c r="N10" i="76"/>
  <c r="M11" i="76"/>
  <c r="M7" i="76" s="1"/>
  <c r="M32" i="76" s="1"/>
  <c r="M6" i="76"/>
  <c r="M28" i="76" s="1"/>
  <c r="L73" i="73"/>
  <c r="L40" i="73"/>
  <c r="L30" i="73"/>
  <c r="H125" i="80"/>
  <c r="K66" i="82"/>
  <c r="K43" i="82"/>
  <c r="J42" i="73"/>
  <c r="O61" i="76"/>
  <c r="N70" i="76"/>
  <c r="J69" i="73"/>
  <c r="J46" i="73"/>
  <c r="K53" i="78"/>
  <c r="K52" i="78"/>
  <c r="O49" i="83"/>
  <c r="O54" i="83"/>
  <c r="L9" i="75"/>
  <c r="K13" i="75"/>
  <c r="G94" i="78"/>
  <c r="G97" i="78" s="1"/>
  <c r="H130" i="78"/>
  <c r="I72" i="83"/>
  <c r="J63" i="83"/>
  <c r="N23" i="80"/>
  <c r="M41" i="80"/>
  <c r="M66" i="80" s="1"/>
  <c r="L41" i="82"/>
  <c r="L42" i="82" s="1"/>
  <c r="M23" i="82"/>
  <c r="I78" i="76"/>
  <c r="I108" i="76"/>
  <c r="I77" i="76"/>
  <c r="I79" i="76"/>
  <c r="L65" i="82"/>
  <c r="L67" i="82"/>
  <c r="L68" i="82"/>
  <c r="M30" i="82"/>
  <c r="M73" i="82"/>
  <c r="M40" i="82"/>
  <c r="N58" i="78"/>
  <c r="G94" i="25"/>
  <c r="H130" i="25"/>
  <c r="K13" i="78"/>
  <c r="L9" i="78"/>
  <c r="N11" i="82"/>
  <c r="N7" i="82" s="1"/>
  <c r="N32" i="82" s="1"/>
  <c r="O10" i="82"/>
  <c r="N6" i="82"/>
  <c r="N28" i="82" s="1"/>
  <c r="Q49" i="83"/>
  <c r="Q54" i="83"/>
  <c r="P63" i="80"/>
  <c r="O72" i="80"/>
  <c r="J46" i="77"/>
  <c r="J69" i="77"/>
  <c r="J74" i="77" s="1"/>
  <c r="J76" i="77" s="1"/>
  <c r="L9" i="73"/>
  <c r="K13" i="73"/>
  <c r="L45" i="82"/>
  <c r="L113" i="82" s="1"/>
  <c r="L130" i="82" s="1"/>
  <c r="L53" i="25"/>
  <c r="L52" i="25"/>
  <c r="P71" i="77"/>
  <c r="Q62" i="77"/>
  <c r="Q71" i="77" s="1"/>
  <c r="J24" i="78"/>
  <c r="J25" i="78"/>
  <c r="M34" i="82"/>
  <c r="M48" i="82" s="1"/>
  <c r="M50" i="82"/>
  <c r="N62" i="83"/>
  <c r="M71" i="83"/>
  <c r="P104" i="75"/>
  <c r="Q21" i="75"/>
  <c r="Q104" i="75" s="1"/>
  <c r="J113" i="73"/>
  <c r="J130" i="73" s="1"/>
  <c r="I69" i="73"/>
  <c r="I74" i="73" s="1"/>
  <c r="I76" i="73" s="1"/>
  <c r="I46" i="73"/>
  <c r="O71" i="80"/>
  <c r="P62" i="80"/>
  <c r="P21" i="35"/>
  <c r="H45" i="83"/>
  <c r="P63" i="74"/>
  <c r="O72" i="74"/>
  <c r="M73" i="25"/>
  <c r="M30" i="25"/>
  <c r="M40" i="25"/>
  <c r="I79" i="79"/>
  <c r="I77" i="79"/>
  <c r="I108" i="79"/>
  <c r="I78" i="79"/>
  <c r="K69" i="82"/>
  <c r="K46" i="82"/>
  <c r="J24" i="73"/>
  <c r="J25" i="73"/>
  <c r="J113" i="77"/>
  <c r="J130" i="77" s="1"/>
  <c r="J79" i="80"/>
  <c r="J108" i="80"/>
  <c r="J78" i="80"/>
  <c r="J77" i="80"/>
  <c r="L67" i="80"/>
  <c r="L68" i="80"/>
  <c r="L65" i="80"/>
  <c r="L42" i="80"/>
  <c r="K45" i="78"/>
  <c r="O72" i="79"/>
  <c r="P63" i="79"/>
  <c r="O70" i="75"/>
  <c r="P61" i="75"/>
  <c r="P49" i="83"/>
  <c r="P54" i="83"/>
  <c r="I113" i="73"/>
  <c r="I130" i="73" s="1"/>
  <c r="H46" i="73"/>
  <c r="H113" i="73"/>
  <c r="H69" i="73"/>
  <c r="H74" i="73" s="1"/>
  <c r="H76" i="73" s="1"/>
  <c r="N49" i="83"/>
  <c r="N54" i="83"/>
  <c r="O72" i="77"/>
  <c r="P63" i="77"/>
  <c r="G94" i="76"/>
  <c r="G97" i="76" s="1"/>
  <c r="H130" i="76"/>
  <c r="M50" i="25"/>
  <c r="M34" i="25"/>
  <c r="M48" i="25" s="1"/>
  <c r="O70" i="79"/>
  <c r="P61" i="79"/>
  <c r="K69" i="75"/>
  <c r="K46" i="75"/>
  <c r="H113" i="82"/>
  <c r="H69" i="82"/>
  <c r="H74" i="82" s="1"/>
  <c r="H76" i="82" s="1"/>
  <c r="I113" i="82"/>
  <c r="I130" i="82" s="1"/>
  <c r="H46" i="82"/>
  <c r="L73" i="77"/>
  <c r="L40" i="77"/>
  <c r="L30" i="77"/>
  <c r="K54" i="83"/>
  <c r="K49" i="83"/>
  <c r="J13" i="82"/>
  <c r="K9" i="82"/>
  <c r="H77" i="75"/>
  <c r="H108" i="75"/>
  <c r="H79" i="75"/>
  <c r="H78" i="75"/>
  <c r="J24" i="79"/>
  <c r="J25" i="79"/>
  <c r="I53" i="73"/>
  <c r="K66" i="84"/>
  <c r="K43" i="84"/>
  <c r="O71" i="76"/>
  <c r="P62" i="76"/>
  <c r="K69" i="25"/>
  <c r="K46" i="25"/>
  <c r="K113" i="25"/>
  <c r="K130" i="25" s="1"/>
  <c r="M23" i="84"/>
  <c r="L41" i="84"/>
  <c r="L42" i="84" s="1"/>
  <c r="O61" i="78"/>
  <c r="N70" i="78"/>
  <c r="P21" i="82"/>
  <c r="O104" i="82"/>
  <c r="L9" i="79"/>
  <c r="K13" i="79"/>
  <c r="M73" i="84"/>
  <c r="M30" i="84"/>
  <c r="M40" i="84"/>
  <c r="L53" i="80"/>
  <c r="L52" i="80"/>
  <c r="L45" i="84"/>
  <c r="L113" i="84" s="1"/>
  <c r="L130" i="84" s="1"/>
  <c r="K66" i="79"/>
  <c r="K43" i="79"/>
  <c r="K42" i="79"/>
  <c r="H53" i="82"/>
  <c r="O104" i="84"/>
  <c r="P21" i="84"/>
  <c r="K65" i="78"/>
  <c r="K67" i="78"/>
  <c r="K68" i="78"/>
  <c r="N10" i="77"/>
  <c r="M11" i="77"/>
  <c r="M7" i="77" s="1"/>
  <c r="M32" i="77" s="1"/>
  <c r="M6" i="77"/>
  <c r="M28" i="77" s="1"/>
  <c r="Q62" i="73"/>
  <c r="Q71" i="73" s="1"/>
  <c r="P71" i="73"/>
  <c r="L65" i="75"/>
  <c r="L68" i="75"/>
  <c r="L67" i="75"/>
  <c r="G98" i="80"/>
  <c r="G105" i="80" s="1"/>
  <c r="O10" i="73"/>
  <c r="N11" i="73"/>
  <c r="N7" i="73" s="1"/>
  <c r="N6" i="73"/>
  <c r="P21" i="83"/>
  <c r="O104" i="83"/>
  <c r="N11" i="25"/>
  <c r="N7" i="25" s="1"/>
  <c r="N32" i="25" s="1"/>
  <c r="O10" i="25"/>
  <c r="N6" i="25"/>
  <c r="N28" i="25" s="1"/>
  <c r="M54" i="83"/>
  <c r="M49" i="83"/>
  <c r="M34" i="84"/>
  <c r="M48" i="84" s="1"/>
  <c r="M50" i="84"/>
  <c r="M73" i="80"/>
  <c r="M40" i="80"/>
  <c r="M30" i="80"/>
  <c r="M23" i="79"/>
  <c r="L41" i="79"/>
  <c r="P70" i="73"/>
  <c r="Q61" i="73"/>
  <c r="Q70" i="73" s="1"/>
  <c r="O21" i="73"/>
  <c r="N104" i="73"/>
  <c r="K52" i="73"/>
  <c r="K53" i="73"/>
  <c r="I24" i="82"/>
  <c r="I25" i="82"/>
  <c r="I42" i="83"/>
  <c r="I68" i="83"/>
  <c r="I65" i="83"/>
  <c r="I67" i="83"/>
  <c r="K23" i="83"/>
  <c r="K41" i="83" s="1"/>
  <c r="K66" i="83" s="1"/>
  <c r="L23" i="73"/>
  <c r="K41" i="73"/>
  <c r="H78" i="77"/>
  <c r="H79" i="77"/>
  <c r="H108" i="77"/>
  <c r="H77" i="77"/>
  <c r="H65" i="83"/>
  <c r="H42" i="83"/>
  <c r="H17" i="83"/>
  <c r="H68" i="83"/>
  <c r="H67" i="83"/>
  <c r="G98" i="74"/>
  <c r="G105" i="74" s="1"/>
  <c r="G100" i="74"/>
  <c r="L50" i="77"/>
  <c r="L34" i="77"/>
  <c r="L48" i="77" s="1"/>
  <c r="H130" i="75"/>
  <c r="G94" i="75"/>
  <c r="G97" i="75" s="1"/>
  <c r="N70" i="80"/>
  <c r="O61" i="80"/>
  <c r="J40" i="83"/>
  <c r="J43" i="83"/>
  <c r="J30" i="83"/>
  <c r="K53" i="77"/>
  <c r="K52" i="77"/>
  <c r="N11" i="84"/>
  <c r="N7" i="84" s="1"/>
  <c r="N32" i="84" s="1"/>
  <c r="O10" i="84"/>
  <c r="N6" i="84"/>
  <c r="N28" i="84" s="1"/>
  <c r="L68" i="84"/>
  <c r="L65" i="84"/>
  <c r="L67" i="84"/>
  <c r="M34" i="80"/>
  <c r="M48" i="80" s="1"/>
  <c r="M50" i="80"/>
  <c r="L9" i="74"/>
  <c r="K13" i="74"/>
  <c r="L45" i="75"/>
  <c r="L113" i="75" s="1"/>
  <c r="L130" i="75" s="1"/>
  <c r="N70" i="25"/>
  <c r="O61" i="25"/>
  <c r="Q21" i="25"/>
  <c r="Q104" i="25" s="1"/>
  <c r="P104" i="25"/>
  <c r="J13" i="83"/>
  <c r="J12" i="83"/>
  <c r="K69" i="80"/>
  <c r="K74" i="80" s="1"/>
  <c r="K76" i="80" s="1"/>
  <c r="K46" i="80"/>
  <c r="K113" i="80"/>
  <c r="K130" i="80" s="1"/>
  <c r="H54" i="83"/>
  <c r="P22" i="35"/>
  <c r="H49" i="83"/>
  <c r="H130" i="79"/>
  <c r="G94" i="79"/>
  <c r="G97" i="79" s="1"/>
  <c r="P21" i="74"/>
  <c r="O104" i="74"/>
  <c r="J66" i="74"/>
  <c r="J74" i="74" s="1"/>
  <c r="J76" i="74" s="1"/>
  <c r="J43" i="74"/>
  <c r="J42" i="74"/>
  <c r="N71" i="74"/>
  <c r="O62" i="74"/>
  <c r="O10" i="80"/>
  <c r="N11" i="80"/>
  <c r="N7" i="80" s="1"/>
  <c r="N32" i="80" s="1"/>
  <c r="N6" i="80"/>
  <c r="N28" i="80" s="1"/>
  <c r="M23" i="77"/>
  <c r="L41" i="77"/>
  <c r="L66" i="77" s="1"/>
  <c r="K42" i="25"/>
  <c r="M73" i="75"/>
  <c r="M40" i="75"/>
  <c r="M30" i="75"/>
  <c r="J24" i="74"/>
  <c r="J25" i="74"/>
  <c r="K69" i="73" l="1"/>
  <c r="K113" i="73"/>
  <c r="K130" i="73" s="1"/>
  <c r="K113" i="77"/>
  <c r="K130" i="77" s="1"/>
  <c r="L113" i="80"/>
  <c r="L130" i="80" s="1"/>
  <c r="L69" i="80"/>
  <c r="L74" i="80" s="1"/>
  <c r="L76" i="80" s="1"/>
  <c r="L45" i="74"/>
  <c r="L113" i="74" s="1"/>
  <c r="L130" i="74" s="1"/>
  <c r="J74" i="73"/>
  <c r="J76" i="73" s="1"/>
  <c r="J79" i="73" s="1"/>
  <c r="I79" i="78"/>
  <c r="I108" i="78"/>
  <c r="I125" i="78" s="1"/>
  <c r="I77" i="78"/>
  <c r="K69" i="77"/>
  <c r="K74" i="77" s="1"/>
  <c r="K76" i="77" s="1"/>
  <c r="K74" i="84"/>
  <c r="K76" i="84" s="1"/>
  <c r="K108" i="84" s="1"/>
  <c r="L113" i="25"/>
  <c r="L130" i="25" s="1"/>
  <c r="I79" i="75"/>
  <c r="K24" i="76"/>
  <c r="I79" i="74"/>
  <c r="K66" i="78"/>
  <c r="K43" i="78"/>
  <c r="M23" i="78"/>
  <c r="L41" i="78"/>
  <c r="L42" i="78" s="1"/>
  <c r="L69" i="25"/>
  <c r="J78" i="84"/>
  <c r="J79" i="84"/>
  <c r="J108" i="79"/>
  <c r="J125" i="79" s="1"/>
  <c r="J78" i="79"/>
  <c r="J79" i="79"/>
  <c r="J77" i="79"/>
  <c r="L53" i="74"/>
  <c r="L52" i="74"/>
  <c r="I108" i="75"/>
  <c r="I125" i="75" s="1"/>
  <c r="L52" i="79"/>
  <c r="L53" i="79"/>
  <c r="I77" i="75"/>
  <c r="J77" i="84"/>
  <c r="M40" i="74"/>
  <c r="M30" i="74"/>
  <c r="M73" i="74"/>
  <c r="O10" i="74"/>
  <c r="N6" i="74"/>
  <c r="N28" i="74" s="1"/>
  <c r="N11" i="74"/>
  <c r="N7" i="74" s="1"/>
  <c r="N32" i="74" s="1"/>
  <c r="M50" i="74"/>
  <c r="M34" i="74"/>
  <c r="M48" i="74" s="1"/>
  <c r="M45" i="84"/>
  <c r="M113" i="84" s="1"/>
  <c r="L45" i="78"/>
  <c r="L69" i="78" s="1"/>
  <c r="M30" i="79"/>
  <c r="M73" i="79"/>
  <c r="M40" i="79"/>
  <c r="M45" i="75"/>
  <c r="M113" i="75" s="1"/>
  <c r="M50" i="79"/>
  <c r="M34" i="79"/>
  <c r="M48" i="79" s="1"/>
  <c r="N11" i="79"/>
  <c r="N7" i="79" s="1"/>
  <c r="N32" i="79" s="1"/>
  <c r="N6" i="79"/>
  <c r="N28" i="79" s="1"/>
  <c r="O10" i="79"/>
  <c r="L45" i="77"/>
  <c r="L113" i="77" s="1"/>
  <c r="L130" i="77" s="1"/>
  <c r="K113" i="79"/>
  <c r="K130" i="79" s="1"/>
  <c r="K69" i="79"/>
  <c r="K74" i="79" s="1"/>
  <c r="K76" i="79" s="1"/>
  <c r="K46" i="79"/>
  <c r="L65" i="74"/>
  <c r="L67" i="74"/>
  <c r="L68" i="74"/>
  <c r="I77" i="74"/>
  <c r="L45" i="79"/>
  <c r="I78" i="74"/>
  <c r="L68" i="79"/>
  <c r="L65" i="79"/>
  <c r="L67" i="79"/>
  <c r="K46" i="74"/>
  <c r="K69" i="74"/>
  <c r="K113" i="74"/>
  <c r="K130" i="74" s="1"/>
  <c r="I45" i="83"/>
  <c r="I46" i="83" s="1"/>
  <c r="K74" i="82"/>
  <c r="K76" i="82" s="1"/>
  <c r="K79" i="82" s="1"/>
  <c r="M43" i="80"/>
  <c r="L45" i="73"/>
  <c r="L113" i="73" s="1"/>
  <c r="L130" i="73" s="1"/>
  <c r="J108" i="76"/>
  <c r="J78" i="76"/>
  <c r="J77" i="76"/>
  <c r="J79" i="76"/>
  <c r="H79" i="73"/>
  <c r="H77" i="73"/>
  <c r="H78" i="73"/>
  <c r="H108" i="73"/>
  <c r="H108" i="82"/>
  <c r="H78" i="82"/>
  <c r="H77" i="82"/>
  <c r="H79" i="82"/>
  <c r="J79" i="77"/>
  <c r="J77" i="77"/>
  <c r="J108" i="77"/>
  <c r="J78" i="77"/>
  <c r="I79" i="73"/>
  <c r="I108" i="73"/>
  <c r="I77" i="73"/>
  <c r="I78" i="73"/>
  <c r="K79" i="80"/>
  <c r="K77" i="80"/>
  <c r="K108" i="80"/>
  <c r="K78" i="80"/>
  <c r="J78" i="82"/>
  <c r="J108" i="82"/>
  <c r="J77" i="82"/>
  <c r="J79" i="82"/>
  <c r="O70" i="80"/>
  <c r="P61" i="80"/>
  <c r="N34" i="25"/>
  <c r="N48" i="25" s="1"/>
  <c r="N50" i="25"/>
  <c r="N11" i="77"/>
  <c r="N7" i="77" s="1"/>
  <c r="N32" i="77" s="1"/>
  <c r="O10" i="77"/>
  <c r="N6" i="77"/>
  <c r="N28" i="77" s="1"/>
  <c r="P72" i="79"/>
  <c r="Q63" i="79"/>
  <c r="Q72" i="79" s="1"/>
  <c r="M53" i="82"/>
  <c r="M52" i="82"/>
  <c r="M45" i="82"/>
  <c r="L13" i="25"/>
  <c r="M9" i="25"/>
  <c r="K65" i="76"/>
  <c r="K67" i="76"/>
  <c r="K68" i="76"/>
  <c r="K42" i="76"/>
  <c r="L13" i="84"/>
  <c r="M9" i="84"/>
  <c r="L13" i="76"/>
  <c r="M9" i="76"/>
  <c r="P72" i="74"/>
  <c r="Q63" i="74"/>
  <c r="Q72" i="74" s="1"/>
  <c r="K24" i="25"/>
  <c r="K25" i="25"/>
  <c r="K24" i="84"/>
  <c r="K25" i="84"/>
  <c r="L66" i="25"/>
  <c r="L43" i="25"/>
  <c r="I57" i="25"/>
  <c r="H65" i="25"/>
  <c r="H74" i="25" s="1"/>
  <c r="L66" i="79"/>
  <c r="L43" i="79"/>
  <c r="L42" i="79"/>
  <c r="G98" i="78"/>
  <c r="G105" i="78" s="1"/>
  <c r="G100" i="78"/>
  <c r="L70" i="83"/>
  <c r="M61" i="83"/>
  <c r="P21" i="76"/>
  <c r="O104" i="76"/>
  <c r="N23" i="25"/>
  <c r="M41" i="25"/>
  <c r="M42" i="25" s="1"/>
  <c r="L42" i="25"/>
  <c r="Q21" i="74"/>
  <c r="Q104" i="74" s="1"/>
  <c r="P104" i="74"/>
  <c r="J24" i="82"/>
  <c r="J25" i="82"/>
  <c r="G100" i="76"/>
  <c r="G98" i="76"/>
  <c r="G105" i="76" s="1"/>
  <c r="K69" i="78"/>
  <c r="K46" i="78"/>
  <c r="K113" i="78"/>
  <c r="K130" i="78" s="1"/>
  <c r="H69" i="83"/>
  <c r="H74" i="83" s="1"/>
  <c r="H76" i="83" s="1"/>
  <c r="H113" i="83"/>
  <c r="H46" i="83"/>
  <c r="N73" i="82"/>
  <c r="N40" i="82"/>
  <c r="N30" i="82"/>
  <c r="M65" i="75"/>
  <c r="M67" i="75"/>
  <c r="M68" i="75"/>
  <c r="G98" i="79"/>
  <c r="G105" i="79" s="1"/>
  <c r="G100" i="79"/>
  <c r="N23" i="79"/>
  <c r="M41" i="79"/>
  <c r="K25" i="79"/>
  <c r="K24" i="79"/>
  <c r="P72" i="77"/>
  <c r="Q63" i="77"/>
  <c r="Q72" i="77" s="1"/>
  <c r="P10" i="82"/>
  <c r="O11" i="82"/>
  <c r="O7" i="82" s="1"/>
  <c r="O32" i="82" s="1"/>
  <c r="O6" i="82"/>
  <c r="O28" i="82" s="1"/>
  <c r="K24" i="75"/>
  <c r="K25" i="75"/>
  <c r="H52" i="83"/>
  <c r="H53" i="83"/>
  <c r="L65" i="78"/>
  <c r="L67" i="78"/>
  <c r="L68" i="78"/>
  <c r="K66" i="75"/>
  <c r="K74" i="75" s="1"/>
  <c r="K76" i="75" s="1"/>
  <c r="K43" i="75"/>
  <c r="K42" i="75"/>
  <c r="J125" i="84"/>
  <c r="M23" i="73"/>
  <c r="L23" i="83"/>
  <c r="L41" i="83" s="1"/>
  <c r="L66" i="83" s="1"/>
  <c r="L41" i="73"/>
  <c r="N28" i="73"/>
  <c r="L52" i="77"/>
  <c r="L53" i="77"/>
  <c r="N32" i="73"/>
  <c r="L13" i="79"/>
  <c r="M9" i="79"/>
  <c r="P71" i="80"/>
  <c r="Q62" i="80"/>
  <c r="Q71" i="80" s="1"/>
  <c r="N34" i="82"/>
  <c r="N48" i="82" s="1"/>
  <c r="N50" i="82"/>
  <c r="L13" i="75"/>
  <c r="M9" i="75"/>
  <c r="P23" i="35"/>
  <c r="M23" i="75"/>
  <c r="L41" i="75"/>
  <c r="N23" i="76"/>
  <c r="M41" i="76"/>
  <c r="M66" i="76" s="1"/>
  <c r="P62" i="79"/>
  <c r="O71" i="79"/>
  <c r="K40" i="83"/>
  <c r="K30" i="83"/>
  <c r="K43" i="83"/>
  <c r="K66" i="74"/>
  <c r="K43" i="74"/>
  <c r="K42" i="74"/>
  <c r="L13" i="78"/>
  <c r="M9" i="78"/>
  <c r="N30" i="84"/>
  <c r="N73" i="84"/>
  <c r="N40" i="84"/>
  <c r="M45" i="80"/>
  <c r="P104" i="82"/>
  <c r="Q21" i="82"/>
  <c r="Q104" i="82" s="1"/>
  <c r="G94" i="82"/>
  <c r="G97" i="82" s="1"/>
  <c r="H130" i="82"/>
  <c r="K24" i="78"/>
  <c r="K25" i="78"/>
  <c r="K24" i="77"/>
  <c r="K25" i="77"/>
  <c r="L9" i="83"/>
  <c r="L10" i="83"/>
  <c r="L11" i="83" s="1"/>
  <c r="L28" i="83"/>
  <c r="P21" i="79"/>
  <c r="O104" i="79"/>
  <c r="N73" i="75"/>
  <c r="N40" i="75"/>
  <c r="N30" i="75"/>
  <c r="M23" i="74"/>
  <c r="L41" i="74"/>
  <c r="M53" i="75"/>
  <c r="M52" i="75"/>
  <c r="H125" i="84"/>
  <c r="M9" i="77"/>
  <c r="L13" i="77"/>
  <c r="L25" i="80"/>
  <c r="L24" i="80"/>
  <c r="K13" i="83"/>
  <c r="K24" i="83" s="1"/>
  <c r="K12" i="83"/>
  <c r="N34" i="75"/>
  <c r="N48" i="75" s="1"/>
  <c r="N50" i="75"/>
  <c r="H125" i="76"/>
  <c r="I125" i="79"/>
  <c r="K24" i="74"/>
  <c r="K25" i="74"/>
  <c r="O11" i="75"/>
  <c r="O7" i="75" s="1"/>
  <c r="O32" i="75" s="1"/>
  <c r="P10" i="75"/>
  <c r="O6" i="75"/>
  <c r="O28" i="75" s="1"/>
  <c r="N23" i="77"/>
  <c r="M41" i="77"/>
  <c r="M66" i="77" s="1"/>
  <c r="O11" i="84"/>
  <c r="O7" i="84" s="1"/>
  <c r="O32" i="84" s="1"/>
  <c r="P10" i="84"/>
  <c r="O6" i="84"/>
  <c r="O28" i="84" s="1"/>
  <c r="G122" i="80"/>
  <c r="G134" i="80" s="1"/>
  <c r="J109" i="80"/>
  <c r="J126" i="80" s="1"/>
  <c r="H109" i="80"/>
  <c r="I109" i="80"/>
  <c r="K109" i="80"/>
  <c r="K126" i="80" s="1"/>
  <c r="L109" i="80"/>
  <c r="L126" i="80" s="1"/>
  <c r="G117" i="80"/>
  <c r="I79" i="82"/>
  <c r="I108" i="82"/>
  <c r="I77" i="82"/>
  <c r="I78" i="82"/>
  <c r="L46" i="82"/>
  <c r="L69" i="82"/>
  <c r="N73" i="80"/>
  <c r="N30" i="80"/>
  <c r="N40" i="80"/>
  <c r="K24" i="73"/>
  <c r="K25" i="73"/>
  <c r="D15" i="1"/>
  <c r="F15" i="1" s="1"/>
  <c r="G97" i="25"/>
  <c r="I125" i="76"/>
  <c r="L53" i="76"/>
  <c r="L52" i="76"/>
  <c r="M13" i="80"/>
  <c r="N9" i="80"/>
  <c r="N34" i="80"/>
  <c r="N48" i="80" s="1"/>
  <c r="N50" i="80"/>
  <c r="L13" i="74"/>
  <c r="M9" i="74"/>
  <c r="P61" i="78"/>
  <c r="O70" i="78"/>
  <c r="H130" i="73"/>
  <c r="G94" i="73"/>
  <c r="G97" i="73" s="1"/>
  <c r="L13" i="73"/>
  <c r="M9" i="73"/>
  <c r="L67" i="73"/>
  <c r="L68" i="73"/>
  <c r="L65" i="73"/>
  <c r="G98" i="84"/>
  <c r="G105" i="84" s="1"/>
  <c r="G100" i="84"/>
  <c r="J109" i="77"/>
  <c r="J126" i="77" s="1"/>
  <c r="G122" i="77"/>
  <c r="G134" i="77" s="1"/>
  <c r="I109" i="77"/>
  <c r="I126" i="77" s="1"/>
  <c r="H109" i="77"/>
  <c r="H110" i="77" s="1"/>
  <c r="H111" i="77" s="1"/>
  <c r="H112" i="77" s="1"/>
  <c r="H115" i="77" s="1"/>
  <c r="H117" i="77" s="1"/>
  <c r="K109" i="77"/>
  <c r="K126" i="77" s="1"/>
  <c r="L109" i="77"/>
  <c r="L126" i="77" s="1"/>
  <c r="G117" i="77"/>
  <c r="L53" i="73"/>
  <c r="L52" i="73"/>
  <c r="P10" i="73"/>
  <c r="O11" i="73"/>
  <c r="O7" i="73" s="1"/>
  <c r="O6" i="73"/>
  <c r="L73" i="83"/>
  <c r="M73" i="78"/>
  <c r="M30" i="78"/>
  <c r="M40" i="78"/>
  <c r="M73" i="73"/>
  <c r="M30" i="73"/>
  <c r="M40" i="73"/>
  <c r="M52" i="80"/>
  <c r="M53" i="80"/>
  <c r="L69" i="75"/>
  <c r="L46" i="75"/>
  <c r="M67" i="80"/>
  <c r="M68" i="80"/>
  <c r="M65" i="80"/>
  <c r="M42" i="80"/>
  <c r="N34" i="84"/>
  <c r="N48" i="84" s="1"/>
  <c r="N50" i="84"/>
  <c r="E17" i="83"/>
  <c r="E19" i="83" s="1"/>
  <c r="G17" i="83"/>
  <c r="G19" i="83" s="1"/>
  <c r="F17" i="83"/>
  <c r="F19" i="83" s="1"/>
  <c r="L43" i="77"/>
  <c r="P70" i="79"/>
  <c r="Q61" i="79"/>
  <c r="Q70" i="79" s="1"/>
  <c r="J125" i="80"/>
  <c r="L66" i="82"/>
  <c r="L43" i="82"/>
  <c r="M73" i="76"/>
  <c r="M40" i="76"/>
  <c r="M30" i="76"/>
  <c r="N11" i="78"/>
  <c r="N7" i="78" s="1"/>
  <c r="N32" i="78" s="1"/>
  <c r="O10" i="78"/>
  <c r="N6" i="78"/>
  <c r="N28" i="78" s="1"/>
  <c r="M6" i="83"/>
  <c r="H125" i="74"/>
  <c r="Q21" i="77"/>
  <c r="Q104" i="77" s="1"/>
  <c r="P104" i="77"/>
  <c r="J79" i="78"/>
  <c r="J78" i="78"/>
  <c r="J77" i="78"/>
  <c r="J108" i="78"/>
  <c r="J77" i="75"/>
  <c r="J108" i="75"/>
  <c r="J79" i="75"/>
  <c r="J78" i="75"/>
  <c r="I125" i="74"/>
  <c r="H125" i="78"/>
  <c r="N23" i="82"/>
  <c r="M41" i="82"/>
  <c r="M42" i="82" s="1"/>
  <c r="L67" i="77"/>
  <c r="L68" i="77"/>
  <c r="L65" i="77"/>
  <c r="L42" i="77"/>
  <c r="M68" i="25"/>
  <c r="M67" i="25"/>
  <c r="M65" i="25"/>
  <c r="O58" i="78"/>
  <c r="M34" i="76"/>
  <c r="M48" i="76" s="1"/>
  <c r="M50" i="76"/>
  <c r="M50" i="78"/>
  <c r="M34" i="78"/>
  <c r="M48" i="78" s="1"/>
  <c r="L65" i="76"/>
  <c r="L67" i="76"/>
  <c r="L42" i="76"/>
  <c r="L68" i="76"/>
  <c r="K66" i="73"/>
  <c r="K74" i="73" s="1"/>
  <c r="K76" i="73" s="1"/>
  <c r="K43" i="73"/>
  <c r="K42" i="73"/>
  <c r="O11" i="80"/>
  <c r="O7" i="80" s="1"/>
  <c r="O32" i="80" s="1"/>
  <c r="P10" i="80"/>
  <c r="O6" i="80"/>
  <c r="O28" i="80" s="1"/>
  <c r="L66" i="84"/>
  <c r="L43" i="84"/>
  <c r="O71" i="74"/>
  <c r="P62" i="74"/>
  <c r="M52" i="84"/>
  <c r="M53" i="84"/>
  <c r="L69" i="84"/>
  <c r="L46" i="84"/>
  <c r="N23" i="84"/>
  <c r="M41" i="84"/>
  <c r="P24" i="35"/>
  <c r="M52" i="25"/>
  <c r="M53" i="25"/>
  <c r="O62" i="83"/>
  <c r="N71" i="83"/>
  <c r="O23" i="80"/>
  <c r="N41" i="80"/>
  <c r="N66" i="80" s="1"/>
  <c r="O10" i="76"/>
  <c r="N11" i="76"/>
  <c r="N7" i="76" s="1"/>
  <c r="N32" i="76" s="1"/>
  <c r="N6" i="76"/>
  <c r="N28" i="76" s="1"/>
  <c r="L45" i="76"/>
  <c r="I52" i="83"/>
  <c r="I53" i="83"/>
  <c r="P71" i="76"/>
  <c r="Q62" i="76"/>
  <c r="Q71" i="76" s="1"/>
  <c r="G100" i="75"/>
  <c r="G98" i="75"/>
  <c r="G105" i="75" s="1"/>
  <c r="P104" i="83"/>
  <c r="Q21" i="83"/>
  <c r="Q104" i="83" s="1"/>
  <c r="O70" i="25"/>
  <c r="P61" i="25"/>
  <c r="J109" i="74"/>
  <c r="J126" i="74" s="1"/>
  <c r="I109" i="74"/>
  <c r="I126" i="74" s="1"/>
  <c r="H109" i="74"/>
  <c r="H110" i="74" s="1"/>
  <c r="H111" i="74" s="1"/>
  <c r="H112" i="74" s="1"/>
  <c r="H115" i="74" s="1"/>
  <c r="H117" i="74" s="1"/>
  <c r="G117" i="74"/>
  <c r="K109" i="74"/>
  <c r="K126" i="74" s="1"/>
  <c r="L109" i="74"/>
  <c r="L126" i="74" s="1"/>
  <c r="G122" i="74"/>
  <c r="G134" i="74" s="1"/>
  <c r="H125" i="75"/>
  <c r="J25" i="83"/>
  <c r="J24" i="83"/>
  <c r="N73" i="25"/>
  <c r="N30" i="25"/>
  <c r="N40" i="25"/>
  <c r="M73" i="77"/>
  <c r="M30" i="77"/>
  <c r="M40" i="77"/>
  <c r="M65" i="84"/>
  <c r="M68" i="84"/>
  <c r="M67" i="84"/>
  <c r="P70" i="75"/>
  <c r="Q61" i="75"/>
  <c r="Q70" i="75" s="1"/>
  <c r="M45" i="25"/>
  <c r="M68" i="82"/>
  <c r="M67" i="82"/>
  <c r="M65" i="82"/>
  <c r="P61" i="76"/>
  <c r="O70" i="76"/>
  <c r="M34" i="73"/>
  <c r="M48" i="73" s="1"/>
  <c r="M50" i="73"/>
  <c r="L52" i="78"/>
  <c r="L53" i="78"/>
  <c r="L43" i="76"/>
  <c r="K33" i="83"/>
  <c r="J34" i="83"/>
  <c r="J48" i="83" s="1"/>
  <c r="K13" i="82"/>
  <c r="L9" i="82"/>
  <c r="Q21" i="84"/>
  <c r="Q104" i="84" s="1"/>
  <c r="P104" i="84"/>
  <c r="J78" i="74"/>
  <c r="J108" i="74"/>
  <c r="J79" i="74"/>
  <c r="J77" i="74"/>
  <c r="J42" i="83"/>
  <c r="J68" i="83"/>
  <c r="J65" i="83"/>
  <c r="J67" i="83"/>
  <c r="H125" i="77"/>
  <c r="P21" i="73"/>
  <c r="O104" i="73"/>
  <c r="O11" i="25"/>
  <c r="O7" i="25" s="1"/>
  <c r="O32" i="25" s="1"/>
  <c r="P10" i="25"/>
  <c r="O6" i="25"/>
  <c r="O28" i="25" s="1"/>
  <c r="M34" i="77"/>
  <c r="M48" i="77" s="1"/>
  <c r="M50" i="77"/>
  <c r="Q63" i="80"/>
  <c r="Q72" i="80" s="1"/>
  <c r="P72" i="80"/>
  <c r="K63" i="83"/>
  <c r="J72" i="83"/>
  <c r="M7" i="83"/>
  <c r="M32" i="83" s="1"/>
  <c r="K69" i="76"/>
  <c r="K46" i="76"/>
  <c r="P71" i="78"/>
  <c r="Q62" i="78"/>
  <c r="Q71" i="78" s="1"/>
  <c r="P72" i="76"/>
  <c r="Q63" i="76"/>
  <c r="Q72" i="76" s="1"/>
  <c r="I125" i="77"/>
  <c r="H125" i="79"/>
  <c r="J78" i="73" l="1"/>
  <c r="N45" i="25"/>
  <c r="N69" i="25" s="1"/>
  <c r="M43" i="76"/>
  <c r="J77" i="73"/>
  <c r="K74" i="74"/>
  <c r="K76" i="74" s="1"/>
  <c r="K108" i="74" s="1"/>
  <c r="M46" i="75"/>
  <c r="L46" i="77"/>
  <c r="M69" i="75"/>
  <c r="L69" i="77"/>
  <c r="L74" i="77" s="1"/>
  <c r="L76" i="77" s="1"/>
  <c r="J108" i="73"/>
  <c r="J125" i="73" s="1"/>
  <c r="L69" i="74"/>
  <c r="L46" i="74"/>
  <c r="J110" i="80"/>
  <c r="J111" i="80" s="1"/>
  <c r="J112" i="80" s="1"/>
  <c r="J115" i="80" s="1"/>
  <c r="J117" i="80" s="1"/>
  <c r="K78" i="84"/>
  <c r="K77" i="84"/>
  <c r="K78" i="77"/>
  <c r="K77" i="77"/>
  <c r="K108" i="77"/>
  <c r="K125" i="77" s="1"/>
  <c r="K79" i="84"/>
  <c r="M69" i="84"/>
  <c r="K74" i="78"/>
  <c r="K76" i="78" s="1"/>
  <c r="K78" i="78" s="1"/>
  <c r="L69" i="73"/>
  <c r="K78" i="79"/>
  <c r="K108" i="79"/>
  <c r="K125" i="79" s="1"/>
  <c r="K77" i="79"/>
  <c r="K79" i="79"/>
  <c r="M46" i="84"/>
  <c r="L113" i="78"/>
  <c r="L130" i="78" s="1"/>
  <c r="L74" i="84"/>
  <c r="L76" i="84" s="1"/>
  <c r="L108" i="84" s="1"/>
  <c r="J45" i="83"/>
  <c r="J113" i="83" s="1"/>
  <c r="J130" i="83" s="1"/>
  <c r="L66" i="78"/>
  <c r="L74" i="78" s="1"/>
  <c r="L76" i="78" s="1"/>
  <c r="L43" i="78"/>
  <c r="N23" i="78"/>
  <c r="M41" i="78"/>
  <c r="M42" i="78" s="1"/>
  <c r="L46" i="78"/>
  <c r="K77" i="82"/>
  <c r="I113" i="83"/>
  <c r="I130" i="83" s="1"/>
  <c r="K108" i="82"/>
  <c r="K125" i="82" s="1"/>
  <c r="K78" i="82"/>
  <c r="O6" i="74"/>
  <c r="O28" i="74" s="1"/>
  <c r="P10" i="74"/>
  <c r="O11" i="74"/>
  <c r="O7" i="74" s="1"/>
  <c r="O32" i="74" s="1"/>
  <c r="O11" i="79"/>
  <c r="O7" i="79" s="1"/>
  <c r="O32" i="79" s="1"/>
  <c r="O6" i="79"/>
  <c r="O28" i="79" s="1"/>
  <c r="P10" i="79"/>
  <c r="N73" i="79"/>
  <c r="N30" i="79"/>
  <c r="N40" i="79"/>
  <c r="M45" i="74"/>
  <c r="L46" i="73"/>
  <c r="N34" i="79"/>
  <c r="N48" i="79" s="1"/>
  <c r="N50" i="79"/>
  <c r="M67" i="74"/>
  <c r="M68" i="74"/>
  <c r="M65" i="74"/>
  <c r="L46" i="79"/>
  <c r="L69" i="79"/>
  <c r="L74" i="79" s="1"/>
  <c r="L76" i="79" s="1"/>
  <c r="L79" i="79" s="1"/>
  <c r="M52" i="79"/>
  <c r="M53" i="79"/>
  <c r="M65" i="79"/>
  <c r="M67" i="79"/>
  <c r="M68" i="79"/>
  <c r="M43" i="77"/>
  <c r="M45" i="79"/>
  <c r="M113" i="79" s="1"/>
  <c r="M45" i="76"/>
  <c r="M69" i="76" s="1"/>
  <c r="I69" i="83"/>
  <c r="I74" i="83" s="1"/>
  <c r="I76" i="83" s="1"/>
  <c r="I78" i="83" s="1"/>
  <c r="L113" i="79"/>
  <c r="L130" i="79" s="1"/>
  <c r="N34" i="74"/>
  <c r="N48" i="74" s="1"/>
  <c r="N50" i="74"/>
  <c r="M45" i="77"/>
  <c r="M113" i="77" s="1"/>
  <c r="M52" i="74"/>
  <c r="M53" i="74"/>
  <c r="N73" i="74"/>
  <c r="N30" i="74"/>
  <c r="N40" i="74"/>
  <c r="I110" i="77"/>
  <c r="I111" i="77" s="1"/>
  <c r="I112" i="77" s="1"/>
  <c r="I115" i="77" s="1"/>
  <c r="I117" i="77" s="1"/>
  <c r="N45" i="84"/>
  <c r="N113" i="84" s="1"/>
  <c r="N45" i="75"/>
  <c r="N113" i="75" s="1"/>
  <c r="K79" i="77"/>
  <c r="L74" i="82"/>
  <c r="L76" i="82" s="1"/>
  <c r="L108" i="82" s="1"/>
  <c r="H77" i="83"/>
  <c r="N37" i="35" s="1"/>
  <c r="H108" i="83"/>
  <c r="H78" i="83"/>
  <c r="O37" i="35" s="1"/>
  <c r="H79" i="83"/>
  <c r="N34" i="78"/>
  <c r="N48" i="78" s="1"/>
  <c r="N50" i="78"/>
  <c r="O28" i="73"/>
  <c r="O23" i="77"/>
  <c r="N41" i="77"/>
  <c r="N66" i="77" s="1"/>
  <c r="N23" i="74"/>
  <c r="M41" i="74"/>
  <c r="Q10" i="82"/>
  <c r="P11" i="82"/>
  <c r="P7" i="82" s="1"/>
  <c r="P32" i="82" s="1"/>
  <c r="P6" i="82"/>
  <c r="P28" i="82" s="1"/>
  <c r="N67" i="82"/>
  <c r="N68" i="82"/>
  <c r="N65" i="82"/>
  <c r="L24" i="84"/>
  <c r="L25" i="84"/>
  <c r="N73" i="77"/>
  <c r="N30" i="77"/>
  <c r="N40" i="77"/>
  <c r="P10" i="77"/>
  <c r="O11" i="77"/>
  <c r="O7" i="77" s="1"/>
  <c r="O32" i="77" s="1"/>
  <c r="O6" i="77"/>
  <c r="O28" i="77" s="1"/>
  <c r="K72" i="83"/>
  <c r="L63" i="83"/>
  <c r="P23" i="80"/>
  <c r="O41" i="80"/>
  <c r="O66" i="80" s="1"/>
  <c r="O32" i="73"/>
  <c r="O73" i="75"/>
  <c r="O30" i="75"/>
  <c r="O40" i="75"/>
  <c r="N53" i="82"/>
  <c r="N52" i="82"/>
  <c r="J52" i="83"/>
  <c r="J53" i="83"/>
  <c r="Q61" i="25"/>
  <c r="Q70" i="25" s="1"/>
  <c r="P70" i="25"/>
  <c r="Q10" i="73"/>
  <c r="P11" i="73"/>
  <c r="P7" i="73" s="1"/>
  <c r="P6" i="73"/>
  <c r="N9" i="73"/>
  <c r="M13" i="73"/>
  <c r="Q10" i="75"/>
  <c r="P11" i="75"/>
  <c r="P7" i="75" s="1"/>
  <c r="P32" i="75" s="1"/>
  <c r="P6" i="75"/>
  <c r="P28" i="75" s="1"/>
  <c r="N53" i="75"/>
  <c r="N52" i="75"/>
  <c r="N50" i="77"/>
  <c r="N34" i="77"/>
  <c r="N48" i="77" s="1"/>
  <c r="I125" i="73"/>
  <c r="Q62" i="79"/>
  <c r="Q71" i="79" s="1"/>
  <c r="P71" i="79"/>
  <c r="J125" i="75"/>
  <c r="M68" i="73"/>
  <c r="M65" i="73"/>
  <c r="M67" i="73"/>
  <c r="I127" i="77"/>
  <c r="I128" i="77" s="1"/>
  <c r="I129" i="77" s="1"/>
  <c r="I132" i="77" s="1"/>
  <c r="I134" i="77" s="1"/>
  <c r="L33" i="83"/>
  <c r="K34" i="83"/>
  <c r="K48" i="83" s="1"/>
  <c r="N65" i="25"/>
  <c r="N67" i="25"/>
  <c r="N68" i="25"/>
  <c r="O71" i="83"/>
  <c r="P62" i="83"/>
  <c r="M65" i="76"/>
  <c r="M42" i="76"/>
  <c r="M67" i="76"/>
  <c r="M68" i="76"/>
  <c r="M45" i="73"/>
  <c r="L25" i="73"/>
  <c r="L24" i="73"/>
  <c r="I125" i="82"/>
  <c r="O50" i="75"/>
  <c r="O34" i="75"/>
  <c r="O48" i="75" s="1"/>
  <c r="L79" i="80"/>
  <c r="L77" i="80"/>
  <c r="L108" i="80"/>
  <c r="L78" i="80"/>
  <c r="O23" i="76"/>
  <c r="N41" i="76"/>
  <c r="N66" i="76" s="1"/>
  <c r="D75" i="1"/>
  <c r="H76" i="25"/>
  <c r="P71" i="74"/>
  <c r="Q62" i="74"/>
  <c r="Q71" i="74" s="1"/>
  <c r="J125" i="78"/>
  <c r="N52" i="84"/>
  <c r="N53" i="84"/>
  <c r="M73" i="83"/>
  <c r="G98" i="73"/>
  <c r="G105" i="73" s="1"/>
  <c r="G100" i="73"/>
  <c r="G98" i="25"/>
  <c r="N65" i="75"/>
  <c r="N67" i="75"/>
  <c r="N68" i="75"/>
  <c r="N9" i="78"/>
  <c r="M13" i="78"/>
  <c r="L66" i="75"/>
  <c r="L74" i="75" s="1"/>
  <c r="L76" i="75" s="1"/>
  <c r="L43" i="75"/>
  <c r="L42" i="75"/>
  <c r="M13" i="79"/>
  <c r="N9" i="79"/>
  <c r="H130" i="83"/>
  <c r="G94" i="83"/>
  <c r="J57" i="25"/>
  <c r="I65" i="25"/>
  <c r="I74" i="25" s="1"/>
  <c r="I76" i="25" s="1"/>
  <c r="K74" i="76"/>
  <c r="K76" i="76" s="1"/>
  <c r="H125" i="73"/>
  <c r="K25" i="83"/>
  <c r="G100" i="82"/>
  <c r="G98" i="82"/>
  <c r="G105" i="82" s="1"/>
  <c r="L25" i="78"/>
  <c r="L24" i="78"/>
  <c r="N23" i="75"/>
  <c r="M41" i="75"/>
  <c r="L25" i="79"/>
  <c r="L24" i="79"/>
  <c r="K77" i="75"/>
  <c r="K108" i="75"/>
  <c r="K78" i="75"/>
  <c r="K79" i="75"/>
  <c r="M66" i="79"/>
  <c r="M43" i="79"/>
  <c r="M42" i="79"/>
  <c r="M66" i="25"/>
  <c r="M43" i="25"/>
  <c r="N9" i="25"/>
  <c r="M13" i="25"/>
  <c r="N52" i="25"/>
  <c r="N53" i="25"/>
  <c r="J110" i="77"/>
  <c r="J111" i="77" s="1"/>
  <c r="J112" i="77" s="1"/>
  <c r="J115" i="77" s="1"/>
  <c r="J117" i="77" s="1"/>
  <c r="J125" i="77"/>
  <c r="M66" i="82"/>
  <c r="M43" i="82"/>
  <c r="M67" i="78"/>
  <c r="M68" i="78"/>
  <c r="M65" i="78"/>
  <c r="O23" i="79"/>
  <c r="N41" i="79"/>
  <c r="O23" i="25"/>
  <c r="N41" i="25"/>
  <c r="N42" i="25" s="1"/>
  <c r="L24" i="25"/>
  <c r="L25" i="25"/>
  <c r="Q61" i="80"/>
  <c r="Q70" i="80" s="1"/>
  <c r="P70" i="80"/>
  <c r="M45" i="78"/>
  <c r="P70" i="78"/>
  <c r="Q61" i="78"/>
  <c r="Q70" i="78" s="1"/>
  <c r="P104" i="79"/>
  <c r="Q21" i="79"/>
  <c r="Q104" i="79" s="1"/>
  <c r="N34" i="73"/>
  <c r="N48" i="73" s="1"/>
  <c r="N50" i="73"/>
  <c r="M69" i="82"/>
  <c r="M46" i="82"/>
  <c r="O73" i="80"/>
  <c r="O30" i="80"/>
  <c r="O40" i="80"/>
  <c r="J127" i="80"/>
  <c r="J128" i="80" s="1"/>
  <c r="J129" i="80" s="1"/>
  <c r="J132" i="80" s="1"/>
  <c r="J134" i="80" s="1"/>
  <c r="Q109" i="77"/>
  <c r="H126" i="77"/>
  <c r="H127" i="77" s="1"/>
  <c r="H128" i="77" s="1"/>
  <c r="H129" i="77" s="1"/>
  <c r="H132" i="77" s="1"/>
  <c r="H134" i="77" s="1"/>
  <c r="P109" i="77"/>
  <c r="O109" i="77"/>
  <c r="N109" i="77"/>
  <c r="M109" i="77"/>
  <c r="N9" i="74"/>
  <c r="M13" i="74"/>
  <c r="I126" i="80"/>
  <c r="I127" i="80" s="1"/>
  <c r="I128" i="80" s="1"/>
  <c r="I129" i="80" s="1"/>
  <c r="I132" i="80" s="1"/>
  <c r="I134" i="80" s="1"/>
  <c r="I110" i="80"/>
  <c r="I111" i="80" s="1"/>
  <c r="I112" i="80" s="1"/>
  <c r="I115" i="80" s="1"/>
  <c r="I117" i="80" s="1"/>
  <c r="L24" i="77"/>
  <c r="L25" i="77"/>
  <c r="L40" i="83"/>
  <c r="L43" i="83"/>
  <c r="L30" i="83"/>
  <c r="N7" i="83"/>
  <c r="N32" i="83" s="1"/>
  <c r="Q21" i="76"/>
  <c r="Q104" i="76" s="1"/>
  <c r="P104" i="76"/>
  <c r="P11" i="80"/>
  <c r="P7" i="80" s="1"/>
  <c r="P32" i="80" s="1"/>
  <c r="Q10" i="80"/>
  <c r="P6" i="80"/>
  <c r="P28" i="80" s="1"/>
  <c r="L24" i="74"/>
  <c r="L25" i="74"/>
  <c r="N68" i="80"/>
  <c r="N42" i="80"/>
  <c r="N67" i="80"/>
  <c r="N65" i="80"/>
  <c r="Q109" i="80"/>
  <c r="M109" i="80"/>
  <c r="O109" i="80"/>
  <c r="H126" i="80"/>
  <c r="H127" i="80" s="1"/>
  <c r="H128" i="80" s="1"/>
  <c r="H129" i="80" s="1"/>
  <c r="H132" i="80" s="1"/>
  <c r="H134" i="80" s="1"/>
  <c r="P109" i="80"/>
  <c r="N109" i="80"/>
  <c r="H110" i="80"/>
  <c r="H111" i="80" s="1"/>
  <c r="H112" i="80" s="1"/>
  <c r="H115" i="80" s="1"/>
  <c r="H117" i="80" s="1"/>
  <c r="N9" i="77"/>
  <c r="M13" i="77"/>
  <c r="H109" i="79"/>
  <c r="I109" i="79"/>
  <c r="L109" i="79"/>
  <c r="L126" i="79" s="1"/>
  <c r="K109" i="79"/>
  <c r="K126" i="79" s="1"/>
  <c r="G117" i="79"/>
  <c r="J109" i="79"/>
  <c r="G122" i="79"/>
  <c r="G134" i="79" s="1"/>
  <c r="M70" i="83"/>
  <c r="N61" i="83"/>
  <c r="O23" i="82"/>
  <c r="N41" i="82"/>
  <c r="N43" i="80"/>
  <c r="L13" i="83"/>
  <c r="L12" i="83"/>
  <c r="P27" i="35"/>
  <c r="P28" i="35" s="1"/>
  <c r="J125" i="82"/>
  <c r="K125" i="84"/>
  <c r="M69" i="25"/>
  <c r="M46" i="25"/>
  <c r="N113" i="25"/>
  <c r="M113" i="25"/>
  <c r="N46" i="25"/>
  <c r="G117" i="75"/>
  <c r="L109" i="75"/>
  <c r="L126" i="75" s="1"/>
  <c r="K109" i="75"/>
  <c r="K126" i="75" s="1"/>
  <c r="G122" i="75"/>
  <c r="G134" i="75" s="1"/>
  <c r="J109" i="75"/>
  <c r="J126" i="75" s="1"/>
  <c r="H109" i="75"/>
  <c r="I109" i="75"/>
  <c r="M53" i="78"/>
  <c r="M52" i="78"/>
  <c r="J125" i="74"/>
  <c r="J110" i="74"/>
  <c r="J111" i="74" s="1"/>
  <c r="J112" i="74" s="1"/>
  <c r="J115" i="74" s="1"/>
  <c r="J117" i="74" s="1"/>
  <c r="M53" i="77"/>
  <c r="M52" i="77"/>
  <c r="M52" i="73"/>
  <c r="M53" i="73"/>
  <c r="O34" i="80"/>
  <c r="O48" i="80" s="1"/>
  <c r="O50" i="80"/>
  <c r="O73" i="25"/>
  <c r="O30" i="25"/>
  <c r="O40" i="25"/>
  <c r="M53" i="76"/>
  <c r="M52" i="76"/>
  <c r="N45" i="80"/>
  <c r="N113" i="80" s="1"/>
  <c r="N6" i="83"/>
  <c r="H125" i="82"/>
  <c r="N73" i="73"/>
  <c r="N30" i="73"/>
  <c r="N40" i="73"/>
  <c r="I109" i="78"/>
  <c r="J109" i="78"/>
  <c r="J126" i="78" s="1"/>
  <c r="G117" i="78"/>
  <c r="L109" i="78"/>
  <c r="L126" i="78" s="1"/>
  <c r="H109" i="78"/>
  <c r="G122" i="78"/>
  <c r="G134" i="78" s="1"/>
  <c r="K109" i="78"/>
  <c r="K126" i="78" s="1"/>
  <c r="Q10" i="25"/>
  <c r="P11" i="25"/>
  <c r="P7" i="25" s="1"/>
  <c r="P32" i="25" s="1"/>
  <c r="P6" i="25"/>
  <c r="P28" i="25" s="1"/>
  <c r="Q61" i="76"/>
  <c r="Q70" i="76" s="1"/>
  <c r="P70" i="76"/>
  <c r="L46" i="76"/>
  <c r="L69" i="76"/>
  <c r="L74" i="76" s="1"/>
  <c r="L76" i="76" s="1"/>
  <c r="M66" i="84"/>
  <c r="M43" i="84"/>
  <c r="N53" i="80"/>
  <c r="N52" i="80"/>
  <c r="O73" i="84"/>
  <c r="O30" i="84"/>
  <c r="O40" i="84"/>
  <c r="M46" i="80"/>
  <c r="M69" i="80"/>
  <c r="M74" i="80" s="1"/>
  <c r="M76" i="80" s="1"/>
  <c r="M113" i="80"/>
  <c r="K68" i="83"/>
  <c r="K42" i="83"/>
  <c r="K67" i="83"/>
  <c r="K65" i="83"/>
  <c r="L113" i="76"/>
  <c r="L130" i="76" s="1"/>
  <c r="O34" i="25"/>
  <c r="O48" i="25" s="1"/>
  <c r="O50" i="25"/>
  <c r="L13" i="82"/>
  <c r="M9" i="82"/>
  <c r="M42" i="84"/>
  <c r="N73" i="76"/>
  <c r="N30" i="76"/>
  <c r="N40" i="76"/>
  <c r="N41" i="84"/>
  <c r="N42" i="84" s="1"/>
  <c r="O23" i="84"/>
  <c r="K79" i="73"/>
  <c r="K77" i="73"/>
  <c r="K108" i="73"/>
  <c r="K78" i="73"/>
  <c r="P58" i="78"/>
  <c r="M9" i="83"/>
  <c r="M10" i="83"/>
  <c r="M11" i="83" s="1"/>
  <c r="M28" i="83"/>
  <c r="G122" i="84"/>
  <c r="G134" i="84" s="1"/>
  <c r="I109" i="84"/>
  <c r="L109" i="84"/>
  <c r="L126" i="84" s="1"/>
  <c r="G117" i="84"/>
  <c r="J109" i="84"/>
  <c r="H109" i="84"/>
  <c r="K109" i="84"/>
  <c r="K126" i="84" s="1"/>
  <c r="O9" i="80"/>
  <c r="N13" i="80"/>
  <c r="P11" i="84"/>
  <c r="P7" i="84" s="1"/>
  <c r="P32" i="84" s="1"/>
  <c r="Q10" i="84"/>
  <c r="P6" i="84"/>
  <c r="P28" i="84" s="1"/>
  <c r="M13" i="75"/>
  <c r="N9" i="75"/>
  <c r="L66" i="73"/>
  <c r="L43" i="73"/>
  <c r="L109" i="76"/>
  <c r="L126" i="76" s="1"/>
  <c r="K109" i="76"/>
  <c r="K126" i="76" s="1"/>
  <c r="G122" i="76"/>
  <c r="G134" i="76" s="1"/>
  <c r="H109" i="76"/>
  <c r="J109" i="76"/>
  <c r="J126" i="76" s="1"/>
  <c r="I109" i="76"/>
  <c r="G117" i="76"/>
  <c r="N9" i="76"/>
  <c r="M13" i="76"/>
  <c r="K110" i="80"/>
  <c r="K111" i="80" s="1"/>
  <c r="K112" i="80" s="1"/>
  <c r="K115" i="80" s="1"/>
  <c r="K117" i="80" s="1"/>
  <c r="K125" i="80"/>
  <c r="K25" i="82"/>
  <c r="K24" i="82"/>
  <c r="M67" i="77"/>
  <c r="M68" i="77"/>
  <c r="M42" i="77"/>
  <c r="M65" i="77"/>
  <c r="N50" i="76"/>
  <c r="N34" i="76"/>
  <c r="N48" i="76" s="1"/>
  <c r="I110" i="74"/>
  <c r="I111" i="74" s="1"/>
  <c r="I112" i="74" s="1"/>
  <c r="I115" i="74" s="1"/>
  <c r="I117" i="74" s="1"/>
  <c r="N73" i="78"/>
  <c r="N30" i="78"/>
  <c r="N40" i="78"/>
  <c r="M24" i="80"/>
  <c r="M25" i="80"/>
  <c r="M113" i="82"/>
  <c r="O50" i="84"/>
  <c r="O34" i="84"/>
  <c r="O48" i="84" s="1"/>
  <c r="N68" i="84"/>
  <c r="N67" i="84"/>
  <c r="N65" i="84"/>
  <c r="L24" i="75"/>
  <c r="L25" i="75"/>
  <c r="O30" i="82"/>
  <c r="O40" i="82"/>
  <c r="O73" i="82"/>
  <c r="L24" i="76"/>
  <c r="L25" i="76"/>
  <c r="M50" i="83"/>
  <c r="P104" i="73"/>
  <c r="Q21" i="73"/>
  <c r="Q104" i="73" s="1"/>
  <c r="H126" i="74"/>
  <c r="H127" i="74" s="1"/>
  <c r="H128" i="74" s="1"/>
  <c r="H129" i="74" s="1"/>
  <c r="H132" i="74" s="1"/>
  <c r="H134" i="74" s="1"/>
  <c r="Q109" i="74"/>
  <c r="P109" i="74"/>
  <c r="N109" i="74"/>
  <c r="M109" i="74"/>
  <c r="O109" i="74"/>
  <c r="O11" i="76"/>
  <c r="O7" i="76" s="1"/>
  <c r="O32" i="76" s="1"/>
  <c r="P10" i="76"/>
  <c r="O6" i="76"/>
  <c r="O28" i="76" s="1"/>
  <c r="I127" i="74"/>
  <c r="I128" i="74" s="1"/>
  <c r="I129" i="74" s="1"/>
  <c r="I132" i="74" s="1"/>
  <c r="I134" i="74" s="1"/>
  <c r="P10" i="78"/>
  <c r="O11" i="78"/>
  <c r="O7" i="78" s="1"/>
  <c r="O32" i="78" s="1"/>
  <c r="O6" i="78"/>
  <c r="O28" i="78" s="1"/>
  <c r="L42" i="73"/>
  <c r="L66" i="74"/>
  <c r="L43" i="74"/>
  <c r="L42" i="74"/>
  <c r="N23" i="73"/>
  <c r="M23" i="83"/>
  <c r="M41" i="83" s="1"/>
  <c r="M66" i="83" s="1"/>
  <c r="M41" i="73"/>
  <c r="M42" i="73" s="1"/>
  <c r="O50" i="82"/>
  <c r="O34" i="82"/>
  <c r="O48" i="82" s="1"/>
  <c r="N45" i="82"/>
  <c r="M13" i="84"/>
  <c r="N9" i="84"/>
  <c r="J125" i="76"/>
  <c r="M74" i="84" l="1"/>
  <c r="M76" i="84" s="1"/>
  <c r="M108" i="84" s="1"/>
  <c r="L74" i="73"/>
  <c r="L76" i="73" s="1"/>
  <c r="L78" i="73" s="1"/>
  <c r="K79" i="74"/>
  <c r="K78" i="74"/>
  <c r="J46" i="83"/>
  <c r="J69" i="83"/>
  <c r="J74" i="83" s="1"/>
  <c r="J76" i="83" s="1"/>
  <c r="J79" i="83" s="1"/>
  <c r="L74" i="74"/>
  <c r="L76" i="74" s="1"/>
  <c r="L79" i="74" s="1"/>
  <c r="K77" i="74"/>
  <c r="K45" i="83"/>
  <c r="K46" i="83" s="1"/>
  <c r="I79" i="83"/>
  <c r="K110" i="77"/>
  <c r="K111" i="77" s="1"/>
  <c r="K112" i="77" s="1"/>
  <c r="K115" i="77" s="1"/>
  <c r="K117" i="77" s="1"/>
  <c r="K79" i="78"/>
  <c r="O45" i="82"/>
  <c r="O46" i="82" s="1"/>
  <c r="L78" i="84"/>
  <c r="L79" i="84"/>
  <c r="L77" i="84"/>
  <c r="M46" i="77"/>
  <c r="M69" i="77"/>
  <c r="M74" i="77" s="1"/>
  <c r="M76" i="77" s="1"/>
  <c r="M78" i="77" s="1"/>
  <c r="K108" i="78"/>
  <c r="K125" i="78" s="1"/>
  <c r="K77" i="78"/>
  <c r="M74" i="25"/>
  <c r="M76" i="25" s="1"/>
  <c r="M78" i="25" s="1"/>
  <c r="I77" i="83"/>
  <c r="N45" i="78"/>
  <c r="N46" i="78" s="1"/>
  <c r="L78" i="79"/>
  <c r="N45" i="73"/>
  <c r="N69" i="73" s="1"/>
  <c r="M66" i="78"/>
  <c r="M43" i="78"/>
  <c r="O23" i="78"/>
  <c r="N41" i="78"/>
  <c r="N42" i="78" s="1"/>
  <c r="I108" i="83"/>
  <c r="I125" i="83" s="1"/>
  <c r="M74" i="82"/>
  <c r="M76" i="82" s="1"/>
  <c r="M108" i="82" s="1"/>
  <c r="N69" i="75"/>
  <c r="M69" i="74"/>
  <c r="M46" i="74"/>
  <c r="M113" i="74"/>
  <c r="L77" i="79"/>
  <c r="J110" i="76"/>
  <c r="J111" i="76" s="1"/>
  <c r="J112" i="76" s="1"/>
  <c r="J115" i="76" s="1"/>
  <c r="J117" i="76" s="1"/>
  <c r="L79" i="82"/>
  <c r="N52" i="74"/>
  <c r="N53" i="74"/>
  <c r="L78" i="82"/>
  <c r="L108" i="79"/>
  <c r="L110" i="79" s="1"/>
  <c r="L111" i="79" s="1"/>
  <c r="L112" i="79" s="1"/>
  <c r="L115" i="79" s="1"/>
  <c r="L117" i="79" s="1"/>
  <c r="M46" i="76"/>
  <c r="L77" i="82"/>
  <c r="M113" i="76"/>
  <c r="M74" i="76"/>
  <c r="M76" i="76" s="1"/>
  <c r="M79" i="76" s="1"/>
  <c r="N46" i="75"/>
  <c r="N67" i="79"/>
  <c r="N68" i="79"/>
  <c r="N65" i="79"/>
  <c r="N45" i="79"/>
  <c r="N113" i="79" s="1"/>
  <c r="N69" i="84"/>
  <c r="O73" i="79"/>
  <c r="O30" i="79"/>
  <c r="O40" i="79"/>
  <c r="O50" i="74"/>
  <c r="O34" i="74"/>
  <c r="O48" i="74" s="1"/>
  <c r="N53" i="79"/>
  <c r="N52" i="79"/>
  <c r="N45" i="74"/>
  <c r="N46" i="84"/>
  <c r="N43" i="77"/>
  <c r="P11" i="74"/>
  <c r="P7" i="74" s="1"/>
  <c r="P32" i="74" s="1"/>
  <c r="Q10" i="74"/>
  <c r="P6" i="74"/>
  <c r="P28" i="74" s="1"/>
  <c r="M46" i="79"/>
  <c r="M69" i="79"/>
  <c r="M74" i="79" s="1"/>
  <c r="M76" i="79" s="1"/>
  <c r="N67" i="74"/>
  <c r="N68" i="74"/>
  <c r="N65" i="74"/>
  <c r="P11" i="79"/>
  <c r="P7" i="79" s="1"/>
  <c r="P32" i="79" s="1"/>
  <c r="Q10" i="79"/>
  <c r="P6" i="79"/>
  <c r="P28" i="79" s="1"/>
  <c r="L25" i="83"/>
  <c r="O34" i="79"/>
  <c r="O48" i="79" s="1"/>
  <c r="O50" i="79"/>
  <c r="O73" i="74"/>
  <c r="O40" i="74"/>
  <c r="O30" i="74"/>
  <c r="N43" i="76"/>
  <c r="K110" i="79"/>
  <c r="K111" i="79" s="1"/>
  <c r="K112" i="79" s="1"/>
  <c r="K115" i="79" s="1"/>
  <c r="K117" i="79" s="1"/>
  <c r="O45" i="80"/>
  <c r="O113" i="80" s="1"/>
  <c r="L78" i="76"/>
  <c r="L108" i="76"/>
  <c r="L79" i="76"/>
  <c r="L77" i="76"/>
  <c r="M25" i="84"/>
  <c r="M24" i="84"/>
  <c r="Q58" i="78"/>
  <c r="P23" i="79"/>
  <c r="O41" i="79"/>
  <c r="N68" i="78"/>
  <c r="N67" i="78"/>
  <c r="N65" i="78"/>
  <c r="M25" i="75"/>
  <c r="M24" i="75"/>
  <c r="N9" i="82"/>
  <c r="M13" i="82"/>
  <c r="I126" i="79"/>
  <c r="I127" i="79" s="1"/>
  <c r="I128" i="79" s="1"/>
  <c r="I129" i="79" s="1"/>
  <c r="I132" i="79" s="1"/>
  <c r="I134" i="79" s="1"/>
  <c r="I110" i="79"/>
  <c r="I111" i="79" s="1"/>
  <c r="I112" i="79" s="1"/>
  <c r="I115" i="79" s="1"/>
  <c r="I117" i="79" s="1"/>
  <c r="N66" i="25"/>
  <c r="N74" i="25" s="1"/>
  <c r="N76" i="25" s="1"/>
  <c r="N43" i="25"/>
  <c r="N13" i="25"/>
  <c r="O9" i="25"/>
  <c r="G122" i="82"/>
  <c r="G134" i="82" s="1"/>
  <c r="L109" i="82"/>
  <c r="L126" i="82" s="1"/>
  <c r="H109" i="82"/>
  <c r="J109" i="82"/>
  <c r="G117" i="82"/>
  <c r="I109" i="82"/>
  <c r="K109" i="82"/>
  <c r="L125" i="80"/>
  <c r="L110" i="80"/>
  <c r="L111" i="80" s="1"/>
  <c r="L112" i="80" s="1"/>
  <c r="L115" i="80" s="1"/>
  <c r="L117" i="80" s="1"/>
  <c r="P32" i="73"/>
  <c r="Q11" i="82"/>
  <c r="Q7" i="82" s="1"/>
  <c r="Q32" i="82" s="1"/>
  <c r="Q6" i="82"/>
  <c r="Q28" i="82" s="1"/>
  <c r="L24" i="82"/>
  <c r="L25" i="82"/>
  <c r="O9" i="79"/>
  <c r="N13" i="79"/>
  <c r="N53" i="77"/>
  <c r="N52" i="77"/>
  <c r="Q11" i="73"/>
  <c r="Q7" i="73" s="1"/>
  <c r="Q6" i="73"/>
  <c r="K127" i="77"/>
  <c r="K128" i="77" s="1"/>
  <c r="K129" i="77" s="1"/>
  <c r="K132" i="77" s="1"/>
  <c r="K134" i="77" s="1"/>
  <c r="M66" i="74"/>
  <c r="M43" i="74"/>
  <c r="M42" i="74"/>
  <c r="J127" i="76"/>
  <c r="J128" i="76" s="1"/>
  <c r="J129" i="76" s="1"/>
  <c r="J132" i="76" s="1"/>
  <c r="J134" i="76" s="1"/>
  <c r="N67" i="73"/>
  <c r="N68" i="73"/>
  <c r="N65" i="73"/>
  <c r="N109" i="79"/>
  <c r="O109" i="79"/>
  <c r="P109" i="79"/>
  <c r="H126" i="79"/>
  <c r="H127" i="79" s="1"/>
  <c r="H128" i="79" s="1"/>
  <c r="H129" i="79" s="1"/>
  <c r="H132" i="79" s="1"/>
  <c r="H134" i="79" s="1"/>
  <c r="M109" i="79"/>
  <c r="Q109" i="79"/>
  <c r="H110" i="79"/>
  <c r="H111" i="79" s="1"/>
  <c r="H112" i="79" s="1"/>
  <c r="H115" i="79" s="1"/>
  <c r="H117" i="79" s="1"/>
  <c r="L24" i="83"/>
  <c r="P23" i="25"/>
  <c r="O41" i="25"/>
  <c r="O42" i="25" s="1"/>
  <c r="N13" i="84"/>
  <c r="O9" i="84"/>
  <c r="K127" i="80"/>
  <c r="K128" i="80" s="1"/>
  <c r="K129" i="80" s="1"/>
  <c r="K132" i="80" s="1"/>
  <c r="K134" i="80" s="1"/>
  <c r="O45" i="84"/>
  <c r="L79" i="78"/>
  <c r="L108" i="78"/>
  <c r="L77" i="78"/>
  <c r="L78" i="78"/>
  <c r="P73" i="80"/>
  <c r="P40" i="80"/>
  <c r="P30" i="80"/>
  <c r="L42" i="83"/>
  <c r="L68" i="83"/>
  <c r="L67" i="83"/>
  <c r="L65" i="83"/>
  <c r="N66" i="79"/>
  <c r="N43" i="79"/>
  <c r="N42" i="79"/>
  <c r="M24" i="79"/>
  <c r="M25" i="79"/>
  <c r="L79" i="77"/>
  <c r="L77" i="77"/>
  <c r="L108" i="77"/>
  <c r="L78" i="77"/>
  <c r="J110" i="75"/>
  <c r="J111" i="75" s="1"/>
  <c r="J112" i="75" s="1"/>
  <c r="J115" i="75" s="1"/>
  <c r="J117" i="75" s="1"/>
  <c r="O23" i="74"/>
  <c r="N41" i="74"/>
  <c r="O53" i="75"/>
  <c r="O52" i="75"/>
  <c r="P71" i="83"/>
  <c r="Q62" i="83"/>
  <c r="Q71" i="83" s="1"/>
  <c r="J127" i="75"/>
  <c r="J128" i="75" s="1"/>
  <c r="J129" i="75" s="1"/>
  <c r="J132" i="75" s="1"/>
  <c r="J134" i="75" s="1"/>
  <c r="O34" i="73"/>
  <c r="O48" i="73" s="1"/>
  <c r="O50" i="73"/>
  <c r="M46" i="78"/>
  <c r="M69" i="78"/>
  <c r="M113" i="78"/>
  <c r="M25" i="76"/>
  <c r="M24" i="76"/>
  <c r="Q11" i="84"/>
  <c r="Q7" i="84" s="1"/>
  <c r="Q32" i="84" s="1"/>
  <c r="Q6" i="84"/>
  <c r="Q28" i="84" s="1"/>
  <c r="J127" i="74"/>
  <c r="J128" i="74" s="1"/>
  <c r="J129" i="74" s="1"/>
  <c r="J132" i="74" s="1"/>
  <c r="J134" i="74" s="1"/>
  <c r="O9" i="77"/>
  <c r="N13" i="77"/>
  <c r="P34" i="80"/>
  <c r="P48" i="80" s="1"/>
  <c r="P50" i="80"/>
  <c r="O43" i="80"/>
  <c r="J110" i="78"/>
  <c r="J111" i="78" s="1"/>
  <c r="J112" i="78" s="1"/>
  <c r="J115" i="78" s="1"/>
  <c r="J117" i="78" s="1"/>
  <c r="O7" i="83"/>
  <c r="O32" i="83" s="1"/>
  <c r="P23" i="77"/>
  <c r="O41" i="77"/>
  <c r="O66" i="77" s="1"/>
  <c r="H125" i="83"/>
  <c r="N68" i="77"/>
  <c r="N42" i="77"/>
  <c r="N67" i="77"/>
  <c r="N65" i="77"/>
  <c r="O6" i="83"/>
  <c r="O73" i="78"/>
  <c r="O30" i="78"/>
  <c r="O40" i="78"/>
  <c r="N73" i="83"/>
  <c r="K127" i="79"/>
  <c r="K128" i="79" s="1"/>
  <c r="K129" i="79" s="1"/>
  <c r="K132" i="79" s="1"/>
  <c r="K134" i="79" s="1"/>
  <c r="L108" i="75"/>
  <c r="L78" i="75"/>
  <c r="L77" i="75"/>
  <c r="L79" i="75"/>
  <c r="J127" i="78"/>
  <c r="J128" i="78" s="1"/>
  <c r="J129" i="78" s="1"/>
  <c r="J132" i="78" s="1"/>
  <c r="J134" i="78" s="1"/>
  <c r="O50" i="78"/>
  <c r="O34" i="78"/>
  <c r="O48" i="78" s="1"/>
  <c r="N52" i="76"/>
  <c r="N53" i="76"/>
  <c r="N25" i="80"/>
  <c r="N24" i="80"/>
  <c r="P34" i="25"/>
  <c r="P48" i="25" s="1"/>
  <c r="P50" i="25"/>
  <c r="M25" i="78"/>
  <c r="M24" i="78"/>
  <c r="Q23" i="80"/>
  <c r="Q41" i="80" s="1"/>
  <c r="Q66" i="80" s="1"/>
  <c r="P41" i="80"/>
  <c r="P66" i="80" s="1"/>
  <c r="N45" i="77"/>
  <c r="O73" i="73"/>
  <c r="O40" i="73"/>
  <c r="O30" i="73"/>
  <c r="P40" i="84"/>
  <c r="P30" i="84"/>
  <c r="P73" i="84"/>
  <c r="M24" i="77"/>
  <c r="M25" i="77"/>
  <c r="O9" i="78"/>
  <c r="N13" i="78"/>
  <c r="M63" i="83"/>
  <c r="L72" i="83"/>
  <c r="P9" i="80"/>
  <c r="O13" i="80"/>
  <c r="Q11" i="25"/>
  <c r="Q7" i="25" s="1"/>
  <c r="Q32" i="25" s="1"/>
  <c r="Q6" i="25"/>
  <c r="Q28" i="25" s="1"/>
  <c r="I126" i="75"/>
  <c r="I127" i="75" s="1"/>
  <c r="I128" i="75" s="1"/>
  <c r="I129" i="75" s="1"/>
  <c r="I132" i="75" s="1"/>
  <c r="I134" i="75" s="1"/>
  <c r="I110" i="75"/>
  <c r="I111" i="75" s="1"/>
  <c r="I112" i="75" s="1"/>
  <c r="I115" i="75" s="1"/>
  <c r="I117" i="75" s="1"/>
  <c r="N66" i="82"/>
  <c r="N43" i="82"/>
  <c r="P50" i="84"/>
  <c r="P34" i="84"/>
  <c r="P48" i="84" s="1"/>
  <c r="N69" i="82"/>
  <c r="N46" i="82"/>
  <c r="O53" i="84"/>
  <c r="O52" i="84"/>
  <c r="P23" i="84"/>
  <c r="O41" i="84"/>
  <c r="O42" i="84" s="1"/>
  <c r="O65" i="25"/>
  <c r="O68" i="25"/>
  <c r="O67" i="25"/>
  <c r="N109" i="75"/>
  <c r="M109" i="75"/>
  <c r="P109" i="75"/>
  <c r="Q109" i="75"/>
  <c r="O109" i="75"/>
  <c r="H126" i="75"/>
  <c r="H127" i="75" s="1"/>
  <c r="H128" i="75" s="1"/>
  <c r="H129" i="75" s="1"/>
  <c r="H132" i="75" s="1"/>
  <c r="H134" i="75" s="1"/>
  <c r="H110" i="75"/>
  <c r="H111" i="75" s="1"/>
  <c r="H112" i="75" s="1"/>
  <c r="H115" i="75" s="1"/>
  <c r="H117" i="75" s="1"/>
  <c r="O41" i="82"/>
  <c r="O42" i="82" s="1"/>
  <c r="P23" i="82"/>
  <c r="K110" i="75"/>
  <c r="K111" i="75" s="1"/>
  <c r="K112" i="75" s="1"/>
  <c r="K115" i="75" s="1"/>
  <c r="K117" i="75" s="1"/>
  <c r="K125" i="75"/>
  <c r="M109" i="76"/>
  <c r="H126" i="76"/>
  <c r="H127" i="76" s="1"/>
  <c r="H128" i="76" s="1"/>
  <c r="H129" i="76" s="1"/>
  <c r="H132" i="76" s="1"/>
  <c r="H134" i="76" s="1"/>
  <c r="Q109" i="76"/>
  <c r="P109" i="76"/>
  <c r="N109" i="76"/>
  <c r="O109" i="76"/>
  <c r="H110" i="76"/>
  <c r="H111" i="76" s="1"/>
  <c r="H112" i="76" s="1"/>
  <c r="H115" i="76" s="1"/>
  <c r="H117" i="76" s="1"/>
  <c r="O109" i="84"/>
  <c r="N109" i="84"/>
  <c r="M109" i="84"/>
  <c r="H126" i="84"/>
  <c r="H127" i="84" s="1"/>
  <c r="H128" i="84" s="1"/>
  <c r="H129" i="84" s="1"/>
  <c r="H132" i="84" s="1"/>
  <c r="H134" i="84" s="1"/>
  <c r="Q109" i="84"/>
  <c r="P109" i="84"/>
  <c r="H110" i="84"/>
  <c r="H111" i="84" s="1"/>
  <c r="H112" i="84" s="1"/>
  <c r="H115" i="84" s="1"/>
  <c r="H117" i="84" s="1"/>
  <c r="N66" i="84"/>
  <c r="N43" i="84"/>
  <c r="O45" i="25"/>
  <c r="K127" i="84"/>
  <c r="K128" i="84" s="1"/>
  <c r="K129" i="84" s="1"/>
  <c r="K132" i="84" s="1"/>
  <c r="K134" i="84" s="1"/>
  <c r="O61" i="83"/>
  <c r="N70" i="83"/>
  <c r="M25" i="74"/>
  <c r="M24" i="74"/>
  <c r="N113" i="82"/>
  <c r="K53" i="83"/>
  <c r="K52" i="83"/>
  <c r="N53" i="78"/>
  <c r="N52" i="78"/>
  <c r="M13" i="83"/>
  <c r="M24" i="83" s="1"/>
  <c r="M12" i="83"/>
  <c r="N50" i="83"/>
  <c r="O9" i="74"/>
  <c r="N13" i="74"/>
  <c r="J127" i="77"/>
  <c r="J128" i="77" s="1"/>
  <c r="J129" i="77" s="1"/>
  <c r="J132" i="77" s="1"/>
  <c r="J134" i="77" s="1"/>
  <c r="M33" i="83"/>
  <c r="L34" i="83"/>
  <c r="L48" i="83" s="1"/>
  <c r="P73" i="75"/>
  <c r="P30" i="75"/>
  <c r="P40" i="75"/>
  <c r="O9" i="76"/>
  <c r="N13" i="76"/>
  <c r="P73" i="25"/>
  <c r="P40" i="25"/>
  <c r="P30" i="25"/>
  <c r="H108" i="25"/>
  <c r="H78" i="25"/>
  <c r="D80" i="1" s="1"/>
  <c r="D76" i="1"/>
  <c r="F76" i="1" s="1"/>
  <c r="H79" i="25"/>
  <c r="D77" i="1" s="1"/>
  <c r="H77" i="25"/>
  <c r="D79" i="1" s="1"/>
  <c r="P50" i="75"/>
  <c r="P34" i="75"/>
  <c r="P48" i="75" s="1"/>
  <c r="O53" i="25"/>
  <c r="O52" i="25"/>
  <c r="M66" i="75"/>
  <c r="M74" i="75" s="1"/>
  <c r="M76" i="75" s="1"/>
  <c r="M43" i="75"/>
  <c r="M42" i="75"/>
  <c r="K78" i="76"/>
  <c r="K79" i="76"/>
  <c r="K108" i="76"/>
  <c r="K77" i="76"/>
  <c r="G100" i="25"/>
  <c r="Q11" i="75"/>
  <c r="Q7" i="75" s="1"/>
  <c r="Q32" i="75" s="1"/>
  <c r="Q6" i="75"/>
  <c r="Q28" i="75" s="1"/>
  <c r="N42" i="82"/>
  <c r="L110" i="84"/>
  <c r="L111" i="84" s="1"/>
  <c r="L112" i="84" s="1"/>
  <c r="L115" i="84" s="1"/>
  <c r="L117" i="84" s="1"/>
  <c r="L125" i="84"/>
  <c r="L125" i="82"/>
  <c r="J126" i="79"/>
  <c r="J127" i="79" s="1"/>
  <c r="J128" i="79" s="1"/>
  <c r="J129" i="79" s="1"/>
  <c r="J132" i="79" s="1"/>
  <c r="J134" i="79" s="1"/>
  <c r="J110" i="79"/>
  <c r="J111" i="79" s="1"/>
  <c r="J112" i="79" s="1"/>
  <c r="J115" i="79" s="1"/>
  <c r="J117" i="79" s="1"/>
  <c r="K110" i="74"/>
  <c r="K111" i="74" s="1"/>
  <c r="K112" i="74" s="1"/>
  <c r="K115" i="74" s="1"/>
  <c r="K117" i="74" s="1"/>
  <c r="K125" i="74"/>
  <c r="I126" i="84"/>
  <c r="I127" i="84" s="1"/>
  <c r="I128" i="84" s="1"/>
  <c r="I129" i="84" s="1"/>
  <c r="I132" i="84" s="1"/>
  <c r="I134" i="84" s="1"/>
  <c r="I110" i="84"/>
  <c r="I111" i="84" s="1"/>
  <c r="I112" i="84" s="1"/>
  <c r="I115" i="84" s="1"/>
  <c r="I117" i="84" s="1"/>
  <c r="O53" i="80"/>
  <c r="O52" i="80"/>
  <c r="O23" i="75"/>
  <c r="N41" i="75"/>
  <c r="I108" i="25"/>
  <c r="I79" i="25"/>
  <c r="I77" i="25"/>
  <c r="I78" i="25"/>
  <c r="G105" i="25"/>
  <c r="D17" i="1"/>
  <c r="M69" i="73"/>
  <c r="M46" i="73"/>
  <c r="M113" i="73"/>
  <c r="M25" i="73"/>
  <c r="M24" i="73"/>
  <c r="O73" i="77"/>
  <c r="O40" i="77"/>
  <c r="O30" i="77"/>
  <c r="K125" i="73"/>
  <c r="O42" i="80"/>
  <c r="O65" i="80"/>
  <c r="O67" i="80"/>
  <c r="O68" i="80"/>
  <c r="Q10" i="78"/>
  <c r="P11" i="78"/>
  <c r="P7" i="78" s="1"/>
  <c r="P32" i="78" s="1"/>
  <c r="P6" i="78"/>
  <c r="P28" i="78" s="1"/>
  <c r="I126" i="76"/>
  <c r="I127" i="76" s="1"/>
  <c r="I128" i="76" s="1"/>
  <c r="I129" i="76" s="1"/>
  <c r="I132" i="76" s="1"/>
  <c r="I134" i="76" s="1"/>
  <c r="I110" i="76"/>
  <c r="I111" i="76" s="1"/>
  <c r="I112" i="76" s="1"/>
  <c r="I115" i="76" s="1"/>
  <c r="I117" i="76" s="1"/>
  <c r="O73" i="76"/>
  <c r="O30" i="76"/>
  <c r="O40" i="76"/>
  <c r="J126" i="84"/>
  <c r="J127" i="84" s="1"/>
  <c r="J128" i="84" s="1"/>
  <c r="J129" i="84" s="1"/>
  <c r="J132" i="84" s="1"/>
  <c r="J134" i="84" s="1"/>
  <c r="J110" i="84"/>
  <c r="J111" i="84" s="1"/>
  <c r="J112" i="84" s="1"/>
  <c r="J115" i="84" s="1"/>
  <c r="J117" i="84" s="1"/>
  <c r="N65" i="76"/>
  <c r="N67" i="76"/>
  <c r="N68" i="76"/>
  <c r="N42" i="76"/>
  <c r="P11" i="76"/>
  <c r="P7" i="76" s="1"/>
  <c r="P32" i="76" s="1"/>
  <c r="Q10" i="76"/>
  <c r="P6" i="76"/>
  <c r="P28" i="76" s="1"/>
  <c r="Q109" i="78"/>
  <c r="H126" i="78"/>
  <c r="H127" i="78" s="1"/>
  <c r="H128" i="78" s="1"/>
  <c r="H129" i="78" s="1"/>
  <c r="H132" i="78" s="1"/>
  <c r="H134" i="78" s="1"/>
  <c r="O109" i="78"/>
  <c r="M109" i="78"/>
  <c r="N109" i="78"/>
  <c r="P109" i="78"/>
  <c r="H110" i="78"/>
  <c r="H111" i="78" s="1"/>
  <c r="H112" i="78" s="1"/>
  <c r="H115" i="78" s="1"/>
  <c r="H117" i="78" s="1"/>
  <c r="N45" i="76"/>
  <c r="N46" i="80"/>
  <c r="N69" i="80"/>
  <c r="N74" i="80" s="1"/>
  <c r="N76" i="80" s="1"/>
  <c r="N53" i="73"/>
  <c r="N52" i="73"/>
  <c r="K57" i="25"/>
  <c r="J65" i="25"/>
  <c r="J74" i="25" s="1"/>
  <c r="J76" i="25" s="1"/>
  <c r="P23" i="76"/>
  <c r="O41" i="76"/>
  <c r="O66" i="76" s="1"/>
  <c r="O9" i="73"/>
  <c r="N13" i="73"/>
  <c r="O65" i="75"/>
  <c r="O67" i="75"/>
  <c r="O68" i="75"/>
  <c r="O34" i="77"/>
  <c r="O48" i="77" s="1"/>
  <c r="O50" i="77"/>
  <c r="P30" i="82"/>
  <c r="P40" i="82"/>
  <c r="P73" i="82"/>
  <c r="Q11" i="80"/>
  <c r="Q7" i="80" s="1"/>
  <c r="Q32" i="80" s="1"/>
  <c r="Q6" i="80"/>
  <c r="Q28" i="80" s="1"/>
  <c r="O53" i="82"/>
  <c r="O52" i="82"/>
  <c r="N9" i="83"/>
  <c r="N10" i="83"/>
  <c r="N11" i="83" s="1"/>
  <c r="N28" i="83"/>
  <c r="K110" i="84"/>
  <c r="K111" i="84" s="1"/>
  <c r="K112" i="84" s="1"/>
  <c r="K115" i="84" s="1"/>
  <c r="K117" i="84" s="1"/>
  <c r="M66" i="73"/>
  <c r="M43" i="73"/>
  <c r="O50" i="76"/>
  <c r="O34" i="76"/>
  <c r="O48" i="76" s="1"/>
  <c r="M79" i="80"/>
  <c r="M78" i="80"/>
  <c r="M77" i="80"/>
  <c r="M108" i="80"/>
  <c r="N23" i="83"/>
  <c r="N41" i="83" s="1"/>
  <c r="N66" i="83" s="1"/>
  <c r="O23" i="73"/>
  <c r="N41" i="73"/>
  <c r="N42" i="73" s="1"/>
  <c r="O65" i="82"/>
  <c r="O67" i="82"/>
  <c r="O68" i="82"/>
  <c r="N13" i="75"/>
  <c r="O9" i="75"/>
  <c r="M30" i="83"/>
  <c r="M40" i="83"/>
  <c r="M43" i="83"/>
  <c r="O67" i="84"/>
  <c r="O68" i="84"/>
  <c r="O65" i="84"/>
  <c r="I126" i="78"/>
  <c r="I127" i="78" s="1"/>
  <c r="I128" i="78" s="1"/>
  <c r="I129" i="78" s="1"/>
  <c r="I132" i="78" s="1"/>
  <c r="I134" i="78" s="1"/>
  <c r="I110" i="78"/>
  <c r="I111" i="78" s="1"/>
  <c r="I112" i="78" s="1"/>
  <c r="I115" i="78" s="1"/>
  <c r="I117" i="78" s="1"/>
  <c r="M25" i="25"/>
  <c r="M24" i="25"/>
  <c r="P9" i="35"/>
  <c r="P16" i="35" s="1"/>
  <c r="P29" i="35" s="1"/>
  <c r="G97" i="83"/>
  <c r="H109" i="73"/>
  <c r="G122" i="73"/>
  <c r="G134" i="73" s="1"/>
  <c r="J109" i="73"/>
  <c r="I109" i="73"/>
  <c r="G117" i="73"/>
  <c r="L109" i="73"/>
  <c r="L126" i="73" s="1"/>
  <c r="K109" i="73"/>
  <c r="K126" i="73" s="1"/>
  <c r="P28" i="73"/>
  <c r="O45" i="75"/>
  <c r="Q10" i="77"/>
  <c r="P11" i="77"/>
  <c r="P7" i="77" s="1"/>
  <c r="P32" i="77" s="1"/>
  <c r="P6" i="77"/>
  <c r="P28" i="77" s="1"/>
  <c r="P50" i="82"/>
  <c r="P34" i="82"/>
  <c r="P48" i="82" s="1"/>
  <c r="L108" i="73" l="1"/>
  <c r="L110" i="73" s="1"/>
  <c r="L111" i="73" s="1"/>
  <c r="L112" i="73" s="1"/>
  <c r="L115" i="73" s="1"/>
  <c r="L117" i="73" s="1"/>
  <c r="L77" i="73"/>
  <c r="L79" i="73"/>
  <c r="L78" i="74"/>
  <c r="K113" i="83"/>
  <c r="K130" i="83" s="1"/>
  <c r="M79" i="84"/>
  <c r="L108" i="74"/>
  <c r="L125" i="74" s="1"/>
  <c r="M78" i="84"/>
  <c r="M77" i="84"/>
  <c r="N113" i="73"/>
  <c r="O113" i="82"/>
  <c r="K69" i="83"/>
  <c r="K74" i="83" s="1"/>
  <c r="K76" i="83" s="1"/>
  <c r="K79" i="83" s="1"/>
  <c r="J77" i="83"/>
  <c r="J78" i="83"/>
  <c r="O69" i="82"/>
  <c r="L77" i="74"/>
  <c r="J108" i="83"/>
  <c r="J125" i="83" s="1"/>
  <c r="M74" i="78"/>
  <c r="M76" i="78" s="1"/>
  <c r="M77" i="78" s="1"/>
  <c r="K110" i="78"/>
  <c r="K111" i="78" s="1"/>
  <c r="K112" i="78" s="1"/>
  <c r="K115" i="78" s="1"/>
  <c r="K117" i="78" s="1"/>
  <c r="N113" i="78"/>
  <c r="M108" i="25"/>
  <c r="M79" i="25"/>
  <c r="M79" i="82"/>
  <c r="M78" i="76"/>
  <c r="M74" i="73"/>
  <c r="M76" i="73" s="1"/>
  <c r="M108" i="73" s="1"/>
  <c r="N69" i="78"/>
  <c r="N46" i="73"/>
  <c r="M77" i="82"/>
  <c r="M78" i="82"/>
  <c r="M77" i="25"/>
  <c r="P43" i="80"/>
  <c r="M77" i="76"/>
  <c r="P45" i="25"/>
  <c r="P69" i="25" s="1"/>
  <c r="L45" i="83"/>
  <c r="L113" i="83" s="1"/>
  <c r="L130" i="83" s="1"/>
  <c r="O45" i="79"/>
  <c r="O46" i="79" s="1"/>
  <c r="L125" i="79"/>
  <c r="L123" i="79" s="1"/>
  <c r="M74" i="74"/>
  <c r="M76" i="74" s="1"/>
  <c r="M78" i="74" s="1"/>
  <c r="O46" i="80"/>
  <c r="N66" i="78"/>
  <c r="N43" i="78"/>
  <c r="O45" i="77"/>
  <c r="O69" i="77" s="1"/>
  <c r="N74" i="84"/>
  <c r="N76" i="84" s="1"/>
  <c r="N78" i="84" s="1"/>
  <c r="O69" i="80"/>
  <c r="O74" i="80" s="1"/>
  <c r="O76" i="80" s="1"/>
  <c r="P23" i="78"/>
  <c r="O41" i="78"/>
  <c r="N74" i="82"/>
  <c r="N76" i="82" s="1"/>
  <c r="N77" i="82" s="1"/>
  <c r="M108" i="79"/>
  <c r="M110" i="79" s="1"/>
  <c r="M111" i="79" s="1"/>
  <c r="M112" i="79" s="1"/>
  <c r="M115" i="79" s="1"/>
  <c r="M117" i="79" s="1"/>
  <c r="M77" i="79"/>
  <c r="M79" i="79"/>
  <c r="M78" i="79"/>
  <c r="O52" i="79"/>
  <c r="O53" i="79"/>
  <c r="N69" i="74"/>
  <c r="N46" i="74"/>
  <c r="P45" i="75"/>
  <c r="P69" i="75" s="1"/>
  <c r="P73" i="79"/>
  <c r="P30" i="79"/>
  <c r="P40" i="79"/>
  <c r="O52" i="74"/>
  <c r="O53" i="74"/>
  <c r="O67" i="79"/>
  <c r="O65" i="79"/>
  <c r="O68" i="79"/>
  <c r="M108" i="76"/>
  <c r="M110" i="76" s="1"/>
  <c r="M111" i="76" s="1"/>
  <c r="M112" i="76" s="1"/>
  <c r="M115" i="76" s="1"/>
  <c r="M117" i="76" s="1"/>
  <c r="N69" i="79"/>
  <c r="N74" i="79" s="1"/>
  <c r="N76" i="79" s="1"/>
  <c r="N108" i="79" s="1"/>
  <c r="N46" i="79"/>
  <c r="Q11" i="79"/>
  <c r="Q7" i="79" s="1"/>
  <c r="Q32" i="79" s="1"/>
  <c r="Q6" i="79"/>
  <c r="Q28" i="79" s="1"/>
  <c r="M77" i="77"/>
  <c r="P30" i="74"/>
  <c r="P73" i="74"/>
  <c r="P40" i="74"/>
  <c r="N113" i="74"/>
  <c r="M108" i="77"/>
  <c r="M110" i="77" s="1"/>
  <c r="M111" i="77" s="1"/>
  <c r="M112" i="77" s="1"/>
  <c r="M115" i="77" s="1"/>
  <c r="M117" i="77" s="1"/>
  <c r="O45" i="74"/>
  <c r="O113" i="74" s="1"/>
  <c r="Q11" i="74"/>
  <c r="Q7" i="74" s="1"/>
  <c r="Q32" i="74" s="1"/>
  <c r="Q6" i="74"/>
  <c r="Q28" i="74" s="1"/>
  <c r="P34" i="79"/>
  <c r="P48" i="79" s="1"/>
  <c r="P50" i="79"/>
  <c r="M79" i="77"/>
  <c r="O68" i="74"/>
  <c r="O67" i="74"/>
  <c r="O65" i="74"/>
  <c r="P34" i="74"/>
  <c r="P48" i="74" s="1"/>
  <c r="P50" i="74"/>
  <c r="L110" i="82"/>
  <c r="L111" i="82" s="1"/>
  <c r="L112" i="82" s="1"/>
  <c r="L115" i="82" s="1"/>
  <c r="L117" i="82" s="1"/>
  <c r="P45" i="84"/>
  <c r="P113" i="84" s="1"/>
  <c r="O45" i="76"/>
  <c r="O69" i="76" s="1"/>
  <c r="O43" i="76"/>
  <c r="O43" i="77"/>
  <c r="O13" i="25"/>
  <c r="P9" i="25"/>
  <c r="O13" i="78"/>
  <c r="P9" i="78"/>
  <c r="O68" i="78"/>
  <c r="O67" i="78"/>
  <c r="O65" i="78"/>
  <c r="O52" i="73"/>
  <c r="O53" i="73"/>
  <c r="N25" i="25"/>
  <c r="N24" i="25"/>
  <c r="P6" i="83"/>
  <c r="N43" i="83"/>
  <c r="N40" i="83"/>
  <c r="N30" i="83"/>
  <c r="P45" i="82"/>
  <c r="K125" i="76"/>
  <c r="K110" i="76"/>
  <c r="K111" i="76" s="1"/>
  <c r="K112" i="76" s="1"/>
  <c r="K115" i="76" s="1"/>
  <c r="K117" i="76" s="1"/>
  <c r="P61" i="83"/>
  <c r="O70" i="83"/>
  <c r="N108" i="25"/>
  <c r="N77" i="25"/>
  <c r="N79" i="25"/>
  <c r="N78" i="25"/>
  <c r="K127" i="74"/>
  <c r="K128" i="74" s="1"/>
  <c r="K129" i="74" s="1"/>
  <c r="K132" i="74" s="1"/>
  <c r="K134" i="74" s="1"/>
  <c r="P67" i="75"/>
  <c r="P68" i="75"/>
  <c r="P65" i="75"/>
  <c r="O45" i="78"/>
  <c r="Q73" i="82"/>
  <c r="Q40" i="82"/>
  <c r="Q30" i="82"/>
  <c r="P73" i="73"/>
  <c r="P40" i="73"/>
  <c r="P30" i="73"/>
  <c r="N79" i="80"/>
  <c r="N108" i="80"/>
  <c r="N77" i="80"/>
  <c r="N78" i="80"/>
  <c r="M110" i="84"/>
  <c r="M111" i="84" s="1"/>
  <c r="M112" i="84" s="1"/>
  <c r="M115" i="84" s="1"/>
  <c r="M117" i="84" s="1"/>
  <c r="Q34" i="82"/>
  <c r="Q48" i="82" s="1"/>
  <c r="Q50" i="82"/>
  <c r="O69" i="25"/>
  <c r="O46" i="25"/>
  <c r="O113" i="25"/>
  <c r="O53" i="78"/>
  <c r="O52" i="78"/>
  <c r="O28" i="83"/>
  <c r="O10" i="83"/>
  <c r="O11" i="83" s="1"/>
  <c r="O9" i="83"/>
  <c r="P34" i="73"/>
  <c r="P48" i="73" s="1"/>
  <c r="P50" i="73"/>
  <c r="N66" i="75"/>
  <c r="N74" i="75" s="1"/>
  <c r="N76" i="75" s="1"/>
  <c r="N43" i="75"/>
  <c r="N42" i="75"/>
  <c r="Q23" i="77"/>
  <c r="Q41" i="77" s="1"/>
  <c r="Q66" i="77" s="1"/>
  <c r="P41" i="77"/>
  <c r="P66" i="77" s="1"/>
  <c r="Q73" i="84"/>
  <c r="Q40" i="84"/>
  <c r="Q30" i="84"/>
  <c r="O69" i="84"/>
  <c r="O46" i="84"/>
  <c r="O113" i="84"/>
  <c r="P7" i="83"/>
  <c r="P32" i="83" s="1"/>
  <c r="O66" i="84"/>
  <c r="O43" i="84"/>
  <c r="O50" i="83"/>
  <c r="Q50" i="84"/>
  <c r="Q34" i="84"/>
  <c r="Q48" i="84" s="1"/>
  <c r="M25" i="82"/>
  <c r="M24" i="82"/>
  <c r="Q28" i="73"/>
  <c r="L123" i="80"/>
  <c r="L127" i="80"/>
  <c r="L128" i="80" s="1"/>
  <c r="L129" i="80" s="1"/>
  <c r="L132" i="80" s="1"/>
  <c r="O9" i="82"/>
  <c r="N13" i="82"/>
  <c r="I125" i="25"/>
  <c r="O67" i="77"/>
  <c r="O68" i="77"/>
  <c r="O42" i="77"/>
  <c r="O65" i="77"/>
  <c r="M78" i="75"/>
  <c r="M79" i="75"/>
  <c r="M108" i="75"/>
  <c r="M77" i="75"/>
  <c r="Q11" i="76"/>
  <c r="Q7" i="76" s="1"/>
  <c r="Q32" i="76" s="1"/>
  <c r="Q6" i="76"/>
  <c r="Q28" i="76" s="1"/>
  <c r="P34" i="76"/>
  <c r="P48" i="76" s="1"/>
  <c r="P50" i="76"/>
  <c r="L127" i="82"/>
  <c r="L128" i="82" s="1"/>
  <c r="L129" i="82" s="1"/>
  <c r="L132" i="82" s="1"/>
  <c r="L123" i="82"/>
  <c r="Q32" i="73"/>
  <c r="H125" i="25"/>
  <c r="N33" i="83"/>
  <c r="M34" i="83"/>
  <c r="M48" i="83" s="1"/>
  <c r="M25" i="83"/>
  <c r="Q73" i="25"/>
  <c r="Q30" i="25"/>
  <c r="Q40" i="25"/>
  <c r="N66" i="74"/>
  <c r="N43" i="74"/>
  <c r="N42" i="74"/>
  <c r="J126" i="73"/>
  <c r="J127" i="73" s="1"/>
  <c r="J128" i="73" s="1"/>
  <c r="J129" i="73" s="1"/>
  <c r="J132" i="73" s="1"/>
  <c r="J134" i="73" s="1"/>
  <c r="J110" i="73"/>
  <c r="J111" i="73" s="1"/>
  <c r="J112" i="73" s="1"/>
  <c r="J115" i="73" s="1"/>
  <c r="J117" i="73" s="1"/>
  <c r="N25" i="73"/>
  <c r="N24" i="73"/>
  <c r="L123" i="84"/>
  <c r="L127" i="84"/>
  <c r="L128" i="84" s="1"/>
  <c r="L129" i="84" s="1"/>
  <c r="L132" i="84" s="1"/>
  <c r="P65" i="25"/>
  <c r="P68" i="25"/>
  <c r="P67" i="25"/>
  <c r="Q23" i="82"/>
  <c r="Q41" i="82" s="1"/>
  <c r="Q66" i="82" s="1"/>
  <c r="P41" i="82"/>
  <c r="P42" i="82" s="1"/>
  <c r="Q34" i="25"/>
  <c r="Q48" i="25" s="1"/>
  <c r="Q50" i="25"/>
  <c r="O45" i="73"/>
  <c r="P23" i="74"/>
  <c r="O41" i="74"/>
  <c r="K126" i="82"/>
  <c r="K127" i="82" s="1"/>
  <c r="K128" i="82" s="1"/>
  <c r="K129" i="82" s="1"/>
  <c r="K132" i="82" s="1"/>
  <c r="K134" i="82" s="1"/>
  <c r="K110" i="82"/>
  <c r="K111" i="82" s="1"/>
  <c r="K112" i="82" s="1"/>
  <c r="K115" i="82" s="1"/>
  <c r="K117" i="82" s="1"/>
  <c r="N13" i="83"/>
  <c r="N12" i="83"/>
  <c r="O66" i="82"/>
  <c r="O43" i="82"/>
  <c r="O25" i="80"/>
  <c r="O24" i="80"/>
  <c r="P45" i="80"/>
  <c r="I126" i="82"/>
  <c r="I127" i="82" s="1"/>
  <c r="I128" i="82" s="1"/>
  <c r="I129" i="82" s="1"/>
  <c r="I132" i="82" s="1"/>
  <c r="I134" i="82" s="1"/>
  <c r="I110" i="82"/>
  <c r="I111" i="82" s="1"/>
  <c r="I112" i="82" s="1"/>
  <c r="I115" i="82" s="1"/>
  <c r="I117" i="82" s="1"/>
  <c r="P23" i="73"/>
  <c r="O23" i="83"/>
  <c r="O41" i="83" s="1"/>
  <c r="O66" i="83" s="1"/>
  <c r="O41" i="73"/>
  <c r="O42" i="73" s="1"/>
  <c r="P34" i="78"/>
  <c r="P48" i="78" s="1"/>
  <c r="P50" i="78"/>
  <c r="P41" i="84"/>
  <c r="P42" i="84" s="1"/>
  <c r="Q23" i="84"/>
  <c r="Q41" i="84" s="1"/>
  <c r="Q66" i="84" s="1"/>
  <c r="I126" i="73"/>
  <c r="I127" i="73" s="1"/>
  <c r="I128" i="73" s="1"/>
  <c r="I129" i="73" s="1"/>
  <c r="I132" i="73" s="1"/>
  <c r="I134" i="73" s="1"/>
  <c r="I110" i="73"/>
  <c r="I111" i="73" s="1"/>
  <c r="I112" i="73" s="1"/>
  <c r="I115" i="73" s="1"/>
  <c r="I117" i="73" s="1"/>
  <c r="H126" i="73"/>
  <c r="H127" i="73" s="1"/>
  <c r="H128" i="73" s="1"/>
  <c r="H129" i="73" s="1"/>
  <c r="H132" i="73" s="1"/>
  <c r="H134" i="73" s="1"/>
  <c r="Q109" i="73"/>
  <c r="P109" i="73"/>
  <c r="O109" i="73"/>
  <c r="N109" i="73"/>
  <c r="M109" i="73"/>
  <c r="H110" i="73"/>
  <c r="H111" i="73" s="1"/>
  <c r="H112" i="73" s="1"/>
  <c r="H115" i="73" s="1"/>
  <c r="H117" i="73" s="1"/>
  <c r="Q9" i="80"/>
  <c r="Q13" i="80" s="1"/>
  <c r="Q25" i="80" s="1"/>
  <c r="P13" i="80"/>
  <c r="P52" i="25"/>
  <c r="P53" i="25"/>
  <c r="L125" i="75"/>
  <c r="L110" i="75"/>
  <c r="L111" i="75" s="1"/>
  <c r="L112" i="75" s="1"/>
  <c r="L115" i="75" s="1"/>
  <c r="L117" i="75" s="1"/>
  <c r="P67" i="80"/>
  <c r="P68" i="80"/>
  <c r="P65" i="80"/>
  <c r="P42" i="80"/>
  <c r="N25" i="79"/>
  <c r="N24" i="79"/>
  <c r="N66" i="73"/>
  <c r="N74" i="73" s="1"/>
  <c r="N76" i="73" s="1"/>
  <c r="N43" i="73"/>
  <c r="F77" i="1"/>
  <c r="F79" i="1"/>
  <c r="F80" i="1"/>
  <c r="P23" i="75"/>
  <c r="O41" i="75"/>
  <c r="Q73" i="80"/>
  <c r="Q40" i="80"/>
  <c r="Q43" i="80"/>
  <c r="Q30" i="80"/>
  <c r="Q11" i="78"/>
  <c r="Q7" i="78" s="1"/>
  <c r="Q32" i="78" s="1"/>
  <c r="Q6" i="78"/>
  <c r="Q28" i="78" s="1"/>
  <c r="M68" i="83"/>
  <c r="M42" i="83"/>
  <c r="M65" i="83"/>
  <c r="M67" i="83"/>
  <c r="G98" i="83"/>
  <c r="G100" i="83"/>
  <c r="J37" i="35" s="1"/>
  <c r="N25" i="76"/>
  <c r="N24" i="76"/>
  <c r="O65" i="73"/>
  <c r="O68" i="73"/>
  <c r="O67" i="73"/>
  <c r="P52" i="80"/>
  <c r="P53" i="80"/>
  <c r="L110" i="77"/>
  <c r="L111" i="77" s="1"/>
  <c r="L112" i="77" s="1"/>
  <c r="L115" i="77" s="1"/>
  <c r="L117" i="77" s="1"/>
  <c r="L125" i="77"/>
  <c r="O13" i="84"/>
  <c r="P9" i="84"/>
  <c r="P9" i="79"/>
  <c r="O13" i="79"/>
  <c r="J126" i="82"/>
  <c r="J127" i="82" s="1"/>
  <c r="J128" i="82" s="1"/>
  <c r="J129" i="82" s="1"/>
  <c r="J132" i="82" s="1"/>
  <c r="J134" i="82" s="1"/>
  <c r="J110" i="82"/>
  <c r="J111" i="82" s="1"/>
  <c r="J112" i="82" s="1"/>
  <c r="J115" i="82" s="1"/>
  <c r="J117" i="82" s="1"/>
  <c r="P73" i="78"/>
  <c r="P30" i="78"/>
  <c r="P40" i="78"/>
  <c r="Q34" i="80"/>
  <c r="Q48" i="80" s="1"/>
  <c r="Q50" i="80"/>
  <c r="N69" i="76"/>
  <c r="N74" i="76" s="1"/>
  <c r="N76" i="76" s="1"/>
  <c r="N46" i="76"/>
  <c r="N113" i="76"/>
  <c r="K127" i="73"/>
  <c r="K128" i="73" s="1"/>
  <c r="K129" i="73" s="1"/>
  <c r="K132" i="73" s="1"/>
  <c r="K134" i="73" s="1"/>
  <c r="Q73" i="75"/>
  <c r="Q30" i="75"/>
  <c r="Q40" i="75"/>
  <c r="P9" i="76"/>
  <c r="O13" i="76"/>
  <c r="O73" i="83"/>
  <c r="N24" i="77"/>
  <c r="N25" i="77"/>
  <c r="N25" i="84"/>
  <c r="N24" i="84"/>
  <c r="P109" i="82"/>
  <c r="H126" i="82"/>
  <c r="H127" i="82" s="1"/>
  <c r="H128" i="82" s="1"/>
  <c r="H129" i="82" s="1"/>
  <c r="H132" i="82" s="1"/>
  <c r="H134" i="82" s="1"/>
  <c r="M109" i="82"/>
  <c r="M110" i="82" s="1"/>
  <c r="M111" i="82" s="1"/>
  <c r="M112" i="82" s="1"/>
  <c r="M115" i="82" s="1"/>
  <c r="M117" i="82" s="1"/>
  <c r="N109" i="82"/>
  <c r="O109" i="82"/>
  <c r="Q109" i="82"/>
  <c r="H110" i="82"/>
  <c r="H111" i="82" s="1"/>
  <c r="H112" i="82" s="1"/>
  <c r="H115" i="82" s="1"/>
  <c r="H117" i="82" s="1"/>
  <c r="L125" i="76"/>
  <c r="L110" i="76"/>
  <c r="L111" i="76" s="1"/>
  <c r="L112" i="76" s="1"/>
  <c r="L115" i="76" s="1"/>
  <c r="L117" i="76" s="1"/>
  <c r="P52" i="82"/>
  <c r="P53" i="82"/>
  <c r="O13" i="73"/>
  <c r="P9" i="73"/>
  <c r="J108" i="25"/>
  <c r="J78" i="25"/>
  <c r="J77" i="25"/>
  <c r="J79" i="25"/>
  <c r="Q11" i="77"/>
  <c r="Q7" i="77" s="1"/>
  <c r="Q32" i="77" s="1"/>
  <c r="Q6" i="77"/>
  <c r="Q28" i="77" s="1"/>
  <c r="P67" i="82"/>
  <c r="P68" i="82"/>
  <c r="P65" i="82"/>
  <c r="M72" i="83"/>
  <c r="N63" i="83"/>
  <c r="N69" i="77"/>
  <c r="N74" i="77" s="1"/>
  <c r="N76" i="77" s="1"/>
  <c r="N46" i="77"/>
  <c r="N113" i="77"/>
  <c r="P9" i="77"/>
  <c r="O13" i="77"/>
  <c r="O66" i="25"/>
  <c r="O43" i="25"/>
  <c r="O66" i="79"/>
  <c r="O43" i="79"/>
  <c r="O42" i="79"/>
  <c r="L109" i="25"/>
  <c r="L126" i="25" s="1"/>
  <c r="H109" i="25"/>
  <c r="H110" i="25" s="1"/>
  <c r="H111" i="25" s="1"/>
  <c r="H112" i="25" s="1"/>
  <c r="H115" i="25" s="1"/>
  <c r="H117" i="25" s="1"/>
  <c r="I109" i="25"/>
  <c r="I126" i="25" s="1"/>
  <c r="J109" i="25"/>
  <c r="J126" i="25" s="1"/>
  <c r="G117" i="25"/>
  <c r="G122" i="25"/>
  <c r="G134" i="25" s="1"/>
  <c r="K109" i="25"/>
  <c r="K126" i="25" s="1"/>
  <c r="O53" i="77"/>
  <c r="O52" i="77"/>
  <c r="P73" i="76"/>
  <c r="P30" i="76"/>
  <c r="P40" i="76"/>
  <c r="M110" i="80"/>
  <c r="M111" i="80" s="1"/>
  <c r="M112" i="80" s="1"/>
  <c r="M115" i="80" s="1"/>
  <c r="M117" i="80" s="1"/>
  <c r="L53" i="83"/>
  <c r="L52" i="83"/>
  <c r="K127" i="75"/>
  <c r="K128" i="75" s="1"/>
  <c r="K129" i="75" s="1"/>
  <c r="K132" i="75" s="1"/>
  <c r="K134" i="75" s="1"/>
  <c r="P65" i="84"/>
  <c r="P68" i="84"/>
  <c r="P67" i="84"/>
  <c r="P73" i="77"/>
  <c r="P40" i="77"/>
  <c r="P30" i="77"/>
  <c r="O53" i="76"/>
  <c r="O52" i="76"/>
  <c r="Q23" i="76"/>
  <c r="Q41" i="76" s="1"/>
  <c r="Q66" i="76" s="1"/>
  <c r="P41" i="76"/>
  <c r="P66" i="76" s="1"/>
  <c r="P50" i="77"/>
  <c r="P34" i="77"/>
  <c r="P48" i="77" s="1"/>
  <c r="O13" i="75"/>
  <c r="P9" i="75"/>
  <c r="N24" i="75"/>
  <c r="N25" i="75"/>
  <c r="L57" i="25"/>
  <c r="L65" i="25" s="1"/>
  <c r="L74" i="25" s="1"/>
  <c r="L76" i="25" s="1"/>
  <c r="K65" i="25"/>
  <c r="K74" i="25" s="1"/>
  <c r="K76" i="25" s="1"/>
  <c r="Q50" i="75"/>
  <c r="Q34" i="75"/>
  <c r="Q48" i="75" s="1"/>
  <c r="K127" i="78"/>
  <c r="K128" i="78" s="1"/>
  <c r="K129" i="78" s="1"/>
  <c r="K132" i="78" s="1"/>
  <c r="K134" i="78" s="1"/>
  <c r="N24" i="74"/>
  <c r="N25" i="74"/>
  <c r="O69" i="75"/>
  <c r="O46" i="75"/>
  <c r="O113" i="75"/>
  <c r="O67" i="76"/>
  <c r="O68" i="76"/>
  <c r="O65" i="76"/>
  <c r="O42" i="76"/>
  <c r="K110" i="73"/>
  <c r="K111" i="73" s="1"/>
  <c r="K112" i="73" s="1"/>
  <c r="K115" i="73" s="1"/>
  <c r="K117" i="73" s="1"/>
  <c r="D85" i="1"/>
  <c r="D86" i="1" s="1"/>
  <c r="F17" i="1"/>
  <c r="P53" i="75"/>
  <c r="P52" i="75"/>
  <c r="P9" i="74"/>
  <c r="O13" i="74"/>
  <c r="P52" i="84"/>
  <c r="P53" i="84"/>
  <c r="N24" i="78"/>
  <c r="N25" i="78"/>
  <c r="L110" i="78"/>
  <c r="L111" i="78" s="1"/>
  <c r="L112" i="78" s="1"/>
  <c r="L115" i="78" s="1"/>
  <c r="L117" i="78" s="1"/>
  <c r="L125" i="78"/>
  <c r="Q23" i="25"/>
  <c r="Q41" i="25" s="1"/>
  <c r="Q66" i="25" s="1"/>
  <c r="P41" i="25"/>
  <c r="P42" i="25" s="1"/>
  <c r="Q23" i="79"/>
  <c r="Q41" i="79" s="1"/>
  <c r="P41" i="79"/>
  <c r="Q7" i="83" l="1"/>
  <c r="L125" i="73"/>
  <c r="L110" i="74"/>
  <c r="L111" i="74" s="1"/>
  <c r="L112" i="74" s="1"/>
  <c r="L115" i="74" s="1"/>
  <c r="L117" i="74" s="1"/>
  <c r="O113" i="79"/>
  <c r="O46" i="77"/>
  <c r="M77" i="73"/>
  <c r="O74" i="82"/>
  <c r="O76" i="82" s="1"/>
  <c r="O79" i="82" s="1"/>
  <c r="K78" i="83"/>
  <c r="K77" i="83"/>
  <c r="K108" i="83"/>
  <c r="K125" i="83" s="1"/>
  <c r="O113" i="77"/>
  <c r="M78" i="78"/>
  <c r="M79" i="78"/>
  <c r="M78" i="73"/>
  <c r="N74" i="78"/>
  <c r="N76" i="78" s="1"/>
  <c r="N77" i="78" s="1"/>
  <c r="M108" i="78"/>
  <c r="M110" i="78" s="1"/>
  <c r="M111" i="78" s="1"/>
  <c r="M112" i="78" s="1"/>
  <c r="M115" i="78" s="1"/>
  <c r="M117" i="78" s="1"/>
  <c r="M79" i="73"/>
  <c r="O113" i="76"/>
  <c r="O69" i="79"/>
  <c r="O74" i="79" s="1"/>
  <c r="O76" i="79" s="1"/>
  <c r="O77" i="79" s="1"/>
  <c r="N108" i="82"/>
  <c r="N110" i="82" s="1"/>
  <c r="N111" i="82" s="1"/>
  <c r="N112" i="82" s="1"/>
  <c r="N115" i="82" s="1"/>
  <c r="N117" i="82" s="1"/>
  <c r="M108" i="74"/>
  <c r="M110" i="74" s="1"/>
  <c r="M111" i="74" s="1"/>
  <c r="M112" i="74" s="1"/>
  <c r="M115" i="74" s="1"/>
  <c r="M117" i="74" s="1"/>
  <c r="L46" i="83"/>
  <c r="P113" i="25"/>
  <c r="P46" i="25"/>
  <c r="M79" i="74"/>
  <c r="L127" i="79"/>
  <c r="L128" i="79" s="1"/>
  <c r="L129" i="79" s="1"/>
  <c r="L132" i="79" s="1"/>
  <c r="L134" i="79" s="1"/>
  <c r="E136" i="79" s="1"/>
  <c r="L69" i="83"/>
  <c r="L74" i="83" s="1"/>
  <c r="L76" i="83" s="1"/>
  <c r="L78" i="83" s="1"/>
  <c r="O46" i="76"/>
  <c r="Q45" i="25"/>
  <c r="Q113" i="25" s="1"/>
  <c r="Q24" i="80"/>
  <c r="N79" i="82"/>
  <c r="M77" i="74"/>
  <c r="P113" i="75"/>
  <c r="N77" i="84"/>
  <c r="N78" i="82"/>
  <c r="O66" i="78"/>
  <c r="O43" i="78"/>
  <c r="Q23" i="78"/>
  <c r="Q41" i="78" s="1"/>
  <c r="Q66" i="78" s="1"/>
  <c r="P41" i="78"/>
  <c r="P42" i="78" s="1"/>
  <c r="P45" i="79"/>
  <c r="P113" i="79" s="1"/>
  <c r="N108" i="84"/>
  <c r="N110" i="84" s="1"/>
  <c r="N111" i="84" s="1"/>
  <c r="N112" i="84" s="1"/>
  <c r="N115" i="84" s="1"/>
  <c r="N117" i="84" s="1"/>
  <c r="P45" i="76"/>
  <c r="P113" i="76" s="1"/>
  <c r="O42" i="78"/>
  <c r="N79" i="84"/>
  <c r="P67" i="74"/>
  <c r="P68" i="74"/>
  <c r="P65" i="74"/>
  <c r="P43" i="77"/>
  <c r="P45" i="74"/>
  <c r="P113" i="74" s="1"/>
  <c r="P65" i="79"/>
  <c r="P67" i="79"/>
  <c r="P68" i="79"/>
  <c r="P46" i="84"/>
  <c r="P69" i="84"/>
  <c r="Q73" i="79"/>
  <c r="Q40" i="79"/>
  <c r="Q42" i="79" s="1"/>
  <c r="Q30" i="79"/>
  <c r="Q50" i="79"/>
  <c r="Q34" i="79"/>
  <c r="Q48" i="79" s="1"/>
  <c r="N79" i="79"/>
  <c r="Q73" i="74"/>
  <c r="Q40" i="74"/>
  <c r="Q30" i="74"/>
  <c r="N77" i="79"/>
  <c r="Q34" i="74"/>
  <c r="Q48" i="74" s="1"/>
  <c r="Q50" i="74"/>
  <c r="P52" i="74"/>
  <c r="P53" i="74"/>
  <c r="P53" i="79"/>
  <c r="P52" i="79"/>
  <c r="N74" i="74"/>
  <c r="N76" i="74" s="1"/>
  <c r="N78" i="74" s="1"/>
  <c r="O74" i="84"/>
  <c r="O76" i="84" s="1"/>
  <c r="O108" i="84" s="1"/>
  <c r="P46" i="75"/>
  <c r="O69" i="74"/>
  <c r="O46" i="74"/>
  <c r="N78" i="79"/>
  <c r="O74" i="25"/>
  <c r="O76" i="25" s="1"/>
  <c r="O78" i="25" s="1"/>
  <c r="Q32" i="83"/>
  <c r="Q50" i="83" s="1"/>
  <c r="Q45" i="75"/>
  <c r="Q113" i="75" s="1"/>
  <c r="Q6" i="83"/>
  <c r="Q9" i="83" s="1"/>
  <c r="L134" i="80"/>
  <c r="E136" i="80" s="1"/>
  <c r="N79" i="76"/>
  <c r="N78" i="76"/>
  <c r="N77" i="76"/>
  <c r="N108" i="76"/>
  <c r="N79" i="77"/>
  <c r="N108" i="77"/>
  <c r="N77" i="77"/>
  <c r="N78" i="77"/>
  <c r="O25" i="79"/>
  <c r="O24" i="79"/>
  <c r="O108" i="80"/>
  <c r="O79" i="80"/>
  <c r="O77" i="80"/>
  <c r="O78" i="80"/>
  <c r="P52" i="78"/>
  <c r="P53" i="78"/>
  <c r="Q65" i="80"/>
  <c r="Q67" i="80"/>
  <c r="Q42" i="80"/>
  <c r="Q68" i="80"/>
  <c r="O66" i="73"/>
  <c r="O43" i="73"/>
  <c r="Q43" i="82"/>
  <c r="P70" i="83"/>
  <c r="Q61" i="83"/>
  <c r="Q70" i="83" s="1"/>
  <c r="P10" i="83"/>
  <c r="P11" i="83" s="1"/>
  <c r="P9" i="83"/>
  <c r="P28" i="83"/>
  <c r="Q9" i="84"/>
  <c r="Q13" i="84" s="1"/>
  <c r="P13" i="84"/>
  <c r="L127" i="78"/>
  <c r="L128" i="78" s="1"/>
  <c r="L129" i="78" s="1"/>
  <c r="L132" i="78" s="1"/>
  <c r="L123" i="78"/>
  <c r="Q9" i="77"/>
  <c r="Q13" i="77" s="1"/>
  <c r="Q24" i="77" s="1"/>
  <c r="P13" i="77"/>
  <c r="P13" i="79"/>
  <c r="Q9" i="79"/>
  <c r="Q13" i="79" s="1"/>
  <c r="M45" i="83"/>
  <c r="M110" i="75"/>
  <c r="M111" i="75" s="1"/>
  <c r="M112" i="75" s="1"/>
  <c r="M115" i="75" s="1"/>
  <c r="M117" i="75" s="1"/>
  <c r="P13" i="75"/>
  <c r="Q9" i="75"/>
  <c r="J110" i="25"/>
  <c r="J111" i="25" s="1"/>
  <c r="J112" i="25" s="1"/>
  <c r="J115" i="25" s="1"/>
  <c r="J117" i="25" s="1"/>
  <c r="J125" i="25"/>
  <c r="L134" i="84"/>
  <c r="E136" i="84" s="1"/>
  <c r="Q73" i="73"/>
  <c r="Q40" i="73"/>
  <c r="Q30" i="73"/>
  <c r="Q67" i="82"/>
  <c r="Q68" i="82"/>
  <c r="Q65" i="82"/>
  <c r="Q42" i="82"/>
  <c r="O24" i="73"/>
  <c r="O25" i="73"/>
  <c r="O24" i="77"/>
  <c r="O25" i="77"/>
  <c r="O25" i="75"/>
  <c r="O24" i="75"/>
  <c r="Q9" i="73"/>
  <c r="P13" i="73"/>
  <c r="O66" i="75"/>
  <c r="O74" i="75" s="1"/>
  <c r="O76" i="75" s="1"/>
  <c r="O43" i="75"/>
  <c r="O42" i="75"/>
  <c r="Q23" i="73"/>
  <c r="P23" i="83"/>
  <c r="P41" i="83" s="1"/>
  <c r="P66" i="83" s="1"/>
  <c r="P41" i="73"/>
  <c r="P42" i="73" s="1"/>
  <c r="Q43" i="25"/>
  <c r="P50" i="83"/>
  <c r="Q23" i="75"/>
  <c r="Q41" i="75" s="1"/>
  <c r="P41" i="75"/>
  <c r="N108" i="73"/>
  <c r="N77" i="73"/>
  <c r="N78" i="73"/>
  <c r="N79" i="73"/>
  <c r="L123" i="73"/>
  <c r="L127" i="73"/>
  <c r="L128" i="73" s="1"/>
  <c r="L129" i="73" s="1"/>
  <c r="L132" i="73" s="1"/>
  <c r="Q65" i="25"/>
  <c r="Q42" i="25"/>
  <c r="Q67" i="25"/>
  <c r="Q68" i="25"/>
  <c r="O74" i="77"/>
  <c r="O76" i="77" s="1"/>
  <c r="N78" i="75"/>
  <c r="N108" i="75"/>
  <c r="N77" i="75"/>
  <c r="N79" i="75"/>
  <c r="O69" i="78"/>
  <c r="O46" i="78"/>
  <c r="O113" i="78"/>
  <c r="K127" i="76"/>
  <c r="K128" i="76" s="1"/>
  <c r="K129" i="76" s="1"/>
  <c r="K132" i="76" s="1"/>
  <c r="K134" i="76" s="1"/>
  <c r="O66" i="74"/>
  <c r="O43" i="74"/>
  <c r="O42" i="74"/>
  <c r="Q50" i="73"/>
  <c r="Q34" i="73"/>
  <c r="Q48" i="73" s="1"/>
  <c r="P53" i="73"/>
  <c r="P52" i="73"/>
  <c r="N110" i="80"/>
  <c r="N111" i="80" s="1"/>
  <c r="N112" i="80" s="1"/>
  <c r="N115" i="80" s="1"/>
  <c r="N117" i="80" s="1"/>
  <c r="O63" i="83"/>
  <c r="N72" i="83"/>
  <c r="Q9" i="76"/>
  <c r="Q13" i="76" s="1"/>
  <c r="Q25" i="76" s="1"/>
  <c r="P13" i="76"/>
  <c r="L127" i="77"/>
  <c r="L128" i="77" s="1"/>
  <c r="L129" i="77" s="1"/>
  <c r="L132" i="77" s="1"/>
  <c r="L123" i="77"/>
  <c r="I37" i="35"/>
  <c r="G105" i="83"/>
  <c r="P46" i="80"/>
  <c r="P69" i="80"/>
  <c r="P74" i="80" s="1"/>
  <c r="P76" i="80" s="1"/>
  <c r="P113" i="80"/>
  <c r="O46" i="73"/>
  <c r="O69" i="73"/>
  <c r="O113" i="73"/>
  <c r="L134" i="82"/>
  <c r="E136" i="82" s="1"/>
  <c r="M53" i="83"/>
  <c r="M52" i="83"/>
  <c r="Q23" i="74"/>
  <c r="Q41" i="74" s="1"/>
  <c r="P41" i="74"/>
  <c r="O25" i="74"/>
  <c r="O24" i="74"/>
  <c r="I127" i="25"/>
  <c r="I128" i="25" s="1"/>
  <c r="I129" i="25" s="1"/>
  <c r="I132" i="25" s="1"/>
  <c r="I134" i="25" s="1"/>
  <c r="P66" i="79"/>
  <c r="P43" i="79"/>
  <c r="P42" i="79"/>
  <c r="L127" i="76"/>
  <c r="L128" i="76" s="1"/>
  <c r="L129" i="76" s="1"/>
  <c r="L132" i="76" s="1"/>
  <c r="L123" i="76"/>
  <c r="P67" i="78"/>
  <c r="P68" i="78"/>
  <c r="P65" i="78"/>
  <c r="L127" i="74"/>
  <c r="L128" i="74" s="1"/>
  <c r="L129" i="74" s="1"/>
  <c r="L132" i="74" s="1"/>
  <c r="L123" i="74"/>
  <c r="O33" i="83"/>
  <c r="N34" i="83"/>
  <c r="N48" i="83" s="1"/>
  <c r="Q45" i="84"/>
  <c r="Q53" i="82"/>
  <c r="Q52" i="82"/>
  <c r="P52" i="77"/>
  <c r="P53" i="77"/>
  <c r="L123" i="75"/>
  <c r="L127" i="75"/>
  <c r="L128" i="75" s="1"/>
  <c r="L129" i="75" s="1"/>
  <c r="L132" i="75" s="1"/>
  <c r="Q52" i="25"/>
  <c r="Q53" i="25"/>
  <c r="I110" i="25"/>
  <c r="I111" i="25" s="1"/>
  <c r="I112" i="25" s="1"/>
  <c r="I115" i="25" s="1"/>
  <c r="I117" i="25" s="1"/>
  <c r="Q67" i="84"/>
  <c r="Q65" i="84"/>
  <c r="Q68" i="84"/>
  <c r="Q42" i="84"/>
  <c r="P45" i="73"/>
  <c r="P113" i="73" s="1"/>
  <c r="Q67" i="75"/>
  <c r="Q68" i="75"/>
  <c r="Q65" i="75"/>
  <c r="O109" i="25"/>
  <c r="M109" i="25"/>
  <c r="M110" i="25" s="1"/>
  <c r="M111" i="25" s="1"/>
  <c r="M112" i="25" s="1"/>
  <c r="M115" i="25" s="1"/>
  <c r="M117" i="25" s="1"/>
  <c r="P109" i="25"/>
  <c r="Q109" i="25"/>
  <c r="H126" i="25"/>
  <c r="H127" i="25" s="1"/>
  <c r="H128" i="25" s="1"/>
  <c r="H129" i="25" s="1"/>
  <c r="H132" i="25" s="1"/>
  <c r="H134" i="25" s="1"/>
  <c r="N109" i="25"/>
  <c r="N110" i="25" s="1"/>
  <c r="N111" i="25" s="1"/>
  <c r="N112" i="25" s="1"/>
  <c r="N115" i="25" s="1"/>
  <c r="N117" i="25" s="1"/>
  <c r="Q66" i="79"/>
  <c r="Q43" i="79"/>
  <c r="Q53" i="75"/>
  <c r="Q52" i="75"/>
  <c r="P45" i="77"/>
  <c r="P45" i="78"/>
  <c r="P66" i="82"/>
  <c r="P43" i="82"/>
  <c r="P65" i="73"/>
  <c r="P67" i="73"/>
  <c r="P68" i="73"/>
  <c r="O25" i="84"/>
  <c r="O24" i="84"/>
  <c r="Q9" i="74"/>
  <c r="P13" i="74"/>
  <c r="Q53" i="80"/>
  <c r="Q52" i="80"/>
  <c r="Q53" i="84"/>
  <c r="Q52" i="84"/>
  <c r="P68" i="76"/>
  <c r="P67" i="76"/>
  <c r="P42" i="76"/>
  <c r="P65" i="76"/>
  <c r="Q73" i="78"/>
  <c r="Q30" i="78"/>
  <c r="Q40" i="78"/>
  <c r="P53" i="76"/>
  <c r="P52" i="76"/>
  <c r="N24" i="82"/>
  <c r="N25" i="82"/>
  <c r="Q43" i="84"/>
  <c r="P73" i="83"/>
  <c r="P69" i="82"/>
  <c r="P46" i="82"/>
  <c r="P113" i="82"/>
  <c r="P13" i="78"/>
  <c r="Q9" i="78"/>
  <c r="O25" i="76"/>
  <c r="O24" i="76"/>
  <c r="Q73" i="77"/>
  <c r="Q30" i="77"/>
  <c r="Q40" i="77"/>
  <c r="Q43" i="77"/>
  <c r="Q34" i="78"/>
  <c r="Q48" i="78" s="1"/>
  <c r="Q50" i="78"/>
  <c r="P25" i="80"/>
  <c r="P24" i="80"/>
  <c r="P66" i="84"/>
  <c r="P43" i="84"/>
  <c r="N25" i="83"/>
  <c r="P9" i="82"/>
  <c r="O13" i="82"/>
  <c r="O13" i="83"/>
  <c r="O24" i="83" s="1"/>
  <c r="O12" i="83"/>
  <c r="O24" i="78"/>
  <c r="O25" i="78"/>
  <c r="M110" i="73"/>
  <c r="M111" i="73" s="1"/>
  <c r="M112" i="73" s="1"/>
  <c r="M115" i="73" s="1"/>
  <c r="M117" i="73" s="1"/>
  <c r="P66" i="25"/>
  <c r="P74" i="25" s="1"/>
  <c r="P76" i="25" s="1"/>
  <c r="P43" i="25"/>
  <c r="Q45" i="80"/>
  <c r="Q113" i="80" s="1"/>
  <c r="Q73" i="76"/>
  <c r="Q30" i="76"/>
  <c r="Q40" i="76"/>
  <c r="Q43" i="76"/>
  <c r="N110" i="79"/>
  <c r="N111" i="79" s="1"/>
  <c r="N112" i="79" s="1"/>
  <c r="N115" i="79" s="1"/>
  <c r="N117" i="79" s="1"/>
  <c r="N24" i="83"/>
  <c r="Q9" i="25"/>
  <c r="Q13" i="25" s="1"/>
  <c r="P13" i="25"/>
  <c r="K78" i="25"/>
  <c r="K108" i="25"/>
  <c r="K79" i="25"/>
  <c r="K77" i="25"/>
  <c r="P68" i="77"/>
  <c r="P67" i="77"/>
  <c r="P42" i="77"/>
  <c r="P65" i="77"/>
  <c r="Q50" i="77"/>
  <c r="Q34" i="77"/>
  <c r="Q48" i="77" s="1"/>
  <c r="O74" i="76"/>
  <c r="O76" i="76" s="1"/>
  <c r="L108" i="25"/>
  <c r="L78" i="25"/>
  <c r="L77" i="25"/>
  <c r="L79" i="25"/>
  <c r="P43" i="76"/>
  <c r="Q34" i="76"/>
  <c r="Q48" i="76" s="1"/>
  <c r="Q50" i="76"/>
  <c r="O43" i="83"/>
  <c r="O40" i="83"/>
  <c r="O30" i="83"/>
  <c r="Q45" i="82"/>
  <c r="Q113" i="82" s="1"/>
  <c r="N68" i="83"/>
  <c r="N42" i="83"/>
  <c r="N65" i="83"/>
  <c r="N67" i="83"/>
  <c r="O24" i="25"/>
  <c r="O25" i="25"/>
  <c r="O78" i="82" l="1"/>
  <c r="O77" i="82"/>
  <c r="O108" i="82"/>
  <c r="O110" i="82" s="1"/>
  <c r="O111" i="82" s="1"/>
  <c r="O112" i="82" s="1"/>
  <c r="O115" i="82" s="1"/>
  <c r="O117" i="82" s="1"/>
  <c r="N79" i="78"/>
  <c r="N108" i="78"/>
  <c r="N110" i="78" s="1"/>
  <c r="N111" i="78" s="1"/>
  <c r="N112" i="78" s="1"/>
  <c r="N115" i="78" s="1"/>
  <c r="N117" i="78" s="1"/>
  <c r="O74" i="78"/>
  <c r="O76" i="78" s="1"/>
  <c r="O77" i="78" s="1"/>
  <c r="N78" i="78"/>
  <c r="Q43" i="78"/>
  <c r="Q13" i="78"/>
  <c r="Q25" i="78" s="1"/>
  <c r="O78" i="79"/>
  <c r="Q46" i="25"/>
  <c r="Q69" i="25"/>
  <c r="Q74" i="25" s="1"/>
  <c r="Q76" i="25" s="1"/>
  <c r="P46" i="76"/>
  <c r="Q45" i="76"/>
  <c r="Q113" i="76" s="1"/>
  <c r="O79" i="79"/>
  <c r="L79" i="83"/>
  <c r="L77" i="83"/>
  <c r="L108" i="83"/>
  <c r="L125" i="83" s="1"/>
  <c r="O108" i="79"/>
  <c r="O110" i="79" s="1"/>
  <c r="O111" i="79" s="1"/>
  <c r="O112" i="79" s="1"/>
  <c r="O115" i="79" s="1"/>
  <c r="O117" i="79" s="1"/>
  <c r="O74" i="74"/>
  <c r="O76" i="74" s="1"/>
  <c r="O79" i="74" s="1"/>
  <c r="Q46" i="75"/>
  <c r="Q45" i="73"/>
  <c r="Q69" i="73" s="1"/>
  <c r="P46" i="79"/>
  <c r="P69" i="76"/>
  <c r="P74" i="76" s="1"/>
  <c r="P76" i="76" s="1"/>
  <c r="N108" i="74"/>
  <c r="N110" i="74" s="1"/>
  <c r="N111" i="74" s="1"/>
  <c r="N112" i="74" s="1"/>
  <c r="N115" i="74" s="1"/>
  <c r="N117" i="74" s="1"/>
  <c r="P74" i="82"/>
  <c r="P76" i="82" s="1"/>
  <c r="P79" i="82" s="1"/>
  <c r="N79" i="74"/>
  <c r="O77" i="25"/>
  <c r="Q45" i="79"/>
  <c r="Q113" i="79" s="1"/>
  <c r="P66" i="78"/>
  <c r="P43" i="78"/>
  <c r="Q69" i="75"/>
  <c r="P69" i="79"/>
  <c r="P74" i="79" s="1"/>
  <c r="P76" i="79" s="1"/>
  <c r="P79" i="79" s="1"/>
  <c r="Q45" i="78"/>
  <c r="Q46" i="78" s="1"/>
  <c r="Q12" i="83"/>
  <c r="N77" i="74"/>
  <c r="Q52" i="74"/>
  <c r="Q53" i="74"/>
  <c r="O79" i="84"/>
  <c r="O77" i="84"/>
  <c r="Q13" i="74"/>
  <c r="Q24" i="74" s="1"/>
  <c r="Q28" i="83"/>
  <c r="Q30" i="83" s="1"/>
  <c r="O78" i="84"/>
  <c r="Q45" i="74"/>
  <c r="Q113" i="74" s="1"/>
  <c r="P74" i="84"/>
  <c r="P76" i="84" s="1"/>
  <c r="P78" i="84" s="1"/>
  <c r="Q10" i="83"/>
  <c r="Q11" i="83" s="1"/>
  <c r="Q65" i="74"/>
  <c r="Q68" i="74"/>
  <c r="Q67" i="74"/>
  <c r="O108" i="25"/>
  <c r="O110" i="25" s="1"/>
  <c r="O111" i="25" s="1"/>
  <c r="O112" i="25" s="1"/>
  <c r="O115" i="25" s="1"/>
  <c r="O117" i="25" s="1"/>
  <c r="O74" i="73"/>
  <c r="O76" i="73" s="1"/>
  <c r="O108" i="73" s="1"/>
  <c r="O79" i="25"/>
  <c r="Q65" i="79"/>
  <c r="Q67" i="79"/>
  <c r="Q68" i="79"/>
  <c r="N45" i="83"/>
  <c r="N46" i="83" s="1"/>
  <c r="Q25" i="77"/>
  <c r="P69" i="74"/>
  <c r="P46" i="74"/>
  <c r="Q53" i="79"/>
  <c r="Q52" i="79"/>
  <c r="L134" i="78"/>
  <c r="E136" i="78" s="1"/>
  <c r="Q13" i="73"/>
  <c r="Q25" i="73" s="1"/>
  <c r="Q24" i="76"/>
  <c r="P108" i="25"/>
  <c r="P78" i="25"/>
  <c r="P77" i="25"/>
  <c r="P79" i="25"/>
  <c r="P108" i="80"/>
  <c r="P77" i="80"/>
  <c r="P78" i="80"/>
  <c r="P79" i="80"/>
  <c r="P63" i="83"/>
  <c r="O72" i="83"/>
  <c r="Q25" i="79"/>
  <c r="Q24" i="79"/>
  <c r="O110" i="80"/>
  <c r="O111" i="80" s="1"/>
  <c r="O112" i="80" s="1"/>
  <c r="O115" i="80" s="1"/>
  <c r="O117" i="80" s="1"/>
  <c r="N110" i="77"/>
  <c r="N111" i="77" s="1"/>
  <c r="N112" i="77" s="1"/>
  <c r="N115" i="77" s="1"/>
  <c r="N117" i="77" s="1"/>
  <c r="Q65" i="78"/>
  <c r="Q42" i="78"/>
  <c r="Q67" i="78"/>
  <c r="Q68" i="78"/>
  <c r="O108" i="77"/>
  <c r="O78" i="77"/>
  <c r="O77" i="77"/>
  <c r="O79" i="77"/>
  <c r="P24" i="73"/>
  <c r="P25" i="73"/>
  <c r="P25" i="79"/>
  <c r="P24" i="79"/>
  <c r="P24" i="77"/>
  <c r="P25" i="77"/>
  <c r="N110" i="76"/>
  <c r="N111" i="76" s="1"/>
  <c r="N112" i="76" s="1"/>
  <c r="N115" i="76" s="1"/>
  <c r="N117" i="76" s="1"/>
  <c r="P66" i="75"/>
  <c r="P74" i="75" s="1"/>
  <c r="P76" i="75" s="1"/>
  <c r="P43" i="75"/>
  <c r="P42" i="75"/>
  <c r="Q73" i="83"/>
  <c r="P25" i="78"/>
  <c r="P24" i="78"/>
  <c r="Q65" i="73"/>
  <c r="Q67" i="73"/>
  <c r="Q68" i="73"/>
  <c r="K110" i="25"/>
  <c r="K111" i="25" s="1"/>
  <c r="K112" i="25" s="1"/>
  <c r="K115" i="25" s="1"/>
  <c r="K117" i="25" s="1"/>
  <c r="K125" i="25"/>
  <c r="Q53" i="78"/>
  <c r="Q52" i="78"/>
  <c r="Q66" i="75"/>
  <c r="Q43" i="75"/>
  <c r="L125" i="25"/>
  <c r="L110" i="25"/>
  <c r="L111" i="25" s="1"/>
  <c r="L112" i="25" s="1"/>
  <c r="L115" i="25" s="1"/>
  <c r="L117" i="25" s="1"/>
  <c r="Q42" i="75"/>
  <c r="P66" i="74"/>
  <c r="P43" i="74"/>
  <c r="P42" i="74"/>
  <c r="J127" i="25"/>
  <c r="J128" i="25" s="1"/>
  <c r="J129" i="25" s="1"/>
  <c r="J132" i="25" s="1"/>
  <c r="J134" i="25" s="1"/>
  <c r="L134" i="74"/>
  <c r="E136" i="74" s="1"/>
  <c r="Q69" i="80"/>
  <c r="Q74" i="80" s="1"/>
  <c r="Q76" i="80" s="1"/>
  <c r="Q46" i="80"/>
  <c r="Q46" i="82"/>
  <c r="Q69" i="82"/>
  <c r="Q74" i="82" s="1"/>
  <c r="Q76" i="82" s="1"/>
  <c r="O79" i="76"/>
  <c r="O108" i="76"/>
  <c r="O77" i="76"/>
  <c r="O78" i="76"/>
  <c r="L134" i="75"/>
  <c r="E136" i="75" s="1"/>
  <c r="Q66" i="74"/>
  <c r="Q43" i="74"/>
  <c r="Q42" i="74"/>
  <c r="Q53" i="77"/>
  <c r="Q52" i="77"/>
  <c r="Q65" i="77"/>
  <c r="Q68" i="77"/>
  <c r="Q42" i="77"/>
  <c r="Q67" i="77"/>
  <c r="P69" i="78"/>
  <c r="P46" i="78"/>
  <c r="P25" i="84"/>
  <c r="P24" i="84"/>
  <c r="O110" i="84"/>
  <c r="O111" i="84" s="1"/>
  <c r="O112" i="84" s="1"/>
  <c r="O115" i="84" s="1"/>
  <c r="O117" i="84" s="1"/>
  <c r="O25" i="83"/>
  <c r="O68" i="83"/>
  <c r="O42" i="83"/>
  <c r="O65" i="83"/>
  <c r="O67" i="83"/>
  <c r="Q13" i="75"/>
  <c r="Q24" i="84"/>
  <c r="Q25" i="84"/>
  <c r="P24" i="25"/>
  <c r="P25" i="25"/>
  <c r="P46" i="77"/>
  <c r="P69" i="77"/>
  <c r="P74" i="77" s="1"/>
  <c r="P76" i="77" s="1"/>
  <c r="P113" i="77"/>
  <c r="G122" i="83"/>
  <c r="G134" i="83" s="1"/>
  <c r="J109" i="83"/>
  <c r="G117" i="83"/>
  <c r="I109" i="83"/>
  <c r="H109" i="83"/>
  <c r="L109" i="83"/>
  <c r="L126" i="83" s="1"/>
  <c r="K109" i="83"/>
  <c r="Q25" i="25"/>
  <c r="Q24" i="25"/>
  <c r="Q45" i="77"/>
  <c r="P113" i="78"/>
  <c r="P66" i="73"/>
  <c r="P43" i="73"/>
  <c r="P24" i="75"/>
  <c r="P25" i="75"/>
  <c r="P30" i="83"/>
  <c r="P43" i="83"/>
  <c r="P40" i="83"/>
  <c r="P46" i="73"/>
  <c r="P69" i="73"/>
  <c r="L134" i="77"/>
  <c r="E136" i="77" s="1"/>
  <c r="Q52" i="73"/>
  <c r="Q53" i="73"/>
  <c r="L134" i="73"/>
  <c r="E136" i="73" s="1"/>
  <c r="P13" i="83"/>
  <c r="P24" i="83" s="1"/>
  <c r="P12" i="83"/>
  <c r="L134" i="76"/>
  <c r="E136" i="76" s="1"/>
  <c r="Q23" i="83"/>
  <c r="Q41" i="83" s="1"/>
  <c r="Q66" i="83" s="1"/>
  <c r="Q41" i="73"/>
  <c r="Q9" i="82"/>
  <c r="Q13" i="82" s="1"/>
  <c r="P13" i="82"/>
  <c r="P24" i="74"/>
  <c r="P25" i="74"/>
  <c r="Q69" i="84"/>
  <c r="Q74" i="84" s="1"/>
  <c r="Q76" i="84" s="1"/>
  <c r="Q46" i="84"/>
  <c r="Q113" i="84"/>
  <c r="P24" i="76"/>
  <c r="P25" i="76"/>
  <c r="Q52" i="76"/>
  <c r="Q53" i="76"/>
  <c r="N53" i="83"/>
  <c r="N52" i="83"/>
  <c r="N110" i="73"/>
  <c r="N111" i="73" s="1"/>
  <c r="N112" i="73" s="1"/>
  <c r="N115" i="73" s="1"/>
  <c r="N117" i="73" s="1"/>
  <c r="O78" i="75"/>
  <c r="O77" i="75"/>
  <c r="O108" i="75"/>
  <c r="O79" i="75"/>
  <c r="O25" i="82"/>
  <c r="O24" i="82"/>
  <c r="Q67" i="76"/>
  <c r="Q42" i="76"/>
  <c r="Q65" i="76"/>
  <c r="Q68" i="76"/>
  <c r="P33" i="83"/>
  <c r="O34" i="83"/>
  <c r="O48" i="83" s="1"/>
  <c r="N110" i="75"/>
  <c r="N111" i="75" s="1"/>
  <c r="N112" i="75" s="1"/>
  <c r="N115" i="75" s="1"/>
  <c r="N117" i="75" s="1"/>
  <c r="M69" i="83"/>
  <c r="M74" i="83" s="1"/>
  <c r="M76" i="83" s="1"/>
  <c r="M46" i="83"/>
  <c r="M113" i="83"/>
  <c r="O78" i="78" l="1"/>
  <c r="O79" i="78"/>
  <c r="Q24" i="78"/>
  <c r="O108" i="78"/>
  <c r="O110" i="78" s="1"/>
  <c r="O111" i="78" s="1"/>
  <c r="O112" i="78" s="1"/>
  <c r="O115" i="78" s="1"/>
  <c r="O117" i="78" s="1"/>
  <c r="P108" i="82"/>
  <c r="O108" i="74"/>
  <c r="O110" i="74" s="1"/>
  <c r="O111" i="74" s="1"/>
  <c r="O112" i="74" s="1"/>
  <c r="O115" i="74" s="1"/>
  <c r="O117" i="74" s="1"/>
  <c r="O77" i="74"/>
  <c r="P74" i="78"/>
  <c r="P76" i="78" s="1"/>
  <c r="P108" i="78" s="1"/>
  <c r="O78" i="74"/>
  <c r="Q46" i="76"/>
  <c r="Q69" i="76"/>
  <c r="Q74" i="76" s="1"/>
  <c r="Q76" i="76" s="1"/>
  <c r="N113" i="83"/>
  <c r="Q113" i="73"/>
  <c r="P78" i="82"/>
  <c r="Q46" i="73"/>
  <c r="P77" i="82"/>
  <c r="Q113" i="78"/>
  <c r="N69" i="83"/>
  <c r="N74" i="83" s="1"/>
  <c r="N76" i="83" s="1"/>
  <c r="N77" i="83" s="1"/>
  <c r="Q40" i="83"/>
  <c r="Q68" i="83" s="1"/>
  <c r="O78" i="73"/>
  <c r="O79" i="73"/>
  <c r="Q69" i="78"/>
  <c r="Q74" i="78" s="1"/>
  <c r="Q76" i="78" s="1"/>
  <c r="Q46" i="79"/>
  <c r="Q69" i="79"/>
  <c r="Q74" i="79" s="1"/>
  <c r="Q76" i="79" s="1"/>
  <c r="O77" i="73"/>
  <c r="Q74" i="75"/>
  <c r="Q76" i="75" s="1"/>
  <c r="Q79" i="75" s="1"/>
  <c r="Q25" i="74"/>
  <c r="Q13" i="83"/>
  <c r="Q25" i="83" s="1"/>
  <c r="Q24" i="73"/>
  <c r="Q46" i="74"/>
  <c r="Q69" i="74"/>
  <c r="Q74" i="74" s="1"/>
  <c r="Q76" i="74" s="1"/>
  <c r="Q77" i="74" s="1"/>
  <c r="P108" i="79"/>
  <c r="P110" i="79" s="1"/>
  <c r="P111" i="79" s="1"/>
  <c r="P112" i="79" s="1"/>
  <c r="P115" i="79" s="1"/>
  <c r="P117" i="79" s="1"/>
  <c r="P79" i="84"/>
  <c r="P77" i="79"/>
  <c r="P108" i="84"/>
  <c r="P110" i="84" s="1"/>
  <c r="P111" i="84" s="1"/>
  <c r="P112" i="84" s="1"/>
  <c r="P115" i="84" s="1"/>
  <c r="P117" i="84" s="1"/>
  <c r="P77" i="84"/>
  <c r="P78" i="79"/>
  <c r="P74" i="74"/>
  <c r="P76" i="74" s="1"/>
  <c r="P79" i="74" s="1"/>
  <c r="P74" i="73"/>
  <c r="P76" i="73" s="1"/>
  <c r="P78" i="73" s="1"/>
  <c r="Q79" i="82"/>
  <c r="Q77" i="82"/>
  <c r="Q108" i="82"/>
  <c r="Q78" i="82"/>
  <c r="P108" i="77"/>
  <c r="P77" i="77"/>
  <c r="P78" i="77"/>
  <c r="P79" i="77"/>
  <c r="Q78" i="84"/>
  <c r="Q77" i="84"/>
  <c r="Q79" i="84"/>
  <c r="Q108" i="84"/>
  <c r="Q79" i="80"/>
  <c r="Q108" i="80"/>
  <c r="Q77" i="80"/>
  <c r="Q78" i="80"/>
  <c r="P110" i="80"/>
  <c r="P111" i="80" s="1"/>
  <c r="P112" i="80" s="1"/>
  <c r="P115" i="80" s="1"/>
  <c r="P117" i="80" s="1"/>
  <c r="Q108" i="25"/>
  <c r="Q78" i="25"/>
  <c r="Q79" i="25"/>
  <c r="Q77" i="25"/>
  <c r="O110" i="75"/>
  <c r="O111" i="75" s="1"/>
  <c r="O112" i="75" s="1"/>
  <c r="O115" i="75" s="1"/>
  <c r="O117" i="75" s="1"/>
  <c r="O53" i="83"/>
  <c r="O52" i="83"/>
  <c r="Q33" i="83"/>
  <c r="Q34" i="83" s="1"/>
  <c r="Q48" i="83" s="1"/>
  <c r="P34" i="83"/>
  <c r="P48" i="83" s="1"/>
  <c r="P78" i="75"/>
  <c r="P108" i="75"/>
  <c r="P79" i="75"/>
  <c r="P77" i="75"/>
  <c r="M108" i="83"/>
  <c r="M79" i="83"/>
  <c r="M78" i="83"/>
  <c r="M77" i="83"/>
  <c r="P110" i="82"/>
  <c r="P111" i="82" s="1"/>
  <c r="P112" i="82" s="1"/>
  <c r="P115" i="82" s="1"/>
  <c r="P117" i="82" s="1"/>
  <c r="O110" i="77"/>
  <c r="O111" i="77" s="1"/>
  <c r="O112" i="77" s="1"/>
  <c r="O115" i="77" s="1"/>
  <c r="O117" i="77" s="1"/>
  <c r="Q66" i="73"/>
  <c r="Q74" i="73" s="1"/>
  <c r="Q76" i="73" s="1"/>
  <c r="Q43" i="73"/>
  <c r="P25" i="83"/>
  <c r="I126" i="83"/>
  <c r="I127" i="83" s="1"/>
  <c r="I128" i="83" s="1"/>
  <c r="I129" i="83" s="1"/>
  <c r="I132" i="83" s="1"/>
  <c r="I134" i="83" s="1"/>
  <c r="I110" i="83"/>
  <c r="I111" i="83" s="1"/>
  <c r="I112" i="83" s="1"/>
  <c r="I115" i="83" s="1"/>
  <c r="I117" i="83" s="1"/>
  <c r="K127" i="25"/>
  <c r="K128" i="25" s="1"/>
  <c r="K129" i="25" s="1"/>
  <c r="K132" i="25" s="1"/>
  <c r="K134" i="25" s="1"/>
  <c r="Q63" i="83"/>
  <c r="Q72" i="83" s="1"/>
  <c r="P72" i="83"/>
  <c r="K126" i="83"/>
  <c r="K127" i="83" s="1"/>
  <c r="K128" i="83" s="1"/>
  <c r="K129" i="83" s="1"/>
  <c r="K132" i="83" s="1"/>
  <c r="K134" i="83" s="1"/>
  <c r="K110" i="83"/>
  <c r="K111" i="83" s="1"/>
  <c r="K112" i="83" s="1"/>
  <c r="K115" i="83" s="1"/>
  <c r="K117" i="83" s="1"/>
  <c r="Q25" i="75"/>
  <c r="Q24" i="75"/>
  <c r="P24" i="82"/>
  <c r="P25" i="82"/>
  <c r="J126" i="83"/>
  <c r="J127" i="83" s="1"/>
  <c r="J128" i="83" s="1"/>
  <c r="J129" i="83" s="1"/>
  <c r="J132" i="83" s="1"/>
  <c r="J134" i="83" s="1"/>
  <c r="J110" i="83"/>
  <c r="J111" i="83" s="1"/>
  <c r="J112" i="83" s="1"/>
  <c r="J115" i="83" s="1"/>
  <c r="J117" i="83" s="1"/>
  <c r="O45" i="83"/>
  <c r="L127" i="25"/>
  <c r="L128" i="25" s="1"/>
  <c r="L129" i="25" s="1"/>
  <c r="L132" i="25" s="1"/>
  <c r="L123" i="25"/>
  <c r="O110" i="73"/>
  <c r="O111" i="73" s="1"/>
  <c r="O112" i="73" s="1"/>
  <c r="O115" i="73" s="1"/>
  <c r="O117" i="73" s="1"/>
  <c r="Q25" i="82"/>
  <c r="Q24" i="82"/>
  <c r="O110" i="76"/>
  <c r="O111" i="76" s="1"/>
  <c r="O112" i="76" s="1"/>
  <c r="O115" i="76" s="1"/>
  <c r="O117" i="76" s="1"/>
  <c r="Q42" i="73"/>
  <c r="Q109" i="83"/>
  <c r="N109" i="83"/>
  <c r="H126" i="83"/>
  <c r="H127" i="83" s="1"/>
  <c r="H128" i="83" s="1"/>
  <c r="H129" i="83" s="1"/>
  <c r="H132" i="83" s="1"/>
  <c r="H134" i="83" s="1"/>
  <c r="M109" i="83"/>
  <c r="P109" i="83"/>
  <c r="O109" i="83"/>
  <c r="H110" i="83"/>
  <c r="H111" i="83" s="1"/>
  <c r="H112" i="83" s="1"/>
  <c r="H115" i="83" s="1"/>
  <c r="H117" i="83" s="1"/>
  <c r="Q43" i="83"/>
  <c r="P79" i="76"/>
  <c r="P108" i="76"/>
  <c r="P77" i="76"/>
  <c r="P78" i="76"/>
  <c r="P42" i="83"/>
  <c r="P68" i="83"/>
  <c r="P67" i="83"/>
  <c r="P65" i="83"/>
  <c r="L123" i="83"/>
  <c r="L127" i="83"/>
  <c r="L128" i="83" s="1"/>
  <c r="L129" i="83" s="1"/>
  <c r="L132" i="83" s="1"/>
  <c r="Q46" i="77"/>
  <c r="Q69" i="77"/>
  <c r="Q74" i="77" s="1"/>
  <c r="Q76" i="77" s="1"/>
  <c r="L110" i="83"/>
  <c r="L111" i="83" s="1"/>
  <c r="L112" i="83" s="1"/>
  <c r="L115" i="83" s="1"/>
  <c r="L117" i="83" s="1"/>
  <c r="Q113" i="77"/>
  <c r="P110" i="25"/>
  <c r="P111" i="25" s="1"/>
  <c r="P112" i="25" s="1"/>
  <c r="P115" i="25" s="1"/>
  <c r="P117" i="25" s="1"/>
  <c r="N108" i="83" l="1"/>
  <c r="N110" i="83" s="1"/>
  <c r="N111" i="83" s="1"/>
  <c r="N112" i="83" s="1"/>
  <c r="N115" i="83" s="1"/>
  <c r="N117" i="83" s="1"/>
  <c r="P77" i="78"/>
  <c r="P79" i="78"/>
  <c r="P78" i="78"/>
  <c r="N78" i="83"/>
  <c r="N79" i="83"/>
  <c r="Q65" i="83"/>
  <c r="Q42" i="83"/>
  <c r="Q67" i="83"/>
  <c r="Q24" i="83"/>
  <c r="Q78" i="75"/>
  <c r="Q78" i="79"/>
  <c r="Q77" i="79"/>
  <c r="Q108" i="79"/>
  <c r="Q110" i="79" s="1"/>
  <c r="Q111" i="79" s="1"/>
  <c r="Q112" i="79" s="1"/>
  <c r="Q115" i="79" s="1"/>
  <c r="Q117" i="79" s="1"/>
  <c r="F119" i="79" s="1"/>
  <c r="Q79" i="79"/>
  <c r="Q77" i="75"/>
  <c r="Q108" i="75"/>
  <c r="Q110" i="75" s="1"/>
  <c r="Q111" i="75" s="1"/>
  <c r="Q112" i="75" s="1"/>
  <c r="Q115" i="75" s="1"/>
  <c r="Q117" i="75" s="1"/>
  <c r="P108" i="73"/>
  <c r="P110" i="73" s="1"/>
  <c r="P111" i="73" s="1"/>
  <c r="P112" i="73" s="1"/>
  <c r="P115" i="73" s="1"/>
  <c r="P117" i="73" s="1"/>
  <c r="P79" i="73"/>
  <c r="P77" i="73"/>
  <c r="P77" i="74"/>
  <c r="Q108" i="74"/>
  <c r="Q110" i="74" s="1"/>
  <c r="Q111" i="74" s="1"/>
  <c r="Q79" i="74"/>
  <c r="P78" i="74"/>
  <c r="P108" i="74"/>
  <c r="P110" i="74" s="1"/>
  <c r="P111" i="74" s="1"/>
  <c r="P112" i="74" s="1"/>
  <c r="P115" i="74" s="1"/>
  <c r="P117" i="74" s="1"/>
  <c r="Q78" i="74"/>
  <c r="Q45" i="83"/>
  <c r="Q46" i="83" s="1"/>
  <c r="P45" i="83"/>
  <c r="P113" i="83" s="1"/>
  <c r="Q77" i="77"/>
  <c r="Q108" i="77"/>
  <c r="Q79" i="77"/>
  <c r="Q78" i="77"/>
  <c r="P110" i="78"/>
  <c r="P111" i="78" s="1"/>
  <c r="P112" i="78" s="1"/>
  <c r="P115" i="78" s="1"/>
  <c r="P117" i="78" s="1"/>
  <c r="L134" i="25"/>
  <c r="E136" i="25" s="1"/>
  <c r="D82" i="1" s="1"/>
  <c r="M110" i="83"/>
  <c r="M111" i="83" s="1"/>
  <c r="M112" i="83" s="1"/>
  <c r="M115" i="83" s="1"/>
  <c r="M117" i="83" s="1"/>
  <c r="Q110" i="25"/>
  <c r="Q111" i="25" s="1"/>
  <c r="Q112" i="25" s="1"/>
  <c r="Q115" i="25" s="1"/>
  <c r="Q117" i="25" s="1"/>
  <c r="Q110" i="84"/>
  <c r="Q111" i="84" s="1"/>
  <c r="Q112" i="84" s="1"/>
  <c r="Q115" i="84" s="1"/>
  <c r="Q117" i="84" s="1"/>
  <c r="Q108" i="78"/>
  <c r="Q78" i="78"/>
  <c r="Q77" i="78"/>
  <c r="Q79" i="78"/>
  <c r="P53" i="83"/>
  <c r="P52" i="83"/>
  <c r="P110" i="77"/>
  <c r="P111" i="77" s="1"/>
  <c r="P112" i="77" s="1"/>
  <c r="P115" i="77" s="1"/>
  <c r="P117" i="77" s="1"/>
  <c r="Q77" i="73"/>
  <c r="Q78" i="73"/>
  <c r="Q79" i="73"/>
  <c r="Q108" i="73"/>
  <c r="P110" i="76"/>
  <c r="P111" i="76" s="1"/>
  <c r="P112" i="76" s="1"/>
  <c r="P115" i="76" s="1"/>
  <c r="P117" i="76" s="1"/>
  <c r="Q79" i="76"/>
  <c r="Q108" i="76"/>
  <c r="Q77" i="76"/>
  <c r="Q78" i="76"/>
  <c r="Q53" i="83"/>
  <c r="Q52" i="83"/>
  <c r="O46" i="83"/>
  <c r="O69" i="83"/>
  <c r="O74" i="83" s="1"/>
  <c r="O76" i="83" s="1"/>
  <c r="O113" i="83"/>
  <c r="Q110" i="82"/>
  <c r="Q111" i="82" s="1"/>
  <c r="Q112" i="82" s="1"/>
  <c r="Q115" i="82" s="1"/>
  <c r="Q117" i="82" s="1"/>
  <c r="L134" i="83"/>
  <c r="E136" i="83" s="1"/>
  <c r="Q110" i="80"/>
  <c r="Q111" i="80" s="1"/>
  <c r="Q112" i="80" s="1"/>
  <c r="Q115" i="80" s="1"/>
  <c r="Q117" i="80" s="1"/>
  <c r="P110" i="75"/>
  <c r="P111" i="75" s="1"/>
  <c r="P112" i="75" s="1"/>
  <c r="P115" i="75" s="1"/>
  <c r="P117" i="75" s="1"/>
  <c r="Q69" i="83" l="1"/>
  <c r="Q74" i="83" s="1"/>
  <c r="Q76" i="83" s="1"/>
  <c r="Q108" i="83" s="1"/>
  <c r="E119" i="79"/>
  <c r="Q112" i="74"/>
  <c r="Q115" i="74" s="1"/>
  <c r="Q117" i="74" s="1"/>
  <c r="F119" i="74" s="1"/>
  <c r="P69" i="83"/>
  <c r="P74" i="83" s="1"/>
  <c r="P76" i="83" s="1"/>
  <c r="P78" i="83" s="1"/>
  <c r="Q113" i="83"/>
  <c r="P46" i="83"/>
  <c r="F119" i="84"/>
  <c r="E119" i="84"/>
  <c r="F119" i="25"/>
  <c r="D83" i="1" s="1"/>
  <c r="E119" i="25"/>
  <c r="D81" i="1" s="1"/>
  <c r="F119" i="80"/>
  <c r="E119" i="80"/>
  <c r="F119" i="82"/>
  <c r="E119" i="82"/>
  <c r="P31" i="35"/>
  <c r="Q37" i="35"/>
  <c r="Q110" i="78"/>
  <c r="Q111" i="78" s="1"/>
  <c r="Q112" i="78" s="1"/>
  <c r="Q115" i="78" s="1"/>
  <c r="Q117" i="78" s="1"/>
  <c r="O77" i="83"/>
  <c r="O78" i="83"/>
  <c r="O108" i="83"/>
  <c r="O79" i="83"/>
  <c r="Q110" i="77"/>
  <c r="Q111" i="77" s="1"/>
  <c r="Q112" i="77" s="1"/>
  <c r="Q115" i="77" s="1"/>
  <c r="Q117" i="77" s="1"/>
  <c r="Q110" i="76"/>
  <c r="Q111" i="76" s="1"/>
  <c r="Q112" i="76" s="1"/>
  <c r="Q115" i="76" s="1"/>
  <c r="Q117" i="76" s="1"/>
  <c r="E119" i="75"/>
  <c r="F119" i="75"/>
  <c r="Q110" i="73"/>
  <c r="Q111" i="73" s="1"/>
  <c r="Q112" i="73" s="1"/>
  <c r="Q115" i="73" s="1"/>
  <c r="Q117" i="73" s="1"/>
  <c r="E119" i="74" l="1"/>
  <c r="P77" i="83"/>
  <c r="P108" i="83"/>
  <c r="M37" i="35"/>
  <c r="Q77" i="83"/>
  <c r="Q79" i="83"/>
  <c r="Q78" i="83"/>
  <c r="L37" i="35"/>
  <c r="P79" i="83"/>
  <c r="F119" i="76"/>
  <c r="E119" i="76"/>
  <c r="E119" i="78"/>
  <c r="F119" i="78"/>
  <c r="F119" i="77"/>
  <c r="E119" i="77"/>
  <c r="P110" i="83"/>
  <c r="P111" i="83" s="1"/>
  <c r="P112" i="83" s="1"/>
  <c r="P115" i="83" s="1"/>
  <c r="P117" i="83" s="1"/>
  <c r="O110" i="83"/>
  <c r="O111" i="83" s="1"/>
  <c r="O112" i="83" s="1"/>
  <c r="O115" i="83" s="1"/>
  <c r="O117" i="83" s="1"/>
  <c r="F119" i="73"/>
  <c r="E119" i="73"/>
  <c r="Q110" i="83"/>
  <c r="Q111" i="83" s="1"/>
  <c r="Q112" i="83" s="1"/>
  <c r="Q115" i="83" s="1"/>
  <c r="Q117" i="83" s="1"/>
  <c r="E119" i="83" l="1"/>
  <c r="P30" i="35" s="1"/>
  <c r="F119" i="83"/>
  <c r="P37" i="35" l="1"/>
  <c r="P32" i="35"/>
  <c r="R37" i="35"/>
</calcChain>
</file>

<file path=xl/sharedStrings.xml><?xml version="1.0" encoding="utf-8"?>
<sst xmlns="http://schemas.openxmlformats.org/spreadsheetml/2006/main" count="1937" uniqueCount="485">
  <si>
    <t>CONFIDENTIAL</t>
  </si>
  <si>
    <t>Summary</t>
  </si>
  <si>
    <t>Total</t>
  </si>
  <si>
    <t>Transaction Overview</t>
  </si>
  <si>
    <t>Purchased Chassis</t>
  </si>
  <si>
    <t>Purchase Price/Chassis</t>
  </si>
  <si>
    <t>Chassis Fleet Summary</t>
  </si>
  <si>
    <t>Chassis Acquired</t>
  </si>
  <si>
    <t>Retained</t>
  </si>
  <si>
    <t>Scrapped</t>
  </si>
  <si>
    <t>Usage Agreement</t>
  </si>
  <si>
    <t>Chassis Contributed per Day</t>
  </si>
  <si>
    <t>Chassis Used per Day</t>
  </si>
  <si>
    <t>MH</t>
  </si>
  <si>
    <t>CH</t>
  </si>
  <si>
    <t>Terminal</t>
  </si>
  <si>
    <t>Total Utilization (Chassis per Day)</t>
  </si>
  <si>
    <t>Total Utilization (%)</t>
  </si>
  <si>
    <t>EBITDA per Usage Day (2014E)</t>
  </si>
  <si>
    <t>EBITDA per Contributed Day (2014E)</t>
  </si>
  <si>
    <t>Usage Days</t>
  </si>
  <si>
    <t>Total Usage Days</t>
  </si>
  <si>
    <t>($000s)</t>
  </si>
  <si>
    <t>Utilization Summary</t>
  </si>
  <si>
    <t>Street - MH</t>
  </si>
  <si>
    <t>Grand Total</t>
  </si>
  <si>
    <t>% of Street - MH</t>
  </si>
  <si>
    <t>% of Total - Terminal</t>
  </si>
  <si>
    <t>Other</t>
  </si>
  <si>
    <t>Repo</t>
  </si>
  <si>
    <t>Storage</t>
  </si>
  <si>
    <t>M&amp;R</t>
  </si>
  <si>
    <t>Contr. Days</t>
  </si>
  <si>
    <t>Per Usage Day</t>
  </si>
  <si>
    <t>Per Contr. Day</t>
  </si>
  <si>
    <t>Street - Trucker</t>
  </si>
  <si>
    <t>Trucker Rate</t>
  </si>
  <si>
    <t>Trucker Street Revenue</t>
  </si>
  <si>
    <t>Annual Inflation Assumptions:</t>
  </si>
  <si>
    <t>Trucker Rate Inflation</t>
  </si>
  <si>
    <t>Terminal Rate Inflation</t>
  </si>
  <si>
    <t>Terminal Rate</t>
  </si>
  <si>
    <t>M&amp;R Cost Inflation</t>
  </si>
  <si>
    <t>Terminal Revenue</t>
  </si>
  <si>
    <t>Repo Cost Inflation</t>
  </si>
  <si>
    <t>Usage</t>
  </si>
  <si>
    <t>Street Utilization</t>
  </si>
  <si>
    <t>Revenue</t>
  </si>
  <si>
    <t>Terminal Billings</t>
  </si>
  <si>
    <t>Terminal Days</t>
  </si>
  <si>
    <t>Per Usage Day Costs</t>
  </si>
  <si>
    <t>M&amp;R Cost per Day</t>
  </si>
  <si>
    <t>Repo Cost per Day</t>
  </si>
  <si>
    <t>M&amp;R Cost</t>
  </si>
  <si>
    <t>Bad Debt Expense</t>
  </si>
  <si>
    <t>Total Cost</t>
  </si>
  <si>
    <t>EBITDA</t>
  </si>
  <si>
    <t>EBITDA per Usage Day</t>
  </si>
  <si>
    <t>EBITDA Margin (%)</t>
  </si>
  <si>
    <t>EBIT</t>
  </si>
  <si>
    <t>Average Book Value / Owned Chassis</t>
  </si>
  <si>
    <t>Premium / (Discount) to Book</t>
  </si>
  <si>
    <t xml:space="preserve">Sales Tax </t>
  </si>
  <si>
    <t>Total Chassis Price</t>
  </si>
  <si>
    <t>Transaction Expenses</t>
  </si>
  <si>
    <t>Total Effective Purchase Price</t>
  </si>
  <si>
    <t>Cash Flows - Depreciated Value Exit</t>
  </si>
  <si>
    <t>Investment</t>
  </si>
  <si>
    <t>Accelerated Depreciation</t>
  </si>
  <si>
    <t xml:space="preserve">Cash Taxes @ </t>
  </si>
  <si>
    <t>Cash Income</t>
  </si>
  <si>
    <t>WC Investment @</t>
  </si>
  <si>
    <t>Capex</t>
  </si>
  <si>
    <t>Cash Flow</t>
  </si>
  <si>
    <t>Total Cash Flows</t>
  </si>
  <si>
    <t>Unlevered IRR</t>
  </si>
  <si>
    <t>Cash Flows - TEV Exit</t>
  </si>
  <si>
    <t>Exit @</t>
  </si>
  <si>
    <t>Street Utilization (% of Total)</t>
  </si>
  <si>
    <t>Direct ChassisLink, Inc.</t>
  </si>
  <si>
    <t>Drivers</t>
  </si>
  <si>
    <t>Cash Multiple of 2014 EBITDA - Owned</t>
  </si>
  <si>
    <t>CH%</t>
  </si>
  <si>
    <t>MH%</t>
  </si>
  <si>
    <t>Purchase Price</t>
  </si>
  <si>
    <t>Useful Life</t>
  </si>
  <si>
    <t>Residual Value</t>
  </si>
  <si>
    <t>Rates (2014)</t>
  </si>
  <si>
    <t>Cost Summary (per Usage Day) - 2014</t>
  </si>
  <si>
    <t>Terminal %</t>
  </si>
  <si>
    <t>$ M&amp;R</t>
  </si>
  <si>
    <t>$ Repositioning</t>
  </si>
  <si>
    <t>$ Storage</t>
  </si>
  <si>
    <t>$ Overhead</t>
  </si>
  <si>
    <t>Contributed Days</t>
  </si>
  <si>
    <t>Terminal % Assumption Placeholder</t>
  </si>
  <si>
    <t>Net Lease %</t>
  </si>
  <si>
    <t>Depreciated Value 10-year Unlevered IRR</t>
  </si>
  <si>
    <t>EBITDA (2014E)</t>
  </si>
  <si>
    <t>EBITDA Margin (2014E)</t>
  </si>
  <si>
    <t>MH % of Street</t>
  </si>
  <si>
    <t>Support Data -- &gt;</t>
  </si>
  <si>
    <t>Sales Tax</t>
  </si>
  <si>
    <t>Revenue (2014E)</t>
  </si>
  <si>
    <t>Expense (2014E)</t>
  </si>
  <si>
    <t>Total Transaction Cost</t>
  </si>
  <si>
    <t>CH Rate</t>
  </si>
  <si>
    <t>Payment for New Chassis ($000s)</t>
  </si>
  <si>
    <t>Yr. 1 PF</t>
  </si>
  <si>
    <t>Revenue Sharing ($1.00/street day)</t>
  </si>
  <si>
    <t>Lease Expense ($2.65/every day)</t>
  </si>
  <si>
    <t>NPV</t>
  </si>
  <si>
    <t>NPV - 10-year</t>
  </si>
  <si>
    <t>Reconditioning Costs</t>
  </si>
  <si>
    <t>Margin %</t>
  </si>
  <si>
    <t>Purchase Multiple</t>
  </si>
  <si>
    <t>Total Investment</t>
  </si>
  <si>
    <t>SENSITIVITY ANALYSIS</t>
  </si>
  <si>
    <t>Model Outputs</t>
  </si>
  <si>
    <t>Multiple Driver Dependent</t>
  </si>
  <si>
    <t>NPV $</t>
  </si>
  <si>
    <t>Total Investment (incl. WC)</t>
  </si>
  <si>
    <t>Deal Summary</t>
  </si>
  <si>
    <t>Type:</t>
  </si>
  <si>
    <t>Commentary/Assumptions:</t>
  </si>
  <si>
    <t>Current:</t>
  </si>
  <si>
    <t>Future:</t>
  </si>
  <si>
    <t>Assets</t>
  </si>
  <si>
    <t>Owned</t>
  </si>
  <si>
    <t>Leased</t>
  </si>
  <si>
    <t>Working Capital</t>
  </si>
  <si>
    <t>Current Fleet</t>
  </si>
  <si>
    <t>Reconditioning</t>
  </si>
  <si>
    <t>Fleet Required</t>
  </si>
  <si>
    <t>Sales tax</t>
  </si>
  <si>
    <t>Street</t>
  </si>
  <si>
    <t>utilization</t>
  </si>
  <si>
    <t>Commentary</t>
  </si>
  <si>
    <t>as % of total</t>
  </si>
  <si>
    <t>Terminal revenue</t>
  </si>
  <si>
    <t>Total Usage</t>
  </si>
  <si>
    <t>Total Revenue</t>
  </si>
  <si>
    <t>Adj. EBITDA</t>
  </si>
  <si>
    <t>Short/(Surpl)</t>
  </si>
  <si>
    <t>Admin</t>
  </si>
  <si>
    <t>NYK Street Rate</t>
  </si>
  <si>
    <t>Payment to NYK</t>
  </si>
  <si>
    <t>NYK Rate Inflation</t>
  </si>
  <si>
    <t>Decouping Costs</t>
  </si>
  <si>
    <t>Factor</t>
  </si>
  <si>
    <t># of Chassis Requiring Reconditioning</t>
  </si>
  <si>
    <t>Repositioning Savings</t>
  </si>
  <si>
    <t>Utilization Assumptions</t>
  </si>
  <si>
    <t>Upfront Investment</t>
  </si>
  <si>
    <t>Chassis to be Decouped</t>
  </si>
  <si>
    <t>Retitling Costs</t>
  </si>
  <si>
    <t>Chassis to be Retitled</t>
  </si>
  <si>
    <t>Operating Assumptions</t>
  </si>
  <si>
    <t>Utilization Rate</t>
  </si>
  <si>
    <t>Bad Debt (as % of Revenue)</t>
  </si>
  <si>
    <t>Chassis to be Acquired</t>
  </si>
  <si>
    <t>Average Book Value per Chassis</t>
  </si>
  <si>
    <t>Price per Chassis</t>
  </si>
  <si>
    <t>Working Capital Investment</t>
  </si>
  <si>
    <t>Chassis Decouped at Close</t>
  </si>
  <si>
    <t>Surplus (Shortage) of Chassis</t>
  </si>
  <si>
    <t>Admin Cost per Day</t>
  </si>
  <si>
    <t>Other Cost per Day</t>
  </si>
  <si>
    <t>Admin Cost Inflation</t>
  </si>
  <si>
    <t>Other Cost Inflation</t>
  </si>
  <si>
    <t>Admin Expense</t>
  </si>
  <si>
    <t>Repo Expense</t>
  </si>
  <si>
    <t>Other Expense</t>
  </si>
  <si>
    <t xml:space="preserve"> </t>
  </si>
  <si>
    <t>Trucker Street Usage Days</t>
  </si>
  <si>
    <t>Terminal Usage Days</t>
  </si>
  <si>
    <t>Year 1</t>
  </si>
  <si>
    <t>TEV 10x Exit Multiple Unlevered IRR</t>
  </si>
  <si>
    <t>Depr. Value 10-year IRR</t>
  </si>
  <si>
    <t>Terminal Billing Threshold</t>
  </si>
  <si>
    <t>10 year depreciated value IRR %</t>
  </si>
  <si>
    <t>5x EBITDA exit multiple IRR %</t>
  </si>
  <si>
    <t>TEV 5x Exit Multiple IRR</t>
  </si>
  <si>
    <t xml:space="preserve">NPV </t>
  </si>
  <si>
    <t>ASI/CSG</t>
  </si>
  <si>
    <t>MH %</t>
  </si>
  <si>
    <t>Age</t>
  </si>
  <si>
    <t>Chassis Age, Amount, Book</t>
  </si>
  <si>
    <t>Value New</t>
  </si>
  <si>
    <t>Premium</t>
  </si>
  <si>
    <t>Year</t>
  </si>
  <si>
    <t>Date Estimate</t>
  </si>
  <si>
    <t>Count</t>
  </si>
  <si>
    <t>% of total</t>
  </si>
  <si>
    <t>Book Value Per</t>
  </si>
  <si>
    <t>Purchase Per</t>
  </si>
  <si>
    <t>Total Purchase</t>
  </si>
  <si>
    <t>Age 10 years Later</t>
  </si>
  <si>
    <t>Depreciated 10 year value total</t>
  </si>
  <si>
    <t xml:space="preserve">Cost Assumptions </t>
  </si>
  <si>
    <t>PSW MH Rate</t>
  </si>
  <si>
    <t>DCLI Chassis Backfill (Leased from Flexi)</t>
  </si>
  <si>
    <t>Repositioning</t>
  </si>
  <si>
    <t>Decooping Costs</t>
  </si>
  <si>
    <t>Offhire Costs</t>
  </si>
  <si>
    <t>Chassis to be Offhired</t>
  </si>
  <si>
    <t>Offhire costs</t>
  </si>
  <si>
    <t>Depreciated 10 year value per</t>
  </si>
  <si>
    <t>Upfront</t>
  </si>
  <si>
    <t>10% sales tax on asset purchase price</t>
  </si>
  <si>
    <t>Evergreen</t>
  </si>
  <si>
    <t>EVG Utilization Rate</t>
  </si>
  <si>
    <t>Total Chassis Required for EVG Use</t>
  </si>
  <si>
    <t>EVG CH Rate</t>
  </si>
  <si>
    <t>Horizon Lines</t>
  </si>
  <si>
    <t>Maersk</t>
  </si>
  <si>
    <t>MSC</t>
  </si>
  <si>
    <t>DCLP</t>
  </si>
  <si>
    <t>APL</t>
  </si>
  <si>
    <t>Hapag-Lloyd</t>
  </si>
  <si>
    <t>Hyundai</t>
  </si>
  <si>
    <t>MOL</t>
  </si>
  <si>
    <t>NYK</t>
  </si>
  <si>
    <t>OOCL</t>
  </si>
  <si>
    <t>GACP</t>
  </si>
  <si>
    <t>China Shipping</t>
  </si>
  <si>
    <t>CMA-CGM</t>
  </si>
  <si>
    <t>COSCO</t>
  </si>
  <si>
    <t>K Line</t>
  </si>
  <si>
    <t>Pacific International</t>
  </si>
  <si>
    <t>Polynesia Line</t>
  </si>
  <si>
    <t>United Arab Shipping</t>
  </si>
  <si>
    <t>Wan Hai Lines</t>
  </si>
  <si>
    <t>Yang Ming Line</t>
  </si>
  <si>
    <t>Zim Israel Navigation Co.</t>
  </si>
  <si>
    <t>LABP</t>
  </si>
  <si>
    <t>DCSZ (bare outs, no SS SCAC)**</t>
  </si>
  <si>
    <t>Unassigned (no SS SCAC or unauthorized)</t>
  </si>
  <si>
    <t>Total Chassis on the Street</t>
  </si>
  <si>
    <t>Pool of Pools Fleet</t>
  </si>
  <si>
    <t>Total Street Utilization (incl. DCSZ and unassigned)</t>
  </si>
  <si>
    <t>DCLP Fleet</t>
  </si>
  <si>
    <t>GACP Fleet</t>
  </si>
  <si>
    <t>DCLI-GACP Fleet</t>
  </si>
  <si>
    <t>TRAC-GACP Fleet</t>
  </si>
  <si>
    <t>LABP Fleet</t>
  </si>
  <si>
    <t>DCLP Street Utilization</t>
  </si>
  <si>
    <t>GACP Street Utilization</t>
  </si>
  <si>
    <t>DCLI-GACP Street Utilization</t>
  </si>
  <si>
    <t>TRAC-GACP Street Utilization</t>
  </si>
  <si>
    <t>LABP Street Utilization</t>
  </si>
  <si>
    <t>* Reflects chassis with gated-out status by day by steamship line scac</t>
  </si>
  <si>
    <t>** Generally, DCSZ is used as the steamship scac when the chassis gates out bare with no container</t>
  </si>
  <si>
    <t>Street - EVG</t>
  </si>
  <si>
    <t>% of Street - EVG</t>
  </si>
  <si>
    <t>EVG</t>
  </si>
  <si>
    <t>EVG Street Rental Days</t>
  </si>
  <si>
    <t>EVG Street Rate</t>
  </si>
  <si>
    <t>EVG Street Revenue</t>
  </si>
  <si>
    <t>EVG Rate Inflation</t>
  </si>
  <si>
    <t xml:space="preserve">EVG Street Costs </t>
  </si>
  <si>
    <t xml:space="preserve">EVG Street Days </t>
  </si>
  <si>
    <t>EVG Average Cost per EVG Usage Day</t>
  </si>
  <si>
    <t>EVG Average Cost per EVG Street Day</t>
  </si>
  <si>
    <t>EVG Terminal Cost per Terminal Day</t>
  </si>
  <si>
    <t xml:space="preserve">Payment to EVG </t>
  </si>
  <si>
    <t>EVG LA/LB Model</t>
  </si>
  <si>
    <t>EVG Pooled Chassis</t>
  </si>
  <si>
    <t>Chassis to be Used for EVG FFU</t>
  </si>
  <si>
    <t>Purchased from EVG</t>
  </si>
  <si>
    <t>Pool of Pools Chassis on the Street* - WEEKLY AVERAGE</t>
  </si>
  <si>
    <t>W.E. 3/14/2015</t>
  </si>
  <si>
    <t>W.E. 3/7/2015</t>
  </si>
  <si>
    <t>EVG Average Daily Usage</t>
  </si>
  <si>
    <t xml:space="preserve"># of Chassis w/ Repositioning </t>
  </si>
  <si>
    <t xml:space="preserve">10 year depreciated value unlevered IRR </t>
  </si>
  <si>
    <t xml:space="preserve">10 year NPV using 12% discount rate </t>
  </si>
  <si>
    <t>Total investment in terms of Yr 1 EBITDA</t>
  </si>
  <si>
    <t>APMT</t>
  </si>
  <si>
    <t>Direct ChassisLink Inc.</t>
  </si>
  <si>
    <t>Summary of Options for EVG</t>
  </si>
  <si>
    <t>Purchase Price 
per Chassis</t>
  </si>
  <si>
    <t>Los Angeles</t>
  </si>
  <si>
    <t>Total 
Purchase Price</t>
  </si>
  <si>
    <r>
      <t>Assumptions</t>
    </r>
    <r>
      <rPr>
        <b/>
        <sz val="11"/>
        <color theme="1"/>
        <rFont val="Garamond"/>
        <family val="1"/>
      </rPr>
      <t>:</t>
    </r>
  </si>
  <si>
    <t>1.  Assumes chassis are an average of 15 years old</t>
  </si>
  <si>
    <t xml:space="preserve">3.  Assumes curent usage is 100% CH, with potential to transition towards MH, as indicated in the table </t>
  </si>
  <si>
    <t>4.  Should EVG transition to MH, assumes all MH will be billed at market rate of $20.25</t>
  </si>
  <si>
    <t>2.  Assumes all chassis purchased are needed for EVG usage</t>
  </si>
  <si>
    <t>5.  Assumes 19% terminal usage and billing for all terminal days</t>
  </si>
  <si>
    <t>Fair Market Value</t>
  </si>
  <si>
    <t>Fleet Age</t>
  </si>
  <si>
    <t>Cost New</t>
  </si>
  <si>
    <t>Salvage Value</t>
  </si>
  <si>
    <t>FMV per Chassis</t>
  </si>
  <si>
    <t>&lt;&lt; ACTIVE CASE</t>
  </si>
  <si>
    <t>Cost per Usage Day</t>
  </si>
  <si>
    <t xml:space="preserve">MH Erosion </t>
  </si>
  <si>
    <t>on/off</t>
  </si>
  <si>
    <t>1 - DCLI leases chassis and provides chassis services</t>
  </si>
  <si>
    <t>2 - DCLI purchases chassis and provides chassis services</t>
  </si>
  <si>
    <t>Cost assumptions provided by operations</t>
  </si>
  <si>
    <t>See Right</t>
  </si>
  <si>
    <t>Total EVG Chassis Purchased</t>
  </si>
  <si>
    <t>Purchase/Lease Assumptions</t>
  </si>
  <si>
    <t>MH Annual Conversion %</t>
  </si>
  <si>
    <t>Gain Sharing % on Conversion</t>
  </si>
  <si>
    <t>Gain Sharing with EVG on MH Conversion</t>
  </si>
  <si>
    <t>Total (Upfront)</t>
  </si>
  <si>
    <t>Scenario</t>
  </si>
  <si>
    <t>Total Investment (Year 0 or PO)</t>
  </si>
  <si>
    <t>Average EBITDA</t>
  </si>
  <si>
    <t>Average EBITDA 
Margin %</t>
  </si>
  <si>
    <t>Average EBITDA per usage day</t>
  </si>
  <si>
    <t>Average EBITDA per chassis per day</t>
  </si>
  <si>
    <t>Book Value</t>
  </si>
  <si>
    <t>Leased from EVG</t>
  </si>
  <si>
    <t>Purchase</t>
  </si>
  <si>
    <t>Premium / (Discount) to Book (Upfront)</t>
  </si>
  <si>
    <t>Premium / (Discount) to Book (PO)</t>
  </si>
  <si>
    <t>Exit (Upfront Investment)</t>
  </si>
  <si>
    <t>PO</t>
  </si>
  <si>
    <t>9 Years Later</t>
  </si>
  <si>
    <r>
      <t>Purchase Multiple</t>
    </r>
    <r>
      <rPr>
        <vertAlign val="superscript"/>
        <sz val="10"/>
        <color theme="1"/>
        <rFont val="Calibri"/>
        <family val="2"/>
        <scheme val="minor"/>
      </rPr>
      <t>1</t>
    </r>
  </si>
  <si>
    <t>1.  PO price over Year 2 EBITDA in Lease w PO scenario</t>
  </si>
  <si>
    <t>Repo/Gate Fees</t>
  </si>
  <si>
    <t>Est. Utilization</t>
  </si>
  <si>
    <t>$0.00 per terminal usage day charged to EVG</t>
  </si>
  <si>
    <t>Ancillary</t>
  </si>
  <si>
    <t xml:space="preserve">5x EBITDA exit multiple unlevered IRR </t>
  </si>
  <si>
    <t>Stenciling Costs</t>
  </si>
  <si>
    <t>Chassis to be Stenciled</t>
  </si>
  <si>
    <t>4% of year 1 revenue</t>
  </si>
  <si>
    <t>Lease Cost per Day for Add. Capacity</t>
  </si>
  <si>
    <t>Average Prem/(Disc) per Chassis</t>
  </si>
  <si>
    <t xml:space="preserve">Total EVG Chassis Leased </t>
  </si>
  <si>
    <t>Total Excess Chassis Leased</t>
  </si>
  <si>
    <t>Lease Cost per Day on EVG Chassis</t>
  </si>
  <si>
    <t>Lease Cost per Day for EVG Leases</t>
  </si>
  <si>
    <t>Total EVG Chassis for Scrap</t>
  </si>
  <si>
    <t>Less:  Scrap Chassis at $1,000 per Chassis</t>
  </si>
  <si>
    <t>Purchase Price per Chassis</t>
  </si>
  <si>
    <t>Value of Scrap Chassis</t>
  </si>
  <si>
    <t>Summary of Assumptions</t>
  </si>
  <si>
    <t>Fleet Summary</t>
  </si>
  <si>
    <t>Usage and Fleet Sizing</t>
  </si>
  <si>
    <t>Investment Overview</t>
  </si>
  <si>
    <t>Financial Returns</t>
  </si>
  <si>
    <t>Total EVG Leases</t>
  </si>
  <si>
    <t>Lease Cost per Day on EVG Leases</t>
  </si>
  <si>
    <t>Lease Cost per Day for EVG Chassis</t>
  </si>
  <si>
    <t>Current EVG Fleet:</t>
  </si>
  <si>
    <t>EVG Leases Assumed</t>
  </si>
  <si>
    <t>CH Revenue</t>
  </si>
  <si>
    <t>MH Revenue</t>
  </si>
  <si>
    <t>Market MH Rate, if conversion occurs</t>
  </si>
  <si>
    <t>$1,100 scrap value per unusable chassis</t>
  </si>
  <si>
    <t>Scrap Value</t>
  </si>
  <si>
    <t>2.  Based on Year 1 EBITDA</t>
  </si>
  <si>
    <r>
      <t>Investment Multiple</t>
    </r>
    <r>
      <rPr>
        <vertAlign val="superscript"/>
        <sz val="11"/>
        <color theme="1"/>
        <rFont val="Garamond"/>
        <family val="1"/>
      </rPr>
      <t>2</t>
    </r>
  </si>
  <si>
    <t>Backfilled by DCLI</t>
  </si>
  <si>
    <t>Backfilled</t>
  </si>
  <si>
    <t>Total DCLI Backfill</t>
  </si>
  <si>
    <t>1 - DCLI Lease All Excess</t>
  </si>
  <si>
    <t>2 - DCLI Backfill Some Excess</t>
  </si>
  <si>
    <t>% MH</t>
  </si>
  <si>
    <t xml:space="preserve">Change in Rate </t>
  </si>
  <si>
    <t>1.  Reconditioning costs for purchased chassis based on wtd. avg. M&amp;R study performed onsite by Mike Murray</t>
  </si>
  <si>
    <t>2.  Under scenario where DCLI leases from EVG, units assumed to be operational.  DCLI investment only WC</t>
  </si>
  <si>
    <t>Incremental Pool Overuse Cost per Day</t>
  </si>
  <si>
    <r>
      <t>Terminal Rate</t>
    </r>
    <r>
      <rPr>
        <vertAlign val="superscript"/>
        <sz val="11"/>
        <color theme="1"/>
        <rFont val="Garamond"/>
        <family val="1"/>
      </rPr>
      <t>1</t>
    </r>
  </si>
  <si>
    <t>MH Conversion</t>
  </si>
  <si>
    <t>1.  Applies to all terminal usage</t>
  </si>
  <si>
    <t>M&amp;R Expense</t>
  </si>
  <si>
    <t>EVG Lease Expense</t>
  </si>
  <si>
    <t>Evergreen PSW LSA/LGB</t>
  </si>
  <si>
    <t>at 85%</t>
  </si>
  <si>
    <t>at 95%</t>
  </si>
  <si>
    <t>gate-outs in period</t>
  </si>
  <si>
    <t>dwell</t>
  </si>
  <si>
    <t>chassis on the street in period</t>
  </si>
  <si>
    <t>days in period</t>
  </si>
  <si>
    <t>chassis on street</t>
  </si>
  <si>
    <t xml:space="preserve">stress </t>
  </si>
  <si>
    <t>chassis required for street</t>
  </si>
  <si>
    <t>percentage of terminal chassis</t>
  </si>
  <si>
    <t>chassis required for terminal</t>
  </si>
  <si>
    <t>chassis required for Evergreen</t>
  </si>
  <si>
    <t>Data source: CMS-PC and Evergreen statement of 36k gate moves at Seaside per month</t>
  </si>
  <si>
    <t>OOS: out-of-service taken into consideration with 85% stress</t>
  </si>
  <si>
    <t>Dwell: analyzed April, May, June 2015 of Evergreen use to determine dwell</t>
  </si>
  <si>
    <t>3.  Current leases are transferred at no incremental cost to DCLI and rate remains at $2.85</t>
  </si>
  <si>
    <t>Model Inputs</t>
  </si>
  <si>
    <t>Lease Cost 
per Day to EVG</t>
  </si>
  <si>
    <t>5.  Offhire cost of $550 per unit offhired (to be confirmed)</t>
  </si>
  <si>
    <t>Option 1</t>
  </si>
  <si>
    <t>Option 2</t>
  </si>
  <si>
    <t>Option 3</t>
  </si>
  <si>
    <t>Option 4</t>
  </si>
  <si>
    <t>Purchase Price 
Per Chassis</t>
  </si>
  <si>
    <t>CH Rate 
per day</t>
  </si>
  <si>
    <t>Terminal Rate 
per day</t>
  </si>
  <si>
    <t>Region</t>
  </si>
  <si>
    <t>MH Conversion per Year</t>
  </si>
  <si>
    <t>`</t>
  </si>
  <si>
    <t>PSW</t>
  </si>
  <si>
    <t>COCP*</t>
  </si>
  <si>
    <t>DCCP*</t>
  </si>
  <si>
    <t>GCCP*</t>
  </si>
  <si>
    <t>MCCP*</t>
  </si>
  <si>
    <t>MWCP*</t>
  </si>
  <si>
    <t>SACP*</t>
  </si>
  <si>
    <t>LSA/LGB***</t>
  </si>
  <si>
    <t>PNW**</t>
  </si>
  <si>
    <t>Oakland**</t>
  </si>
  <si>
    <t>Source:</t>
  </si>
  <si>
    <t>* CCM</t>
  </si>
  <si>
    <t>** Estimated</t>
  </si>
  <si>
    <t>*** Evergreen</t>
  </si>
  <si>
    <t>Total EVG Owned Chassis</t>
  </si>
  <si>
    <t>Total EVG Leased Chassis</t>
  </si>
  <si>
    <t>Chassis Purchased by DCLI</t>
  </si>
  <si>
    <t>Purhcase (1) / Lease (0)</t>
  </si>
  <si>
    <t xml:space="preserve">Premium / (Discount) to Book </t>
  </si>
  <si>
    <t>Cost to Lease Owned EVG Chassis</t>
  </si>
  <si>
    <t>Cost to Takeover EVG Existing Leases</t>
  </si>
  <si>
    <t>Decouping Cost per Chassis</t>
  </si>
  <si>
    <t>Retitling &amp; Stenciling Cost per Chassis</t>
  </si>
  <si>
    <t>Offhire Cost per Chassis</t>
  </si>
  <si>
    <t>Terminal % of Daily Usage</t>
  </si>
  <si>
    <t>Repo per Billed Day</t>
  </si>
  <si>
    <t>Admin per Chassis per Day</t>
  </si>
  <si>
    <t>Market MH Rate</t>
  </si>
  <si>
    <t>Repo Cost per Chassis</t>
  </si>
  <si>
    <t>Recon. Cost per Chassis</t>
  </si>
  <si>
    <t>MW</t>
  </si>
  <si>
    <t>GUL</t>
  </si>
  <si>
    <t>SE</t>
  </si>
  <si>
    <t>PNW</t>
  </si>
  <si>
    <t>M&amp;R per Billed Day</t>
  </si>
  <si>
    <t>Evergreen Model Assumptions</t>
  </si>
  <si>
    <t>Bad Debt as % of Revenue</t>
  </si>
  <si>
    <t>Lease Cost on EVG Owned Chassis</t>
  </si>
  <si>
    <t xml:space="preserve">Lease Cost on EVG Existing Leases </t>
  </si>
  <si>
    <t>Lease Cost for Additional Capactiy</t>
  </si>
  <si>
    <t>Gain Sharing % on MH Transition</t>
  </si>
  <si>
    <t>EBITDA per Chassis per Day</t>
  </si>
  <si>
    <t>Retitling &amp; Stenciling Costs</t>
  </si>
  <si>
    <t>Scrap Value of Chassis</t>
  </si>
  <si>
    <t>EVG Owned Chassis Leased by DCLI</t>
  </si>
  <si>
    <t>EVG Leases Taken on by DCLI</t>
  </si>
  <si>
    <t>Additional Capacity Leased</t>
  </si>
  <si>
    <t>COCP</t>
  </si>
  <si>
    <t>DCCP</t>
  </si>
  <si>
    <t>GCCP</t>
  </si>
  <si>
    <t>MWCP</t>
  </si>
  <si>
    <t>MCCP</t>
  </si>
  <si>
    <t>SACP</t>
  </si>
  <si>
    <t>Oakland</t>
  </si>
  <si>
    <t>Net Lease Rate</t>
  </si>
  <si>
    <t>Net Lease Days</t>
  </si>
  <si>
    <t>Net Lease Revenue</t>
  </si>
  <si>
    <t>Northeast** (NL)</t>
  </si>
  <si>
    <t>HRCP** (NL)</t>
  </si>
  <si>
    <t>Net Lease Billed Days</t>
  </si>
  <si>
    <t>NY/NJ</t>
  </si>
  <si>
    <t>TOTAL FFU</t>
  </si>
  <si>
    <t>NE</t>
  </si>
  <si>
    <t>Lease Cost</t>
  </si>
  <si>
    <t>Passthrough</t>
  </si>
  <si>
    <t>Re-title &amp; stencil costs</t>
  </si>
  <si>
    <t>Evergreen Nationwide</t>
  </si>
  <si>
    <t>$100 per chassis decooped from CCM</t>
  </si>
  <si>
    <t>$275 per non-CCM chassis</t>
  </si>
  <si>
    <t>$225 per chassis</t>
  </si>
  <si>
    <t>$550 per chassis</t>
  </si>
  <si>
    <t xml:space="preserve">6.  Chassis are salvaged for lower of $2,500 or purchase price at the end of year 10 </t>
  </si>
  <si>
    <t>4.  Assets are appropriately located and no upfront repo is needed (excluding those being decooped from CCM)</t>
  </si>
  <si>
    <t>Zero decooping costs assumed</t>
  </si>
  <si>
    <t>CH rate summary</t>
  </si>
  <si>
    <t>tie terminal rate to CH rate in same proportion as PSW</t>
  </si>
  <si>
    <t>CH rate in model input table similar to CMA</t>
  </si>
  <si>
    <t>revisit large impact of $2,500 salvage</t>
  </si>
  <si>
    <t>Replicate summary and usage by region instead</t>
  </si>
  <si>
    <t>quick tab to value out management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</si>
</sst>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#,##0.0_);\(#,##0.0\)"/>
    <numFmt numFmtId="167" formatCode="&quot;Yes&quot;;;&quot;No&quot;"/>
    <numFmt numFmtId="168" formatCode="0.0%_);\(0.0%\)"/>
    <numFmt numFmtId="169" formatCode="0.00\x_)"/>
    <numFmt numFmtId="170" formatCode="0.00\x"/>
    <numFmt numFmtId="171" formatCode="_([$€-2]* #,##0.00_);_([$€-2]* \(#,##0.00\);_([$€-2]* &quot;-&quot;??_)"/>
    <numFmt numFmtId="172" formatCode="0.0%\ ;\(0.0%\)"/>
    <numFmt numFmtId="173" formatCode="0%\ ;\(0%\)"/>
    <numFmt numFmtId="174" formatCode="0.0%;\(0.0%\)"/>
    <numFmt numFmtId="175" formatCode="0.0\x;\(0.0\x\)"/>
    <numFmt numFmtId="176" formatCode="0.0&quot;x&quot;"/>
    <numFmt numFmtId="177" formatCode="0.0&quot;x&quot;\ ;\(0.0&quot;x&quot;\)"/>
    <numFmt numFmtId="178" formatCode="&quot;Year&quot;\ 0"/>
    <numFmt numFmtId="179" formatCode="0.00%\ ;\(0.00%\)"/>
    <numFmt numFmtId="180" formatCode="0%;\(0%\)"/>
    <numFmt numFmtId="181" formatCode="m/d/yy;@"/>
    <numFmt numFmtId="182" formatCode="\$#,##0\ ;\(\$#,##0\)"/>
    <numFmt numFmtId="183" formatCode="&quot;VND&quot;#,##0_);[Red]\(&quot;VND&quot;#,##0\)"/>
    <numFmt numFmtId="184" formatCode="&quot;\&quot;#,##0;[Red]&quot;\&quot;&quot;\&quot;\-#,##0"/>
    <numFmt numFmtId="185" formatCode="&quot;\&quot;#,##0.00;[Red]&quot;\&quot;&quot;\&quot;&quot;\&quot;&quot;\&quot;&quot;\&quot;&quot;\&quot;\-#,##0.00"/>
    <numFmt numFmtId="186" formatCode="&quot;\&quot;#,##0.00;[Red]&quot;\&quot;\-#,##0.00"/>
    <numFmt numFmtId="187" formatCode="&quot;\&quot;#,##0;[Red]&quot;\&quot;\-#,##0"/>
    <numFmt numFmtId="188" formatCode="0.0\ &quot;yrs&quot;"/>
    <numFmt numFmtId="189" formatCode="[=0]&quot;Passthrough&quot;;&quot;$&quot;0.00"/>
    <numFmt numFmtId="190" formatCode="#\ &quot;Years&quot;"/>
    <numFmt numFmtId="191" formatCode="0.0_);\(0.0\)"/>
    <numFmt numFmtId="192" formatCode="0.00%;\(0.00%\)"/>
    <numFmt numFmtId="193" formatCode="#,##0.0%_);\(#,##0.0%\)"/>
    <numFmt numFmtId="194" formatCode="0.000000000000000%"/>
    <numFmt numFmtId="195" formatCode="0.000000"/>
  </numFmts>
  <fonts count="124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indexed="8"/>
      <name val="宋体"/>
      <charset val="134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8000"/>
      <name val="Calibri"/>
      <family val="2"/>
      <scheme val="minor"/>
    </font>
    <font>
      <sz val="10"/>
      <color rgb="FF00800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</font>
    <font>
      <sz val="11"/>
      <name val="Calibri"/>
      <family val="2"/>
    </font>
    <font>
      <b/>
      <u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Garamond"/>
      <family val="1"/>
    </font>
    <font>
      <sz val="11"/>
      <color theme="1"/>
      <name val="Garamond"/>
      <family val="1"/>
    </font>
    <font>
      <b/>
      <i/>
      <sz val="11"/>
      <color rgb="FF000000"/>
      <name val="Garamond"/>
      <family val="1"/>
    </font>
    <font>
      <sz val="11"/>
      <color rgb="FF000000"/>
      <name val="Garamond"/>
      <family val="1"/>
    </font>
    <font>
      <b/>
      <u/>
      <sz val="11"/>
      <color theme="1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  <font>
      <u/>
      <sz val="10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b/>
      <sz val="11"/>
      <color theme="0"/>
      <name val="Garamond"/>
      <family val="1"/>
    </font>
    <font>
      <sz val="11"/>
      <color theme="0"/>
      <name val="Garamond"/>
      <family val="1"/>
    </font>
    <font>
      <sz val="11"/>
      <name val="Garamond"/>
      <family val="1"/>
    </font>
    <font>
      <u/>
      <sz val="11"/>
      <color theme="1"/>
      <name val="Garamond"/>
      <family val="1"/>
    </font>
    <font>
      <i/>
      <sz val="10"/>
      <color theme="1"/>
      <name val="Garamond"/>
      <family val="1"/>
    </font>
    <font>
      <b/>
      <u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Garamond"/>
      <family val="1"/>
    </font>
    <font>
      <b/>
      <sz val="11"/>
      <color rgb="FF3333F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Tahoma"/>
      <family val="2"/>
    </font>
    <font>
      <b/>
      <i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8.5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i/>
      <sz val="9"/>
      <color theme="1"/>
      <name val="Verdana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VNtimes new roman"/>
      <family val="1"/>
    </font>
    <font>
      <sz val="14"/>
      <name val="뼻뮝"/>
      <family val="3"/>
    </font>
    <font>
      <sz val="12"/>
      <name val="뼻뮝"/>
      <family val="1"/>
    </font>
    <font>
      <sz val="12"/>
      <name val="바탕체"/>
      <family val="3"/>
    </font>
    <font>
      <sz val="10"/>
      <name val="굴림체"/>
      <family val="3"/>
    </font>
    <font>
      <b/>
      <sz val="11"/>
      <color rgb="FF0000FF"/>
      <name val="Garamond"/>
      <family val="1"/>
    </font>
    <font>
      <sz val="11"/>
      <color rgb="FF00800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vertAlign val="superscript"/>
      <sz val="11"/>
      <color theme="1"/>
      <name val="Garamond"/>
      <family val="1"/>
    </font>
    <font>
      <vertAlign val="super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</font>
    <font>
      <sz val="10"/>
      <color theme="1"/>
      <name val="Garamond"/>
      <family val="1"/>
    </font>
    <font>
      <sz val="11"/>
      <color rgb="FF0066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600"/>
      <name val="Calibri"/>
      <family val="2"/>
    </font>
    <font>
      <sz val="10"/>
      <color rgb="FF0066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4">
    <xf numFmtId="0" fontId="0" fillId="0" borderId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9" fillId="0" borderId="0"/>
    <xf numFmtId="0" fontId="39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39" fillId="0" borderId="0" applyFont="0" applyFill="0" applyBorder="0" applyAlignment="0" applyProtection="0"/>
    <xf numFmtId="8" fontId="42" fillId="0" borderId="0" applyFont="0" applyFill="0" applyBorder="0" applyAlignment="0" applyProtection="0">
      <alignment vertical="center"/>
    </xf>
    <xf numFmtId="44" fontId="41" fillId="0" borderId="0" applyFont="0" applyFill="0" applyBorder="0" applyAlignment="0" applyProtection="0"/>
    <xf numFmtId="8" fontId="42" fillId="0" borderId="0" applyFont="0" applyFill="0" applyBorder="0" applyAlignment="0" applyProtection="0">
      <alignment vertical="center"/>
    </xf>
    <xf numFmtId="44" fontId="41" fillId="0" borderId="0" applyFont="0" applyFill="0" applyBorder="0" applyAlignment="0" applyProtection="0"/>
    <xf numFmtId="44" fontId="39" fillId="0" borderId="0" applyFont="0" applyFill="0" applyBorder="0" applyAlignment="0" applyProtection="0"/>
    <xf numFmtId="44" fontId="39" fillId="0" borderId="0" applyFont="0" applyFill="0" applyBorder="0" applyAlignment="0" applyProtection="0"/>
    <xf numFmtId="171" fontId="41" fillId="0" borderId="0" applyFont="0" applyFill="0" applyBorder="0" applyAlignment="0" applyProtection="0"/>
    <xf numFmtId="0" fontId="43" fillId="0" borderId="0">
      <alignment vertical="top"/>
    </xf>
    <xf numFmtId="0" fontId="41" fillId="0" borderId="0"/>
    <xf numFmtId="0" fontId="44" fillId="0" borderId="0"/>
    <xf numFmtId="0" fontId="39" fillId="0" borderId="0"/>
    <xf numFmtId="0" fontId="45" fillId="0" borderId="0"/>
    <xf numFmtId="0" fontId="41" fillId="0" borderId="0"/>
    <xf numFmtId="0" fontId="41" fillId="0" borderId="0"/>
    <xf numFmtId="9" fontId="3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40" fontId="42" fillId="0" borderId="0" applyFont="0" applyFill="0" applyBorder="0" applyAlignment="0" applyProtection="0"/>
    <xf numFmtId="0" fontId="47" fillId="0" borderId="0"/>
    <xf numFmtId="0" fontId="38" fillId="0" borderId="0"/>
    <xf numFmtId="0" fontId="37" fillId="0" borderId="0"/>
    <xf numFmtId="0" fontId="37" fillId="0" borderId="0"/>
    <xf numFmtId="0" fontId="35" fillId="0" borderId="0"/>
    <xf numFmtId="0" fontId="33" fillId="0" borderId="0"/>
    <xf numFmtId="0" fontId="32" fillId="0" borderId="0"/>
    <xf numFmtId="0" fontId="75" fillId="0" borderId="0"/>
    <xf numFmtId="0" fontId="30" fillId="0" borderId="0"/>
    <xf numFmtId="0" fontId="29" fillId="0" borderId="0"/>
    <xf numFmtId="9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8" fillId="0" borderId="0"/>
    <xf numFmtId="0" fontId="27" fillId="0" borderId="0"/>
    <xf numFmtId="0" fontId="84" fillId="0" borderId="0"/>
    <xf numFmtId="0" fontId="26" fillId="0" borderId="0"/>
    <xf numFmtId="0" fontId="85" fillId="0" borderId="0">
      <alignment vertical="top"/>
    </xf>
    <xf numFmtId="0" fontId="25" fillId="0" borderId="0"/>
    <xf numFmtId="0" fontId="41" fillId="0" borderId="0">
      <alignment wrapText="1"/>
    </xf>
    <xf numFmtId="0" fontId="41" fillId="0" borderId="0">
      <alignment wrapText="1"/>
    </xf>
    <xf numFmtId="0" fontId="23" fillId="0" borderId="0"/>
    <xf numFmtId="9" fontId="23" fillId="0" borderId="0" applyFont="0" applyFill="0" applyBorder="0" applyAlignment="0" applyProtection="0"/>
    <xf numFmtId="0" fontId="22" fillId="0" borderId="0"/>
    <xf numFmtId="0" fontId="97" fillId="0" borderId="0"/>
    <xf numFmtId="9" fontId="97" fillId="0" borderId="0" applyFont="0" applyFill="0" applyBorder="0" applyAlignment="0" applyProtection="0"/>
    <xf numFmtId="43" fontId="97" fillId="0" borderId="0" applyFont="0" applyFill="0" applyBorder="0" applyAlignment="0" applyProtection="0"/>
    <xf numFmtId="3" fontId="41" fillId="0" borderId="0" applyFont="0" applyFill="0" applyBorder="0" applyAlignment="0" applyProtection="0"/>
    <xf numFmtId="3" fontId="41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2" fontId="41" fillId="0" borderId="0" applyFont="0" applyFill="0" applyBorder="0" applyAlignment="0" applyProtection="0"/>
    <xf numFmtId="2" fontId="41" fillId="0" borderId="0" applyFont="0" applyFill="0" applyBorder="0" applyAlignment="0" applyProtection="0"/>
    <xf numFmtId="0" fontId="95" fillId="0" borderId="21" applyNumberFormat="0" applyFill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95" fillId="0" borderId="21" applyNumberFormat="0" applyFill="0" applyAlignment="0" applyProtection="0"/>
    <xf numFmtId="0" fontId="96" fillId="0" borderId="22" applyNumberFormat="0" applyFill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96" fillId="0" borderId="22" applyNumberFormat="0" applyFill="0" applyAlignment="0" applyProtection="0"/>
    <xf numFmtId="183" fontId="107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49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49" fontId="41" fillId="0" borderId="0">
      <alignment vertical="center"/>
    </xf>
    <xf numFmtId="0" fontId="41" fillId="0" borderId="0"/>
    <xf numFmtId="0" fontId="41" fillId="0" borderId="0"/>
    <xf numFmtId="49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9" fontId="41" fillId="0" borderId="0">
      <alignment vertical="center"/>
    </xf>
    <xf numFmtId="0" fontId="45" fillId="0" borderId="0"/>
    <xf numFmtId="0" fontId="45" fillId="0" borderId="0"/>
    <xf numFmtId="49" fontId="41" fillId="0" borderId="0">
      <alignment vertical="center"/>
    </xf>
    <xf numFmtId="0" fontId="41" fillId="0" borderId="0"/>
    <xf numFmtId="0" fontId="41" fillId="0" borderId="0"/>
    <xf numFmtId="49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9" fontId="41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8" borderId="23" applyNumberFormat="0" applyFont="0" applyAlignment="0" applyProtection="0"/>
    <xf numFmtId="0" fontId="19" fillId="8" borderId="23" applyNumberFormat="0" applyFont="0" applyAlignment="0" applyProtection="0"/>
    <xf numFmtId="0" fontId="41" fillId="8" borderId="23" applyNumberFormat="0" applyFont="0" applyAlignment="0" applyProtection="0"/>
    <xf numFmtId="0" fontId="41" fillId="8" borderId="23" applyNumberFormat="0" applyFont="0" applyAlignment="0" applyProtection="0"/>
    <xf numFmtId="0" fontId="19" fillId="8" borderId="23" applyNumberFormat="0" applyFont="0" applyAlignment="0" applyProtection="0"/>
    <xf numFmtId="0" fontId="45" fillId="8" borderId="23" applyNumberFormat="0" applyFont="0" applyAlignment="0" applyProtection="0"/>
    <xf numFmtId="0" fontId="45" fillId="8" borderId="23" applyNumberFormat="0" applyFont="0" applyAlignment="0" applyProtection="0"/>
    <xf numFmtId="0" fontId="19" fillId="8" borderId="23" applyNumberFormat="0" applyFont="0" applyAlignment="0" applyProtection="0"/>
    <xf numFmtId="0" fontId="41" fillId="8" borderId="23" applyNumberFormat="0" applyFont="0" applyAlignment="0" applyProtection="0"/>
    <xf numFmtId="0" fontId="41" fillId="8" borderId="23" applyNumberFormat="0" applyFont="0" applyAlignment="0" applyProtection="0"/>
    <xf numFmtId="0" fontId="19" fillId="8" borderId="23" applyNumberFormat="0" applyFont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63" fillId="0" borderId="24" applyNumberFormat="0" applyFill="0" applyAlignment="0" applyProtection="0"/>
    <xf numFmtId="0" fontId="41" fillId="0" borderId="44" applyNumberFormat="0" applyFont="0" applyFill="0" applyAlignment="0" applyProtection="0"/>
    <xf numFmtId="0" fontId="41" fillId="0" borderId="44" applyNumberFormat="0" applyFont="0" applyFill="0" applyAlignment="0" applyProtection="0"/>
    <xf numFmtId="0" fontId="63" fillId="0" borderId="24" applyNumberFormat="0" applyFill="0" applyAlignment="0" applyProtection="0"/>
    <xf numFmtId="40" fontId="108" fillId="0" borderId="0" applyFont="0" applyFill="0" applyBorder="0" applyAlignment="0" applyProtection="0"/>
    <xf numFmtId="38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0" fontId="108" fillId="0" borderId="0" applyFont="0" applyFill="0" applyBorder="0" applyAlignment="0" applyProtection="0"/>
    <xf numFmtId="10" fontId="41" fillId="0" borderId="0" applyFont="0" applyFill="0" applyBorder="0" applyAlignment="0" applyProtection="0"/>
    <xf numFmtId="0" fontId="109" fillId="0" borderId="0"/>
    <xf numFmtId="184" fontId="41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110" fillId="0" borderId="0" applyFont="0" applyFill="0" applyBorder="0" applyAlignment="0" applyProtection="0"/>
    <xf numFmtId="187" fontId="110" fillId="0" borderId="0" applyFont="0" applyFill="0" applyBorder="0" applyAlignment="0" applyProtection="0"/>
    <xf numFmtId="0" fontId="111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</cellStyleXfs>
  <cellXfs count="743">
    <xf numFmtId="0" fontId="0" fillId="0" borderId="0" xfId="0"/>
    <xf numFmtId="0" fontId="48" fillId="0" borderId="0" xfId="3" applyFont="1"/>
    <xf numFmtId="0" fontId="49" fillId="0" borderId="0" xfId="0" applyFont="1"/>
    <xf numFmtId="0" fontId="50" fillId="0" borderId="0" xfId="0" applyFont="1" applyAlignment="1">
      <alignment horizontal="right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left" indent="1"/>
    </xf>
    <xf numFmtId="37" fontId="49" fillId="0" borderId="0" xfId="0" applyNumberFormat="1" applyFont="1"/>
    <xf numFmtId="5" fontId="49" fillId="0" borderId="0" xfId="0" applyNumberFormat="1" applyFont="1"/>
    <xf numFmtId="0" fontId="48" fillId="0" borderId="0" xfId="0" applyFont="1"/>
    <xf numFmtId="5" fontId="48" fillId="0" borderId="2" xfId="0" applyNumberFormat="1" applyFont="1" applyBorder="1"/>
    <xf numFmtId="0" fontId="50" fillId="0" borderId="0" xfId="0" applyFont="1"/>
    <xf numFmtId="0" fontId="49" fillId="0" borderId="0" xfId="0" applyFont="1" applyAlignment="1">
      <alignment wrapText="1"/>
    </xf>
    <xf numFmtId="0" fontId="49" fillId="0" borderId="0" xfId="0" applyFont="1" applyAlignment="1">
      <alignment horizontal="left"/>
    </xf>
    <xf numFmtId="41" fontId="49" fillId="0" borderId="0" xfId="0" applyNumberFormat="1" applyFont="1"/>
    <xf numFmtId="41" fontId="48" fillId="0" borderId="2" xfId="0" applyNumberFormat="1" applyFont="1" applyBorder="1"/>
    <xf numFmtId="0" fontId="48" fillId="0" borderId="0" xfId="0" applyFont="1" applyAlignment="1">
      <alignment horizontal="left"/>
    </xf>
    <xf numFmtId="37" fontId="48" fillId="0" borderId="2" xfId="0" applyNumberFormat="1" applyFont="1" applyBorder="1"/>
    <xf numFmtId="0" fontId="50" fillId="0" borderId="0" xfId="0" applyFont="1" applyAlignment="1">
      <alignment horizontal="left" indent="1"/>
    </xf>
    <xf numFmtId="9" fontId="50" fillId="0" borderId="0" xfId="2" applyFont="1" applyBorder="1"/>
    <xf numFmtId="8" fontId="49" fillId="0" borderId="0" xfId="0" applyNumberFormat="1" applyFont="1"/>
    <xf numFmtId="0" fontId="50" fillId="0" borderId="0" xfId="0" quotePrefix="1" applyFont="1"/>
    <xf numFmtId="0" fontId="48" fillId="0" borderId="1" xfId="0" applyFont="1" applyBorder="1" applyAlignment="1">
      <alignment horizontal="center"/>
    </xf>
    <xf numFmtId="5" fontId="54" fillId="0" borderId="0" xfId="0" applyNumberFormat="1" applyFont="1"/>
    <xf numFmtId="0" fontId="55" fillId="0" borderId="0" xfId="4" applyFont="1"/>
    <xf numFmtId="0" fontId="54" fillId="0" borderId="0" xfId="4" applyFont="1"/>
    <xf numFmtId="0" fontId="55" fillId="0" borderId="0" xfId="4" applyFont="1" applyAlignment="1">
      <alignment horizontal="center"/>
    </xf>
    <xf numFmtId="0" fontId="55" fillId="0" borderId="0" xfId="4" applyFont="1" applyAlignment="1">
      <alignment horizontal="centerContinuous"/>
    </xf>
    <xf numFmtId="0" fontId="56" fillId="0" borderId="0" xfId="4" applyFont="1"/>
    <xf numFmtId="37" fontId="54" fillId="0" borderId="0" xfId="4" applyNumberFormat="1" applyFont="1"/>
    <xf numFmtId="164" fontId="53" fillId="0" borderId="0" xfId="4" applyNumberFormat="1" applyFont="1"/>
    <xf numFmtId="37" fontId="58" fillId="0" borderId="0" xfId="4" applyNumberFormat="1" applyFont="1"/>
    <xf numFmtId="0" fontId="59" fillId="0" borderId="0" xfId="4" applyFont="1" applyAlignment="1">
      <alignment horizontal="left" indent="1"/>
    </xf>
    <xf numFmtId="164" fontId="59" fillId="0" borderId="0" xfId="4" applyNumberFormat="1" applyFont="1"/>
    <xf numFmtId="164" fontId="60" fillId="0" borderId="0" xfId="4" applyNumberFormat="1" applyFont="1"/>
    <xf numFmtId="164" fontId="54" fillId="0" borderId="0" xfId="4" applyNumberFormat="1" applyFont="1"/>
    <xf numFmtId="164" fontId="61" fillId="0" borderId="0" xfId="4" applyNumberFormat="1" applyFont="1"/>
    <xf numFmtId="8" fontId="53" fillId="0" borderId="0" xfId="4" applyNumberFormat="1" applyFont="1"/>
    <xf numFmtId="8" fontId="54" fillId="0" borderId="0" xfId="4" applyNumberFormat="1" applyFont="1"/>
    <xf numFmtId="0" fontId="54" fillId="0" borderId="2" xfId="4" applyFont="1" applyBorder="1"/>
    <xf numFmtId="0" fontId="54" fillId="0" borderId="0" xfId="4" applyFont="1" applyAlignment="1">
      <alignment horizontal="left"/>
    </xf>
    <xf numFmtId="37" fontId="53" fillId="0" borderId="0" xfId="4" applyNumberFormat="1" applyFont="1"/>
    <xf numFmtId="41" fontId="54" fillId="0" borderId="0" xfId="4" applyNumberFormat="1" applyFont="1"/>
    <xf numFmtId="9" fontId="59" fillId="0" borderId="0" xfId="4" applyNumberFormat="1" applyFont="1"/>
    <xf numFmtId="166" fontId="54" fillId="0" borderId="0" xfId="4" applyNumberFormat="1" applyFont="1"/>
    <xf numFmtId="9" fontId="54" fillId="0" borderId="0" xfId="4" applyNumberFormat="1" applyFont="1"/>
    <xf numFmtId="9" fontId="53" fillId="0" borderId="0" xfId="4" applyNumberFormat="1" applyFont="1"/>
    <xf numFmtId="0" fontId="62" fillId="0" borderId="0" xfId="4" applyFont="1"/>
    <xf numFmtId="0" fontId="59" fillId="0" borderId="0" xfId="4" applyFont="1"/>
    <xf numFmtId="6" fontId="55" fillId="0" borderId="0" xfId="4" applyNumberFormat="1" applyFont="1"/>
    <xf numFmtId="5" fontId="54" fillId="0" borderId="0" xfId="4" applyNumberFormat="1" applyFont="1"/>
    <xf numFmtId="5" fontId="53" fillId="0" borderId="0" xfId="4" applyNumberFormat="1" applyFont="1"/>
    <xf numFmtId="7" fontId="55" fillId="0" borderId="0" xfId="4" applyNumberFormat="1" applyFont="1"/>
    <xf numFmtId="167" fontId="53" fillId="0" borderId="0" xfId="4" applyNumberFormat="1" applyFont="1" applyAlignment="1">
      <alignment horizontal="center"/>
    </xf>
    <xf numFmtId="167" fontId="54" fillId="0" borderId="0" xfId="4" applyNumberFormat="1" applyFont="1" applyAlignment="1">
      <alignment horizontal="center"/>
    </xf>
    <xf numFmtId="7" fontId="62" fillId="0" borderId="0" xfId="4" applyNumberFormat="1" applyFont="1"/>
    <xf numFmtId="6" fontId="54" fillId="0" borderId="0" xfId="4" applyNumberFormat="1" applyFont="1"/>
    <xf numFmtId="38" fontId="54" fillId="0" borderId="0" xfId="4" applyNumberFormat="1" applyFont="1"/>
    <xf numFmtId="164" fontId="55" fillId="0" borderId="0" xfId="4" applyNumberFormat="1" applyFont="1"/>
    <xf numFmtId="0" fontId="56" fillId="0" borderId="0" xfId="4" applyFont="1" applyAlignment="1">
      <alignment horizontal="center"/>
    </xf>
    <xf numFmtId="0" fontId="54" fillId="0" borderId="0" xfId="0" applyFont="1"/>
    <xf numFmtId="37" fontId="54" fillId="0" borderId="0" xfId="0" applyNumberFormat="1" applyFont="1"/>
    <xf numFmtId="0" fontId="55" fillId="0" borderId="4" xfId="4" applyFont="1" applyBorder="1"/>
    <xf numFmtId="0" fontId="54" fillId="0" borderId="0" xfId="4" applyFont="1" applyAlignment="1">
      <alignment vertical="top"/>
    </xf>
    <xf numFmtId="164" fontId="52" fillId="0" borderId="0" xfId="4" applyNumberFormat="1" applyFont="1" applyAlignment="1">
      <alignment vertical="top"/>
    </xf>
    <xf numFmtId="7" fontId="53" fillId="0" borderId="0" xfId="4" applyNumberFormat="1" applyFont="1" applyAlignment="1">
      <alignment vertical="top"/>
    </xf>
    <xf numFmtId="0" fontId="55" fillId="0" borderId="0" xfId="4" applyFont="1" applyAlignment="1">
      <alignment vertical="top"/>
    </xf>
    <xf numFmtId="0" fontId="55" fillId="0" borderId="4" xfId="4" applyFont="1" applyBorder="1" applyAlignment="1">
      <alignment vertical="top"/>
    </xf>
    <xf numFmtId="0" fontId="56" fillId="2" borderId="0" xfId="0" applyFont="1" applyFill="1"/>
    <xf numFmtId="0" fontId="54" fillId="2" borderId="0" xfId="0" applyFont="1" applyFill="1"/>
    <xf numFmtId="0" fontId="55" fillId="2" borderId="0" xfId="0" applyFont="1" applyFill="1" applyAlignment="1">
      <alignment horizontal="center"/>
    </xf>
    <xf numFmtId="6" fontId="54" fillId="0" borderId="0" xfId="0" applyNumberFormat="1" applyFont="1"/>
    <xf numFmtId="0" fontId="54" fillId="0" borderId="0" xfId="0" applyFont="1" applyAlignment="1">
      <alignment horizontal="left" indent="1"/>
    </xf>
    <xf numFmtId="165" fontId="54" fillId="0" borderId="0" xfId="1" applyNumberFormat="1" applyFont="1"/>
    <xf numFmtId="5" fontId="54" fillId="0" borderId="2" xfId="0" applyNumberFormat="1" applyFont="1" applyBorder="1"/>
    <xf numFmtId="9" fontId="53" fillId="0" borderId="0" xfId="0" applyNumberFormat="1" applyFont="1"/>
    <xf numFmtId="37" fontId="54" fillId="0" borderId="2" xfId="0" applyNumberFormat="1" applyFont="1" applyBorder="1"/>
    <xf numFmtId="0" fontId="54" fillId="0" borderId="3" xfId="0" applyFont="1" applyBorder="1"/>
    <xf numFmtId="0" fontId="54" fillId="0" borderId="4" xfId="0" applyFont="1" applyBorder="1"/>
    <xf numFmtId="0" fontId="54" fillId="0" borderId="4" xfId="4" applyFont="1" applyBorder="1"/>
    <xf numFmtId="170" fontId="57" fillId="0" borderId="0" xfId="4" applyNumberFormat="1" applyFont="1"/>
    <xf numFmtId="9" fontId="54" fillId="0" borderId="0" xfId="0" applyNumberFormat="1" applyFont="1"/>
    <xf numFmtId="41" fontId="48" fillId="0" borderId="0" xfId="0" applyNumberFormat="1" applyFont="1"/>
    <xf numFmtId="0" fontId="48" fillId="0" borderId="0" xfId="0" applyFont="1" applyAlignment="1">
      <alignment horizontal="centerContinuous"/>
    </xf>
    <xf numFmtId="0" fontId="52" fillId="4" borderId="4" xfId="0" applyFont="1" applyFill="1" applyBorder="1" applyAlignment="1">
      <alignment horizontal="centerContinuous"/>
    </xf>
    <xf numFmtId="0" fontId="51" fillId="3" borderId="0" xfId="0" applyFont="1" applyFill="1"/>
    <xf numFmtId="0" fontId="52" fillId="3" borderId="0" xfId="0" applyFont="1" applyFill="1"/>
    <xf numFmtId="0" fontId="51" fillId="4" borderId="12" xfId="0" applyFont="1" applyFill="1" applyBorder="1" applyAlignment="1">
      <alignment horizontal="centerContinuous"/>
    </xf>
    <xf numFmtId="8" fontId="64" fillId="0" borderId="0" xfId="4" applyNumberFormat="1" applyFont="1"/>
    <xf numFmtId="0" fontId="38" fillId="0" borderId="0" xfId="35"/>
    <xf numFmtId="0" fontId="45" fillId="0" borderId="0" xfId="35" applyFont="1"/>
    <xf numFmtId="0" fontId="65" fillId="0" borderId="0" xfId="35" applyFont="1"/>
    <xf numFmtId="0" fontId="66" fillId="0" borderId="0" xfId="35" applyFont="1"/>
    <xf numFmtId="0" fontId="70" fillId="0" borderId="0" xfId="35" applyFont="1"/>
    <xf numFmtId="0" fontId="57" fillId="0" borderId="0" xfId="4" applyFont="1"/>
    <xf numFmtId="0" fontId="36" fillId="0" borderId="3" xfId="35" applyFont="1" applyBorder="1"/>
    <xf numFmtId="172" fontId="49" fillId="0" borderId="0" xfId="0" applyNumberFormat="1" applyFont="1"/>
    <xf numFmtId="173" fontId="49" fillId="0" borderId="0" xfId="0" applyNumberFormat="1" applyFont="1"/>
    <xf numFmtId="6" fontId="49" fillId="0" borderId="0" xfId="0" applyNumberFormat="1" applyFont="1"/>
    <xf numFmtId="7" fontId="54" fillId="0" borderId="0" xfId="4" applyNumberFormat="1" applyFont="1"/>
    <xf numFmtId="6" fontId="48" fillId="0" borderId="0" xfId="0" applyNumberFormat="1" applyFont="1"/>
    <xf numFmtId="0" fontId="74" fillId="0" borderId="0" xfId="4" applyFont="1"/>
    <xf numFmtId="172" fontId="50" fillId="0" borderId="0" xfId="0" applyNumberFormat="1" applyFont="1"/>
    <xf numFmtId="0" fontId="32" fillId="0" borderId="0" xfId="40"/>
    <xf numFmtId="0" fontId="31" fillId="0" borderId="0" xfId="35" applyFont="1"/>
    <xf numFmtId="0" fontId="67" fillId="0" borderId="0" xfId="35" applyFont="1" applyAlignment="1">
      <alignment horizontal="center"/>
    </xf>
    <xf numFmtId="6" fontId="72" fillId="0" borderId="0" xfId="0" applyNumberFormat="1" applyFont="1"/>
    <xf numFmtId="0" fontId="38" fillId="0" borderId="0" xfId="35" applyAlignment="1">
      <alignment horizontal="center"/>
    </xf>
    <xf numFmtId="7" fontId="38" fillId="0" borderId="0" xfId="35" applyNumberFormat="1"/>
    <xf numFmtId="172" fontId="49" fillId="0" borderId="0" xfId="0" applyNumberFormat="1" applyFont="1" applyAlignment="1">
      <alignment horizontal="right"/>
    </xf>
    <xf numFmtId="164" fontId="49" fillId="0" borderId="0" xfId="0" applyNumberFormat="1" applyFont="1" applyAlignment="1">
      <alignment horizontal="right"/>
    </xf>
    <xf numFmtId="172" fontId="32" fillId="0" borderId="0" xfId="40" applyNumberFormat="1"/>
    <xf numFmtId="7" fontId="32" fillId="0" borderId="0" xfId="40" applyNumberFormat="1"/>
    <xf numFmtId="7" fontId="67" fillId="0" borderId="0" xfId="40" applyNumberFormat="1" applyFont="1"/>
    <xf numFmtId="6" fontId="48" fillId="0" borderId="2" xfId="0" applyNumberFormat="1" applyFont="1" applyBorder="1"/>
    <xf numFmtId="0" fontId="76" fillId="0" borderId="0" xfId="40" applyFont="1"/>
    <xf numFmtId="0" fontId="77" fillId="0" borderId="0" xfId="40" applyFont="1"/>
    <xf numFmtId="0" fontId="78" fillId="0" borderId="0" xfId="40" applyFont="1"/>
    <xf numFmtId="0" fontId="79" fillId="0" borderId="0" xfId="40" applyFont="1"/>
    <xf numFmtId="0" fontId="77" fillId="0" borderId="1" xfId="40" applyFont="1" applyBorder="1"/>
    <xf numFmtId="0" fontId="77" fillId="0" borderId="8" xfId="40" applyFont="1" applyBorder="1"/>
    <xf numFmtId="37" fontId="77" fillId="0" borderId="8" xfId="40" applyNumberFormat="1" applyFont="1" applyBorder="1"/>
    <xf numFmtId="0" fontId="77" fillId="0" borderId="6" xfId="40" applyFont="1" applyBorder="1"/>
    <xf numFmtId="0" fontId="77" fillId="0" borderId="9" xfId="40" applyFont="1" applyBorder="1"/>
    <xf numFmtId="41" fontId="53" fillId="0" borderId="0" xfId="0" applyNumberFormat="1" applyFont="1"/>
    <xf numFmtId="41" fontId="54" fillId="0" borderId="0" xfId="0" applyNumberFormat="1" applyFont="1"/>
    <xf numFmtId="0" fontId="77" fillId="2" borderId="14" xfId="40" applyFont="1" applyFill="1" applyBorder="1" applyAlignment="1">
      <alignment horizontal="centerContinuous"/>
    </xf>
    <xf numFmtId="0" fontId="77" fillId="0" borderId="16" xfId="40" applyFont="1" applyBorder="1"/>
    <xf numFmtId="0" fontId="77" fillId="0" borderId="16" xfId="40" applyFont="1" applyBorder="1" applyAlignment="1">
      <alignment horizontal="left" indent="1"/>
    </xf>
    <xf numFmtId="0" fontId="81" fillId="0" borderId="13" xfId="40" applyFont="1" applyBorder="1"/>
    <xf numFmtId="0" fontId="77" fillId="2" borderId="4" xfId="40" applyFont="1" applyFill="1" applyBorder="1" applyAlignment="1">
      <alignment horizontal="centerContinuous"/>
    </xf>
    <xf numFmtId="0" fontId="77" fillId="0" borderId="10" xfId="40" applyFont="1" applyBorder="1"/>
    <xf numFmtId="0" fontId="82" fillId="0" borderId="16" xfId="40" applyFont="1" applyBorder="1" applyAlignment="1">
      <alignment horizontal="left" indent="1"/>
    </xf>
    <xf numFmtId="0" fontId="81" fillId="5" borderId="9" xfId="40" applyFont="1" applyFill="1" applyBorder="1" applyAlignment="1">
      <alignment horizontal="centerContinuous"/>
    </xf>
    <xf numFmtId="0" fontId="81" fillId="5" borderId="1" xfId="40" applyFont="1" applyFill="1" applyBorder="1" applyAlignment="1">
      <alignment horizontal="centerContinuous"/>
    </xf>
    <xf numFmtId="0" fontId="86" fillId="4" borderId="9" xfId="40" applyFont="1" applyFill="1" applyBorder="1" applyAlignment="1">
      <alignment horizontal="centerContinuous" vertical="center"/>
    </xf>
    <xf numFmtId="0" fontId="86" fillId="4" borderId="1" xfId="40" applyFont="1" applyFill="1" applyBorder="1" applyAlignment="1">
      <alignment horizontal="centerContinuous" vertical="center"/>
    </xf>
    <xf numFmtId="0" fontId="87" fillId="4" borderId="1" xfId="40" applyFont="1" applyFill="1" applyBorder="1" applyAlignment="1">
      <alignment horizontal="centerContinuous" vertical="center"/>
    </xf>
    <xf numFmtId="0" fontId="87" fillId="4" borderId="10" xfId="40" applyFont="1" applyFill="1" applyBorder="1" applyAlignment="1">
      <alignment horizontal="centerContinuous" vertical="center"/>
    </xf>
    <xf numFmtId="0" fontId="77" fillId="0" borderId="13" xfId="40" applyFont="1" applyBorder="1" applyAlignment="1">
      <alignment horizontal="center" vertical="center" wrapText="1"/>
    </xf>
    <xf numFmtId="0" fontId="77" fillId="0" borderId="14" xfId="40" applyFont="1" applyBorder="1" applyAlignment="1">
      <alignment horizontal="center" vertical="center" wrapText="1"/>
    </xf>
    <xf numFmtId="0" fontId="77" fillId="0" borderId="4" xfId="40" applyFont="1" applyBorder="1" applyAlignment="1">
      <alignment horizontal="center" vertical="center" wrapText="1"/>
    </xf>
    <xf numFmtId="0" fontId="77" fillId="0" borderId="7" xfId="40" applyFont="1" applyBorder="1"/>
    <xf numFmtId="172" fontId="77" fillId="0" borderId="0" xfId="40" applyNumberFormat="1" applyFont="1" applyAlignment="1">
      <alignment horizontal="center"/>
    </xf>
    <xf numFmtId="0" fontId="77" fillId="0" borderId="4" xfId="40" applyFont="1" applyBorder="1"/>
    <xf numFmtId="5" fontId="77" fillId="0" borderId="0" xfId="40" applyNumberFormat="1" applyFont="1" applyAlignment="1">
      <alignment horizontal="center"/>
    </xf>
    <xf numFmtId="0" fontId="80" fillId="2" borderId="13" xfId="40" applyFont="1" applyFill="1" applyBorder="1" applyAlignment="1">
      <alignment horizontal="centerContinuous"/>
    </xf>
    <xf numFmtId="5" fontId="77" fillId="0" borderId="0" xfId="40" applyNumberFormat="1" applyFont="1" applyAlignment="1">
      <alignment horizontal="right"/>
    </xf>
    <xf numFmtId="37" fontId="77" fillId="0" borderId="0" xfId="40" applyNumberFormat="1" applyFont="1" applyAlignment="1">
      <alignment horizontal="right"/>
    </xf>
    <xf numFmtId="5" fontId="81" fillId="0" borderId="4" xfId="40" applyNumberFormat="1" applyFont="1" applyBorder="1" applyAlignment="1">
      <alignment horizontal="right"/>
    </xf>
    <xf numFmtId="0" fontId="80" fillId="0" borderId="16" xfId="40" applyFont="1" applyBorder="1"/>
    <xf numFmtId="0" fontId="90" fillId="0" borderId="16" xfId="40" applyFont="1" applyBorder="1" applyAlignment="1">
      <alignment horizontal="left" indent="1"/>
    </xf>
    <xf numFmtId="9" fontId="90" fillId="0" borderId="8" xfId="2" applyFont="1" applyBorder="1"/>
    <xf numFmtId="37" fontId="77" fillId="0" borderId="0" xfId="40" applyNumberFormat="1" applyFont="1" applyAlignment="1">
      <alignment horizontal="right" indent="1"/>
    </xf>
    <xf numFmtId="9" fontId="77" fillId="0" borderId="10" xfId="2" applyFont="1" applyBorder="1"/>
    <xf numFmtId="0" fontId="77" fillId="0" borderId="15" xfId="40" applyFont="1" applyBorder="1"/>
    <xf numFmtId="174" fontId="82" fillId="0" borderId="0" xfId="40" applyNumberFormat="1" applyFont="1" applyAlignment="1">
      <alignment horizontal="right" indent="1"/>
    </xf>
    <xf numFmtId="0" fontId="77" fillId="0" borderId="0" xfId="40" applyFont="1" applyAlignment="1">
      <alignment horizontal="center"/>
    </xf>
    <xf numFmtId="5" fontId="77" fillId="0" borderId="1" xfId="40" applyNumberFormat="1" applyFont="1" applyBorder="1" applyAlignment="1">
      <alignment horizontal="right" indent="1"/>
    </xf>
    <xf numFmtId="8" fontId="77" fillId="0" borderId="0" xfId="40" applyNumberFormat="1" applyFont="1" applyAlignment="1">
      <alignment horizontal="center"/>
    </xf>
    <xf numFmtId="177" fontId="77" fillId="0" borderId="15" xfId="40" applyNumberFormat="1" applyFont="1" applyBorder="1" applyAlignment="1">
      <alignment horizontal="center"/>
    </xf>
    <xf numFmtId="41" fontId="77" fillId="0" borderId="8" xfId="40" applyNumberFormat="1" applyFont="1" applyBorder="1"/>
    <xf numFmtId="0" fontId="80" fillId="0" borderId="8" xfId="40" applyFont="1" applyBorder="1" applyAlignment="1">
      <alignment horizontal="right"/>
    </xf>
    <xf numFmtId="37" fontId="77" fillId="0" borderId="14" xfId="40" applyNumberFormat="1" applyFont="1" applyBorder="1"/>
    <xf numFmtId="0" fontId="91" fillId="0" borderId="0" xfId="0" applyFont="1" applyAlignment="1">
      <alignment horizontal="center"/>
    </xf>
    <xf numFmtId="0" fontId="56" fillId="0" borderId="0" xfId="4" applyFont="1" applyAlignment="1">
      <alignment horizontal="right"/>
    </xf>
    <xf numFmtId="172" fontId="54" fillId="0" borderId="0" xfId="4" applyNumberFormat="1" applyFont="1"/>
    <xf numFmtId="166" fontId="55" fillId="0" borderId="0" xfId="4" applyNumberFormat="1" applyFont="1"/>
    <xf numFmtId="0" fontId="53" fillId="0" borderId="0" xfId="4" applyFont="1" applyAlignment="1">
      <alignment horizontal="center"/>
    </xf>
    <xf numFmtId="0" fontId="25" fillId="0" borderId="6" xfId="35" applyFont="1" applyBorder="1"/>
    <xf numFmtId="0" fontId="25" fillId="0" borderId="9" xfId="35" applyFont="1" applyBorder="1"/>
    <xf numFmtId="0" fontId="25" fillId="0" borderId="13" xfId="35" applyFont="1" applyBorder="1"/>
    <xf numFmtId="0" fontId="34" fillId="0" borderId="0" xfId="35" applyFont="1"/>
    <xf numFmtId="10" fontId="68" fillId="0" borderId="0" xfId="35" applyNumberFormat="1" applyFont="1"/>
    <xf numFmtId="0" fontId="71" fillId="0" borderId="6" xfId="4" applyFont="1" applyBorder="1"/>
    <xf numFmtId="0" fontId="73" fillId="0" borderId="16" xfId="0" applyFont="1" applyBorder="1"/>
    <xf numFmtId="0" fontId="71" fillId="0" borderId="13" xfId="4" applyFont="1" applyBorder="1"/>
    <xf numFmtId="0" fontId="73" fillId="0" borderId="6" xfId="0" applyFont="1" applyBorder="1"/>
    <xf numFmtId="7" fontId="67" fillId="0" borderId="7" xfId="35" applyNumberFormat="1" applyFont="1" applyBorder="1"/>
    <xf numFmtId="8" fontId="49" fillId="0" borderId="0" xfId="4" applyNumberFormat="1" applyFont="1"/>
    <xf numFmtId="0" fontId="57" fillId="0" borderId="0" xfId="4" applyFont="1" applyAlignment="1">
      <alignment horizontal="center"/>
    </xf>
    <xf numFmtId="0" fontId="54" fillId="6" borderId="0" xfId="4" applyFont="1" applyFill="1"/>
    <xf numFmtId="0" fontId="55" fillId="6" borderId="0" xfId="4" applyFont="1" applyFill="1" applyAlignment="1">
      <alignment horizontal="center"/>
    </xf>
    <xf numFmtId="17" fontId="55" fillId="6" borderId="0" xfId="4" applyNumberFormat="1" applyFont="1" applyFill="1" applyAlignment="1">
      <alignment horizontal="center"/>
    </xf>
    <xf numFmtId="0" fontId="55" fillId="6" borderId="0" xfId="4" applyFont="1" applyFill="1"/>
    <xf numFmtId="37" fontId="54" fillId="6" borderId="0" xfId="4" applyNumberFormat="1" applyFont="1" applyFill="1"/>
    <xf numFmtId="0" fontId="56" fillId="6" borderId="0" xfId="4" applyFont="1" applyFill="1"/>
    <xf numFmtId="7" fontId="54" fillId="6" borderId="0" xfId="4" applyNumberFormat="1" applyFont="1" applyFill="1"/>
    <xf numFmtId="166" fontId="54" fillId="6" borderId="0" xfId="4" applyNumberFormat="1" applyFont="1" applyFill="1"/>
    <xf numFmtId="8" fontId="54" fillId="6" borderId="0" xfId="4" applyNumberFormat="1" applyFont="1" applyFill="1"/>
    <xf numFmtId="174" fontId="67" fillId="0" borderId="14" xfId="35" applyNumberFormat="1" applyFont="1" applyBorder="1"/>
    <xf numFmtId="5" fontId="53" fillId="0" borderId="0" xfId="40" applyNumberFormat="1" applyFont="1"/>
    <xf numFmtId="172" fontId="67" fillId="0" borderId="0" xfId="40" applyNumberFormat="1" applyFont="1"/>
    <xf numFmtId="0" fontId="71" fillId="0" borderId="16" xfId="4" applyFont="1" applyBorder="1"/>
    <xf numFmtId="7" fontId="54" fillId="0" borderId="0" xfId="4" applyNumberFormat="1" applyFont="1" applyAlignment="1">
      <alignment vertical="top"/>
    </xf>
    <xf numFmtId="0" fontId="54" fillId="6" borderId="0" xfId="4" applyFont="1" applyFill="1" applyAlignment="1">
      <alignment vertical="top"/>
    </xf>
    <xf numFmtId="5" fontId="54" fillId="6" borderId="0" xfId="2" applyNumberFormat="1" applyFont="1" applyFill="1" applyBorder="1" applyAlignment="1">
      <alignment vertical="top"/>
    </xf>
    <xf numFmtId="7" fontId="54" fillId="6" borderId="0" xfId="4" applyNumberFormat="1" applyFont="1" applyFill="1" applyAlignment="1">
      <alignment vertical="top"/>
    </xf>
    <xf numFmtId="173" fontId="54" fillId="0" borderId="5" xfId="0" applyNumberFormat="1" applyFont="1" applyBorder="1" applyAlignment="1">
      <alignment horizontal="right"/>
    </xf>
    <xf numFmtId="165" fontId="54" fillId="0" borderId="0" xfId="1" applyNumberFormat="1" applyFont="1" applyBorder="1"/>
    <xf numFmtId="178" fontId="57" fillId="0" borderId="0" xfId="4" applyNumberFormat="1" applyFont="1" applyAlignment="1">
      <alignment horizontal="center"/>
    </xf>
    <xf numFmtId="178" fontId="55" fillId="0" borderId="0" xfId="4" applyNumberFormat="1" applyFont="1" applyAlignment="1">
      <alignment horizontal="center"/>
    </xf>
    <xf numFmtId="178" fontId="55" fillId="2" borderId="0" xfId="0" applyNumberFormat="1" applyFont="1" applyFill="1" applyAlignment="1">
      <alignment horizontal="center"/>
    </xf>
    <xf numFmtId="0" fontId="54" fillId="0" borderId="0" xfId="4" applyFont="1" applyAlignment="1">
      <alignment horizontal="left" vertical="top" indent="1"/>
    </xf>
    <xf numFmtId="5" fontId="54" fillId="6" borderId="2" xfId="4" applyNumberFormat="1" applyFont="1" applyFill="1" applyBorder="1"/>
    <xf numFmtId="37" fontId="54" fillId="6" borderId="2" xfId="4" applyNumberFormat="1" applyFont="1" applyFill="1" applyBorder="1"/>
    <xf numFmtId="8" fontId="55" fillId="6" borderId="0" xfId="4" applyNumberFormat="1" applyFont="1" applyFill="1" applyAlignment="1">
      <alignment horizontal="center"/>
    </xf>
    <xf numFmtId="7" fontId="67" fillId="0" borderId="0" xfId="35" applyNumberFormat="1" applyFont="1"/>
    <xf numFmtId="6" fontId="77" fillId="0" borderId="0" xfId="40" applyNumberFormat="1" applyFont="1" applyAlignment="1">
      <alignment horizontal="center"/>
    </xf>
    <xf numFmtId="176" fontId="77" fillId="0" borderId="0" xfId="40" applyNumberFormat="1" applyFont="1" applyAlignment="1">
      <alignment horizontal="center"/>
    </xf>
    <xf numFmtId="0" fontId="77" fillId="6" borderId="0" xfId="40" applyFont="1" applyFill="1" applyAlignment="1">
      <alignment horizontal="centerContinuous"/>
    </xf>
    <xf numFmtId="0" fontId="88" fillId="6" borderId="0" xfId="40" applyFont="1" applyFill="1" applyAlignment="1">
      <alignment horizontal="centerContinuous" vertical="center"/>
    </xf>
    <xf numFmtId="0" fontId="77" fillId="6" borderId="0" xfId="40" applyFont="1" applyFill="1" applyAlignment="1">
      <alignment horizontal="center" vertical="center" wrapText="1"/>
    </xf>
    <xf numFmtId="5" fontId="77" fillId="6" borderId="0" xfId="40" applyNumberFormat="1" applyFont="1" applyFill="1" applyAlignment="1">
      <alignment horizontal="center"/>
    </xf>
    <xf numFmtId="172" fontId="77" fillId="6" borderId="0" xfId="40" applyNumberFormat="1" applyFont="1" applyFill="1" applyAlignment="1">
      <alignment horizontal="center"/>
    </xf>
    <xf numFmtId="7" fontId="77" fillId="6" borderId="0" xfId="40" applyNumberFormat="1" applyFont="1" applyFill="1" applyAlignment="1">
      <alignment horizontal="center"/>
    </xf>
    <xf numFmtId="0" fontId="77" fillId="0" borderId="0" xfId="40" applyFont="1" applyAlignment="1">
      <alignment horizontal="left" indent="1"/>
    </xf>
    <xf numFmtId="0" fontId="89" fillId="0" borderId="15" xfId="40" applyFont="1" applyBorder="1"/>
    <xf numFmtId="0" fontId="77" fillId="6" borderId="0" xfId="40" applyFont="1" applyFill="1"/>
    <xf numFmtId="0" fontId="77" fillId="6" borderId="0" xfId="40" applyFont="1" applyFill="1" applyAlignment="1">
      <alignment horizontal="left"/>
    </xf>
    <xf numFmtId="5" fontId="81" fillId="0" borderId="15" xfId="40" applyNumberFormat="1" applyFont="1" applyBorder="1" applyAlignment="1">
      <alignment horizontal="right" indent="1"/>
    </xf>
    <xf numFmtId="5" fontId="77" fillId="0" borderId="15" xfId="40" applyNumberFormat="1" applyFont="1" applyBorder="1" applyAlignment="1">
      <alignment horizontal="center"/>
    </xf>
    <xf numFmtId="172" fontId="77" fillId="0" borderId="15" xfId="40" applyNumberFormat="1" applyFont="1" applyBorder="1" applyAlignment="1">
      <alignment horizontal="center"/>
    </xf>
    <xf numFmtId="7" fontId="77" fillId="0" borderId="15" xfId="40" applyNumberFormat="1" applyFont="1" applyBorder="1" applyAlignment="1">
      <alignment horizontal="center"/>
    </xf>
    <xf numFmtId="5" fontId="77" fillId="0" borderId="7" xfId="40" applyNumberFormat="1" applyFont="1" applyBorder="1" applyAlignment="1">
      <alignment horizontal="center"/>
    </xf>
    <xf numFmtId="168" fontId="54" fillId="6" borderId="0" xfId="4" applyNumberFormat="1" applyFont="1" applyFill="1" applyAlignment="1">
      <alignment horizontal="right" vertical="top"/>
    </xf>
    <xf numFmtId="173" fontId="54" fillId="0" borderId="14" xfId="0" applyNumberFormat="1" applyFont="1" applyBorder="1" applyAlignment="1">
      <alignment horizontal="right"/>
    </xf>
    <xf numFmtId="0" fontId="83" fillId="0" borderId="0" xfId="0" applyFont="1" applyAlignment="1">
      <alignment horizontal="center"/>
    </xf>
    <xf numFmtId="41" fontId="82" fillId="0" borderId="8" xfId="40" applyNumberFormat="1" applyFont="1" applyBorder="1"/>
    <xf numFmtId="174" fontId="77" fillId="6" borderId="0" xfId="40" applyNumberFormat="1" applyFont="1" applyFill="1" applyAlignment="1">
      <alignment horizontal="right" indent="1"/>
    </xf>
    <xf numFmtId="175" fontId="77" fillId="6" borderId="0" xfId="40" applyNumberFormat="1" applyFont="1" applyFill="1" applyAlignment="1">
      <alignment horizontal="right" indent="1"/>
    </xf>
    <xf numFmtId="0" fontId="87" fillId="4" borderId="14" xfId="40" applyFont="1" applyFill="1" applyBorder="1" applyAlignment="1">
      <alignment horizontal="centerContinuous" vertical="center"/>
    </xf>
    <xf numFmtId="2" fontId="77" fillId="2" borderId="4" xfId="40" applyNumberFormat="1" applyFont="1" applyFill="1" applyBorder="1" applyAlignment="1">
      <alignment horizontal="centerContinuous"/>
    </xf>
    <xf numFmtId="0" fontId="77" fillId="0" borderId="0" xfId="40" applyFont="1" applyAlignment="1">
      <alignment horizontal="right"/>
    </xf>
    <xf numFmtId="0" fontId="55" fillId="0" borderId="0" xfId="4" applyFont="1" applyAlignment="1">
      <alignment horizontal="right" vertical="center" textRotation="90" wrapText="1"/>
    </xf>
    <xf numFmtId="172" fontId="54" fillId="0" borderId="0" xfId="0" applyNumberFormat="1" applyFont="1"/>
    <xf numFmtId="172" fontId="54" fillId="0" borderId="0" xfId="4" applyNumberFormat="1" applyFont="1" applyAlignment="1">
      <alignment horizontal="right"/>
    </xf>
    <xf numFmtId="173" fontId="92" fillId="0" borderId="0" xfId="4" applyNumberFormat="1" applyFont="1"/>
    <xf numFmtId="0" fontId="55" fillId="0" borderId="0" xfId="4" applyFont="1" applyAlignment="1">
      <alignment horizontal="right" vertical="center" textRotation="90"/>
    </xf>
    <xf numFmtId="2" fontId="80" fillId="2" borderId="13" xfId="40" applyNumberFormat="1" applyFont="1" applyFill="1" applyBorder="1" applyAlignment="1">
      <alignment horizontal="centerContinuous"/>
    </xf>
    <xf numFmtId="2" fontId="90" fillId="2" borderId="4" xfId="2" applyNumberFormat="1" applyFont="1" applyFill="1" applyBorder="1" applyAlignment="1">
      <alignment horizontal="centerContinuous"/>
    </xf>
    <xf numFmtId="2" fontId="90" fillId="2" borderId="14" xfId="2" applyNumberFormat="1" applyFont="1" applyFill="1" applyBorder="1" applyAlignment="1">
      <alignment horizontal="centerContinuous"/>
    </xf>
    <xf numFmtId="0" fontId="81" fillId="0" borderId="16" xfId="40" applyFont="1" applyBorder="1" applyAlignment="1">
      <alignment horizontal="center"/>
    </xf>
    <xf numFmtId="0" fontId="81" fillId="0" borderId="0" xfId="40" applyFont="1" applyAlignment="1">
      <alignment horizontal="center"/>
    </xf>
    <xf numFmtId="9" fontId="93" fillId="0" borderId="0" xfId="2" applyFont="1" applyFill="1" applyBorder="1" applyAlignment="1">
      <alignment horizontal="center"/>
    </xf>
    <xf numFmtId="0" fontId="24" fillId="0" borderId="0" xfId="35" applyFont="1"/>
    <xf numFmtId="164" fontId="67" fillId="0" borderId="0" xfId="35" applyNumberFormat="1" applyFont="1"/>
    <xf numFmtId="0" fontId="66" fillId="0" borderId="0" xfId="51" applyFont="1"/>
    <xf numFmtId="0" fontId="25" fillId="0" borderId="0" xfId="51"/>
    <xf numFmtId="0" fontId="65" fillId="0" borderId="0" xfId="51" applyFont="1"/>
    <xf numFmtId="0" fontId="45" fillId="0" borderId="0" xfId="51" applyFont="1"/>
    <xf numFmtId="0" fontId="63" fillId="0" borderId="6" xfId="51" applyFont="1" applyBorder="1"/>
    <xf numFmtId="5" fontId="94" fillId="0" borderId="7" xfId="51" applyNumberFormat="1" applyFont="1" applyBorder="1"/>
    <xf numFmtId="0" fontId="63" fillId="0" borderId="16" xfId="51" applyFont="1" applyBorder="1"/>
    <xf numFmtId="0" fontId="63" fillId="0" borderId="9" xfId="51" applyFont="1" applyBorder="1"/>
    <xf numFmtId="0" fontId="63" fillId="0" borderId="1" xfId="51" applyFont="1" applyBorder="1"/>
    <xf numFmtId="0" fontId="63" fillId="0" borderId="1" xfId="51" applyFont="1" applyBorder="1" applyAlignment="1">
      <alignment horizontal="right"/>
    </xf>
    <xf numFmtId="0" fontId="63" fillId="0" borderId="1" xfId="51" applyFont="1" applyBorder="1" applyAlignment="1">
      <alignment horizontal="center" wrapText="1"/>
    </xf>
    <xf numFmtId="14" fontId="25" fillId="0" borderId="0" xfId="51" applyNumberFormat="1" applyAlignment="1">
      <alignment horizontal="left"/>
    </xf>
    <xf numFmtId="166" fontId="25" fillId="0" borderId="0" xfId="51" applyNumberFormat="1"/>
    <xf numFmtId="179" fontId="25" fillId="0" borderId="0" xfId="51" applyNumberFormat="1"/>
    <xf numFmtId="5" fontId="25" fillId="0" borderId="0" xfId="51" applyNumberFormat="1"/>
    <xf numFmtId="0" fontId="63" fillId="0" borderId="15" xfId="51" applyFont="1" applyBorder="1"/>
    <xf numFmtId="166" fontId="63" fillId="0" borderId="15" xfId="51" applyNumberFormat="1" applyFont="1" applyBorder="1"/>
    <xf numFmtId="37" fontId="63" fillId="0" borderId="15" xfId="51" applyNumberFormat="1" applyFont="1" applyBorder="1"/>
    <xf numFmtId="179" fontId="63" fillId="0" borderId="15" xfId="51" applyNumberFormat="1" applyFont="1" applyBorder="1"/>
    <xf numFmtId="5" fontId="63" fillId="0" borderId="15" xfId="51" applyNumberFormat="1" applyFont="1" applyBorder="1"/>
    <xf numFmtId="179" fontId="68" fillId="0" borderId="10" xfId="51" applyNumberFormat="1" applyFont="1" applyBorder="1"/>
    <xf numFmtId="0" fontId="22" fillId="0" borderId="0" xfId="35" applyFont="1"/>
    <xf numFmtId="37" fontId="55" fillId="6" borderId="2" xfId="4" applyNumberFormat="1" applyFont="1" applyFill="1" applyBorder="1"/>
    <xf numFmtId="164" fontId="59" fillId="6" borderId="0" xfId="4" applyNumberFormat="1" applyFont="1" applyFill="1"/>
    <xf numFmtId="0" fontId="22" fillId="0" borderId="6" xfId="35" applyFont="1" applyBorder="1"/>
    <xf numFmtId="0" fontId="21" fillId="0" borderId="0" xfId="35" applyFont="1"/>
    <xf numFmtId="0" fontId="21" fillId="0" borderId="0" xfId="51" applyFont="1"/>
    <xf numFmtId="0" fontId="63" fillId="0" borderId="0" xfId="51" applyFont="1"/>
    <xf numFmtId="37" fontId="25" fillId="0" borderId="0" xfId="51" applyNumberFormat="1" applyAlignment="1">
      <alignment horizontal="center"/>
    </xf>
    <xf numFmtId="0" fontId="21" fillId="0" borderId="9" xfId="35" applyFont="1" applyBorder="1"/>
    <xf numFmtId="37" fontId="73" fillId="0" borderId="0" xfId="0" applyNumberFormat="1" applyFont="1"/>
    <xf numFmtId="9" fontId="77" fillId="0" borderId="0" xfId="40" applyNumberFormat="1" applyFont="1" applyAlignment="1">
      <alignment horizontal="left" indent="1"/>
    </xf>
    <xf numFmtId="0" fontId="20" fillId="0" borderId="6" xfId="35" applyFont="1" applyBorder="1"/>
    <xf numFmtId="0" fontId="20" fillId="0" borderId="9" xfId="35" applyFont="1" applyBorder="1"/>
    <xf numFmtId="9" fontId="90" fillId="6" borderId="8" xfId="2" applyFont="1" applyFill="1" applyBorder="1"/>
    <xf numFmtId="0" fontId="77" fillId="6" borderId="0" xfId="40" applyFont="1" applyFill="1" applyAlignment="1">
      <alignment horizontal="left" indent="1"/>
    </xf>
    <xf numFmtId="0" fontId="89" fillId="0" borderId="6" xfId="40" applyFont="1" applyBorder="1"/>
    <xf numFmtId="0" fontId="89" fillId="0" borderId="15" xfId="40" applyFont="1" applyBorder="1" applyAlignment="1">
      <alignment horizontal="left" indent="1"/>
    </xf>
    <xf numFmtId="0" fontId="89" fillId="0" borderId="15" xfId="40" applyFont="1" applyBorder="1" applyAlignment="1">
      <alignment horizontal="center"/>
    </xf>
    <xf numFmtId="7" fontId="77" fillId="0" borderId="0" xfId="40" applyNumberFormat="1" applyFont="1"/>
    <xf numFmtId="5" fontId="77" fillId="0" borderId="0" xfId="40" applyNumberFormat="1" applyFont="1"/>
    <xf numFmtId="5" fontId="55" fillId="0" borderId="15" xfId="4" applyNumberFormat="1" applyFont="1" applyBorder="1" applyAlignment="1">
      <alignment vertical="top"/>
    </xf>
    <xf numFmtId="0" fontId="55" fillId="0" borderId="13" xfId="4" applyFont="1" applyBorder="1"/>
    <xf numFmtId="0" fontId="55" fillId="0" borderId="13" xfId="4" applyFont="1" applyBorder="1" applyAlignment="1">
      <alignment vertical="top"/>
    </xf>
    <xf numFmtId="5" fontId="55" fillId="0" borderId="14" xfId="4" applyNumberFormat="1" applyFont="1" applyBorder="1" applyAlignment="1">
      <alignment vertical="top"/>
    </xf>
    <xf numFmtId="169" fontId="55" fillId="0" borderId="14" xfId="4" applyNumberFormat="1" applyFont="1" applyBorder="1" applyAlignment="1">
      <alignment vertical="top"/>
    </xf>
    <xf numFmtId="5" fontId="54" fillId="0" borderId="0" xfId="4" applyNumberFormat="1" applyFont="1" applyAlignment="1">
      <alignment vertical="top"/>
    </xf>
    <xf numFmtId="5" fontId="25" fillId="0" borderId="0" xfId="51" applyNumberFormat="1" applyAlignment="1">
      <alignment horizontal="center"/>
    </xf>
    <xf numFmtId="180" fontId="67" fillId="6" borderId="10" xfId="35" applyNumberFormat="1" applyFont="1" applyFill="1" applyBorder="1" applyAlignment="1">
      <alignment horizontal="right"/>
    </xf>
    <xf numFmtId="37" fontId="55" fillId="0" borderId="0" xfId="4" applyNumberFormat="1" applyFont="1" applyAlignment="1">
      <alignment horizontal="center"/>
    </xf>
    <xf numFmtId="37" fontId="64" fillId="0" borderId="0" xfId="4" applyNumberFormat="1" applyFont="1"/>
    <xf numFmtId="5" fontId="64" fillId="0" borderId="0" xfId="4" applyNumberFormat="1" applyFont="1"/>
    <xf numFmtId="174" fontId="53" fillId="0" borderId="0" xfId="4" applyNumberFormat="1" applyFont="1" applyAlignment="1">
      <alignment horizontal="right"/>
    </xf>
    <xf numFmtId="5" fontId="55" fillId="0" borderId="0" xfId="4" applyNumberFormat="1" applyFont="1"/>
    <xf numFmtId="37" fontId="64" fillId="0" borderId="0" xfId="4" applyNumberFormat="1" applyFont="1" applyAlignment="1">
      <alignment vertical="top"/>
    </xf>
    <xf numFmtId="6" fontId="53" fillId="6" borderId="0" xfId="4" applyNumberFormat="1" applyFont="1" applyFill="1" applyAlignment="1">
      <alignment vertical="top"/>
    </xf>
    <xf numFmtId="5" fontId="55" fillId="0" borderId="0" xfId="4" applyNumberFormat="1" applyFont="1" applyAlignment="1">
      <alignment vertical="top"/>
    </xf>
    <xf numFmtId="169" fontId="55" fillId="0" borderId="0" xfId="4" applyNumberFormat="1" applyFont="1" applyAlignment="1">
      <alignment vertical="top"/>
    </xf>
    <xf numFmtId="0" fontId="19" fillId="0" borderId="16" xfId="35" applyFont="1" applyBorder="1"/>
    <xf numFmtId="0" fontId="19" fillId="0" borderId="9" xfId="35" applyFont="1" applyBorder="1"/>
    <xf numFmtId="0" fontId="19" fillId="0" borderId="6" xfId="35" applyFont="1" applyBorder="1"/>
    <xf numFmtId="2" fontId="81" fillId="6" borderId="0" xfId="40" applyNumberFormat="1" applyFont="1" applyFill="1" applyAlignment="1">
      <alignment horizontal="centerContinuous"/>
    </xf>
    <xf numFmtId="2" fontId="77" fillId="6" borderId="0" xfId="40" applyNumberFormat="1" applyFont="1" applyFill="1" applyAlignment="1">
      <alignment horizontal="centerContinuous"/>
    </xf>
    <xf numFmtId="0" fontId="98" fillId="0" borderId="0" xfId="57" applyFont="1"/>
    <xf numFmtId="0" fontId="99" fillId="0" borderId="0" xfId="57" applyFont="1"/>
    <xf numFmtId="0" fontId="100" fillId="0" borderId="0" xfId="57" applyFont="1" applyAlignment="1">
      <alignment horizontal="centerContinuous"/>
    </xf>
    <xf numFmtId="0" fontId="101" fillId="0" borderId="0" xfId="57" applyFont="1" applyAlignment="1">
      <alignment horizontal="centerContinuous"/>
    </xf>
    <xf numFmtId="0" fontId="99" fillId="0" borderId="0" xfId="57" applyFont="1" applyAlignment="1">
      <alignment horizontal="centerContinuous"/>
    </xf>
    <xf numFmtId="0" fontId="102" fillId="9" borderId="25" xfId="57" applyFont="1" applyFill="1" applyBorder="1"/>
    <xf numFmtId="0" fontId="102" fillId="9" borderId="26" xfId="57" applyFont="1" applyFill="1" applyBorder="1"/>
    <xf numFmtId="181" fontId="102" fillId="9" borderId="27" xfId="57" applyNumberFormat="1" applyFont="1" applyFill="1" applyBorder="1" applyAlignment="1">
      <alignment horizontal="center"/>
    </xf>
    <xf numFmtId="0" fontId="103" fillId="6" borderId="19" xfId="57" applyFont="1" applyFill="1" applyBorder="1" applyAlignment="1">
      <alignment horizontal="left" indent="1"/>
    </xf>
    <xf numFmtId="0" fontId="103" fillId="6" borderId="0" xfId="57" applyFont="1" applyFill="1" applyAlignment="1">
      <alignment horizontal="left" indent="1"/>
    </xf>
    <xf numFmtId="165" fontId="103" fillId="6" borderId="20" xfId="57" applyNumberFormat="1" applyFont="1" applyFill="1" applyBorder="1"/>
    <xf numFmtId="0" fontId="103" fillId="6" borderId="28" xfId="57" applyFont="1" applyFill="1" applyBorder="1" applyAlignment="1">
      <alignment horizontal="left" indent="1"/>
    </xf>
    <xf numFmtId="165" fontId="103" fillId="6" borderId="29" xfId="57" applyNumberFormat="1" applyFont="1" applyFill="1" applyBorder="1"/>
    <xf numFmtId="0" fontId="102" fillId="6" borderId="19" xfId="57" applyFont="1" applyFill="1" applyBorder="1" applyAlignment="1">
      <alignment horizontal="left"/>
    </xf>
    <xf numFmtId="0" fontId="102" fillId="6" borderId="0" xfId="57" applyFont="1" applyFill="1" applyAlignment="1">
      <alignment horizontal="left"/>
    </xf>
    <xf numFmtId="165" fontId="102" fillId="6" borderId="20" xfId="57" applyNumberFormat="1" applyFont="1" applyFill="1" applyBorder="1"/>
    <xf numFmtId="0" fontId="102" fillId="6" borderId="30" xfId="57" applyFont="1" applyFill="1" applyBorder="1" applyAlignment="1">
      <alignment horizontal="left"/>
    </xf>
    <xf numFmtId="165" fontId="102" fillId="6" borderId="31" xfId="57" applyNumberFormat="1" applyFont="1" applyFill="1" applyBorder="1"/>
    <xf numFmtId="0" fontId="102" fillId="6" borderId="28" xfId="57" applyFont="1" applyFill="1" applyBorder="1" applyAlignment="1">
      <alignment horizontal="left"/>
    </xf>
    <xf numFmtId="165" fontId="103" fillId="6" borderId="31" xfId="57" applyNumberFormat="1" applyFont="1" applyFill="1" applyBorder="1"/>
    <xf numFmtId="0" fontId="102" fillId="10" borderId="32" xfId="57" applyFont="1" applyFill="1" applyBorder="1" applyAlignment="1">
      <alignment horizontal="left"/>
    </xf>
    <xf numFmtId="0" fontId="102" fillId="10" borderId="0" xfId="57" applyFont="1" applyFill="1" applyAlignment="1">
      <alignment horizontal="left"/>
    </xf>
    <xf numFmtId="165" fontId="102" fillId="10" borderId="33" xfId="57" applyNumberFormat="1" applyFont="1" applyFill="1" applyBorder="1"/>
    <xf numFmtId="0" fontId="103" fillId="0" borderId="19" xfId="57" applyFont="1" applyBorder="1"/>
    <xf numFmtId="0" fontId="103" fillId="0" borderId="0" xfId="57" applyFont="1"/>
    <xf numFmtId="0" fontId="103" fillId="0" borderId="20" xfId="57" applyFont="1" applyBorder="1"/>
    <xf numFmtId="0" fontId="102" fillId="10" borderId="34" xfId="57" applyFont="1" applyFill="1" applyBorder="1" applyAlignment="1">
      <alignment horizontal="left" wrapText="1"/>
    </xf>
    <xf numFmtId="0" fontId="102" fillId="10" borderId="35" xfId="57" applyFont="1" applyFill="1" applyBorder="1" applyAlignment="1">
      <alignment horizontal="left" wrapText="1"/>
    </xf>
    <xf numFmtId="9" fontId="102" fillId="10" borderId="36" xfId="58" applyFont="1" applyFill="1" applyBorder="1"/>
    <xf numFmtId="165" fontId="102" fillId="10" borderId="0" xfId="57" applyNumberFormat="1" applyFont="1" applyFill="1"/>
    <xf numFmtId="0" fontId="102" fillId="10" borderId="17" xfId="57" applyFont="1" applyFill="1" applyBorder="1" applyAlignment="1">
      <alignment horizontal="left"/>
    </xf>
    <xf numFmtId="0" fontId="102" fillId="10" borderId="37" xfId="57" applyFont="1" applyFill="1" applyBorder="1" applyAlignment="1">
      <alignment horizontal="left"/>
    </xf>
    <xf numFmtId="165" fontId="102" fillId="10" borderId="18" xfId="57" applyNumberFormat="1" applyFont="1" applyFill="1" applyBorder="1"/>
    <xf numFmtId="0" fontId="102" fillId="10" borderId="19" xfId="57" applyFont="1" applyFill="1" applyBorder="1" applyAlignment="1">
      <alignment horizontal="left"/>
    </xf>
    <xf numFmtId="165" fontId="102" fillId="10" borderId="20" xfId="57" applyNumberFormat="1" applyFont="1" applyFill="1" applyBorder="1"/>
    <xf numFmtId="0" fontId="104" fillId="10" borderId="19" xfId="57" applyFont="1" applyFill="1" applyBorder="1" applyAlignment="1">
      <alignment horizontal="left" indent="1"/>
    </xf>
    <xf numFmtId="0" fontId="104" fillId="10" borderId="0" xfId="57" applyFont="1" applyFill="1" applyAlignment="1">
      <alignment horizontal="left" indent="1"/>
    </xf>
    <xf numFmtId="165" fontId="104" fillId="10" borderId="20" xfId="57" applyNumberFormat="1" applyFont="1" applyFill="1" applyBorder="1"/>
    <xf numFmtId="0" fontId="102" fillId="10" borderId="34" xfId="57" applyFont="1" applyFill="1" applyBorder="1" applyAlignment="1">
      <alignment horizontal="left"/>
    </xf>
    <xf numFmtId="0" fontId="102" fillId="10" borderId="35" xfId="57" applyFont="1" applyFill="1" applyBorder="1" applyAlignment="1">
      <alignment horizontal="left"/>
    </xf>
    <xf numFmtId="165" fontId="102" fillId="10" borderId="36" xfId="57" applyNumberFormat="1" applyFont="1" applyFill="1" applyBorder="1"/>
    <xf numFmtId="9" fontId="102" fillId="10" borderId="18" xfId="58" applyFont="1" applyFill="1" applyBorder="1"/>
    <xf numFmtId="9" fontId="102" fillId="10" borderId="20" xfId="58" applyFont="1" applyFill="1" applyBorder="1"/>
    <xf numFmtId="9" fontId="104" fillId="10" borderId="20" xfId="58" applyFont="1" applyFill="1" applyBorder="1"/>
    <xf numFmtId="9" fontId="99" fillId="0" borderId="0" xfId="58" applyFont="1"/>
    <xf numFmtId="165" fontId="104" fillId="10" borderId="0" xfId="58" applyNumberFormat="1" applyFont="1" applyFill="1" applyBorder="1"/>
    <xf numFmtId="181" fontId="102" fillId="9" borderId="38" xfId="57" applyNumberFormat="1" applyFont="1" applyFill="1" applyBorder="1" applyAlignment="1">
      <alignment horizontal="center"/>
    </xf>
    <xf numFmtId="165" fontId="103" fillId="6" borderId="39" xfId="57" applyNumberFormat="1" applyFont="1" applyFill="1" applyBorder="1"/>
    <xf numFmtId="165" fontId="103" fillId="6" borderId="40" xfId="57" applyNumberFormat="1" applyFont="1" applyFill="1" applyBorder="1"/>
    <xf numFmtId="165" fontId="102" fillId="6" borderId="39" xfId="57" applyNumberFormat="1" applyFont="1" applyFill="1" applyBorder="1"/>
    <xf numFmtId="165" fontId="102" fillId="6" borderId="41" xfId="57" applyNumberFormat="1" applyFont="1" applyFill="1" applyBorder="1"/>
    <xf numFmtId="165" fontId="103" fillId="6" borderId="41" xfId="57" applyNumberFormat="1" applyFont="1" applyFill="1" applyBorder="1"/>
    <xf numFmtId="165" fontId="102" fillId="10" borderId="42" xfId="57" applyNumberFormat="1" applyFont="1" applyFill="1" applyBorder="1"/>
    <xf numFmtId="0" fontId="103" fillId="0" borderId="39" xfId="57" applyFont="1" applyBorder="1"/>
    <xf numFmtId="9" fontId="102" fillId="10" borderId="43" xfId="58" applyFont="1" applyFill="1" applyBorder="1"/>
    <xf numFmtId="0" fontId="70" fillId="0" borderId="0" xfId="51" applyFont="1"/>
    <xf numFmtId="0" fontId="70" fillId="0" borderId="0" xfId="51" applyFont="1" applyAlignment="1">
      <alignment horizontal="center"/>
    </xf>
    <xf numFmtId="0" fontId="103" fillId="7" borderId="19" xfId="57" applyFont="1" applyFill="1" applyBorder="1" applyAlignment="1">
      <alignment horizontal="left" indent="1"/>
    </xf>
    <xf numFmtId="0" fontId="103" fillId="7" borderId="0" xfId="57" applyFont="1" applyFill="1" applyAlignment="1">
      <alignment horizontal="left" indent="1"/>
    </xf>
    <xf numFmtId="165" fontId="103" fillId="7" borderId="39" xfId="57" applyNumberFormat="1" applyFont="1" applyFill="1" applyBorder="1"/>
    <xf numFmtId="165" fontId="103" fillId="7" borderId="20" xfId="57" applyNumberFormat="1" applyFont="1" applyFill="1" applyBorder="1"/>
    <xf numFmtId="0" fontId="36" fillId="0" borderId="6" xfId="35" applyFont="1" applyBorder="1"/>
    <xf numFmtId="0" fontId="54" fillId="0" borderId="0" xfId="4" applyFont="1" applyAlignment="1">
      <alignment horizontal="center"/>
    </xf>
    <xf numFmtId="9" fontId="64" fillId="0" borderId="0" xfId="4" applyNumberFormat="1" applyFont="1" applyAlignment="1">
      <alignment horizontal="center"/>
    </xf>
    <xf numFmtId="5" fontId="81" fillId="0" borderId="1" xfId="40" applyNumberFormat="1" applyFont="1" applyBorder="1" applyAlignment="1">
      <alignment horizontal="right"/>
    </xf>
    <xf numFmtId="37" fontId="38" fillId="0" borderId="0" xfId="35" applyNumberFormat="1" applyAlignment="1">
      <alignment horizontal="center"/>
    </xf>
    <xf numFmtId="0" fontId="18" fillId="0" borderId="0" xfId="35" applyFont="1" applyAlignment="1">
      <alignment horizontal="left"/>
    </xf>
    <xf numFmtId="0" fontId="77" fillId="6" borderId="0" xfId="0" applyFont="1" applyFill="1"/>
    <xf numFmtId="0" fontId="81" fillId="6" borderId="0" xfId="0" applyFont="1" applyFill="1"/>
    <xf numFmtId="0" fontId="82" fillId="6" borderId="0" xfId="0" applyFont="1" applyFill="1"/>
    <xf numFmtId="0" fontId="77" fillId="6" borderId="16" xfId="0" applyFont="1" applyFill="1" applyBorder="1"/>
    <xf numFmtId="0" fontId="77" fillId="6" borderId="8" xfId="0" applyFont="1" applyFill="1" applyBorder="1"/>
    <xf numFmtId="0" fontId="77" fillId="6" borderId="9" xfId="0" applyFont="1" applyFill="1" applyBorder="1"/>
    <xf numFmtId="0" fontId="77" fillId="6" borderId="1" xfId="0" applyFont="1" applyFill="1" applyBorder="1"/>
    <xf numFmtId="0" fontId="77" fillId="6" borderId="10" xfId="0" applyFont="1" applyFill="1" applyBorder="1"/>
    <xf numFmtId="174" fontId="67" fillId="0" borderId="0" xfId="35" applyNumberFormat="1" applyFont="1"/>
    <xf numFmtId="37" fontId="71" fillId="0" borderId="0" xfId="35" applyNumberFormat="1" applyFont="1"/>
    <xf numFmtId="5" fontId="71" fillId="0" borderId="0" xfId="35" applyNumberFormat="1" applyFont="1"/>
    <xf numFmtId="173" fontId="69" fillId="0" borderId="0" xfId="35" applyNumberFormat="1" applyFont="1" applyAlignment="1">
      <alignment horizontal="right"/>
    </xf>
    <xf numFmtId="37" fontId="72" fillId="0" borderId="0" xfId="0" applyNumberFormat="1" applyFont="1"/>
    <xf numFmtId="6" fontId="75" fillId="0" borderId="0" xfId="0" applyNumberFormat="1" applyFont="1"/>
    <xf numFmtId="5" fontId="72" fillId="0" borderId="0" xfId="0" applyNumberFormat="1" applyFont="1"/>
    <xf numFmtId="180" fontId="69" fillId="6" borderId="0" xfId="35" applyNumberFormat="1" applyFont="1" applyFill="1" applyAlignment="1">
      <alignment horizontal="right"/>
    </xf>
    <xf numFmtId="180" fontId="67" fillId="6" borderId="0" xfId="35" applyNumberFormat="1" applyFont="1" applyFill="1" applyAlignment="1">
      <alignment horizontal="right"/>
    </xf>
    <xf numFmtId="7" fontId="69" fillId="0" borderId="0" xfId="35" applyNumberFormat="1" applyFont="1"/>
    <xf numFmtId="0" fontId="73" fillId="0" borderId="0" xfId="0" applyFont="1"/>
    <xf numFmtId="0" fontId="73" fillId="0" borderId="13" xfId="0" applyFont="1" applyBorder="1"/>
    <xf numFmtId="37" fontId="67" fillId="0" borderId="14" xfId="0" applyNumberFormat="1" applyFont="1" applyBorder="1"/>
    <xf numFmtId="37" fontId="67" fillId="0" borderId="0" xfId="35" applyNumberFormat="1" applyFont="1" applyAlignment="1">
      <alignment horizontal="center"/>
    </xf>
    <xf numFmtId="8" fontId="77" fillId="6" borderId="0" xfId="0" applyNumberFormat="1" applyFont="1" applyFill="1" applyAlignment="1">
      <alignment horizontal="center"/>
    </xf>
    <xf numFmtId="8" fontId="77" fillId="6" borderId="8" xfId="0" applyNumberFormat="1" applyFont="1" applyFill="1" applyBorder="1" applyAlignment="1">
      <alignment horizontal="center"/>
    </xf>
    <xf numFmtId="5" fontId="77" fillId="6" borderId="16" xfId="0" applyNumberFormat="1" applyFont="1" applyFill="1" applyBorder="1" applyAlignment="1">
      <alignment horizontal="center"/>
    </xf>
    <xf numFmtId="5" fontId="77" fillId="6" borderId="0" xfId="0" applyNumberFormat="1" applyFont="1" applyFill="1" applyAlignment="1">
      <alignment horizontal="center"/>
    </xf>
    <xf numFmtId="9" fontId="77" fillId="6" borderId="0" xfId="0" applyNumberFormat="1" applyFont="1" applyFill="1" applyAlignment="1">
      <alignment horizontal="center"/>
    </xf>
    <xf numFmtId="0" fontId="86" fillId="3" borderId="13" xfId="0" applyFont="1" applyFill="1" applyBorder="1" applyAlignment="1">
      <alignment horizontal="center" vertical="center" wrapText="1"/>
    </xf>
    <xf numFmtId="0" fontId="86" fillId="3" borderId="4" xfId="0" applyFont="1" applyFill="1" applyBorder="1" applyAlignment="1">
      <alignment horizontal="center" vertical="center" wrapText="1"/>
    </xf>
    <xf numFmtId="0" fontId="86" fillId="3" borderId="14" xfId="0" applyFont="1" applyFill="1" applyBorder="1" applyAlignment="1">
      <alignment horizontal="center" vertical="center" wrapText="1"/>
    </xf>
    <xf numFmtId="5" fontId="77" fillId="2" borderId="16" xfId="0" applyNumberFormat="1" applyFont="1" applyFill="1" applyBorder="1" applyAlignment="1">
      <alignment horizontal="center"/>
    </xf>
    <xf numFmtId="5" fontId="77" fillId="2" borderId="0" xfId="0" applyNumberFormat="1" applyFont="1" applyFill="1" applyAlignment="1">
      <alignment horizontal="center"/>
    </xf>
    <xf numFmtId="9" fontId="77" fillId="2" borderId="0" xfId="0" applyNumberFormat="1" applyFont="1" applyFill="1" applyAlignment="1">
      <alignment horizontal="center"/>
    </xf>
    <xf numFmtId="8" fontId="77" fillId="2" borderId="0" xfId="0" applyNumberFormat="1" applyFont="1" applyFill="1" applyAlignment="1">
      <alignment horizontal="center"/>
    </xf>
    <xf numFmtId="8" fontId="77" fillId="2" borderId="8" xfId="0" applyNumberFormat="1" applyFont="1" applyFill="1" applyBorder="1" applyAlignment="1">
      <alignment horizontal="center"/>
    </xf>
    <xf numFmtId="5" fontId="77" fillId="2" borderId="9" xfId="0" applyNumberFormat="1" applyFont="1" applyFill="1" applyBorder="1" applyAlignment="1">
      <alignment horizontal="center"/>
    </xf>
    <xf numFmtId="5" fontId="77" fillId="2" borderId="1" xfId="0" applyNumberFormat="1" applyFont="1" applyFill="1" applyBorder="1" applyAlignment="1">
      <alignment horizontal="center"/>
    </xf>
    <xf numFmtId="9" fontId="77" fillId="2" borderId="1" xfId="0" applyNumberFormat="1" applyFont="1" applyFill="1" applyBorder="1" applyAlignment="1">
      <alignment horizontal="center"/>
    </xf>
    <xf numFmtId="8" fontId="77" fillId="2" borderId="1" xfId="0" applyNumberFormat="1" applyFont="1" applyFill="1" applyBorder="1" applyAlignment="1">
      <alignment horizontal="center"/>
    </xf>
    <xf numFmtId="8" fontId="77" fillId="2" borderId="10" xfId="0" applyNumberFormat="1" applyFont="1" applyFill="1" applyBorder="1" applyAlignment="1">
      <alignment horizontal="center"/>
    </xf>
    <xf numFmtId="5" fontId="77" fillId="6" borderId="6" xfId="0" applyNumberFormat="1" applyFont="1" applyFill="1" applyBorder="1" applyAlignment="1">
      <alignment horizontal="center"/>
    </xf>
    <xf numFmtId="5" fontId="77" fillId="6" borderId="15" xfId="0" applyNumberFormat="1" applyFont="1" applyFill="1" applyBorder="1" applyAlignment="1">
      <alignment horizontal="center"/>
    </xf>
    <xf numFmtId="9" fontId="77" fillId="6" borderId="15" xfId="0" applyNumberFormat="1" applyFont="1" applyFill="1" applyBorder="1" applyAlignment="1">
      <alignment horizontal="center"/>
    </xf>
    <xf numFmtId="8" fontId="77" fillId="6" borderId="15" xfId="0" applyNumberFormat="1" applyFont="1" applyFill="1" applyBorder="1" applyAlignment="1">
      <alignment horizontal="center"/>
    </xf>
    <xf numFmtId="8" fontId="77" fillId="6" borderId="7" xfId="0" applyNumberFormat="1" applyFont="1" applyFill="1" applyBorder="1" applyAlignment="1">
      <alignment horizontal="center"/>
    </xf>
    <xf numFmtId="0" fontId="80" fillId="6" borderId="6" xfId="0" applyFont="1" applyFill="1" applyBorder="1"/>
    <xf numFmtId="0" fontId="77" fillId="6" borderId="15" xfId="0" applyFont="1" applyFill="1" applyBorder="1"/>
    <xf numFmtId="0" fontId="77" fillId="6" borderId="7" xfId="0" applyFont="1" applyFill="1" applyBorder="1"/>
    <xf numFmtId="188" fontId="77" fillId="0" borderId="13" xfId="40" applyNumberFormat="1" applyFont="1" applyBorder="1" applyAlignment="1">
      <alignment horizontal="center"/>
    </xf>
    <xf numFmtId="5" fontId="77" fillId="0" borderId="4" xfId="40" applyNumberFormat="1" applyFont="1" applyBorder="1" applyAlignment="1">
      <alignment horizontal="center"/>
    </xf>
    <xf numFmtId="188" fontId="77" fillId="0" borderId="4" xfId="40" applyNumberFormat="1" applyFont="1" applyBorder="1" applyAlignment="1">
      <alignment horizontal="center"/>
    </xf>
    <xf numFmtId="5" fontId="77" fillId="0" borderId="14" xfId="40" applyNumberFormat="1" applyFont="1" applyBorder="1" applyAlignment="1">
      <alignment horizontal="center"/>
    </xf>
    <xf numFmtId="0" fontId="112" fillId="0" borderId="11" xfId="40" applyFont="1" applyBorder="1" applyAlignment="1">
      <alignment horizontal="right"/>
    </xf>
    <xf numFmtId="0" fontId="15" fillId="0" borderId="0" xfId="35" applyFont="1"/>
    <xf numFmtId="0" fontId="15" fillId="0" borderId="0" xfId="35" quotePrefix="1" applyFont="1"/>
    <xf numFmtId="0" fontId="14" fillId="0" borderId="0" xfId="35" applyFont="1" applyAlignment="1">
      <alignment horizontal="left"/>
    </xf>
    <xf numFmtId="0" fontId="14" fillId="0" borderId="0" xfId="35" applyFont="1"/>
    <xf numFmtId="0" fontId="14" fillId="0" borderId="6" xfId="35" applyFont="1" applyBorder="1"/>
    <xf numFmtId="37" fontId="61" fillId="6" borderId="0" xfId="4" applyNumberFormat="1" applyFont="1" applyFill="1"/>
    <xf numFmtId="0" fontId="16" fillId="0" borderId="0" xfId="35" applyFont="1"/>
    <xf numFmtId="0" fontId="25" fillId="0" borderId="0" xfId="35" applyFont="1"/>
    <xf numFmtId="0" fontId="14" fillId="0" borderId="9" xfId="35" applyFont="1" applyBorder="1"/>
    <xf numFmtId="164" fontId="60" fillId="6" borderId="0" xfId="4" applyNumberFormat="1" applyFont="1" applyFill="1"/>
    <xf numFmtId="0" fontId="13" fillId="0" borderId="0" xfId="35" applyFont="1"/>
    <xf numFmtId="37" fontId="113" fillId="11" borderId="11" xfId="35" applyNumberFormat="1" applyFont="1" applyFill="1" applyBorder="1" applyAlignment="1">
      <alignment horizontal="center"/>
    </xf>
    <xf numFmtId="7" fontId="69" fillId="11" borderId="8" xfId="35" applyNumberFormat="1" applyFont="1" applyFill="1" applyBorder="1"/>
    <xf numFmtId="180" fontId="113" fillId="11" borderId="7" xfId="35" applyNumberFormat="1" applyFont="1" applyFill="1" applyBorder="1" applyAlignment="1">
      <alignment horizontal="right"/>
    </xf>
    <xf numFmtId="9" fontId="57" fillId="0" borderId="11" xfId="4" applyNumberFormat="1" applyFont="1" applyBorder="1" applyAlignment="1">
      <alignment horizontal="center"/>
    </xf>
    <xf numFmtId="0" fontId="12" fillId="0" borderId="1" xfId="40" applyFont="1" applyBorder="1" applyAlignment="1">
      <alignment horizontal="center"/>
    </xf>
    <xf numFmtId="0" fontId="12" fillId="0" borderId="0" xfId="40" applyFont="1" applyAlignment="1">
      <alignment horizontal="center"/>
    </xf>
    <xf numFmtId="5" fontId="12" fillId="0" borderId="0" xfId="40" applyNumberFormat="1" applyFont="1" applyAlignment="1">
      <alignment horizontal="center"/>
    </xf>
    <xf numFmtId="190" fontId="12" fillId="0" borderId="0" xfId="40" applyNumberFormat="1" applyFont="1" applyAlignment="1">
      <alignment horizontal="center"/>
    </xf>
    <xf numFmtId="164" fontId="114" fillId="6" borderId="0" xfId="4" applyNumberFormat="1" applyFont="1" applyFill="1"/>
    <xf numFmtId="0" fontId="11" fillId="0" borderId="0" xfId="51" applyFont="1"/>
    <xf numFmtId="0" fontId="11" fillId="0" borderId="0" xfId="51" applyFont="1" applyAlignment="1">
      <alignment horizontal="center"/>
    </xf>
    <xf numFmtId="176" fontId="49" fillId="0" borderId="0" xfId="0" applyNumberFormat="1" applyFont="1" applyAlignment="1">
      <alignment horizontal="right"/>
    </xf>
    <xf numFmtId="9" fontId="93" fillId="0" borderId="14" xfId="2" applyFont="1" applyFill="1" applyBorder="1" applyAlignment="1">
      <alignment horizontal="center"/>
    </xf>
    <xf numFmtId="8" fontId="77" fillId="0" borderId="0" xfId="40" applyNumberFormat="1" applyFont="1"/>
    <xf numFmtId="6" fontId="54" fillId="0" borderId="0" xfId="4" applyNumberFormat="1" applyFont="1" applyAlignment="1">
      <alignment vertical="top"/>
    </xf>
    <xf numFmtId="37" fontId="54" fillId="0" borderId="0" xfId="4" applyNumberFormat="1" applyFont="1" applyAlignment="1">
      <alignment vertical="top"/>
    </xf>
    <xf numFmtId="0" fontId="10" fillId="0" borderId="6" xfId="35" applyFont="1" applyBorder="1"/>
    <xf numFmtId="0" fontId="10" fillId="0" borderId="9" xfId="35" applyFont="1" applyBorder="1"/>
    <xf numFmtId="37" fontId="73" fillId="6" borderId="10" xfId="0" applyNumberFormat="1" applyFont="1" applyFill="1" applyBorder="1"/>
    <xf numFmtId="0" fontId="21" fillId="12" borderId="0" xfId="51" applyFont="1" applyFill="1" applyAlignment="1">
      <alignment horizontal="left"/>
    </xf>
    <xf numFmtId="37" fontId="58" fillId="6" borderId="2" xfId="4" applyNumberFormat="1" applyFont="1" applyFill="1" applyBorder="1"/>
    <xf numFmtId="0" fontId="9" fillId="0" borderId="9" xfId="35" applyFont="1" applyBorder="1"/>
    <xf numFmtId="0" fontId="73" fillId="0" borderId="4" xfId="0" applyFont="1" applyBorder="1"/>
    <xf numFmtId="5" fontId="55" fillId="0" borderId="4" xfId="4" applyNumberFormat="1" applyFont="1" applyBorder="1"/>
    <xf numFmtId="174" fontId="64" fillId="0" borderId="0" xfId="4" applyNumberFormat="1" applyFont="1" applyAlignment="1">
      <alignment horizontal="right"/>
    </xf>
    <xf numFmtId="6" fontId="54" fillId="6" borderId="0" xfId="4" applyNumberFormat="1" applyFont="1" applyFill="1" applyAlignment="1">
      <alignment vertical="top"/>
    </xf>
    <xf numFmtId="6" fontId="64" fillId="6" borderId="0" xfId="4" applyNumberFormat="1" applyFont="1" applyFill="1" applyAlignment="1">
      <alignment vertical="top"/>
    </xf>
    <xf numFmtId="191" fontId="67" fillId="0" borderId="0" xfId="35" applyNumberFormat="1" applyFont="1"/>
    <xf numFmtId="0" fontId="67" fillId="6" borderId="0" xfId="35" applyFont="1" applyFill="1" applyAlignment="1">
      <alignment horizontal="center"/>
    </xf>
    <xf numFmtId="37" fontId="69" fillId="6" borderId="0" xfId="35" applyNumberFormat="1" applyFont="1" applyFill="1" applyAlignment="1">
      <alignment horizontal="center"/>
    </xf>
    <xf numFmtId="37" fontId="67" fillId="6" borderId="0" xfId="35" applyNumberFormat="1" applyFont="1" applyFill="1" applyAlignment="1">
      <alignment horizontal="center"/>
    </xf>
    <xf numFmtId="37" fontId="67" fillId="6" borderId="0" xfId="35" applyNumberFormat="1" applyFont="1" applyFill="1"/>
    <xf numFmtId="37" fontId="17" fillId="6" borderId="0" xfId="35" applyNumberFormat="1" applyFont="1" applyFill="1"/>
    <xf numFmtId="174" fontId="67" fillId="6" borderId="0" xfId="35" applyNumberFormat="1" applyFont="1" applyFill="1"/>
    <xf numFmtId="8" fontId="54" fillId="7" borderId="0" xfId="4" applyNumberFormat="1" applyFont="1" applyFill="1"/>
    <xf numFmtId="37" fontId="113" fillId="6" borderId="0" xfId="35" applyNumberFormat="1" applyFont="1" applyFill="1" applyAlignment="1">
      <alignment horizontal="center"/>
    </xf>
    <xf numFmtId="0" fontId="8" fillId="0" borderId="16" xfId="35" applyFont="1" applyBorder="1"/>
    <xf numFmtId="2" fontId="77" fillId="6" borderId="0" xfId="40" applyNumberFormat="1" applyFont="1" applyFill="1" applyAlignment="1">
      <alignment horizontal="center"/>
    </xf>
    <xf numFmtId="2" fontId="81" fillId="6" borderId="0" xfId="40" applyNumberFormat="1" applyFont="1" applyFill="1" applyAlignment="1">
      <alignment horizontal="center"/>
    </xf>
    <xf numFmtId="0" fontId="81" fillId="5" borderId="1" xfId="40" applyFont="1" applyFill="1" applyBorder="1" applyAlignment="1">
      <alignment horizontal="center"/>
    </xf>
    <xf numFmtId="0" fontId="80" fillId="2" borderId="14" xfId="40" applyFont="1" applyFill="1" applyBorder="1" applyAlignment="1">
      <alignment horizontal="centerContinuous"/>
    </xf>
    <xf numFmtId="2" fontId="81" fillId="2" borderId="13" xfId="40" applyNumberFormat="1" applyFont="1" applyFill="1" applyBorder="1" applyAlignment="1">
      <alignment horizontal="centerContinuous" vertical="center"/>
    </xf>
    <xf numFmtId="2" fontId="81" fillId="2" borderId="4" xfId="40" applyNumberFormat="1" applyFont="1" applyFill="1" applyBorder="1" applyAlignment="1">
      <alignment horizontal="centerContinuous" vertical="center"/>
    </xf>
    <xf numFmtId="2" fontId="77" fillId="2" borderId="4" xfId="40" applyNumberFormat="1" applyFont="1" applyFill="1" applyBorder="1" applyAlignment="1">
      <alignment horizontal="centerContinuous" vertical="center"/>
    </xf>
    <xf numFmtId="2" fontId="77" fillId="2" borderId="14" xfId="40" applyNumberFormat="1" applyFont="1" applyFill="1" applyBorder="1" applyAlignment="1">
      <alignment horizontal="centerContinuous" vertical="center"/>
    </xf>
    <xf numFmtId="173" fontId="77" fillId="0" borderId="0" xfId="40" applyNumberFormat="1" applyFont="1" applyAlignment="1">
      <alignment horizontal="left"/>
    </xf>
    <xf numFmtId="0" fontId="87" fillId="6" borderId="0" xfId="40" applyFont="1" applyFill="1"/>
    <xf numFmtId="0" fontId="77" fillId="6" borderId="0" xfId="40" applyFont="1" applyFill="1" applyAlignment="1">
      <alignment horizontal="right"/>
    </xf>
    <xf numFmtId="168" fontId="77" fillId="6" borderId="0" xfId="2" applyNumberFormat="1" applyFont="1" applyFill="1" applyBorder="1" applyAlignment="1">
      <alignment horizontal="center"/>
    </xf>
    <xf numFmtId="177" fontId="77" fillId="6" borderId="0" xfId="40" applyNumberFormat="1" applyFont="1" applyFill="1" applyAlignment="1">
      <alignment horizontal="center"/>
    </xf>
    <xf numFmtId="37" fontId="77" fillId="6" borderId="16" xfId="2" applyNumberFormat="1" applyFont="1" applyFill="1" applyBorder="1" applyAlignment="1">
      <alignment horizontal="center"/>
    </xf>
    <xf numFmtId="5" fontId="77" fillId="6" borderId="8" xfId="40" applyNumberFormat="1" applyFont="1" applyFill="1" applyBorder="1" applyAlignment="1">
      <alignment horizontal="center"/>
    </xf>
    <xf numFmtId="37" fontId="77" fillId="6" borderId="9" xfId="2" applyNumberFormat="1" applyFont="1" applyFill="1" applyBorder="1" applyAlignment="1">
      <alignment horizontal="center"/>
    </xf>
    <xf numFmtId="8" fontId="77" fillId="6" borderId="1" xfId="2" applyNumberFormat="1" applyFont="1" applyFill="1" applyBorder="1" applyAlignment="1">
      <alignment horizontal="center"/>
    </xf>
    <xf numFmtId="168" fontId="77" fillId="6" borderId="1" xfId="2" applyNumberFormat="1" applyFont="1" applyFill="1" applyBorder="1" applyAlignment="1">
      <alignment horizontal="center"/>
    </xf>
    <xf numFmtId="5" fontId="77" fillId="6" borderId="1" xfId="40" applyNumberFormat="1" applyFont="1" applyFill="1" applyBorder="1" applyAlignment="1">
      <alignment horizontal="center"/>
    </xf>
    <xf numFmtId="177" fontId="77" fillId="6" borderId="1" xfId="40" applyNumberFormat="1" applyFont="1" applyFill="1" applyBorder="1" applyAlignment="1">
      <alignment horizontal="center"/>
    </xf>
    <xf numFmtId="172" fontId="77" fillId="6" borderId="1" xfId="40" applyNumberFormat="1" applyFont="1" applyFill="1" applyBorder="1" applyAlignment="1">
      <alignment horizontal="center"/>
    </xf>
    <xf numFmtId="7" fontId="77" fillId="6" borderId="1" xfId="40" applyNumberFormat="1" applyFont="1" applyFill="1" applyBorder="1" applyAlignment="1">
      <alignment horizontal="center"/>
    </xf>
    <xf numFmtId="5" fontId="77" fillId="6" borderId="10" xfId="40" applyNumberFormat="1" applyFont="1" applyFill="1" applyBorder="1" applyAlignment="1">
      <alignment horizontal="center"/>
    </xf>
    <xf numFmtId="7" fontId="77" fillId="6" borderId="0" xfId="2" applyNumberFormat="1" applyFont="1" applyFill="1" applyBorder="1" applyAlignment="1">
      <alignment horizontal="center"/>
    </xf>
    <xf numFmtId="168" fontId="77" fillId="6" borderId="0" xfId="40" applyNumberFormat="1" applyFont="1" applyFill="1" applyAlignment="1">
      <alignment horizontal="center"/>
    </xf>
    <xf numFmtId="168" fontId="77" fillId="6" borderId="1" xfId="40" applyNumberFormat="1" applyFont="1" applyFill="1" applyBorder="1" applyAlignment="1">
      <alignment horizontal="center"/>
    </xf>
    <xf numFmtId="37" fontId="86" fillId="3" borderId="13" xfId="2" applyNumberFormat="1" applyFont="1" applyFill="1" applyBorder="1" applyAlignment="1">
      <alignment horizontal="center"/>
    </xf>
    <xf numFmtId="168" fontId="86" fillId="3" borderId="4" xfId="2" applyNumberFormat="1" applyFont="1" applyFill="1" applyBorder="1" applyAlignment="1">
      <alignment horizontal="center"/>
    </xf>
    <xf numFmtId="5" fontId="86" fillId="3" borderId="4" xfId="40" applyNumberFormat="1" applyFont="1" applyFill="1" applyBorder="1" applyAlignment="1">
      <alignment horizontal="center"/>
    </xf>
    <xf numFmtId="177" fontId="86" fillId="3" borderId="4" xfId="40" applyNumberFormat="1" applyFont="1" applyFill="1" applyBorder="1" applyAlignment="1">
      <alignment horizontal="center"/>
    </xf>
    <xf numFmtId="168" fontId="86" fillId="3" borderId="4" xfId="40" applyNumberFormat="1" applyFont="1" applyFill="1" applyBorder="1" applyAlignment="1">
      <alignment horizontal="center"/>
    </xf>
    <xf numFmtId="7" fontId="86" fillId="3" borderId="4" xfId="40" applyNumberFormat="1" applyFont="1" applyFill="1" applyBorder="1" applyAlignment="1">
      <alignment horizontal="center"/>
    </xf>
    <xf numFmtId="172" fontId="86" fillId="3" borderId="4" xfId="40" applyNumberFormat="1" applyFont="1" applyFill="1" applyBorder="1" applyAlignment="1">
      <alignment horizontal="center"/>
    </xf>
    <xf numFmtId="5" fontId="86" fillId="3" borderId="14" xfId="40" applyNumberFormat="1" applyFont="1" applyFill="1" applyBorder="1" applyAlignment="1">
      <alignment horizontal="center"/>
    </xf>
    <xf numFmtId="0" fontId="77" fillId="0" borderId="9" xfId="40" applyFont="1" applyBorder="1" applyAlignment="1">
      <alignment horizontal="left" indent="1"/>
    </xf>
    <xf numFmtId="5" fontId="77" fillId="0" borderId="8" xfId="40" applyNumberFormat="1" applyFont="1" applyBorder="1"/>
    <xf numFmtId="0" fontId="77" fillId="0" borderId="0" xfId="40" applyFont="1" applyAlignment="1">
      <alignment horizontal="centerContinuous"/>
    </xf>
    <xf numFmtId="0" fontId="7" fillId="0" borderId="16" xfId="35" applyFont="1" applyBorder="1"/>
    <xf numFmtId="0" fontId="89" fillId="6" borderId="6" xfId="40" applyFont="1" applyFill="1" applyBorder="1"/>
    <xf numFmtId="0" fontId="77" fillId="6" borderId="15" xfId="40" applyFont="1" applyFill="1" applyBorder="1"/>
    <xf numFmtId="0" fontId="89" fillId="6" borderId="15" xfId="40" applyFont="1" applyFill="1" applyBorder="1" applyAlignment="1">
      <alignment horizontal="left" indent="2"/>
    </xf>
    <xf numFmtId="0" fontId="77" fillId="6" borderId="7" xfId="40" applyFont="1" applyFill="1" applyBorder="1"/>
    <xf numFmtId="0" fontId="77" fillId="6" borderId="16" xfId="40" applyFont="1" applyFill="1" applyBorder="1" applyAlignment="1">
      <alignment horizontal="left" indent="1"/>
    </xf>
    <xf numFmtId="41" fontId="77" fillId="6" borderId="0" xfId="40" applyNumberFormat="1" applyFont="1" applyFill="1"/>
    <xf numFmtId="0" fontId="77" fillId="6" borderId="0" xfId="40" applyFont="1" applyFill="1" applyAlignment="1">
      <alignment horizontal="left" indent="3"/>
    </xf>
    <xf numFmtId="5" fontId="77" fillId="6" borderId="0" xfId="40" applyNumberFormat="1" applyFont="1" applyFill="1" applyAlignment="1">
      <alignment horizontal="left" indent="3"/>
    </xf>
    <xf numFmtId="0" fontId="77" fillId="6" borderId="16" xfId="40" applyFont="1" applyFill="1" applyBorder="1"/>
    <xf numFmtId="41" fontId="77" fillId="6" borderId="15" xfId="40" applyNumberFormat="1" applyFont="1" applyFill="1" applyBorder="1"/>
    <xf numFmtId="37" fontId="77" fillId="6" borderId="1" xfId="40" applyNumberFormat="1" applyFont="1" applyFill="1" applyBorder="1"/>
    <xf numFmtId="0" fontId="77" fillId="6" borderId="9" xfId="40" applyFont="1" applyFill="1" applyBorder="1"/>
    <xf numFmtId="0" fontId="77" fillId="6" borderId="1" xfId="40" applyFont="1" applyFill="1" applyBorder="1" applyAlignment="1">
      <alignment horizontal="left" indent="2"/>
    </xf>
    <xf numFmtId="0" fontId="77" fillId="6" borderId="1" xfId="40" applyFont="1" applyFill="1" applyBorder="1"/>
    <xf numFmtId="37" fontId="77" fillId="6" borderId="14" xfId="40" applyNumberFormat="1" applyFont="1" applyFill="1" applyBorder="1"/>
    <xf numFmtId="37" fontId="77" fillId="6" borderId="8" xfId="40" applyNumberFormat="1" applyFont="1" applyFill="1" applyBorder="1"/>
    <xf numFmtId="0" fontId="38" fillId="6" borderId="0" xfId="35" applyFill="1"/>
    <xf numFmtId="37" fontId="67" fillId="6" borderId="7" xfId="35" applyNumberFormat="1" applyFont="1" applyFill="1" applyBorder="1"/>
    <xf numFmtId="37" fontId="67" fillId="6" borderId="8" xfId="35" applyNumberFormat="1" applyFont="1" applyFill="1" applyBorder="1"/>
    <xf numFmtId="37" fontId="38" fillId="6" borderId="8" xfId="35" applyNumberFormat="1" applyFill="1" applyBorder="1"/>
    <xf numFmtId="37" fontId="38" fillId="6" borderId="0" xfId="35" applyNumberFormat="1" applyFill="1" applyAlignment="1">
      <alignment horizontal="center"/>
    </xf>
    <xf numFmtId="174" fontId="67" fillId="6" borderId="0" xfId="35" applyNumberFormat="1" applyFont="1" applyFill="1" applyAlignment="1">
      <alignment horizontal="center"/>
    </xf>
    <xf numFmtId="37" fontId="71" fillId="6" borderId="10" xfId="35" applyNumberFormat="1" applyFont="1" applyFill="1" applyBorder="1"/>
    <xf numFmtId="37" fontId="71" fillId="6" borderId="0" xfId="35" applyNumberFormat="1" applyFont="1" applyFill="1"/>
    <xf numFmtId="0" fontId="31" fillId="6" borderId="0" xfId="35" applyFont="1" applyFill="1"/>
    <xf numFmtId="5" fontId="71" fillId="6" borderId="7" xfId="35" applyNumberFormat="1" applyFont="1" applyFill="1" applyBorder="1"/>
    <xf numFmtId="5" fontId="71" fillId="6" borderId="0" xfId="35" applyNumberFormat="1" applyFont="1" applyFill="1"/>
    <xf numFmtId="173" fontId="113" fillId="6" borderId="8" xfId="35" applyNumberFormat="1" applyFont="1" applyFill="1" applyBorder="1" applyAlignment="1">
      <alignment horizontal="right"/>
    </xf>
    <xf numFmtId="173" fontId="69" fillId="6" borderId="0" xfId="35" applyNumberFormat="1" applyFont="1" applyFill="1" applyAlignment="1">
      <alignment horizontal="right"/>
    </xf>
    <xf numFmtId="173" fontId="71" fillId="6" borderId="8" xfId="35" applyNumberFormat="1" applyFont="1" applyFill="1" applyBorder="1" applyAlignment="1">
      <alignment horizontal="right"/>
    </xf>
    <xf numFmtId="37" fontId="72" fillId="6" borderId="0" xfId="0" applyNumberFormat="1" applyFont="1" applyFill="1"/>
    <xf numFmtId="6" fontId="75" fillId="6" borderId="8" xfId="0" applyNumberFormat="1" applyFont="1" applyFill="1" applyBorder="1"/>
    <xf numFmtId="6" fontId="75" fillId="6" borderId="0" xfId="0" applyNumberFormat="1" applyFont="1" applyFill="1"/>
    <xf numFmtId="6" fontId="75" fillId="6" borderId="4" xfId="0" applyNumberFormat="1" applyFont="1" applyFill="1" applyBorder="1"/>
    <xf numFmtId="7" fontId="118" fillId="6" borderId="8" xfId="0" applyNumberFormat="1" applyFont="1" applyFill="1" applyBorder="1"/>
    <xf numFmtId="37" fontId="73" fillId="6" borderId="0" xfId="0" applyNumberFormat="1" applyFont="1" applyFill="1"/>
    <xf numFmtId="7" fontId="72" fillId="6" borderId="8" xfId="0" applyNumberFormat="1" applyFont="1" applyFill="1" applyBorder="1"/>
    <xf numFmtId="7" fontId="72" fillId="6" borderId="0" xfId="0" applyNumberFormat="1" applyFont="1" applyFill="1"/>
    <xf numFmtId="5" fontId="72" fillId="6" borderId="7" xfId="0" applyNumberFormat="1" applyFont="1" applyFill="1" applyBorder="1"/>
    <xf numFmtId="5" fontId="72" fillId="6" borderId="0" xfId="0" applyNumberFormat="1" applyFont="1" applyFill="1"/>
    <xf numFmtId="37" fontId="72" fillId="6" borderId="10" xfId="0" applyNumberFormat="1" applyFont="1" applyFill="1" applyBorder="1"/>
    <xf numFmtId="37" fontId="67" fillId="6" borderId="10" xfId="35" applyNumberFormat="1" applyFont="1" applyFill="1" applyBorder="1"/>
    <xf numFmtId="37" fontId="75" fillId="6" borderId="0" xfId="0" applyNumberFormat="1" applyFont="1" applyFill="1"/>
    <xf numFmtId="173" fontId="67" fillId="6" borderId="5" xfId="35" applyNumberFormat="1" applyFont="1" applyFill="1" applyBorder="1"/>
    <xf numFmtId="173" fontId="67" fillId="6" borderId="0" xfId="35" applyNumberFormat="1" applyFont="1" applyFill="1"/>
    <xf numFmtId="173" fontId="67" fillId="6" borderId="0" xfId="35" applyNumberFormat="1" applyFont="1" applyFill="1" applyAlignment="1">
      <alignment horizontal="right"/>
    </xf>
    <xf numFmtId="37" fontId="67" fillId="6" borderId="14" xfId="35" applyNumberFormat="1" applyFont="1" applyFill="1" applyBorder="1" applyAlignment="1">
      <alignment horizontal="right"/>
    </xf>
    <xf numFmtId="37" fontId="67" fillId="6" borderId="0" xfId="35" applyNumberFormat="1" applyFont="1" applyFill="1" applyAlignment="1">
      <alignment horizontal="right"/>
    </xf>
    <xf numFmtId="10" fontId="68" fillId="6" borderId="0" xfId="35" applyNumberFormat="1" applyFont="1" applyFill="1"/>
    <xf numFmtId="37" fontId="67" fillId="6" borderId="11" xfId="35" applyNumberFormat="1" applyFont="1" applyFill="1" applyBorder="1" applyAlignment="1">
      <alignment horizontal="center"/>
    </xf>
    <xf numFmtId="0" fontId="38" fillId="6" borderId="0" xfId="35" applyFill="1" applyAlignment="1">
      <alignment horizontal="center"/>
    </xf>
    <xf numFmtId="0" fontId="25" fillId="6" borderId="0" xfId="35" applyFont="1" applyFill="1" applyAlignment="1">
      <alignment horizontal="center"/>
    </xf>
    <xf numFmtId="7" fontId="67" fillId="6" borderId="0" xfId="35" applyNumberFormat="1" applyFont="1" applyFill="1"/>
    <xf numFmtId="7" fontId="117" fillId="6" borderId="0" xfId="35" applyNumberFormat="1" applyFont="1" applyFill="1"/>
    <xf numFmtId="0" fontId="15" fillId="6" borderId="0" xfId="35" applyFont="1" applyFill="1" applyAlignment="1">
      <alignment horizontal="left"/>
    </xf>
    <xf numFmtId="7" fontId="69" fillId="6" borderId="0" xfId="35" applyNumberFormat="1" applyFont="1" applyFill="1"/>
    <xf numFmtId="0" fontId="15" fillId="6" borderId="0" xfId="35" quotePrefix="1" applyFont="1" applyFill="1" applyAlignment="1">
      <alignment horizontal="left"/>
    </xf>
    <xf numFmtId="7" fontId="71" fillId="6" borderId="0" xfId="35" applyNumberFormat="1" applyFont="1" applyFill="1"/>
    <xf numFmtId="7" fontId="77" fillId="6" borderId="1" xfId="2" applyNumberFormat="1" applyFont="1" applyFill="1" applyBorder="1" applyAlignment="1">
      <alignment horizontal="center"/>
    </xf>
    <xf numFmtId="7" fontId="86" fillId="3" borderId="4" xfId="2" applyNumberFormat="1" applyFont="1" applyFill="1" applyBorder="1" applyAlignment="1">
      <alignment horizontal="center"/>
    </xf>
    <xf numFmtId="0" fontId="77" fillId="0" borderId="45" xfId="40" applyFont="1" applyBorder="1"/>
    <xf numFmtId="2" fontId="77" fillId="2" borderId="15" xfId="40" applyNumberFormat="1" applyFont="1" applyFill="1" applyBorder="1" applyAlignment="1">
      <alignment horizontal="centerContinuous"/>
    </xf>
    <xf numFmtId="2" fontId="80" fillId="2" borderId="6" xfId="40" applyNumberFormat="1" applyFont="1" applyFill="1" applyBorder="1" applyAlignment="1">
      <alignment horizontal="centerContinuous"/>
    </xf>
    <xf numFmtId="2" fontId="90" fillId="2" borderId="15" xfId="2" applyNumberFormat="1" applyFont="1" applyFill="1" applyBorder="1" applyAlignment="1">
      <alignment horizontal="centerContinuous"/>
    </xf>
    <xf numFmtId="2" fontId="90" fillId="2" borderId="7" xfId="2" applyNumberFormat="1" applyFont="1" applyFill="1" applyBorder="1" applyAlignment="1">
      <alignment horizontal="centerContinuous"/>
    </xf>
    <xf numFmtId="0" fontId="81" fillId="0" borderId="13" xfId="40" applyFont="1" applyBorder="1" applyAlignment="1">
      <alignment horizontal="center"/>
    </xf>
    <xf numFmtId="0" fontId="81" fillId="0" borderId="4" xfId="40" applyFont="1" applyBorder="1" applyAlignment="1">
      <alignment horizontal="center"/>
    </xf>
    <xf numFmtId="9" fontId="93" fillId="0" borderId="4" xfId="2" applyFont="1" applyFill="1" applyBorder="1" applyAlignment="1">
      <alignment horizontal="center"/>
    </xf>
    <xf numFmtId="7" fontId="119" fillId="0" borderId="0" xfId="40" applyNumberFormat="1" applyFont="1" applyAlignment="1">
      <alignment horizontal="left"/>
    </xf>
    <xf numFmtId="0" fontId="6" fillId="0" borderId="0" xfId="35" applyFont="1"/>
    <xf numFmtId="37" fontId="67" fillId="11" borderId="11" xfId="35" applyNumberFormat="1" applyFont="1" applyFill="1" applyBorder="1" applyAlignment="1">
      <alignment horizontal="center"/>
    </xf>
    <xf numFmtId="7" fontId="72" fillId="6" borderId="10" xfId="0" applyNumberFormat="1" applyFont="1" applyFill="1" applyBorder="1"/>
    <xf numFmtId="0" fontId="6" fillId="0" borderId="16" xfId="35" applyFont="1" applyBorder="1"/>
    <xf numFmtId="7" fontId="113" fillId="11" borderId="10" xfId="35" applyNumberFormat="1" applyFont="1" applyFill="1" applyBorder="1"/>
    <xf numFmtId="5" fontId="77" fillId="6" borderId="16" xfId="40" applyNumberFormat="1" applyFont="1" applyFill="1" applyBorder="1" applyAlignment="1">
      <alignment horizontal="center"/>
    </xf>
    <xf numFmtId="5" fontId="86" fillId="3" borderId="13" xfId="40" applyNumberFormat="1" applyFont="1" applyFill="1" applyBorder="1" applyAlignment="1">
      <alignment horizontal="center"/>
    </xf>
    <xf numFmtId="5" fontId="77" fillId="6" borderId="9" xfId="40" applyNumberFormat="1" applyFont="1" applyFill="1" applyBorder="1" applyAlignment="1">
      <alignment horizontal="center"/>
    </xf>
    <xf numFmtId="37" fontId="77" fillId="6" borderId="6" xfId="2" applyNumberFormat="1" applyFont="1" applyFill="1" applyBorder="1" applyAlignment="1">
      <alignment horizontal="center"/>
    </xf>
    <xf numFmtId="168" fontId="77" fillId="6" borderId="15" xfId="2" applyNumberFormat="1" applyFont="1" applyFill="1" applyBorder="1" applyAlignment="1">
      <alignment horizontal="center"/>
    </xf>
    <xf numFmtId="7" fontId="77" fillId="6" borderId="15" xfId="2" applyNumberFormat="1" applyFont="1" applyFill="1" applyBorder="1" applyAlignment="1">
      <alignment horizontal="center"/>
    </xf>
    <xf numFmtId="5" fontId="77" fillId="6" borderId="6" xfId="40" applyNumberFormat="1" applyFont="1" applyFill="1" applyBorder="1" applyAlignment="1">
      <alignment horizontal="center"/>
    </xf>
    <xf numFmtId="177" fontId="77" fillId="6" borderId="15" xfId="40" applyNumberFormat="1" applyFont="1" applyFill="1" applyBorder="1" applyAlignment="1">
      <alignment horizontal="center"/>
    </xf>
    <xf numFmtId="5" fontId="77" fillId="6" borderId="15" xfId="40" applyNumberFormat="1" applyFont="1" applyFill="1" applyBorder="1" applyAlignment="1">
      <alignment horizontal="center"/>
    </xf>
    <xf numFmtId="168" fontId="77" fillId="6" borderId="15" xfId="40" applyNumberFormat="1" applyFont="1" applyFill="1" applyBorder="1" applyAlignment="1">
      <alignment horizontal="center"/>
    </xf>
    <xf numFmtId="7" fontId="77" fillId="6" borderId="15" xfId="40" applyNumberFormat="1" applyFont="1" applyFill="1" applyBorder="1" applyAlignment="1">
      <alignment horizontal="center"/>
    </xf>
    <xf numFmtId="172" fontId="77" fillId="6" borderId="15" xfId="40" applyNumberFormat="1" applyFont="1" applyFill="1" applyBorder="1" applyAlignment="1">
      <alignment horizontal="center"/>
    </xf>
    <xf numFmtId="5" fontId="77" fillId="6" borderId="7" xfId="40" applyNumberFormat="1" applyFont="1" applyFill="1" applyBorder="1" applyAlignment="1">
      <alignment horizontal="center"/>
    </xf>
    <xf numFmtId="7" fontId="77" fillId="0" borderId="13" xfId="40" applyNumberFormat="1" applyFont="1" applyBorder="1" applyAlignment="1">
      <alignment horizontal="center"/>
    </xf>
    <xf numFmtId="7" fontId="77" fillId="0" borderId="4" xfId="40" applyNumberFormat="1" applyFont="1" applyBorder="1" applyAlignment="1">
      <alignment horizontal="center"/>
    </xf>
    <xf numFmtId="189" fontId="77" fillId="0" borderId="4" xfId="40" applyNumberFormat="1" applyFont="1" applyBorder="1" applyAlignment="1">
      <alignment horizontal="center"/>
    </xf>
    <xf numFmtId="189" fontId="77" fillId="0" borderId="14" xfId="40" applyNumberFormat="1" applyFont="1" applyBorder="1" applyAlignment="1">
      <alignment horizontal="center"/>
    </xf>
    <xf numFmtId="9" fontId="77" fillId="0" borderId="0" xfId="40" applyNumberFormat="1" applyFont="1"/>
    <xf numFmtId="0" fontId="81" fillId="0" borderId="1" xfId="40" applyFont="1" applyBorder="1" applyAlignment="1">
      <alignment horizontal="center"/>
    </xf>
    <xf numFmtId="9" fontId="77" fillId="0" borderId="0" xfId="40" applyNumberFormat="1" applyFont="1" applyAlignment="1">
      <alignment horizontal="center"/>
    </xf>
    <xf numFmtId="7" fontId="77" fillId="0" borderId="0" xfId="40" applyNumberFormat="1" applyFont="1" applyAlignment="1">
      <alignment horizontal="center"/>
    </xf>
    <xf numFmtId="0" fontId="81" fillId="0" borderId="16" xfId="40" applyFont="1" applyBorder="1"/>
    <xf numFmtId="0" fontId="63" fillId="0" borderId="0" xfId="300" applyFont="1"/>
    <xf numFmtId="0" fontId="5" fillId="0" borderId="0" xfId="300"/>
    <xf numFmtId="0" fontId="5" fillId="0" borderId="11" xfId="300" applyBorder="1"/>
    <xf numFmtId="0" fontId="63" fillId="0" borderId="11" xfId="300" applyFont="1" applyBorder="1" applyAlignment="1">
      <alignment horizontal="right"/>
    </xf>
    <xf numFmtId="165" fontId="0" fillId="0" borderId="11" xfId="301" applyNumberFormat="1" applyFont="1" applyBorder="1" applyAlignment="1">
      <alignment horizontal="right"/>
    </xf>
    <xf numFmtId="165" fontId="0" fillId="0" borderId="11" xfId="301" applyNumberFormat="1" applyFont="1" applyBorder="1" applyAlignment="1"/>
    <xf numFmtId="9" fontId="5" fillId="0" borderId="11" xfId="300" applyNumberFormat="1" applyBorder="1"/>
    <xf numFmtId="1" fontId="5" fillId="0" borderId="11" xfId="300" applyNumberFormat="1" applyBorder="1"/>
    <xf numFmtId="180" fontId="67" fillId="6" borderId="8" xfId="35" applyNumberFormat="1" applyFont="1" applyFill="1" applyBorder="1"/>
    <xf numFmtId="165" fontId="5" fillId="0" borderId="0" xfId="300" applyNumberFormat="1"/>
    <xf numFmtId="10" fontId="5" fillId="0" borderId="0" xfId="2" applyNumberFormat="1" applyFont="1"/>
    <xf numFmtId="43" fontId="5" fillId="0" borderId="0" xfId="300" applyNumberFormat="1"/>
    <xf numFmtId="192" fontId="120" fillId="6" borderId="7" xfId="35" applyNumberFormat="1" applyFont="1" applyFill="1" applyBorder="1" applyAlignment="1">
      <alignment horizontal="right"/>
    </xf>
    <xf numFmtId="37" fontId="77" fillId="0" borderId="0" xfId="40" applyNumberFormat="1" applyFont="1"/>
    <xf numFmtId="41" fontId="77" fillId="0" borderId="0" xfId="40" applyNumberFormat="1" applyFont="1"/>
    <xf numFmtId="43" fontId="77" fillId="0" borderId="0" xfId="40" applyNumberFormat="1" applyFont="1"/>
    <xf numFmtId="37" fontId="77" fillId="0" borderId="9" xfId="2" applyNumberFormat="1" applyFont="1" applyFill="1" applyBorder="1" applyAlignment="1">
      <alignment horizontal="center"/>
    </xf>
    <xf numFmtId="0" fontId="77" fillId="0" borderId="46" xfId="40" applyFont="1" applyBorder="1" applyAlignment="1">
      <alignment horizontal="center"/>
    </xf>
    <xf numFmtId="0" fontId="77" fillId="0" borderId="12" xfId="40" applyFont="1" applyBorder="1"/>
    <xf numFmtId="0" fontId="86" fillId="3" borderId="11" xfId="40" applyFont="1" applyFill="1" applyBorder="1" applyAlignment="1">
      <alignment horizontal="center"/>
    </xf>
    <xf numFmtId="0" fontId="77" fillId="6" borderId="12" xfId="40" applyFont="1" applyFill="1" applyBorder="1" applyAlignment="1">
      <alignment horizontal="center"/>
    </xf>
    <xf numFmtId="0" fontId="77" fillId="6" borderId="45" xfId="40" applyFont="1" applyFill="1" applyBorder="1" applyAlignment="1">
      <alignment horizontal="center"/>
    </xf>
    <xf numFmtId="0" fontId="77" fillId="6" borderId="46" xfId="40" applyFont="1" applyFill="1" applyBorder="1" applyAlignment="1">
      <alignment horizontal="center"/>
    </xf>
    <xf numFmtId="193" fontId="54" fillId="0" borderId="0" xfId="4" applyNumberFormat="1" applyFont="1"/>
    <xf numFmtId="194" fontId="54" fillId="0" borderId="0" xfId="4" applyNumberFormat="1" applyFont="1"/>
    <xf numFmtId="7" fontId="77" fillId="0" borderId="8" xfId="40" applyNumberFormat="1" applyFont="1" applyBorder="1" applyAlignment="1">
      <alignment horizontal="center"/>
    </xf>
    <xf numFmtId="5" fontId="77" fillId="0" borderId="1" xfId="40" applyNumberFormat="1" applyFont="1" applyBorder="1" applyAlignment="1">
      <alignment horizontal="center"/>
    </xf>
    <xf numFmtId="8" fontId="77" fillId="0" borderId="1" xfId="40" applyNumberFormat="1" applyFont="1" applyBorder="1" applyAlignment="1">
      <alignment horizontal="center"/>
    </xf>
    <xf numFmtId="7" fontId="77" fillId="0" borderId="10" xfId="40" applyNumberFormat="1" applyFont="1" applyBorder="1" applyAlignment="1">
      <alignment horizontal="center"/>
    </xf>
    <xf numFmtId="0" fontId="81" fillId="13" borderId="13" xfId="40" applyFont="1" applyFill="1" applyBorder="1"/>
    <xf numFmtId="0" fontId="81" fillId="13" borderId="4" xfId="40" applyFont="1" applyFill="1" applyBorder="1" applyAlignment="1">
      <alignment horizontal="center" vertical="center" wrapText="1"/>
    </xf>
    <xf numFmtId="0" fontId="81" fillId="13" borderId="14" xfId="40" applyFont="1" applyFill="1" applyBorder="1" applyAlignment="1">
      <alignment horizontal="center" vertical="center" wrapText="1"/>
    </xf>
    <xf numFmtId="0" fontId="63" fillId="6" borderId="0" xfId="302" applyFont="1" applyFill="1"/>
    <xf numFmtId="0" fontId="4" fillId="6" borderId="0" xfId="302" applyFill="1"/>
    <xf numFmtId="37" fontId="4" fillId="6" borderId="0" xfId="302" applyNumberFormat="1" applyFill="1"/>
    <xf numFmtId="0" fontId="121" fillId="6" borderId="0" xfId="302" applyFont="1" applyFill="1"/>
    <xf numFmtId="0" fontId="63" fillId="14" borderId="13" xfId="302" applyFont="1" applyFill="1" applyBorder="1" applyAlignment="1">
      <alignment horizontal="center" vertical="center" wrapText="1"/>
    </xf>
    <xf numFmtId="0" fontId="63" fillId="14" borderId="4" xfId="302" applyFont="1" applyFill="1" applyBorder="1" applyAlignment="1">
      <alignment horizontal="center" vertical="center" wrapText="1"/>
    </xf>
    <xf numFmtId="0" fontId="63" fillId="14" borderId="14" xfId="302" applyFont="1" applyFill="1" applyBorder="1" applyAlignment="1">
      <alignment horizontal="center" vertical="center" wrapText="1"/>
    </xf>
    <xf numFmtId="0" fontId="63" fillId="6" borderId="16" xfId="302" applyFont="1" applyFill="1" applyBorder="1" applyAlignment="1">
      <alignment horizontal="center" wrapText="1"/>
    </xf>
    <xf numFmtId="0" fontId="63" fillId="6" borderId="0" xfId="302" applyFont="1" applyFill="1" applyAlignment="1">
      <alignment horizontal="center" wrapText="1"/>
    </xf>
    <xf numFmtId="0" fontId="63" fillId="6" borderId="8" xfId="302" applyFont="1" applyFill="1" applyBorder="1" applyAlignment="1">
      <alignment horizontal="center" wrapText="1"/>
    </xf>
    <xf numFmtId="0" fontId="4" fillId="6" borderId="16" xfId="302" applyFill="1" applyBorder="1"/>
    <xf numFmtId="37" fontId="67" fillId="6" borderId="0" xfId="302" applyNumberFormat="1" applyFont="1" applyFill="1" applyAlignment="1">
      <alignment horizontal="center"/>
    </xf>
    <xf numFmtId="37" fontId="71" fillId="6" borderId="0" xfId="302" applyNumberFormat="1" applyFont="1" applyFill="1" applyAlignment="1">
      <alignment horizontal="center"/>
    </xf>
    <xf numFmtId="168" fontId="67" fillId="6" borderId="8" xfId="302" applyNumberFormat="1" applyFont="1" applyFill="1" applyBorder="1" applyAlignment="1">
      <alignment horizontal="center"/>
    </xf>
    <xf numFmtId="0" fontId="67" fillId="6" borderId="0" xfId="302" applyFont="1" applyFill="1" applyAlignment="1">
      <alignment horizontal="center"/>
    </xf>
    <xf numFmtId="5" fontId="67" fillId="6" borderId="0" xfId="303" applyNumberFormat="1" applyFont="1" applyFill="1" applyAlignment="1">
      <alignment horizontal="center"/>
    </xf>
    <xf numFmtId="195" fontId="4" fillId="6" borderId="0" xfId="302" applyNumberFormat="1" applyFill="1"/>
    <xf numFmtId="5" fontId="4" fillId="6" borderId="0" xfId="302" applyNumberFormat="1" applyFill="1"/>
    <xf numFmtId="5" fontId="71" fillId="6" borderId="0" xfId="303" applyNumberFormat="1" applyFont="1" applyFill="1" applyAlignment="1">
      <alignment horizontal="center"/>
    </xf>
    <xf numFmtId="0" fontId="44" fillId="6" borderId="0" xfId="302" applyFont="1" applyFill="1" applyAlignment="1">
      <alignment horizontal="center" vertical="center"/>
    </xf>
    <xf numFmtId="37" fontId="71" fillId="6" borderId="1" xfId="302" applyNumberFormat="1" applyFont="1" applyFill="1" applyBorder="1" applyAlignment="1">
      <alignment horizontal="center"/>
    </xf>
    <xf numFmtId="37" fontId="67" fillId="6" borderId="1" xfId="302" applyNumberFormat="1" applyFont="1" applyFill="1" applyBorder="1" applyAlignment="1">
      <alignment horizontal="center"/>
    </xf>
    <xf numFmtId="164" fontId="67" fillId="6" borderId="0" xfId="302" applyNumberFormat="1" applyFont="1" applyFill="1" applyAlignment="1">
      <alignment horizontal="center"/>
    </xf>
    <xf numFmtId="168" fontId="67" fillId="6" borderId="0" xfId="302" applyNumberFormat="1" applyFont="1" applyFill="1" applyAlignment="1">
      <alignment horizontal="center"/>
    </xf>
    <xf numFmtId="164" fontId="67" fillId="6" borderId="8" xfId="302" applyNumberFormat="1" applyFont="1" applyFill="1" applyBorder="1" applyAlignment="1">
      <alignment horizontal="center"/>
    </xf>
    <xf numFmtId="164" fontId="67" fillId="6" borderId="10" xfId="302" applyNumberFormat="1" applyFont="1" applyFill="1" applyBorder="1" applyAlignment="1">
      <alignment horizontal="center"/>
    </xf>
    <xf numFmtId="5" fontId="120" fillId="6" borderId="0" xfId="302" applyNumberFormat="1" applyFont="1" applyFill="1" applyAlignment="1">
      <alignment horizontal="center"/>
    </xf>
    <xf numFmtId="168" fontId="120" fillId="6" borderId="0" xfId="302" applyNumberFormat="1" applyFont="1" applyFill="1" applyAlignment="1">
      <alignment horizontal="center"/>
    </xf>
    <xf numFmtId="5" fontId="94" fillId="0" borderId="8" xfId="51" applyNumberFormat="1" applyFont="1" applyBorder="1"/>
    <xf numFmtId="37" fontId="68" fillId="0" borderId="8" xfId="51" applyNumberFormat="1" applyFont="1" applyBorder="1"/>
    <xf numFmtId="5" fontId="71" fillId="6" borderId="8" xfId="302" applyNumberFormat="1" applyFont="1" applyFill="1" applyBorder="1" applyAlignment="1">
      <alignment horizontal="center"/>
    </xf>
    <xf numFmtId="5" fontId="71" fillId="6" borderId="10" xfId="302" applyNumberFormat="1" applyFont="1" applyFill="1" applyBorder="1" applyAlignment="1">
      <alignment horizontal="center"/>
    </xf>
    <xf numFmtId="7" fontId="120" fillId="6" borderId="0" xfId="302" applyNumberFormat="1" applyFont="1" applyFill="1" applyAlignment="1">
      <alignment horizontal="center"/>
    </xf>
    <xf numFmtId="7" fontId="72" fillId="6" borderId="0" xfId="0" applyNumberFormat="1" applyFont="1" applyFill="1" applyAlignment="1">
      <alignment horizontal="center"/>
    </xf>
    <xf numFmtId="7" fontId="72" fillId="6" borderId="1" xfId="0" applyNumberFormat="1" applyFont="1" applyFill="1" applyBorder="1" applyAlignment="1">
      <alignment horizontal="center"/>
    </xf>
    <xf numFmtId="7" fontId="113" fillId="6" borderId="0" xfId="302" applyNumberFormat="1" applyFont="1" applyFill="1" applyAlignment="1">
      <alignment horizontal="center"/>
    </xf>
    <xf numFmtId="5" fontId="72" fillId="6" borderId="0" xfId="0" applyNumberFormat="1" applyFont="1" applyFill="1" applyAlignment="1">
      <alignment horizontal="center"/>
    </xf>
    <xf numFmtId="5" fontId="72" fillId="6" borderId="1" xfId="0" applyNumberFormat="1" applyFont="1" applyFill="1" applyBorder="1" applyAlignment="1">
      <alignment horizontal="center"/>
    </xf>
    <xf numFmtId="168" fontId="67" fillId="6" borderId="10" xfId="302" applyNumberFormat="1" applyFont="1" applyFill="1" applyBorder="1" applyAlignment="1">
      <alignment horizontal="center"/>
    </xf>
    <xf numFmtId="0" fontId="63" fillId="6" borderId="6" xfId="302" applyFont="1" applyFill="1" applyBorder="1" applyAlignment="1">
      <alignment horizontal="center" wrapText="1"/>
    </xf>
    <xf numFmtId="0" fontId="63" fillId="6" borderId="15" xfId="302" applyFont="1" applyFill="1" applyBorder="1" applyAlignment="1">
      <alignment horizontal="center" wrapText="1"/>
    </xf>
    <xf numFmtId="0" fontId="63" fillId="6" borderId="7" xfId="302" applyFont="1" applyFill="1" applyBorder="1" applyAlignment="1">
      <alignment horizontal="center" wrapText="1"/>
    </xf>
    <xf numFmtId="168" fontId="67" fillId="6" borderId="16" xfId="302" applyNumberFormat="1" applyFont="1" applyFill="1" applyBorder="1" applyAlignment="1">
      <alignment horizontal="center"/>
    </xf>
    <xf numFmtId="168" fontId="67" fillId="6" borderId="9" xfId="302" applyNumberFormat="1" applyFont="1" applyFill="1" applyBorder="1" applyAlignment="1">
      <alignment horizontal="center"/>
    </xf>
    <xf numFmtId="7" fontId="120" fillId="11" borderId="0" xfId="302" applyNumberFormat="1" applyFont="1" applyFill="1" applyAlignment="1">
      <alignment horizontal="center"/>
    </xf>
    <xf numFmtId="7" fontId="122" fillId="6" borderId="0" xfId="0" applyNumberFormat="1" applyFont="1" applyFill="1" applyAlignment="1">
      <alignment horizontal="center"/>
    </xf>
    <xf numFmtId="7" fontId="122" fillId="6" borderId="1" xfId="0" applyNumberFormat="1" applyFont="1" applyFill="1" applyBorder="1" applyAlignment="1">
      <alignment horizontal="center"/>
    </xf>
    <xf numFmtId="8" fontId="123" fillId="6" borderId="0" xfId="4" applyNumberFormat="1" applyFont="1" applyFill="1"/>
    <xf numFmtId="8" fontId="123" fillId="0" borderId="0" xfId="4" applyNumberFormat="1" applyFont="1"/>
    <xf numFmtId="0" fontId="3" fillId="6" borderId="0" xfId="302" applyFont="1" applyFill="1"/>
    <xf numFmtId="168" fontId="67" fillId="2" borderId="11" xfId="302" applyNumberFormat="1" applyFont="1" applyFill="1" applyBorder="1" applyAlignment="1">
      <alignment horizontal="center"/>
    </xf>
    <xf numFmtId="37" fontId="123" fillId="0" borderId="0" xfId="4" applyNumberFormat="1" applyFont="1"/>
    <xf numFmtId="5" fontId="123" fillId="0" borderId="0" xfId="4" applyNumberFormat="1" applyFont="1"/>
    <xf numFmtId="174" fontId="123" fillId="0" borderId="0" xfId="4" applyNumberFormat="1" applyFont="1" applyAlignment="1">
      <alignment horizontal="right"/>
    </xf>
    <xf numFmtId="164" fontId="123" fillId="0" borderId="0" xfId="4" applyNumberFormat="1" applyFont="1"/>
    <xf numFmtId="37" fontId="123" fillId="0" borderId="0" xfId="4" applyNumberFormat="1" applyFont="1" applyAlignment="1">
      <alignment vertical="top"/>
    </xf>
    <xf numFmtId="7" fontId="123" fillId="0" borderId="0" xfId="4" applyNumberFormat="1" applyFont="1"/>
    <xf numFmtId="6" fontId="54" fillId="6" borderId="0" xfId="0" applyNumberFormat="1" applyFont="1" applyFill="1"/>
    <xf numFmtId="165" fontId="54" fillId="6" borderId="0" xfId="4" applyNumberFormat="1" applyFont="1" applyFill="1" applyAlignment="1">
      <alignment vertical="top"/>
    </xf>
    <xf numFmtId="8" fontId="53" fillId="7" borderId="0" xfId="4" applyNumberFormat="1" applyFont="1" applyFill="1"/>
    <xf numFmtId="38" fontId="61" fillId="0" borderId="0" xfId="4" applyNumberFormat="1" applyFont="1"/>
    <xf numFmtId="7" fontId="67" fillId="6" borderId="0" xfId="302" applyNumberFormat="1" applyFont="1" applyFill="1" applyAlignment="1">
      <alignment horizontal="center"/>
    </xf>
    <xf numFmtId="168" fontId="113" fillId="6" borderId="0" xfId="302" applyNumberFormat="1" applyFont="1" applyFill="1" applyAlignment="1">
      <alignment horizontal="center"/>
    </xf>
    <xf numFmtId="168" fontId="71" fillId="6" borderId="0" xfId="302" applyNumberFormat="1" applyFont="1" applyFill="1" applyAlignment="1">
      <alignment horizontal="center"/>
    </xf>
    <xf numFmtId="5" fontId="67" fillId="6" borderId="0" xfId="302" applyNumberFormat="1" applyFont="1" applyFill="1" applyAlignment="1">
      <alignment horizontal="center"/>
    </xf>
    <xf numFmtId="0" fontId="4" fillId="6" borderId="1" xfId="302" applyFill="1" applyBorder="1"/>
    <xf numFmtId="5" fontId="120" fillId="6" borderId="1" xfId="302" applyNumberFormat="1" applyFont="1" applyFill="1" applyBorder="1" applyAlignment="1">
      <alignment horizontal="center"/>
    </xf>
    <xf numFmtId="168" fontId="120" fillId="6" borderId="1" xfId="302" applyNumberFormat="1" applyFont="1" applyFill="1" applyBorder="1" applyAlignment="1">
      <alignment horizontal="center"/>
    </xf>
    <xf numFmtId="7" fontId="120" fillId="6" borderId="1" xfId="302" applyNumberFormat="1" applyFont="1" applyFill="1" applyBorder="1" applyAlignment="1">
      <alignment horizontal="center"/>
    </xf>
    <xf numFmtId="7" fontId="67" fillId="6" borderId="1" xfId="302" applyNumberFormat="1" applyFont="1" applyFill="1" applyBorder="1" applyAlignment="1">
      <alignment horizontal="center"/>
    </xf>
    <xf numFmtId="0" fontId="2" fillId="6" borderId="1" xfId="302" applyFont="1" applyFill="1" applyBorder="1"/>
    <xf numFmtId="0" fontId="4" fillId="6" borderId="8" xfId="302" applyFill="1" applyBorder="1"/>
    <xf numFmtId="8" fontId="61" fillId="6" borderId="0" xfId="4" applyNumberFormat="1" applyFont="1" applyFill="1"/>
    <xf numFmtId="8" fontId="123" fillId="6" borderId="0" xfId="4" applyNumberFormat="1" applyFont="1" applyFill="1" applyAlignment="1">
      <alignment horizontal="right"/>
    </xf>
    <xf numFmtId="38" fontId="61" fillId="6" borderId="0" xfId="4" applyNumberFormat="1" applyFont="1" applyFill="1"/>
    <xf numFmtId="168" fontId="123" fillId="0" borderId="0" xfId="4" applyNumberFormat="1" applyFont="1"/>
    <xf numFmtId="37" fontId="113" fillId="2" borderId="11" xfId="302" applyNumberFormat="1" applyFont="1" applyFill="1" applyBorder="1" applyAlignment="1">
      <alignment horizontal="center"/>
    </xf>
    <xf numFmtId="2" fontId="77" fillId="6" borderId="0" xfId="40" applyNumberFormat="1" applyFont="1" applyFill="1" applyAlignment="1">
      <alignment horizontal="centerContinuous" vertical="center"/>
    </xf>
    <xf numFmtId="37" fontId="67" fillId="6" borderId="0" xfId="302" applyNumberFormat="1" applyFont="1" applyFill="1"/>
    <xf numFmtId="0" fontId="1" fillId="0" borderId="0" xfId="300" applyFont="1"/>
    <xf numFmtId="37" fontId="113" fillId="0" borderId="0" xfId="51" applyNumberFormat="1" applyFont="1"/>
    <xf numFmtId="0" fontId="2" fillId="6" borderId="0" xfId="302" applyFont="1" applyFill="1"/>
    <xf numFmtId="37" fontId="67" fillId="6" borderId="0" xfId="302" applyNumberFormat="1" applyFont="1" applyFill="1" applyAlignment="1">
      <alignment horizontal="center" vertical="center"/>
    </xf>
    <xf numFmtId="168" fontId="113" fillId="6" borderId="1" xfId="302" applyNumberFormat="1" applyFont="1" applyFill="1" applyBorder="1" applyAlignment="1">
      <alignment horizontal="center"/>
    </xf>
    <xf numFmtId="0" fontId="2" fillId="7" borderId="16" xfId="302" applyFont="1" applyFill="1" applyBorder="1"/>
    <xf numFmtId="0" fontId="67" fillId="7" borderId="0" xfId="302" applyFont="1" applyFill="1" applyAlignment="1">
      <alignment horizontal="center" vertical="center"/>
    </xf>
    <xf numFmtId="37" fontId="71" fillId="7" borderId="0" xfId="302" applyNumberFormat="1" applyFont="1" applyFill="1" applyAlignment="1">
      <alignment horizontal="center"/>
    </xf>
    <xf numFmtId="5" fontId="77" fillId="7" borderId="0" xfId="40" applyNumberFormat="1" applyFont="1" applyFill="1" applyAlignment="1">
      <alignment horizontal="right" indent="1"/>
    </xf>
    <xf numFmtId="37" fontId="77" fillId="7" borderId="0" xfId="40" applyNumberFormat="1" applyFont="1" applyFill="1" applyAlignment="1">
      <alignment horizontal="right" indent="1"/>
    </xf>
    <xf numFmtId="5" fontId="77" fillId="7" borderId="15" xfId="40" applyNumberFormat="1" applyFont="1" applyFill="1" applyBorder="1" applyAlignment="1">
      <alignment horizontal="right" indent="1"/>
    </xf>
    <xf numFmtId="0" fontId="77" fillId="7" borderId="16" xfId="40" applyFont="1" applyFill="1" applyBorder="1"/>
    <xf numFmtId="37" fontId="77" fillId="7" borderId="0" xfId="40" applyNumberFormat="1" applyFont="1" applyFill="1" applyAlignment="1">
      <alignment horizontal="right"/>
    </xf>
    <xf numFmtId="0" fontId="77" fillId="7" borderId="0" xfId="40" applyFont="1" applyFill="1"/>
    <xf numFmtId="8" fontId="86" fillId="7" borderId="4" xfId="2" applyNumberFormat="1" applyFont="1" applyFill="1" applyBorder="1" applyAlignment="1">
      <alignment horizontal="center"/>
    </xf>
    <xf numFmtId="8" fontId="77" fillId="7" borderId="15" xfId="2" applyNumberFormat="1" applyFont="1" applyFill="1" applyBorder="1" applyAlignment="1">
      <alignment horizontal="center"/>
    </xf>
    <xf numFmtId="8" fontId="77" fillId="7" borderId="0" xfId="2" applyNumberFormat="1" applyFont="1" applyFill="1" applyBorder="1" applyAlignment="1">
      <alignment horizontal="center"/>
    </xf>
    <xf numFmtId="8" fontId="77" fillId="7" borderId="1" xfId="2" applyNumberFormat="1" applyFont="1" applyFill="1" applyBorder="1" applyAlignment="1">
      <alignment horizontal="center"/>
    </xf>
    <xf numFmtId="7" fontId="72" fillId="6" borderId="8" xfId="0" applyNumberFormat="1" applyFont="1" applyFill="1" applyBorder="1" applyAlignment="1">
      <alignment horizontal="center"/>
    </xf>
    <xf numFmtId="7" fontId="72" fillId="6" borderId="10" xfId="0" applyNumberFormat="1" applyFont="1" applyFill="1" applyBorder="1" applyAlignment="1">
      <alignment horizontal="center"/>
    </xf>
    <xf numFmtId="37" fontId="77" fillId="6" borderId="0" xfId="40" applyNumberFormat="1" applyFont="1" applyFill="1" applyAlignment="1">
      <alignment horizontal="right"/>
    </xf>
  </cellXfs>
  <cellStyles count="304">
    <cellStyle name="Comma" xfId="1" builtinId="3"/>
    <cellStyle name="Comma [0] 2" xfId="5" xr:uid="{00000000-0005-0000-0000-000001000000}"/>
    <cellStyle name="Comma 2" xfId="6" xr:uid="{00000000-0005-0000-0000-000002000000}"/>
    <cellStyle name="Comma 2 2" xfId="7" xr:uid="{00000000-0005-0000-0000-000003000000}"/>
    <cellStyle name="Comma 3" xfId="8" xr:uid="{00000000-0005-0000-0000-000004000000}"/>
    <cellStyle name="Comma 4" xfId="9" xr:uid="{00000000-0005-0000-0000-000005000000}"/>
    <cellStyle name="Comma 5" xfId="10" xr:uid="{00000000-0005-0000-0000-000006000000}"/>
    <cellStyle name="Comma 6" xfId="11" xr:uid="{00000000-0005-0000-0000-000007000000}"/>
    <cellStyle name="Comma 7" xfId="45" xr:uid="{00000000-0005-0000-0000-000008000000}"/>
    <cellStyle name="Comma 8" xfId="59" xr:uid="{00000000-0005-0000-0000-000009000000}"/>
    <cellStyle name="Comma 9" xfId="301" xr:uid="{00000000-0005-0000-0000-00000A000000}"/>
    <cellStyle name="Comma0" xfId="60" xr:uid="{00000000-0005-0000-0000-00000B000000}"/>
    <cellStyle name="Comma0 2" xfId="61" xr:uid="{00000000-0005-0000-0000-00000C000000}"/>
    <cellStyle name="Currency 2" xfId="12" xr:uid="{00000000-0005-0000-0000-00000D000000}"/>
    <cellStyle name="Currency 2 2" xfId="13" xr:uid="{00000000-0005-0000-0000-00000E000000}"/>
    <cellStyle name="Currency 2 3" xfId="14" xr:uid="{00000000-0005-0000-0000-00000F000000}"/>
    <cellStyle name="Currency 3" xfId="15" xr:uid="{00000000-0005-0000-0000-000010000000}"/>
    <cellStyle name="Currency 3 2" xfId="16" xr:uid="{00000000-0005-0000-0000-000011000000}"/>
    <cellStyle name="Currency 4" xfId="17" xr:uid="{00000000-0005-0000-0000-000012000000}"/>
    <cellStyle name="Currency 5" xfId="18" xr:uid="{00000000-0005-0000-0000-000013000000}"/>
    <cellStyle name="Currency 6" xfId="19" xr:uid="{00000000-0005-0000-0000-000014000000}"/>
    <cellStyle name="Currency0" xfId="62" xr:uid="{00000000-0005-0000-0000-000015000000}"/>
    <cellStyle name="Currency0 2" xfId="63" xr:uid="{00000000-0005-0000-0000-000016000000}"/>
    <cellStyle name="Date" xfId="64" xr:uid="{00000000-0005-0000-0000-000017000000}"/>
    <cellStyle name="Date 2" xfId="65" xr:uid="{00000000-0005-0000-0000-000018000000}"/>
    <cellStyle name="Euro" xfId="20" xr:uid="{00000000-0005-0000-0000-000019000000}"/>
    <cellStyle name="Fixed" xfId="66" xr:uid="{00000000-0005-0000-0000-00001A000000}"/>
    <cellStyle name="Fixed 2" xfId="67" xr:uid="{00000000-0005-0000-0000-00001B000000}"/>
    <cellStyle name="Heading 1 2" xfId="68" xr:uid="{00000000-0005-0000-0000-00001C000000}"/>
    <cellStyle name="Heading 1 2 2" xfId="69" xr:uid="{00000000-0005-0000-0000-00001D000000}"/>
    <cellStyle name="Heading 1 3" xfId="70" xr:uid="{00000000-0005-0000-0000-00001E000000}"/>
    <cellStyle name="Heading 1 3 2" xfId="71" xr:uid="{00000000-0005-0000-0000-00001F000000}"/>
    <cellStyle name="Heading 2 2" xfId="72" xr:uid="{00000000-0005-0000-0000-000020000000}"/>
    <cellStyle name="Heading 2 2 2" xfId="73" xr:uid="{00000000-0005-0000-0000-000021000000}"/>
    <cellStyle name="Heading 2 3" xfId="74" xr:uid="{00000000-0005-0000-0000-000022000000}"/>
    <cellStyle name="Heading 2 3 2" xfId="75" xr:uid="{00000000-0005-0000-0000-000023000000}"/>
    <cellStyle name="Normal" xfId="0" builtinId="0"/>
    <cellStyle name="Normal - Style1" xfId="76" xr:uid="{00000000-0005-0000-0000-000025000000}"/>
    <cellStyle name="Normal 10" xfId="38" xr:uid="{00000000-0005-0000-0000-000026000000}"/>
    <cellStyle name="Normal 10 2" xfId="77" xr:uid="{00000000-0005-0000-0000-000027000000}"/>
    <cellStyle name="Normal 11" xfId="39" xr:uid="{00000000-0005-0000-0000-000028000000}"/>
    <cellStyle name="Normal 11 2" xfId="78" xr:uid="{00000000-0005-0000-0000-000029000000}"/>
    <cellStyle name="Normal 11 2 2" xfId="79" xr:uid="{00000000-0005-0000-0000-00002A000000}"/>
    <cellStyle name="Normal 11 2 3" xfId="80" xr:uid="{00000000-0005-0000-0000-00002B000000}"/>
    <cellStyle name="Normal 11 2 4" xfId="81" xr:uid="{00000000-0005-0000-0000-00002C000000}"/>
    <cellStyle name="Normal 11 2 4 2" xfId="82" xr:uid="{00000000-0005-0000-0000-00002D000000}"/>
    <cellStyle name="Normal 11 2 4 3" xfId="83" xr:uid="{00000000-0005-0000-0000-00002E000000}"/>
    <cellStyle name="Normal 11 2 4 3 2" xfId="84" xr:uid="{00000000-0005-0000-0000-00002F000000}"/>
    <cellStyle name="Normal 11 2 5" xfId="85" xr:uid="{00000000-0005-0000-0000-000030000000}"/>
    <cellStyle name="Normal 11 2 6" xfId="86" xr:uid="{00000000-0005-0000-0000-000031000000}"/>
    <cellStyle name="Normal 11 2 6 2" xfId="87" xr:uid="{00000000-0005-0000-0000-000032000000}"/>
    <cellStyle name="Normal 11 2 6 3" xfId="88" xr:uid="{00000000-0005-0000-0000-000033000000}"/>
    <cellStyle name="Normal 11 2 7" xfId="89" xr:uid="{00000000-0005-0000-0000-000034000000}"/>
    <cellStyle name="Normal 11 2 8" xfId="90" xr:uid="{00000000-0005-0000-0000-000035000000}"/>
    <cellStyle name="Normal 11 2 8 2" xfId="91" xr:uid="{00000000-0005-0000-0000-000036000000}"/>
    <cellStyle name="Normal 11 3" xfId="92" xr:uid="{00000000-0005-0000-0000-000037000000}"/>
    <cellStyle name="Normal 11 4" xfId="93" xr:uid="{00000000-0005-0000-0000-000038000000}"/>
    <cellStyle name="Normal 12" xfId="40" xr:uid="{00000000-0005-0000-0000-000039000000}"/>
    <cellStyle name="Normal 12 2" xfId="94" xr:uid="{00000000-0005-0000-0000-00003A000000}"/>
    <cellStyle name="Normal 12 3" xfId="95" xr:uid="{00000000-0005-0000-0000-00003B000000}"/>
    <cellStyle name="Normal 12 3 2" xfId="96" xr:uid="{00000000-0005-0000-0000-00003C000000}"/>
    <cellStyle name="Normal 12 4" xfId="97" xr:uid="{00000000-0005-0000-0000-00003D000000}"/>
    <cellStyle name="Normal 12 5" xfId="98" xr:uid="{00000000-0005-0000-0000-00003E000000}"/>
    <cellStyle name="Normal 12 5 2" xfId="99" xr:uid="{00000000-0005-0000-0000-00003F000000}"/>
    <cellStyle name="Normal 12 5 3" xfId="100" xr:uid="{00000000-0005-0000-0000-000040000000}"/>
    <cellStyle name="Normal 12 6" xfId="101" xr:uid="{00000000-0005-0000-0000-000041000000}"/>
    <cellStyle name="Normal 12 7" xfId="102" xr:uid="{00000000-0005-0000-0000-000042000000}"/>
    <cellStyle name="Normal 12 7 2" xfId="103" xr:uid="{00000000-0005-0000-0000-000043000000}"/>
    <cellStyle name="Normal 13" xfId="41" xr:uid="{00000000-0005-0000-0000-000044000000}"/>
    <cellStyle name="Normal 13 2" xfId="104" xr:uid="{00000000-0005-0000-0000-000045000000}"/>
    <cellStyle name="Normal 13 3" xfId="105" xr:uid="{00000000-0005-0000-0000-000046000000}"/>
    <cellStyle name="Normal 13 3 2" xfId="106" xr:uid="{00000000-0005-0000-0000-000047000000}"/>
    <cellStyle name="Normal 13 3 2 2" xfId="107" xr:uid="{00000000-0005-0000-0000-000048000000}"/>
    <cellStyle name="Normal 13 3 3" xfId="108" xr:uid="{00000000-0005-0000-0000-000049000000}"/>
    <cellStyle name="Normal 14" xfId="42" xr:uid="{00000000-0005-0000-0000-00004A000000}"/>
    <cellStyle name="Normal 14 2" xfId="109" xr:uid="{00000000-0005-0000-0000-00004B000000}"/>
    <cellStyle name="Normal 15" xfId="43" xr:uid="{00000000-0005-0000-0000-00004C000000}"/>
    <cellStyle name="Normal 15 2" xfId="110" xr:uid="{00000000-0005-0000-0000-00004D000000}"/>
    <cellStyle name="Normal 15 3" xfId="111" xr:uid="{00000000-0005-0000-0000-00004E000000}"/>
    <cellStyle name="Normal 16" xfId="46" xr:uid="{00000000-0005-0000-0000-00004F000000}"/>
    <cellStyle name="Normal 16 2" xfId="112" xr:uid="{00000000-0005-0000-0000-000050000000}"/>
    <cellStyle name="Normal 17" xfId="47" xr:uid="{00000000-0005-0000-0000-000051000000}"/>
    <cellStyle name="Normal 17 2" xfId="113" xr:uid="{00000000-0005-0000-0000-000052000000}"/>
    <cellStyle name="Normal 18" xfId="48" xr:uid="{00000000-0005-0000-0000-000053000000}"/>
    <cellStyle name="Normal 18 2" xfId="114" xr:uid="{00000000-0005-0000-0000-000054000000}"/>
    <cellStyle name="Normal 19" xfId="49" xr:uid="{00000000-0005-0000-0000-000055000000}"/>
    <cellStyle name="Normal 19 2" xfId="115" xr:uid="{00000000-0005-0000-0000-000056000000}"/>
    <cellStyle name="Normal 2" xfId="3" xr:uid="{00000000-0005-0000-0000-000057000000}"/>
    <cellStyle name="Normal 2 2" xfId="21" xr:uid="{00000000-0005-0000-0000-000058000000}"/>
    <cellStyle name="Normal 2 2 2" xfId="116" xr:uid="{00000000-0005-0000-0000-000059000000}"/>
    <cellStyle name="Normal 2 2 2 2" xfId="117" xr:uid="{00000000-0005-0000-0000-00005A000000}"/>
    <cellStyle name="Normal 2 3" xfId="22" xr:uid="{00000000-0005-0000-0000-00005B000000}"/>
    <cellStyle name="Normal 2 3 2" xfId="118" xr:uid="{00000000-0005-0000-0000-00005C000000}"/>
    <cellStyle name="Normal 2 4" xfId="4" xr:uid="{00000000-0005-0000-0000-00005D000000}"/>
    <cellStyle name="Normal 2 4 2" xfId="119" xr:uid="{00000000-0005-0000-0000-00005E000000}"/>
    <cellStyle name="Normal 2 5" xfId="50" xr:uid="{00000000-0005-0000-0000-00005F000000}"/>
    <cellStyle name="Normal 2 5 2" xfId="120" xr:uid="{00000000-0005-0000-0000-000060000000}"/>
    <cellStyle name="Normal 2 6" xfId="53" xr:uid="{00000000-0005-0000-0000-000061000000}"/>
    <cellStyle name="Normal 20" xfId="51" xr:uid="{00000000-0005-0000-0000-000062000000}"/>
    <cellStyle name="Normal 20 2" xfId="121" xr:uid="{00000000-0005-0000-0000-000063000000}"/>
    <cellStyle name="Normal 20 3" xfId="303" xr:uid="{00000000-0005-0000-0000-000064000000}"/>
    <cellStyle name="Normal 21" xfId="52" xr:uid="{00000000-0005-0000-0000-000065000000}"/>
    <cellStyle name="Normal 21 2" xfId="122" xr:uid="{00000000-0005-0000-0000-000066000000}"/>
    <cellStyle name="Normal 22" xfId="54" xr:uid="{00000000-0005-0000-0000-000067000000}"/>
    <cellStyle name="Normal 23" xfId="56" xr:uid="{00000000-0005-0000-0000-000068000000}"/>
    <cellStyle name="Normal 24" xfId="57" xr:uid="{00000000-0005-0000-0000-000069000000}"/>
    <cellStyle name="Normal 25" xfId="123" xr:uid="{00000000-0005-0000-0000-00006A000000}"/>
    <cellStyle name="Normal 26" xfId="124" xr:uid="{00000000-0005-0000-0000-00006B000000}"/>
    <cellStyle name="Normal 27" xfId="125" xr:uid="{00000000-0005-0000-0000-00006C000000}"/>
    <cellStyle name="Normal 28" xfId="126" xr:uid="{00000000-0005-0000-0000-00006D000000}"/>
    <cellStyle name="Normal 29" xfId="127" xr:uid="{00000000-0005-0000-0000-00006E000000}"/>
    <cellStyle name="Normal 3" xfId="23" xr:uid="{00000000-0005-0000-0000-00006F000000}"/>
    <cellStyle name="Normal 3 2" xfId="128" xr:uid="{00000000-0005-0000-0000-000070000000}"/>
    <cellStyle name="Normal 3 2 2" xfId="129" xr:uid="{00000000-0005-0000-0000-000071000000}"/>
    <cellStyle name="Normal 3 3" xfId="130" xr:uid="{00000000-0005-0000-0000-000072000000}"/>
    <cellStyle name="Normal 3 3 2" xfId="131" xr:uid="{00000000-0005-0000-0000-000073000000}"/>
    <cellStyle name="Normal 3 4" xfId="132" xr:uid="{00000000-0005-0000-0000-000074000000}"/>
    <cellStyle name="Normal 3 4 2" xfId="133" xr:uid="{00000000-0005-0000-0000-000075000000}"/>
    <cellStyle name="Normal 30" xfId="134" xr:uid="{00000000-0005-0000-0000-000076000000}"/>
    <cellStyle name="Normal 31" xfId="135" xr:uid="{00000000-0005-0000-0000-000077000000}"/>
    <cellStyle name="Normal 32" xfId="136" xr:uid="{00000000-0005-0000-0000-000078000000}"/>
    <cellStyle name="Normal 33" xfId="137" xr:uid="{00000000-0005-0000-0000-000079000000}"/>
    <cellStyle name="Normal 34" xfId="138" xr:uid="{00000000-0005-0000-0000-00007A000000}"/>
    <cellStyle name="Normal 35" xfId="139" xr:uid="{00000000-0005-0000-0000-00007B000000}"/>
    <cellStyle name="Normal 36" xfId="140" xr:uid="{00000000-0005-0000-0000-00007C000000}"/>
    <cellStyle name="Normal 37" xfId="141" xr:uid="{00000000-0005-0000-0000-00007D000000}"/>
    <cellStyle name="Normal 38" xfId="142" xr:uid="{00000000-0005-0000-0000-00007E000000}"/>
    <cellStyle name="Normal 39" xfId="143" xr:uid="{00000000-0005-0000-0000-00007F000000}"/>
    <cellStyle name="Normal 4" xfId="24" xr:uid="{00000000-0005-0000-0000-000080000000}"/>
    <cellStyle name="Normal 4 2" xfId="144" xr:uid="{00000000-0005-0000-0000-000081000000}"/>
    <cellStyle name="Normal 4 2 2" xfId="145" xr:uid="{00000000-0005-0000-0000-000082000000}"/>
    <cellStyle name="Normal 4 3" xfId="146" xr:uid="{00000000-0005-0000-0000-000083000000}"/>
    <cellStyle name="Normal 40" xfId="147" xr:uid="{00000000-0005-0000-0000-000084000000}"/>
    <cellStyle name="Normal 41" xfId="148" xr:uid="{00000000-0005-0000-0000-000085000000}"/>
    <cellStyle name="Normal 42" xfId="149" xr:uid="{00000000-0005-0000-0000-000086000000}"/>
    <cellStyle name="Normal 43" xfId="150" xr:uid="{00000000-0005-0000-0000-000087000000}"/>
    <cellStyle name="Normal 44" xfId="151" xr:uid="{00000000-0005-0000-0000-000088000000}"/>
    <cellStyle name="Normal 45" xfId="152" xr:uid="{00000000-0005-0000-0000-000089000000}"/>
    <cellStyle name="Normal 46" xfId="153" xr:uid="{00000000-0005-0000-0000-00008A000000}"/>
    <cellStyle name="Normal 47" xfId="154" xr:uid="{00000000-0005-0000-0000-00008B000000}"/>
    <cellStyle name="Normal 48" xfId="155" xr:uid="{00000000-0005-0000-0000-00008C000000}"/>
    <cellStyle name="Normal 49" xfId="156" xr:uid="{00000000-0005-0000-0000-00008D000000}"/>
    <cellStyle name="Normal 5" xfId="25" xr:uid="{00000000-0005-0000-0000-00008E000000}"/>
    <cellStyle name="Normal 5 2" xfId="157" xr:uid="{00000000-0005-0000-0000-00008F000000}"/>
    <cellStyle name="Normal 5 3" xfId="158" xr:uid="{00000000-0005-0000-0000-000090000000}"/>
    <cellStyle name="Normal 5 3 2" xfId="159" xr:uid="{00000000-0005-0000-0000-000091000000}"/>
    <cellStyle name="Normal 50" xfId="160" xr:uid="{00000000-0005-0000-0000-000092000000}"/>
    <cellStyle name="Normal 51" xfId="161" xr:uid="{00000000-0005-0000-0000-000093000000}"/>
    <cellStyle name="Normal 52" xfId="162" xr:uid="{00000000-0005-0000-0000-000094000000}"/>
    <cellStyle name="Normal 53" xfId="163" xr:uid="{00000000-0005-0000-0000-000095000000}"/>
    <cellStyle name="Normal 54" xfId="164" xr:uid="{00000000-0005-0000-0000-000096000000}"/>
    <cellStyle name="Normal 55" xfId="165" xr:uid="{00000000-0005-0000-0000-000097000000}"/>
    <cellStyle name="Normal 56" xfId="166" xr:uid="{00000000-0005-0000-0000-000098000000}"/>
    <cellStyle name="Normal 57" xfId="167" xr:uid="{00000000-0005-0000-0000-000099000000}"/>
    <cellStyle name="Normal 58" xfId="168" xr:uid="{00000000-0005-0000-0000-00009A000000}"/>
    <cellStyle name="Normal 59" xfId="169" xr:uid="{00000000-0005-0000-0000-00009B000000}"/>
    <cellStyle name="Normal 6" xfId="26" xr:uid="{00000000-0005-0000-0000-00009C000000}"/>
    <cellStyle name="Normal 6 2" xfId="170" xr:uid="{00000000-0005-0000-0000-00009D000000}"/>
    <cellStyle name="Normal 6 3" xfId="171" xr:uid="{00000000-0005-0000-0000-00009E000000}"/>
    <cellStyle name="Normal 6 3 2" xfId="172" xr:uid="{00000000-0005-0000-0000-00009F000000}"/>
    <cellStyle name="Normal 6 4" xfId="173" xr:uid="{00000000-0005-0000-0000-0000A0000000}"/>
    <cellStyle name="Normal 6 4 2" xfId="174" xr:uid="{00000000-0005-0000-0000-0000A1000000}"/>
    <cellStyle name="Normal 6 5" xfId="175" xr:uid="{00000000-0005-0000-0000-0000A2000000}"/>
    <cellStyle name="Normal 6 5 2" xfId="176" xr:uid="{00000000-0005-0000-0000-0000A3000000}"/>
    <cellStyle name="Normal 60" xfId="177" xr:uid="{00000000-0005-0000-0000-0000A4000000}"/>
    <cellStyle name="Normal 61" xfId="178" xr:uid="{00000000-0005-0000-0000-0000A5000000}"/>
    <cellStyle name="Normal 62" xfId="179" xr:uid="{00000000-0005-0000-0000-0000A6000000}"/>
    <cellStyle name="Normal 63" xfId="180" xr:uid="{00000000-0005-0000-0000-0000A7000000}"/>
    <cellStyle name="Normal 64" xfId="181" xr:uid="{00000000-0005-0000-0000-0000A8000000}"/>
    <cellStyle name="Normal 65" xfId="182" xr:uid="{00000000-0005-0000-0000-0000A9000000}"/>
    <cellStyle name="Normal 66" xfId="183" xr:uid="{00000000-0005-0000-0000-0000AA000000}"/>
    <cellStyle name="Normal 67" xfId="184" xr:uid="{00000000-0005-0000-0000-0000AB000000}"/>
    <cellStyle name="Normal 68" xfId="185" xr:uid="{00000000-0005-0000-0000-0000AC000000}"/>
    <cellStyle name="Normal 69" xfId="186" xr:uid="{00000000-0005-0000-0000-0000AD000000}"/>
    <cellStyle name="Normal 7" xfId="27" xr:uid="{00000000-0005-0000-0000-0000AE000000}"/>
    <cellStyle name="Normal 7 2" xfId="187" xr:uid="{00000000-0005-0000-0000-0000AF000000}"/>
    <cellStyle name="Normal 7 2 2" xfId="188" xr:uid="{00000000-0005-0000-0000-0000B0000000}"/>
    <cellStyle name="Normal 7 2 3" xfId="189" xr:uid="{00000000-0005-0000-0000-0000B1000000}"/>
    <cellStyle name="Normal 7 3" xfId="190" xr:uid="{00000000-0005-0000-0000-0000B2000000}"/>
    <cellStyle name="Normal 7 3 2" xfId="191" xr:uid="{00000000-0005-0000-0000-0000B3000000}"/>
    <cellStyle name="Normal 7 3 2 2" xfId="192" xr:uid="{00000000-0005-0000-0000-0000B4000000}"/>
    <cellStyle name="Normal 7 3 2 3" xfId="193" xr:uid="{00000000-0005-0000-0000-0000B5000000}"/>
    <cellStyle name="Normal 7 3 3" xfId="194" xr:uid="{00000000-0005-0000-0000-0000B6000000}"/>
    <cellStyle name="Normal 7 3 4" xfId="195" xr:uid="{00000000-0005-0000-0000-0000B7000000}"/>
    <cellStyle name="Normal 70" xfId="196" xr:uid="{00000000-0005-0000-0000-0000B8000000}"/>
    <cellStyle name="Normal 71" xfId="197" xr:uid="{00000000-0005-0000-0000-0000B9000000}"/>
    <cellStyle name="Normal 72" xfId="198" xr:uid="{00000000-0005-0000-0000-0000BA000000}"/>
    <cellStyle name="Normal 73" xfId="199" xr:uid="{00000000-0005-0000-0000-0000BB000000}"/>
    <cellStyle name="Normal 74" xfId="200" xr:uid="{00000000-0005-0000-0000-0000BC000000}"/>
    <cellStyle name="Normal 75" xfId="201" xr:uid="{00000000-0005-0000-0000-0000BD000000}"/>
    <cellStyle name="Normal 76" xfId="202" xr:uid="{00000000-0005-0000-0000-0000BE000000}"/>
    <cellStyle name="Normal 77" xfId="203" xr:uid="{00000000-0005-0000-0000-0000BF000000}"/>
    <cellStyle name="Normal 78" xfId="204" xr:uid="{00000000-0005-0000-0000-0000C0000000}"/>
    <cellStyle name="Normal 79" xfId="205" xr:uid="{00000000-0005-0000-0000-0000C1000000}"/>
    <cellStyle name="Normal 8" xfId="35" xr:uid="{00000000-0005-0000-0000-0000C2000000}"/>
    <cellStyle name="Normal 8 2" xfId="37" xr:uid="{00000000-0005-0000-0000-0000C3000000}"/>
    <cellStyle name="Normal 8 3" xfId="206" xr:uid="{00000000-0005-0000-0000-0000C4000000}"/>
    <cellStyle name="Normal 80" xfId="207" xr:uid="{00000000-0005-0000-0000-0000C5000000}"/>
    <cellStyle name="Normal 81" xfId="208" xr:uid="{00000000-0005-0000-0000-0000C6000000}"/>
    <cellStyle name="Normal 82" xfId="209" xr:uid="{00000000-0005-0000-0000-0000C7000000}"/>
    <cellStyle name="Normal 83" xfId="210" xr:uid="{00000000-0005-0000-0000-0000C8000000}"/>
    <cellStyle name="Normal 84" xfId="300" xr:uid="{00000000-0005-0000-0000-0000C9000000}"/>
    <cellStyle name="Normal 85" xfId="302" xr:uid="{00000000-0005-0000-0000-0000CA000000}"/>
    <cellStyle name="Normal 9" xfId="36" xr:uid="{00000000-0005-0000-0000-0000CB000000}"/>
    <cellStyle name="Normal 9 2" xfId="211" xr:uid="{00000000-0005-0000-0000-0000CC000000}"/>
    <cellStyle name="Normal 9 3" xfId="212" xr:uid="{00000000-0005-0000-0000-0000CD000000}"/>
    <cellStyle name="Normal 9 3 2" xfId="213" xr:uid="{00000000-0005-0000-0000-0000CE000000}"/>
    <cellStyle name="Normal 9 3 2 2" xfId="214" xr:uid="{00000000-0005-0000-0000-0000CF000000}"/>
    <cellStyle name="Normal 9 3 2 3" xfId="215" xr:uid="{00000000-0005-0000-0000-0000D0000000}"/>
    <cellStyle name="Normal 9 3 2 4" xfId="216" xr:uid="{00000000-0005-0000-0000-0000D1000000}"/>
    <cellStyle name="Normal 9 3 2 4 2" xfId="217" xr:uid="{00000000-0005-0000-0000-0000D2000000}"/>
    <cellStyle name="Normal 9 3 2 4 3" xfId="218" xr:uid="{00000000-0005-0000-0000-0000D3000000}"/>
    <cellStyle name="Normal 9 3 2 4 3 2" xfId="219" xr:uid="{00000000-0005-0000-0000-0000D4000000}"/>
    <cellStyle name="Normal 9 3 2 5" xfId="220" xr:uid="{00000000-0005-0000-0000-0000D5000000}"/>
    <cellStyle name="Normal 9 3 2 6" xfId="221" xr:uid="{00000000-0005-0000-0000-0000D6000000}"/>
    <cellStyle name="Normal 9 3 2 6 2" xfId="222" xr:uid="{00000000-0005-0000-0000-0000D7000000}"/>
    <cellStyle name="Normal 9 3 2 6 3" xfId="223" xr:uid="{00000000-0005-0000-0000-0000D8000000}"/>
    <cellStyle name="Normal 9 3 2 7" xfId="224" xr:uid="{00000000-0005-0000-0000-0000D9000000}"/>
    <cellStyle name="Normal 9 3 2 8" xfId="225" xr:uid="{00000000-0005-0000-0000-0000DA000000}"/>
    <cellStyle name="Normal 9 3 2 8 2" xfId="226" xr:uid="{00000000-0005-0000-0000-0000DB000000}"/>
    <cellStyle name="Normal 9 3 3" xfId="227" xr:uid="{00000000-0005-0000-0000-0000DC000000}"/>
    <cellStyle name="Normal 9 3 4" xfId="228" xr:uid="{00000000-0005-0000-0000-0000DD000000}"/>
    <cellStyle name="Note 2" xfId="229" xr:uid="{00000000-0005-0000-0000-0000DE000000}"/>
    <cellStyle name="Note 2 2" xfId="230" xr:uid="{00000000-0005-0000-0000-0000DF000000}"/>
    <cellStyle name="Note 2 2 2" xfId="231" xr:uid="{00000000-0005-0000-0000-0000E0000000}"/>
    <cellStyle name="Note 2 3" xfId="232" xr:uid="{00000000-0005-0000-0000-0000E1000000}"/>
    <cellStyle name="Note 2 3 2" xfId="233" xr:uid="{00000000-0005-0000-0000-0000E2000000}"/>
    <cellStyle name="Note 3" xfId="234" xr:uid="{00000000-0005-0000-0000-0000E3000000}"/>
    <cellStyle name="Note 3 2" xfId="235" xr:uid="{00000000-0005-0000-0000-0000E4000000}"/>
    <cellStyle name="Note 4" xfId="236" xr:uid="{00000000-0005-0000-0000-0000E5000000}"/>
    <cellStyle name="Note 4 2" xfId="237" xr:uid="{00000000-0005-0000-0000-0000E6000000}"/>
    <cellStyle name="Note 5" xfId="238" xr:uid="{00000000-0005-0000-0000-0000E7000000}"/>
    <cellStyle name="Note 5 2" xfId="239" xr:uid="{00000000-0005-0000-0000-0000E8000000}"/>
    <cellStyle name="Percent" xfId="2" builtinId="5"/>
    <cellStyle name="Percent 10" xfId="240" xr:uid="{00000000-0005-0000-0000-0000EA000000}"/>
    <cellStyle name="Percent 2" xfId="28" xr:uid="{00000000-0005-0000-0000-0000EB000000}"/>
    <cellStyle name="Percent 2 2" xfId="29" xr:uid="{00000000-0005-0000-0000-0000EC000000}"/>
    <cellStyle name="Percent 2 2 2" xfId="241" xr:uid="{00000000-0005-0000-0000-0000ED000000}"/>
    <cellStyle name="Percent 2 2 2 2" xfId="242" xr:uid="{00000000-0005-0000-0000-0000EE000000}"/>
    <cellStyle name="Percent 2 2 3" xfId="243" xr:uid="{00000000-0005-0000-0000-0000EF000000}"/>
    <cellStyle name="Percent 2 2 3 2" xfId="244" xr:uid="{00000000-0005-0000-0000-0000F0000000}"/>
    <cellStyle name="Percent 2 3" xfId="245" xr:uid="{00000000-0005-0000-0000-0000F1000000}"/>
    <cellStyle name="Percent 2 3 2" xfId="246" xr:uid="{00000000-0005-0000-0000-0000F2000000}"/>
    <cellStyle name="Percent 2 4" xfId="247" xr:uid="{00000000-0005-0000-0000-0000F3000000}"/>
    <cellStyle name="Percent 2 4 2" xfId="248" xr:uid="{00000000-0005-0000-0000-0000F4000000}"/>
    <cellStyle name="Percent 3" xfId="30" xr:uid="{00000000-0005-0000-0000-0000F5000000}"/>
    <cellStyle name="Percent 3 2" xfId="249" xr:uid="{00000000-0005-0000-0000-0000F6000000}"/>
    <cellStyle name="Percent 3 3" xfId="250" xr:uid="{00000000-0005-0000-0000-0000F7000000}"/>
    <cellStyle name="Percent 3 3 2" xfId="251" xr:uid="{00000000-0005-0000-0000-0000F8000000}"/>
    <cellStyle name="Percent 3 4" xfId="252" xr:uid="{00000000-0005-0000-0000-0000F9000000}"/>
    <cellStyle name="Percent 3 4 2" xfId="253" xr:uid="{00000000-0005-0000-0000-0000FA000000}"/>
    <cellStyle name="Percent 4" xfId="31" xr:uid="{00000000-0005-0000-0000-0000FB000000}"/>
    <cellStyle name="Percent 4 2" xfId="254" xr:uid="{00000000-0005-0000-0000-0000FC000000}"/>
    <cellStyle name="Percent 4 2 2" xfId="255" xr:uid="{00000000-0005-0000-0000-0000FD000000}"/>
    <cellStyle name="Percent 4 2 2 2" xfId="256" xr:uid="{00000000-0005-0000-0000-0000FE000000}"/>
    <cellStyle name="Percent 4 2 3" xfId="257" xr:uid="{00000000-0005-0000-0000-0000FF000000}"/>
    <cellStyle name="Percent 4 2 3 2" xfId="258" xr:uid="{00000000-0005-0000-0000-000000010000}"/>
    <cellStyle name="Percent 4 3" xfId="259" xr:uid="{00000000-0005-0000-0000-000001010000}"/>
    <cellStyle name="Percent 4 3 2" xfId="260" xr:uid="{00000000-0005-0000-0000-000002010000}"/>
    <cellStyle name="Percent 4 4" xfId="261" xr:uid="{00000000-0005-0000-0000-000003010000}"/>
    <cellStyle name="Percent 4 4 2" xfId="262" xr:uid="{00000000-0005-0000-0000-000004010000}"/>
    <cellStyle name="Percent 4 5" xfId="263" xr:uid="{00000000-0005-0000-0000-000005010000}"/>
    <cellStyle name="Percent 4 5 2" xfId="264" xr:uid="{00000000-0005-0000-0000-000006010000}"/>
    <cellStyle name="Percent 5" xfId="44" xr:uid="{00000000-0005-0000-0000-000007010000}"/>
    <cellStyle name="Percent 5 2" xfId="265" xr:uid="{00000000-0005-0000-0000-000008010000}"/>
    <cellStyle name="Percent 5 2 2" xfId="266" xr:uid="{00000000-0005-0000-0000-000009010000}"/>
    <cellStyle name="Percent 5 3" xfId="267" xr:uid="{00000000-0005-0000-0000-00000A010000}"/>
    <cellStyle name="Percent 5 3 2" xfId="268" xr:uid="{00000000-0005-0000-0000-00000B010000}"/>
    <cellStyle name="Percent 6" xfId="55" xr:uid="{00000000-0005-0000-0000-00000C010000}"/>
    <cellStyle name="Percent 6 2" xfId="269" xr:uid="{00000000-0005-0000-0000-00000D010000}"/>
    <cellStyle name="Percent 6 2 2" xfId="270" xr:uid="{00000000-0005-0000-0000-00000E010000}"/>
    <cellStyle name="Percent 6 2 2 2" xfId="271" xr:uid="{00000000-0005-0000-0000-00000F010000}"/>
    <cellStyle name="Percent 6 2 3" xfId="272" xr:uid="{00000000-0005-0000-0000-000010010000}"/>
    <cellStyle name="Percent 6 2 3 2" xfId="273" xr:uid="{00000000-0005-0000-0000-000011010000}"/>
    <cellStyle name="Percent 6 3" xfId="274" xr:uid="{00000000-0005-0000-0000-000012010000}"/>
    <cellStyle name="Percent 6 3 2" xfId="275" xr:uid="{00000000-0005-0000-0000-000013010000}"/>
    <cellStyle name="Percent 6 4" xfId="276" xr:uid="{00000000-0005-0000-0000-000014010000}"/>
    <cellStyle name="Percent 6 4 2" xfId="277" xr:uid="{00000000-0005-0000-0000-000015010000}"/>
    <cellStyle name="Percent 7" xfId="58" xr:uid="{00000000-0005-0000-0000-000016010000}"/>
    <cellStyle name="Percent 7 2" xfId="278" xr:uid="{00000000-0005-0000-0000-000017010000}"/>
    <cellStyle name="Percent 7 2 2" xfId="279" xr:uid="{00000000-0005-0000-0000-000018010000}"/>
    <cellStyle name="Percent 7 3" xfId="280" xr:uid="{00000000-0005-0000-0000-000019010000}"/>
    <cellStyle name="Percent 8" xfId="281" xr:uid="{00000000-0005-0000-0000-00001A010000}"/>
    <cellStyle name="Percent 8 2" xfId="282" xr:uid="{00000000-0005-0000-0000-00001B010000}"/>
    <cellStyle name="Percent 8 3" xfId="283" xr:uid="{00000000-0005-0000-0000-00001C010000}"/>
    <cellStyle name="Percent 9" xfId="284" xr:uid="{00000000-0005-0000-0000-00001D010000}"/>
    <cellStyle name="Total 2" xfId="285" xr:uid="{00000000-0005-0000-0000-00001E010000}"/>
    <cellStyle name="Total 2 2" xfId="286" xr:uid="{00000000-0005-0000-0000-00001F010000}"/>
    <cellStyle name="Total 3" xfId="287" xr:uid="{00000000-0005-0000-0000-000020010000}"/>
    <cellStyle name="Total 3 2" xfId="288" xr:uid="{00000000-0005-0000-0000-000021010000}"/>
    <cellStyle name="똿뗦먛귟 [0.00]_PRODUCT DETAIL Q1" xfId="289" xr:uid="{00000000-0005-0000-0000-000022010000}"/>
    <cellStyle name="똿뗦먛귟_PRODUCT DETAIL Q1" xfId="290" xr:uid="{00000000-0005-0000-0000-000023010000}"/>
    <cellStyle name="믅됞 [0.00]_PRODUCT DETAIL Q1" xfId="291" xr:uid="{00000000-0005-0000-0000-000024010000}"/>
    <cellStyle name="믅됞_PRODUCT DETAIL Q1" xfId="292" xr:uid="{00000000-0005-0000-0000-000025010000}"/>
    <cellStyle name="백분율_HOBONG" xfId="293" xr:uid="{00000000-0005-0000-0000-000026010000}"/>
    <cellStyle name="뷭?_BOOKSHIP" xfId="294" xr:uid="{00000000-0005-0000-0000-000027010000}"/>
    <cellStyle name="콤마 [0]_1202" xfId="295" xr:uid="{00000000-0005-0000-0000-000028010000}"/>
    <cellStyle name="콤마_1202" xfId="296" xr:uid="{00000000-0005-0000-0000-000029010000}"/>
    <cellStyle name="통화 [0]_1202" xfId="297" xr:uid="{00000000-0005-0000-0000-00002A010000}"/>
    <cellStyle name="통화_1202" xfId="298" xr:uid="{00000000-0005-0000-0000-00002B010000}"/>
    <cellStyle name="표준_(정보부문)월별인원계획" xfId="299" xr:uid="{00000000-0005-0000-0000-00002C010000}"/>
    <cellStyle name="常规_Sheet1" xfId="32" xr:uid="{00000000-0005-0000-0000-00002D010000}"/>
    <cellStyle name="桁区切り [0.00]_Pricing 1" xfId="33" xr:uid="{00000000-0005-0000-0000-00002E010000}"/>
    <cellStyle name="標準_KAMmergin " xfId="34" xr:uid="{00000000-0005-0000-0000-00002F010000}"/>
  </cellStyles>
  <dxfs count="0"/>
  <tableStyles count="0" defaultTableStyle="TableStyleMedium2" defaultPivotStyle="PivotStyleLight16"/>
  <colors>
    <mruColors>
      <color rgb="FF0000FF"/>
      <color rgb="FF006600"/>
      <color rgb="FFFFFF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11%20APL\03.%20Model\APL%20Usage%20Model_v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11%20APL\03.%20Model\APL%20Usage%20Model_v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Treasury\Confidential%20Treasury%20Information\Acquisitions\Evergreen\Evergreen%20Acquistion%20Model%202015.09.08_v0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11%20MOL\01.%20Info%20Received%20from%20MOL\EQP%20-%20Chassis%20Inf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ortfolio%20Companies\DCLI\Acquisitions-Divestitures\2013-07%20MOL\Net%20Lease%20MOL%20Model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ACP%20Logistics\Daily%20Status%20Report\September\GACP%20Status%20Report%209%2020%20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Treasury\Confidential%20Treasury%20Information\Forecast%20-%20Monthly%20Reporting%20Package\2015\09%20September%202015\2015%20Reporting%20Package%20-%20Sep%20Cognos%20hc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e\Weekly%20Reports\Pools%20of%20Pools\Pool%20of%20Pools%20WE%203.07.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LALB-700"/>
      <sheetName val="PNW-275"/>
      <sheetName val="LALB-500"/>
      <sheetName val="PNW-500"/>
      <sheetName val="Chassis Sum"/>
      <sheetName val="LALB Utilization"/>
      <sheetName val="PNW Utilization"/>
      <sheetName val="Do Not Print-&gt;"/>
      <sheetName val="Summary (2)"/>
      <sheetName val="Comparison"/>
      <sheetName val="Chassis Roster"/>
      <sheetName val="Costs"/>
      <sheetName val="Repo"/>
      <sheetName val="Trucker Model"/>
    </sheetNames>
    <sheetDataSet>
      <sheetData sheetId="0"/>
      <sheetData sheetId="1">
        <row r="23">
          <cell r="AD2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B1">
            <v>8700</v>
          </cell>
        </row>
        <row r="2">
          <cell r="AB2">
            <v>1000</v>
          </cell>
        </row>
        <row r="3">
          <cell r="AB3">
            <v>23</v>
          </cell>
        </row>
      </sheetData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_Pres"/>
      <sheetName val="Summary"/>
      <sheetName val="Chassis Sum"/>
      <sheetName val="LALB Utilization"/>
      <sheetName val="PNW Utilization"/>
      <sheetName val="LALB-700"/>
      <sheetName val="PNW-275"/>
      <sheetName val="LALB-500"/>
      <sheetName val="PNW-500"/>
      <sheetName val="Comparison"/>
      <sheetName val="Do Not Print-&gt;"/>
      <sheetName val="Chassis Roster"/>
      <sheetName val="Costs"/>
      <sheetName val="Repo"/>
      <sheetName val="Trucker Model"/>
    </sheetNames>
    <sheetDataSet>
      <sheetData sheetId="0" refreshError="1"/>
      <sheetData sheetId="1"/>
      <sheetData sheetId="2"/>
      <sheetData sheetId="3" refreshError="1"/>
      <sheetData sheetId="4" refreshError="1"/>
      <sheetData sheetId="5">
        <row r="23">
          <cell r="AD23">
            <v>1</v>
          </cell>
        </row>
      </sheetData>
      <sheetData sheetId="6"/>
      <sheetData sheetId="7"/>
      <sheetData sheetId="8"/>
      <sheetData sheetId="9" refreshError="1"/>
      <sheetData sheetId="10" refreshError="1"/>
      <sheetData sheetId="11">
        <row r="1">
          <cell r="AB1">
            <v>8700</v>
          </cell>
        </row>
        <row r="2">
          <cell r="AB2">
            <v>1000</v>
          </cell>
        </row>
        <row r="3">
          <cell r="AB3">
            <v>23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Fleet Sizing"/>
      <sheetName val="Deal Summary"/>
      <sheetName val="Use_Summary"/>
      <sheetName val="PSW"/>
      <sheetName val="Customer Output - LA"/>
      <sheetName val="Customer Output - APMT"/>
      <sheetName val="Support Data --&gt;"/>
      <sheetName val="PoP Usage Data"/>
      <sheetName val="Fleet Summary - Pending"/>
    </sheetNames>
    <sheetDataSet>
      <sheetData sheetId="0">
        <row r="2">
          <cell r="D2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ssis Info"/>
      <sheetName val="Sheet1"/>
      <sheetName val="Chassis Info (2)"/>
      <sheetName val="Sheet1 (2)"/>
      <sheetName val="Macro1"/>
    </sheetNames>
    <sheetDataSet>
      <sheetData sheetId="0" refreshError="1"/>
      <sheetData sheetId="1" refreshError="1"/>
      <sheetData sheetId="2"/>
      <sheetData sheetId="3" refreshError="1"/>
      <sheetData sheetId="4">
        <row r="36">
          <cell r="A36" t="str">
            <v>Recover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CCP Chassis"/>
      <sheetName val="Chassis Roster"/>
      <sheetName val="Net Lease MSC"/>
      <sheetName val="Backfill"/>
      <sheetName val="Trucker Model"/>
    </sheetNames>
    <sheetDataSet>
      <sheetData sheetId="0"/>
      <sheetData sheetId="1">
        <row r="2">
          <cell r="Z2">
            <v>1000</v>
          </cell>
        </row>
      </sheetData>
      <sheetData sheetId="2"/>
      <sheetData sheetId="3">
        <row r="6">
          <cell r="A6">
            <v>1988</v>
          </cell>
        </row>
      </sheetData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Pac"/>
      <sheetName val=" ITS "/>
      <sheetName val="GGS"/>
      <sheetName val="CUT"/>
      <sheetName val="ITS"/>
      <sheetName val="LBCT"/>
      <sheetName val="YTI"/>
      <sheetName val="APM"/>
      <sheetName val="SSA"/>
      <sheetName val="% wheeled and decked"/>
      <sheetName val="On wheels by line"/>
      <sheetName val="OWING"/>
    </sheetNames>
    <sheetDataSet>
      <sheetData sheetId="0">
        <row r="1">
          <cell r="A1">
            <v>41902</v>
          </cell>
        </row>
      </sheetData>
      <sheetData sheetId="1">
        <row r="27">
          <cell r="M27">
            <v>264</v>
          </cell>
        </row>
      </sheetData>
      <sheetData sheetId="2">
        <row r="27">
          <cell r="M27">
            <v>817</v>
          </cell>
        </row>
      </sheetData>
      <sheetData sheetId="3">
        <row r="27">
          <cell r="M27">
            <v>385</v>
          </cell>
        </row>
      </sheetData>
      <sheetData sheetId="4">
        <row r="26">
          <cell r="D26">
            <v>0</v>
          </cell>
        </row>
      </sheetData>
      <sheetData sheetId="5">
        <row r="27">
          <cell r="M27">
            <v>101</v>
          </cell>
        </row>
      </sheetData>
      <sheetData sheetId="6">
        <row r="29">
          <cell r="M29">
            <v>890</v>
          </cell>
        </row>
      </sheetData>
      <sheetData sheetId="7">
        <row r="27">
          <cell r="M27">
            <v>0</v>
          </cell>
        </row>
      </sheetData>
      <sheetData sheetId="8">
        <row r="27">
          <cell r="M27">
            <v>7</v>
          </cell>
        </row>
      </sheetData>
      <sheetData sheetId="9"/>
      <sheetData sheetId="10">
        <row r="10">
          <cell r="W10" t="str">
            <v>N</v>
          </cell>
        </row>
      </sheetData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Location Template"/>
      <sheetName val="Mapping"/>
      <sheetName val="Executive Summary"/>
      <sheetName val="Dashboard-MTD"/>
      <sheetName val="Dashboard-PM"/>
      <sheetName val="Dashboard-YTD"/>
      <sheetName val="Temp Dashboard"/>
      <sheetName val="Northeast"/>
      <sheetName val="Gulf"/>
      <sheetName val="Midwest"/>
      <sheetName val="Southeast"/>
      <sheetName val="Pacific Southwest"/>
      <sheetName val="Pacific Northwest"/>
      <sheetName val="Consolidated"/>
      <sheetName val="DCLI Regions"/>
      <sheetName val="NE Region"/>
      <sheetName val="Elizabeth"/>
      <sheetName val="Norfolk"/>
      <sheetName val="NER Other"/>
      <sheetName val="Baltimore"/>
      <sheetName val="Greenwich Packer"/>
      <sheetName val="GUL Region"/>
      <sheetName val="Houston"/>
      <sheetName val="Gul Other"/>
      <sheetName val="Mobile"/>
      <sheetName val="New Orleans"/>
      <sheetName val="STE Region"/>
      <sheetName val="ML SACP"/>
      <sheetName val="DCLI STE"/>
      <sheetName val="MW Region"/>
      <sheetName val="MWR Other"/>
      <sheetName val="Chicago BNSF"/>
      <sheetName val="Illinois Transport"/>
      <sheetName val="PSW Region"/>
      <sheetName val="PSW PoP"/>
      <sheetName val="Los Angeles"/>
      <sheetName val="LBCT"/>
      <sheetName val="PSW Other"/>
      <sheetName val="ML GACP"/>
      <sheetName val="SSA Oakland"/>
      <sheetName val="Oakland Berth 22"/>
      <sheetName val="PNW Region"/>
      <sheetName val="Tacoma"/>
      <sheetName val="SSA Seattle"/>
      <sheetName val="PNW Other"/>
      <sheetName val="HL Pools"/>
      <sheetName val="HL SACP"/>
      <sheetName val="HL GACP"/>
      <sheetName val="HL HRCP"/>
      <sheetName val="HMM Pools"/>
      <sheetName val="HMM CCM Pools"/>
      <sheetName val="HMM SACP"/>
      <sheetName val="HMM COCP"/>
      <sheetName val="HMM GCCP"/>
      <sheetName val="HMM MWCP"/>
      <sheetName val="HMM Net Lease"/>
      <sheetName val="HMM NY NJ"/>
      <sheetName val="HMM HRCP"/>
      <sheetName val="HMM MCCP"/>
      <sheetName val="HMM DCCP"/>
      <sheetName val="HMM CORP"/>
      <sheetName val="HMM West Coast"/>
      <sheetName val="HMM TNWA"/>
      <sheetName val="HMM PORTLAND"/>
      <sheetName val="HMM GACP"/>
      <sheetName val="HMM BACP"/>
      <sheetName val="NACPC Pool"/>
      <sheetName val="NACPC"/>
      <sheetName val="OOCL Pools"/>
      <sheetName val="OOCL SACP"/>
      <sheetName val="OOCL GACP"/>
      <sheetName val="MOL Pools"/>
      <sheetName val="MOL COCP"/>
      <sheetName val="MOL MCCP"/>
      <sheetName val="MOL West Coast"/>
      <sheetName val="MOL GACP"/>
      <sheetName val="MOL TNWA"/>
      <sheetName val="New Business"/>
      <sheetName val="SUD GACP"/>
      <sheetName val="ICL Penn"/>
      <sheetName val="CORP"/>
      <sheetName val="MSC Regions"/>
      <sheetName val="MSC PoP"/>
      <sheetName val="PoP Total"/>
      <sheetName val="SACP Total"/>
      <sheetName val="Consolidated excl M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66">
          <cell r="V166">
            <v>8.7318117266605189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66">
          <cell r="V166">
            <v>3.1705026723148642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66">
          <cell r="V166">
            <v>3.0489028119767929</v>
          </cell>
        </row>
      </sheetData>
      <sheetData sheetId="30">
        <row r="166">
          <cell r="V166">
            <v>3.93627917683696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>
        <row r="166">
          <cell r="V166">
            <v>7.0934883057709985</v>
          </cell>
        </row>
      </sheetData>
      <sheetData sheetId="37" refreshError="1"/>
      <sheetData sheetId="38" refreshError="1"/>
      <sheetData sheetId="39" refreshError="1"/>
      <sheetData sheetId="40">
        <row r="166">
          <cell r="V166">
            <v>3.9581721561961967</v>
          </cell>
        </row>
      </sheetData>
      <sheetData sheetId="41" refreshError="1"/>
      <sheetData sheetId="42">
        <row r="166">
          <cell r="V166">
            <v>1.7754985500070453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1"/>
      <sheetName val="Summary 2"/>
      <sheetName val="Source data=&gt;"/>
      <sheetName val="Gate Outs"/>
      <sheetName val="All gate status"/>
      <sheetName val="SS SCAC POOL"/>
      <sheetName val="SCAC Names"/>
      <sheetName val="Exceptions"/>
      <sheetName val="1st"/>
      <sheetName val="2nd"/>
      <sheetName val="3rd"/>
      <sheetName val="4th"/>
      <sheetName val="5th"/>
      <sheetName val="6th"/>
      <sheetName val="7th"/>
      <sheetName val="Week Avg"/>
      <sheetName val="Customer List"/>
    </sheetNames>
    <sheetDataSet>
      <sheetData sheetId="0">
        <row r="3">
          <cell r="E3">
            <v>42064</v>
          </cell>
        </row>
      </sheetData>
      <sheetData sheetId="1">
        <row r="3">
          <cell r="E3">
            <v>42064</v>
          </cell>
        </row>
      </sheetData>
      <sheetData sheetId="2" refreshError="1"/>
      <sheetData sheetId="3" refreshError="1"/>
      <sheetData sheetId="4">
        <row r="260">
          <cell r="C260">
            <v>7701.666666666667</v>
          </cell>
        </row>
      </sheetData>
      <sheetData sheetId="5" refreshError="1"/>
      <sheetData sheetId="6" refreshError="1"/>
      <sheetData sheetId="7">
        <row r="17">
          <cell r="O17" t="str">
            <v>Evergreen - YTI</v>
          </cell>
        </row>
        <row r="18">
          <cell r="O18" t="str">
            <v>Hanjin - YTI</v>
          </cell>
        </row>
        <row r="20">
          <cell r="O20" t="str">
            <v>Evergreen - All Other</v>
          </cell>
        </row>
        <row r="21">
          <cell r="O21" t="str">
            <v>Hamburg Sud - All Other</v>
          </cell>
        </row>
        <row r="22">
          <cell r="O22" t="str">
            <v>Hanjin - All Other</v>
          </cell>
        </row>
        <row r="24">
          <cell r="O24" t="str">
            <v>Hamburg Sud - SSA Piers A and J</v>
          </cell>
        </row>
      </sheetData>
      <sheetData sheetId="8">
        <row r="50">
          <cell r="C50">
            <v>3097</v>
          </cell>
        </row>
      </sheetData>
      <sheetData sheetId="9">
        <row r="50">
          <cell r="C50">
            <v>3097</v>
          </cell>
        </row>
      </sheetData>
      <sheetData sheetId="10">
        <row r="50">
          <cell r="C50">
            <v>3097</v>
          </cell>
        </row>
      </sheetData>
      <sheetData sheetId="11">
        <row r="50">
          <cell r="C50">
            <v>3097</v>
          </cell>
        </row>
      </sheetData>
      <sheetData sheetId="12">
        <row r="50">
          <cell r="C50">
            <v>3097</v>
          </cell>
        </row>
      </sheetData>
      <sheetData sheetId="13">
        <row r="50">
          <cell r="C50">
            <v>3097</v>
          </cell>
        </row>
      </sheetData>
      <sheetData sheetId="14">
        <row r="50">
          <cell r="C50">
            <v>3097</v>
          </cell>
        </row>
      </sheetData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00FF"/>
    <pageSetUpPr fitToPage="1"/>
  </sheetPr>
  <dimension ref="A1:N60"/>
  <sheetViews>
    <sheetView showGridLines="0" workbookViewId="0"/>
  </sheetViews>
  <sheetFormatPr defaultColWidth="9.33203125" defaultRowHeight="15"/>
  <cols>
    <col min="1" max="1" width="3.83203125" style="88" customWidth="1"/>
    <col min="2" max="2" width="48" style="88" bestFit="1" customWidth="1"/>
    <col min="3" max="3" width="11.5" style="88" bestFit="1" customWidth="1"/>
    <col min="4" max="4" width="11.5" style="88" customWidth="1"/>
    <col min="5" max="14" width="10.83203125" style="88" customWidth="1"/>
    <col min="15" max="16384" width="9.33203125" style="88"/>
  </cols>
  <sheetData>
    <row r="1" spans="1:14">
      <c r="A1" s="91" t="s">
        <v>79</v>
      </c>
    </row>
    <row r="2" spans="1:14">
      <c r="A2" s="90" t="s">
        <v>210</v>
      </c>
      <c r="C2" s="395" t="s">
        <v>149</v>
      </c>
      <c r="D2" s="396">
        <v>1000</v>
      </c>
      <c r="E2" s="394"/>
      <c r="F2" s="394"/>
    </row>
    <row r="3" spans="1:14">
      <c r="A3" s="89" t="s">
        <v>80</v>
      </c>
    </row>
    <row r="4" spans="1:14">
      <c r="C4" s="531"/>
      <c r="D4" s="531"/>
    </row>
    <row r="5" spans="1:14">
      <c r="B5" s="92" t="s">
        <v>152</v>
      </c>
      <c r="C5" s="531"/>
      <c r="D5" s="531"/>
    </row>
    <row r="6" spans="1:14">
      <c r="B6" s="433" t="s">
        <v>303</v>
      </c>
      <c r="C6" s="532">
        <f>IF(E6=2,4898,0)</f>
        <v>0</v>
      </c>
      <c r="D6" s="471"/>
      <c r="E6" s="440">
        <f>'Deal Summary'!C42</f>
        <v>1</v>
      </c>
      <c r="F6" s="439" t="s">
        <v>299</v>
      </c>
      <c r="H6" s="431"/>
      <c r="I6" s="271"/>
      <c r="J6" s="271"/>
      <c r="K6" s="271"/>
      <c r="L6" s="470"/>
      <c r="M6" s="471"/>
      <c r="N6" s="468"/>
    </row>
    <row r="7" spans="1:14">
      <c r="B7" s="476" t="s">
        <v>335</v>
      </c>
      <c r="C7" s="533">
        <f>IF(E6=1,4898,0)</f>
        <v>4898</v>
      </c>
      <c r="D7" s="471"/>
      <c r="E7" s="475"/>
      <c r="F7" s="439" t="s">
        <v>300</v>
      </c>
      <c r="H7" s="431"/>
      <c r="I7" s="271"/>
      <c r="J7" s="271"/>
      <c r="K7" s="271"/>
      <c r="L7" s="470"/>
      <c r="M7" s="471"/>
      <c r="N7" s="468"/>
    </row>
    <row r="8" spans="1:14">
      <c r="B8" s="476" t="s">
        <v>339</v>
      </c>
      <c r="C8" s="533">
        <v>150</v>
      </c>
      <c r="D8" s="471" t="e">
        <f>C8/C6</f>
        <v>#DIV/0!</v>
      </c>
      <c r="E8" s="475"/>
      <c r="F8" s="439"/>
      <c r="H8" s="431"/>
      <c r="I8" s="271"/>
      <c r="J8" s="271"/>
      <c r="K8" s="271"/>
      <c r="L8" s="470"/>
      <c r="M8" s="471"/>
      <c r="N8" s="468"/>
    </row>
    <row r="9" spans="1:14">
      <c r="B9" s="514" t="s">
        <v>348</v>
      </c>
      <c r="C9" s="533">
        <v>1960</v>
      </c>
      <c r="D9" s="471"/>
      <c r="E9" s="585">
        <v>2</v>
      </c>
      <c r="F9" s="584" t="s">
        <v>363</v>
      </c>
      <c r="H9" s="431"/>
      <c r="I9" s="271"/>
      <c r="J9" s="271"/>
      <c r="K9" s="271"/>
      <c r="L9" s="470"/>
      <c r="M9" s="471"/>
      <c r="N9" s="468"/>
    </row>
    <row r="10" spans="1:14">
      <c r="B10" s="476" t="s">
        <v>336</v>
      </c>
      <c r="C10" s="534">
        <f>C14-SUM(C6:C7)+C8-C9-C11</f>
        <v>-148.38183361629854</v>
      </c>
      <c r="D10" s="535"/>
      <c r="F10" s="584" t="s">
        <v>364</v>
      </c>
      <c r="H10" s="431"/>
      <c r="I10" s="271"/>
      <c r="J10" s="271"/>
      <c r="K10" s="271"/>
      <c r="L10" s="470"/>
      <c r="M10" s="472"/>
      <c r="N10" s="469"/>
    </row>
    <row r="11" spans="1:14">
      <c r="B11" s="587" t="s">
        <v>362</v>
      </c>
      <c r="C11" s="533">
        <v>0</v>
      </c>
      <c r="D11" s="535"/>
      <c r="F11" s="584"/>
      <c r="H11" s="431"/>
      <c r="I11" s="271"/>
      <c r="J11" s="271"/>
      <c r="K11" s="271"/>
      <c r="L11" s="470"/>
      <c r="M11" s="472"/>
      <c r="N11" s="469"/>
    </row>
    <row r="12" spans="1:14">
      <c r="B12" s="304" t="s">
        <v>273</v>
      </c>
      <c r="C12" s="533">
        <f>'Fleet Sizing'!D7+'Fleet Sizing'!D11</f>
        <v>6231.6372580645157</v>
      </c>
      <c r="D12" s="536"/>
      <c r="F12" s="439"/>
      <c r="H12" s="431"/>
      <c r="I12" s="271"/>
      <c r="J12" s="271"/>
      <c r="K12" s="271"/>
      <c r="L12" s="470"/>
      <c r="M12" s="473"/>
      <c r="N12" s="470"/>
    </row>
    <row r="13" spans="1:14">
      <c r="B13" s="304" t="s">
        <v>211</v>
      </c>
      <c r="C13" s="619">
        <f>Assumptions!C12/'Fleet Sizing'!C12</f>
        <v>0.94999999999999984</v>
      </c>
      <c r="D13" s="536"/>
      <c r="E13" s="397"/>
      <c r="F13" s="384"/>
      <c r="G13" s="374"/>
      <c r="H13" s="375"/>
      <c r="I13" s="271"/>
      <c r="J13" s="271"/>
      <c r="K13" s="271"/>
    </row>
    <row r="14" spans="1:14">
      <c r="B14" s="305" t="s">
        <v>212</v>
      </c>
      <c r="C14" s="537">
        <f>+C12/C13</f>
        <v>6559.6181663837015</v>
      </c>
      <c r="D14" s="536"/>
      <c r="E14" s="397"/>
      <c r="F14" s="467"/>
      <c r="G14" s="374"/>
      <c r="H14" s="375"/>
      <c r="I14" s="271"/>
      <c r="J14" s="271"/>
      <c r="K14" s="271"/>
    </row>
    <row r="15" spans="1:14">
      <c r="C15" s="531"/>
      <c r="D15" s="538"/>
      <c r="E15" s="385"/>
      <c r="F15" s="385"/>
      <c r="H15" s="106"/>
      <c r="I15" s="271"/>
      <c r="J15" s="271"/>
      <c r="K15" s="271"/>
    </row>
    <row r="16" spans="1:14">
      <c r="B16" s="92" t="s">
        <v>304</v>
      </c>
      <c r="C16" s="539"/>
      <c r="D16" s="539"/>
      <c r="E16" s="103"/>
      <c r="F16" s="103"/>
    </row>
    <row r="17" spans="2:14">
      <c r="B17" s="173" t="s">
        <v>161</v>
      </c>
      <c r="C17" s="540">
        <f>'Fleet Summary - Pending'!G13</f>
        <v>4257.4794520547939</v>
      </c>
      <c r="D17" s="541"/>
      <c r="E17" s="386"/>
      <c r="F17" s="386"/>
    </row>
    <row r="18" spans="2:14">
      <c r="B18" s="192" t="s">
        <v>318</v>
      </c>
      <c r="C18" s="542">
        <f>'Deal Summary'!E42</f>
        <v>-6.0476968815557322E-2</v>
      </c>
      <c r="D18" s="543"/>
      <c r="E18" s="387"/>
      <c r="F18" s="387"/>
      <c r="G18" s="107"/>
      <c r="H18" s="104"/>
      <c r="I18" s="171"/>
      <c r="J18" s="171"/>
      <c r="K18" s="171"/>
      <c r="L18" s="171"/>
      <c r="M18" s="171"/>
      <c r="N18" s="171"/>
    </row>
    <row r="19" spans="2:14">
      <c r="B19" s="192" t="s">
        <v>319</v>
      </c>
      <c r="C19" s="544">
        <f>C18</f>
        <v>-6.0476968815557322E-2</v>
      </c>
      <c r="D19" s="543"/>
      <c r="E19" s="387"/>
      <c r="F19" s="387"/>
      <c r="G19" s="107"/>
      <c r="H19" s="104"/>
      <c r="I19" s="171"/>
      <c r="J19" s="171"/>
      <c r="K19" s="171"/>
      <c r="L19" s="171"/>
      <c r="M19" s="171"/>
      <c r="N19" s="171"/>
    </row>
    <row r="20" spans="2:14">
      <c r="B20" s="174" t="s">
        <v>84</v>
      </c>
      <c r="C20" s="546">
        <f>IF(E6=2,C17*(1+C18),0)</f>
        <v>0</v>
      </c>
      <c r="D20" s="547"/>
      <c r="E20" s="389"/>
      <c r="F20" s="389"/>
      <c r="H20" s="104"/>
      <c r="I20" s="171"/>
      <c r="J20" s="171"/>
      <c r="K20" s="171"/>
      <c r="L20" s="171"/>
      <c r="M20" s="171"/>
      <c r="N20" s="171"/>
    </row>
    <row r="21" spans="2:14">
      <c r="B21" s="462"/>
      <c r="C21" s="548"/>
      <c r="D21" s="547"/>
      <c r="E21" s="389"/>
      <c r="F21" s="389"/>
      <c r="H21" s="104"/>
      <c r="I21" s="171"/>
      <c r="J21" s="171"/>
      <c r="K21" s="171"/>
      <c r="L21" s="171"/>
      <c r="M21" s="171"/>
      <c r="N21" s="171"/>
    </row>
    <row r="22" spans="2:14">
      <c r="B22" s="514" t="s">
        <v>350</v>
      </c>
      <c r="C22" s="549">
        <f>'Deal Summary'!D42</f>
        <v>2</v>
      </c>
      <c r="D22" s="550"/>
      <c r="E22" s="276"/>
      <c r="F22" s="276"/>
      <c r="G22"/>
      <c r="M22"/>
      <c r="N22"/>
    </row>
    <row r="23" spans="2:14">
      <c r="B23" s="514" t="s">
        <v>338</v>
      </c>
      <c r="C23" s="551">
        <v>2.85</v>
      </c>
      <c r="D23" s="550"/>
      <c r="E23" s="276"/>
      <c r="F23" s="276"/>
      <c r="G23"/>
      <c r="M23"/>
      <c r="N23"/>
    </row>
    <row r="24" spans="2:14">
      <c r="B24" s="461" t="s">
        <v>333</v>
      </c>
      <c r="C24" s="586">
        <v>3</v>
      </c>
      <c r="D24" s="550"/>
      <c r="E24" s="276"/>
      <c r="F24" s="276"/>
      <c r="G24"/>
      <c r="M24"/>
      <c r="N24"/>
    </row>
    <row r="25" spans="2:14">
      <c r="B25" s="435"/>
      <c r="C25" s="552"/>
      <c r="D25" s="550"/>
      <c r="E25" s="276"/>
      <c r="F25" s="276"/>
      <c r="G25"/>
      <c r="M25"/>
      <c r="N25"/>
    </row>
    <row r="26" spans="2:14">
      <c r="B26" s="92" t="s">
        <v>153</v>
      </c>
      <c r="C26" s="531"/>
      <c r="D26" s="531"/>
      <c r="H26" s="172"/>
      <c r="I26" s="103"/>
      <c r="J26" s="103"/>
      <c r="K26" s="103"/>
      <c r="L26" s="103"/>
      <c r="M26" s="103"/>
      <c r="N26" s="103"/>
    </row>
    <row r="27" spans="2:14">
      <c r="B27" s="306" t="s">
        <v>202</v>
      </c>
      <c r="C27" s="553">
        <v>0</v>
      </c>
      <c r="D27" s="554"/>
      <c r="E27" s="390"/>
      <c r="F27" s="390"/>
      <c r="H27" s="172"/>
      <c r="I27" s="103"/>
      <c r="J27" s="103"/>
      <c r="K27" s="103"/>
      <c r="L27" s="103"/>
      <c r="M27" s="103"/>
      <c r="N27" s="103"/>
    </row>
    <row r="28" spans="2:14">
      <c r="B28" s="305" t="s">
        <v>274</v>
      </c>
      <c r="C28" s="555">
        <v>0</v>
      </c>
      <c r="D28" s="545"/>
      <c r="E28" s="388"/>
      <c r="F28" s="388"/>
      <c r="H28" s="172"/>
      <c r="I28" s="103"/>
      <c r="J28" s="103"/>
      <c r="K28" s="103"/>
      <c r="L28" s="103"/>
      <c r="M28" s="103"/>
      <c r="N28" s="103"/>
    </row>
    <row r="29" spans="2:14">
      <c r="C29" s="531"/>
      <c r="D29" s="531"/>
      <c r="H29" s="172"/>
      <c r="I29" s="103"/>
      <c r="J29" s="103"/>
      <c r="K29" s="103"/>
      <c r="L29" s="103"/>
      <c r="M29" s="103"/>
      <c r="N29" s="103"/>
    </row>
    <row r="30" spans="2:14">
      <c r="B30" s="176" t="s">
        <v>148</v>
      </c>
      <c r="C30" s="553">
        <v>0</v>
      </c>
      <c r="D30" s="554"/>
      <c r="E30" s="554"/>
      <c r="F30" s="554"/>
      <c r="G30" s="531"/>
      <c r="H30" s="563"/>
      <c r="I30" s="103"/>
      <c r="J30" s="103"/>
      <c r="K30" s="103"/>
      <c r="L30" s="103"/>
      <c r="M30" s="103"/>
      <c r="N30" s="103"/>
    </row>
    <row r="31" spans="2:14">
      <c r="B31" s="169" t="s">
        <v>154</v>
      </c>
      <c r="C31" s="556">
        <v>0</v>
      </c>
      <c r="D31" s="471"/>
      <c r="E31" s="471"/>
      <c r="F31" s="471"/>
      <c r="G31" s="531"/>
      <c r="H31" s="563"/>
      <c r="I31" s="103"/>
      <c r="J31" s="103"/>
      <c r="K31" s="103"/>
      <c r="L31" s="103"/>
      <c r="M31" s="103"/>
      <c r="N31" s="103"/>
    </row>
    <row r="32" spans="2:14">
      <c r="C32" s="531"/>
      <c r="D32" s="531"/>
      <c r="E32" s="531"/>
      <c r="F32" s="531"/>
      <c r="G32" s="531"/>
      <c r="H32" s="563"/>
      <c r="I32" s="103"/>
      <c r="J32" s="103"/>
      <c r="K32" s="103"/>
      <c r="L32" s="103"/>
      <c r="M32" s="103"/>
      <c r="N32" s="103"/>
    </row>
    <row r="33" spans="2:14">
      <c r="B33" s="168" t="s">
        <v>113</v>
      </c>
      <c r="C33" s="553">
        <v>275</v>
      </c>
      <c r="D33" s="554"/>
      <c r="E33" s="554"/>
      <c r="F33" s="554"/>
      <c r="G33" s="531"/>
      <c r="H33" s="563"/>
      <c r="I33" s="103"/>
      <c r="J33" s="103"/>
      <c r="K33" s="103"/>
      <c r="L33" s="103"/>
      <c r="M33" s="103"/>
      <c r="N33" s="103"/>
    </row>
    <row r="34" spans="2:14">
      <c r="B34" s="169" t="s">
        <v>150</v>
      </c>
      <c r="C34" s="458">
        <f>IF(E6=2,C6,0)*E34</f>
        <v>0</v>
      </c>
      <c r="D34" s="550"/>
      <c r="E34" s="564">
        <v>1</v>
      </c>
      <c r="F34" s="550" t="s">
        <v>298</v>
      </c>
      <c r="G34" s="531"/>
      <c r="H34" s="563"/>
      <c r="I34" s="103"/>
      <c r="J34" s="103"/>
      <c r="K34" s="103"/>
      <c r="L34" s="103"/>
      <c r="M34" s="103"/>
      <c r="N34" s="103"/>
    </row>
    <row r="35" spans="2:14">
      <c r="C35" s="531"/>
      <c r="D35" s="531"/>
      <c r="E35" s="531"/>
      <c r="F35" s="531"/>
      <c r="G35" s="531"/>
      <c r="H35" s="563"/>
      <c r="I35" s="103"/>
      <c r="J35" s="103"/>
      <c r="K35" s="103"/>
      <c r="L35" s="103"/>
      <c r="M35" s="103"/>
      <c r="N35" s="103"/>
    </row>
    <row r="36" spans="2:14">
      <c r="B36" s="168" t="s">
        <v>155</v>
      </c>
      <c r="C36" s="553">
        <v>150</v>
      </c>
      <c r="D36" s="554"/>
      <c r="E36" s="554"/>
      <c r="F36" s="554"/>
      <c r="G36" s="531"/>
      <c r="H36" s="563"/>
      <c r="I36" s="103"/>
      <c r="J36" s="103"/>
      <c r="K36" s="103"/>
      <c r="L36" s="103"/>
      <c r="M36" s="103"/>
      <c r="N36" s="103"/>
    </row>
    <row r="37" spans="2:14">
      <c r="B37" s="169" t="s">
        <v>156</v>
      </c>
      <c r="C37" s="537">
        <f>C34</f>
        <v>0</v>
      </c>
      <c r="D37" s="557"/>
      <c r="E37" s="557"/>
      <c r="F37" s="557"/>
      <c r="G37" s="531"/>
      <c r="H37" s="563"/>
      <c r="I37" s="103"/>
      <c r="J37" s="103"/>
      <c r="K37" s="103"/>
      <c r="L37" s="103"/>
      <c r="M37" s="103"/>
      <c r="N37" s="103"/>
    </row>
    <row r="38" spans="2:14">
      <c r="C38" s="531"/>
      <c r="D38" s="531"/>
      <c r="E38" s="531"/>
      <c r="F38" s="531"/>
      <c r="G38" s="531"/>
      <c r="H38" s="563"/>
      <c r="I38" s="103"/>
      <c r="J38" s="103"/>
      <c r="K38" s="103"/>
      <c r="L38" s="103"/>
      <c r="M38" s="103"/>
      <c r="N38" s="103"/>
    </row>
    <row r="39" spans="2:14">
      <c r="B39" s="456" t="s">
        <v>330</v>
      </c>
      <c r="C39" s="553">
        <f>((4/10)*174.05)+5</f>
        <v>74.62</v>
      </c>
      <c r="D39" s="554"/>
      <c r="E39" s="554"/>
      <c r="F39" s="554"/>
      <c r="G39" s="531"/>
      <c r="H39" s="563"/>
      <c r="I39" s="103"/>
      <c r="J39" s="103"/>
      <c r="K39" s="103"/>
      <c r="L39" s="103"/>
      <c r="M39" s="103"/>
      <c r="N39" s="103"/>
    </row>
    <row r="40" spans="2:14">
      <c r="B40" s="457" t="s">
        <v>331</v>
      </c>
      <c r="C40" s="537">
        <f>C34</f>
        <v>0</v>
      </c>
      <c r="D40" s="557"/>
      <c r="E40" s="557"/>
      <c r="F40" s="557"/>
      <c r="G40" s="531"/>
      <c r="H40" s="563"/>
      <c r="I40" s="103"/>
      <c r="J40" s="103"/>
      <c r="K40" s="103"/>
      <c r="L40" s="103"/>
      <c r="M40" s="103"/>
      <c r="N40" s="103"/>
    </row>
    <row r="41" spans="2:14">
      <c r="C41" s="531"/>
      <c r="D41" s="531"/>
      <c r="E41" s="531"/>
      <c r="F41" s="531"/>
      <c r="G41" s="531"/>
      <c r="H41" s="563"/>
      <c r="I41" s="103"/>
      <c r="J41" s="103"/>
      <c r="K41" s="103"/>
      <c r="L41" s="103"/>
      <c r="M41" s="103"/>
      <c r="N41" s="103"/>
    </row>
    <row r="42" spans="2:14">
      <c r="B42" s="278" t="s">
        <v>204</v>
      </c>
      <c r="C42" s="553">
        <v>550</v>
      </c>
      <c r="D42" s="554"/>
      <c r="E42" s="554"/>
      <c r="F42" s="554"/>
      <c r="G42" s="531"/>
      <c r="H42" s="563"/>
      <c r="I42" s="103"/>
      <c r="J42" s="103"/>
      <c r="K42" s="103"/>
      <c r="L42" s="103"/>
      <c r="M42" s="103"/>
      <c r="N42" s="103"/>
    </row>
    <row r="43" spans="2:14">
      <c r="B43" s="279" t="s">
        <v>205</v>
      </c>
      <c r="C43" s="537">
        <f>IF(C10&gt;0,0,-C10)</f>
        <v>148.38183361629854</v>
      </c>
      <c r="D43" s="471"/>
      <c r="E43" s="471"/>
      <c r="F43" s="471"/>
      <c r="G43" s="531"/>
      <c r="H43" s="563"/>
      <c r="I43" s="103"/>
      <c r="J43" s="103"/>
      <c r="K43" s="103"/>
      <c r="L43" s="103"/>
      <c r="M43" s="103"/>
      <c r="N43" s="103"/>
    </row>
    <row r="44" spans="2:14">
      <c r="C44" s="531"/>
      <c r="D44" s="531"/>
      <c r="E44" s="531"/>
      <c r="F44" s="531"/>
      <c r="G44" s="531"/>
      <c r="H44" s="563"/>
      <c r="I44" s="103"/>
      <c r="J44" s="103"/>
      <c r="K44" s="103"/>
      <c r="L44" s="103"/>
      <c r="M44" s="103"/>
      <c r="N44" s="103"/>
    </row>
    <row r="45" spans="2:14">
      <c r="B45" s="94" t="s">
        <v>102</v>
      </c>
      <c r="C45" s="558">
        <v>0.1</v>
      </c>
      <c r="D45" s="559"/>
      <c r="E45" s="559"/>
      <c r="F45" s="559"/>
      <c r="G45" s="531"/>
      <c r="H45" s="563"/>
      <c r="I45" s="103"/>
      <c r="J45" s="103"/>
      <c r="K45" s="103"/>
      <c r="L45" s="103"/>
      <c r="M45" s="103"/>
      <c r="N45" s="103"/>
    </row>
    <row r="46" spans="2:14">
      <c r="C46" s="531"/>
      <c r="D46" s="531"/>
      <c r="E46" s="531"/>
      <c r="F46" s="531"/>
      <c r="G46" s="531"/>
      <c r="H46" s="563"/>
      <c r="I46" s="103"/>
      <c r="J46" s="103"/>
      <c r="K46" s="103"/>
      <c r="L46" s="103"/>
      <c r="M46" s="103"/>
      <c r="N46" s="103"/>
    </row>
    <row r="47" spans="2:14">
      <c r="B47" s="92" t="s">
        <v>157</v>
      </c>
      <c r="C47" s="531"/>
      <c r="D47" s="531"/>
      <c r="E47" s="531"/>
      <c r="F47" s="531"/>
      <c r="G47" s="531"/>
      <c r="H47" s="563"/>
      <c r="I47" s="244"/>
      <c r="J47" s="244"/>
      <c r="K47" s="244"/>
      <c r="L47" s="103"/>
      <c r="M47" s="103"/>
      <c r="N47" s="103"/>
    </row>
    <row r="48" spans="2:14">
      <c r="B48" s="370" t="s">
        <v>95</v>
      </c>
      <c r="C48" s="623">
        <f>'Fleet Sizing'!E11</f>
        <v>0.12472647702407001</v>
      </c>
      <c r="D48" s="391"/>
      <c r="E48" s="391"/>
      <c r="F48" s="391"/>
      <c r="G48" s="531"/>
      <c r="H48" s="565"/>
      <c r="I48" s="245"/>
      <c r="J48" s="245"/>
      <c r="K48" s="245"/>
    </row>
    <row r="49" spans="2:14">
      <c r="B49" s="275" t="s">
        <v>179</v>
      </c>
      <c r="C49" s="294">
        <v>0</v>
      </c>
      <c r="D49" s="392"/>
      <c r="E49" s="531"/>
      <c r="F49" s="531"/>
      <c r="G49" s="531"/>
      <c r="H49" s="531"/>
    </row>
    <row r="50" spans="2:14">
      <c r="B50" s="100"/>
      <c r="C50" s="560"/>
      <c r="D50" s="560"/>
      <c r="E50" s="566" t="s">
        <v>31</v>
      </c>
      <c r="F50" s="566" t="s">
        <v>144</v>
      </c>
      <c r="G50" s="566" t="s">
        <v>29</v>
      </c>
      <c r="H50" s="566" t="s">
        <v>28</v>
      </c>
    </row>
    <row r="51" spans="2:14">
      <c r="B51" s="175" t="s">
        <v>199</v>
      </c>
      <c r="C51" s="561" t="s">
        <v>302</v>
      </c>
      <c r="D51" s="562"/>
      <c r="E51" s="567">
        <v>8</v>
      </c>
      <c r="F51" s="568">
        <v>0</v>
      </c>
      <c r="G51" s="567">
        <v>0</v>
      </c>
      <c r="H51" s="567">
        <v>0</v>
      </c>
      <c r="I51" s="432" t="s">
        <v>301</v>
      </c>
      <c r="K51" s="429"/>
    </row>
    <row r="52" spans="2:14">
      <c r="B52" s="24"/>
      <c r="E52" s="569"/>
      <c r="F52" s="565"/>
      <c r="G52" s="570"/>
      <c r="H52" s="567"/>
      <c r="I52" s="206"/>
      <c r="J52" s="206"/>
      <c r="K52" s="429"/>
    </row>
    <row r="53" spans="2:14">
      <c r="B53" s="270" t="s">
        <v>200</v>
      </c>
      <c r="C53" s="177">
        <v>20.25</v>
      </c>
      <c r="D53" s="206"/>
      <c r="E53" s="569"/>
      <c r="F53" s="565"/>
      <c r="G53" s="570"/>
      <c r="H53" s="567"/>
      <c r="I53" s="206"/>
      <c r="J53" s="206"/>
      <c r="K53" s="429"/>
    </row>
    <row r="54" spans="2:14">
      <c r="B54" s="304" t="s">
        <v>213</v>
      </c>
      <c r="C54" s="441" t="e">
        <f>'Deal Summary'!#REF!</f>
        <v>#REF!</v>
      </c>
      <c r="D54" s="393"/>
      <c r="E54" s="571"/>
      <c r="F54" s="565"/>
      <c r="G54" s="572"/>
      <c r="H54" s="567"/>
      <c r="I54" s="206"/>
      <c r="J54" s="206"/>
      <c r="K54" s="430"/>
    </row>
    <row r="55" spans="2:14">
      <c r="B55" s="169" t="s">
        <v>41</v>
      </c>
      <c r="C55" s="588">
        <f>'Deal Summary'!F42</f>
        <v>0</v>
      </c>
      <c r="D55" s="393"/>
      <c r="E55" s="393"/>
      <c r="F55" s="393"/>
      <c r="G55" s="105"/>
      <c r="H55" s="106"/>
      <c r="I55" s="206"/>
      <c r="J55" s="206"/>
      <c r="K55" s="206"/>
      <c r="L55" s="267"/>
      <c r="M55" s="105"/>
      <c r="N55" s="105"/>
    </row>
    <row r="56" spans="2:14">
      <c r="B56" s="436"/>
      <c r="C56" s="393"/>
      <c r="D56" s="393"/>
      <c r="E56" s="393"/>
      <c r="F56" s="393"/>
      <c r="G56" s="105"/>
      <c r="H56" s="106"/>
      <c r="I56" s="206"/>
      <c r="J56" s="206"/>
      <c r="K56" s="206"/>
      <c r="L56" s="267"/>
      <c r="M56" s="105"/>
      <c r="N56" s="105"/>
    </row>
    <row r="57" spans="2:14">
      <c r="B57" s="433" t="s">
        <v>305</v>
      </c>
      <c r="C57" s="442">
        <f>'Deal Summary'!G42</f>
        <v>0</v>
      </c>
      <c r="D57" s="393"/>
      <c r="E57" s="393"/>
      <c r="F57" s="393"/>
      <c r="G57" s="105"/>
      <c r="H57" s="106"/>
      <c r="I57" s="206"/>
      <c r="J57" s="206"/>
      <c r="K57" s="206"/>
      <c r="L57" s="267"/>
      <c r="M57" s="105"/>
      <c r="N57" s="105"/>
    </row>
    <row r="58" spans="2:14">
      <c r="B58" s="437" t="s">
        <v>306</v>
      </c>
      <c r="C58" s="294">
        <v>0</v>
      </c>
      <c r="D58" s="393"/>
      <c r="E58" s="393"/>
      <c r="F58" s="393"/>
      <c r="G58" s="105"/>
      <c r="H58" s="106"/>
      <c r="I58" s="206"/>
      <c r="J58" s="206"/>
      <c r="K58" s="206"/>
      <c r="L58" s="267"/>
      <c r="M58" s="105"/>
      <c r="N58" s="105"/>
    </row>
    <row r="59" spans="2:14">
      <c r="B59" s="271"/>
      <c r="C59" s="276"/>
      <c r="D59" s="276"/>
      <c r="E59" s="276"/>
      <c r="F59" s="276"/>
      <c r="G59"/>
      <c r="M59"/>
      <c r="N59"/>
    </row>
    <row r="60" spans="2:14">
      <c r="B60" s="170" t="s">
        <v>159</v>
      </c>
      <c r="C60" s="189">
        <v>1.4999999999999999E-2</v>
      </c>
      <c r="D60" s="384"/>
      <c r="E60" s="384"/>
      <c r="F60" s="384"/>
      <c r="G60"/>
      <c r="M60"/>
      <c r="N60"/>
    </row>
  </sheetData>
  <sortState xmlns:xlrd2="http://schemas.microsoft.com/office/spreadsheetml/2017/richdata2" ref="C2:D2">
    <sortCondition ref="C6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FF00"/>
    <pageSetUpPr fitToPage="1"/>
  </sheetPr>
  <dimension ref="A1:Y123"/>
  <sheetViews>
    <sheetView showGridLines="0" view="pageBreakPreview" zoomScaleNormal="100" zoomScaleSheetLayoutView="100" workbookViewId="0">
      <selection activeCell="D14" sqref="D14"/>
    </sheetView>
  </sheetViews>
  <sheetFormatPr defaultColWidth="9.33203125" defaultRowHeight="12.75" outlineLevelCol="1"/>
  <cols>
    <col min="1" max="1" width="1" style="2" customWidth="1"/>
    <col min="2" max="2" width="39" style="2" customWidth="1"/>
    <col min="3" max="3" width="1" style="2" customWidth="1"/>
    <col min="4" max="4" width="15.83203125" style="2" customWidth="1"/>
    <col min="5" max="5" width="1" style="2" hidden="1" customWidth="1" outlineLevel="1"/>
    <col min="6" max="6" width="15.83203125" style="2" hidden="1" customWidth="1" outlineLevel="1"/>
    <col min="7" max="7" width="1" style="2" customWidth="1" collapsed="1"/>
    <col min="8" max="11" width="9.33203125" style="2"/>
    <col min="12" max="12" width="11.5" style="2" bestFit="1" customWidth="1"/>
    <col min="13" max="14" width="9.33203125" style="2"/>
    <col min="15" max="15" width="10.1640625" style="2" bestFit="1" customWidth="1"/>
    <col min="16" max="16384" width="9.33203125" style="2"/>
  </cols>
  <sheetData>
    <row r="1" spans="1:12">
      <c r="A1" s="1" t="s">
        <v>266</v>
      </c>
      <c r="G1" s="3" t="s">
        <v>0</v>
      </c>
    </row>
    <row r="2" spans="1:12">
      <c r="A2" s="1" t="s">
        <v>1</v>
      </c>
    </row>
    <row r="3" spans="1:12">
      <c r="A3" s="1"/>
      <c r="D3" s="83"/>
      <c r="F3" s="86" t="s">
        <v>2</v>
      </c>
    </row>
    <row r="4" spans="1:12">
      <c r="D4" s="21" t="s">
        <v>108</v>
      </c>
      <c r="F4" s="82"/>
    </row>
    <row r="5" spans="1:12" ht="5.0999999999999996" customHeight="1">
      <c r="D5" s="4"/>
      <c r="F5" s="4"/>
    </row>
    <row r="6" spans="1:12">
      <c r="B6" s="84" t="s">
        <v>3</v>
      </c>
      <c r="C6" s="85"/>
      <c r="D6" s="85"/>
      <c r="E6" s="85"/>
      <c r="F6" s="85"/>
    </row>
    <row r="7" spans="1:12">
      <c r="B7" s="5" t="s">
        <v>4</v>
      </c>
      <c r="D7" s="6">
        <f>+PSW!$G$83+D22</f>
        <v>4898</v>
      </c>
      <c r="F7" s="6">
        <f>+SUM(D7:E7)</f>
        <v>4898</v>
      </c>
    </row>
    <row r="8" spans="1:12">
      <c r="B8" s="5" t="s">
        <v>5</v>
      </c>
      <c r="D8" s="7">
        <f>+PSW!$G$86</f>
        <v>4000</v>
      </c>
      <c r="F8" s="7">
        <f>+IFERROR((F9-#REF!)*1000/(F7-F22),0)</f>
        <v>0</v>
      </c>
      <c r="H8" s="95"/>
    </row>
    <row r="9" spans="1:12">
      <c r="B9" s="8" t="s">
        <v>107</v>
      </c>
      <c r="D9" s="9">
        <f>+PSW!$G$87</f>
        <v>19592</v>
      </c>
      <c r="F9" s="9">
        <f t="shared" ref="F9:F17" si="0">+SUM(D9:E9)</f>
        <v>19592</v>
      </c>
    </row>
    <row r="10" spans="1:12">
      <c r="B10" s="202" t="s">
        <v>113</v>
      </c>
      <c r="D10" s="7">
        <f>PSW!G90</f>
        <v>1346.95</v>
      </c>
      <c r="F10" s="7">
        <f t="shared" si="0"/>
        <v>1346.95</v>
      </c>
      <c r="I10" s="74"/>
      <c r="J10" s="7"/>
      <c r="L10" s="7"/>
    </row>
    <row r="11" spans="1:12">
      <c r="B11" s="202" t="s">
        <v>148</v>
      </c>
      <c r="D11" s="7">
        <f>PSW!G91</f>
        <v>0</v>
      </c>
      <c r="F11" s="7">
        <f t="shared" si="0"/>
        <v>0</v>
      </c>
      <c r="I11" s="7"/>
      <c r="J11" s="7"/>
      <c r="L11" s="7"/>
    </row>
    <row r="12" spans="1:12">
      <c r="B12" s="202" t="s">
        <v>151</v>
      </c>
      <c r="D12" s="7">
        <f>PSW!G92</f>
        <v>0</v>
      </c>
      <c r="F12" s="7">
        <f t="shared" si="0"/>
        <v>0</v>
      </c>
      <c r="I12" s="7"/>
      <c r="J12" s="7"/>
      <c r="L12" s="7"/>
    </row>
    <row r="13" spans="1:12">
      <c r="B13" s="202" t="s">
        <v>155</v>
      </c>
      <c r="D13" s="7">
        <f>PSW!G93</f>
        <v>1102.05</v>
      </c>
      <c r="F13" s="7">
        <f t="shared" si="0"/>
        <v>1102.05</v>
      </c>
      <c r="I13" s="7"/>
      <c r="J13" s="7"/>
      <c r="L13" s="7"/>
    </row>
    <row r="14" spans="1:12">
      <c r="B14" s="202" t="s">
        <v>330</v>
      </c>
      <c r="D14" s="7" t="e">
        <f>PSW!#REF!</f>
        <v>#REF!</v>
      </c>
      <c r="F14" s="7"/>
      <c r="I14" s="7"/>
      <c r="J14" s="7"/>
      <c r="L14" s="7"/>
    </row>
    <row r="15" spans="1:12">
      <c r="B15" s="202" t="s">
        <v>163</v>
      </c>
      <c r="D15" s="7">
        <f>PSW!G94</f>
        <v>1155.7437527542604</v>
      </c>
      <c r="F15" s="7">
        <f t="shared" si="0"/>
        <v>1155.7437527542604</v>
      </c>
      <c r="I15" s="7"/>
      <c r="J15" s="7"/>
      <c r="L15" s="7"/>
    </row>
    <row r="16" spans="1:12">
      <c r="B16" s="202" t="s">
        <v>204</v>
      </c>
      <c r="D16" s="7">
        <f>PSW!G95</f>
        <v>1100</v>
      </c>
      <c r="F16" s="7"/>
      <c r="I16" s="7"/>
      <c r="J16" s="7"/>
      <c r="L16" s="7"/>
    </row>
    <row r="17" spans="1:10">
      <c r="B17" s="8" t="s">
        <v>105</v>
      </c>
      <c r="D17" s="9">
        <f>+PSW!$G$98</f>
        <v>26105.943752754261</v>
      </c>
      <c r="F17" s="9">
        <f t="shared" si="0"/>
        <v>26105.943752754261</v>
      </c>
      <c r="I17" s="7"/>
      <c r="J17" s="7"/>
    </row>
    <row r="18" spans="1:10" ht="5.0999999999999996" customHeight="1">
      <c r="B18" s="10"/>
      <c r="C18" s="10"/>
      <c r="E18" s="10"/>
    </row>
    <row r="19" spans="1:10">
      <c r="A19" s="11"/>
      <c r="B19" s="84" t="s">
        <v>6</v>
      </c>
      <c r="C19" s="85"/>
      <c r="D19" s="85"/>
      <c r="E19" s="85"/>
      <c r="F19" s="85"/>
    </row>
    <row r="20" spans="1:10">
      <c r="B20" s="12" t="s">
        <v>7</v>
      </c>
      <c r="D20" s="13"/>
      <c r="F20" s="13"/>
    </row>
    <row r="21" spans="1:10">
      <c r="B21" s="5" t="s">
        <v>8</v>
      </c>
      <c r="D21" s="124">
        <f>PSW!G83</f>
        <v>4898</v>
      </c>
      <c r="F21" s="13">
        <f>+SUM(D21:E21)</f>
        <v>4898</v>
      </c>
    </row>
    <row r="22" spans="1:10">
      <c r="B22" s="5" t="s">
        <v>9</v>
      </c>
      <c r="D22" s="123">
        <v>0</v>
      </c>
      <c r="F22" s="13">
        <f>+SUM(D22:E22)</f>
        <v>0</v>
      </c>
    </row>
    <row r="23" spans="1:10" s="8" customFormat="1">
      <c r="B23" s="15" t="s">
        <v>2</v>
      </c>
      <c r="D23" s="14">
        <f>SUM(D21:D22)</f>
        <v>4898</v>
      </c>
      <c r="F23" s="14">
        <f>+SUM(D23:E23)</f>
        <v>4898</v>
      </c>
    </row>
    <row r="24" spans="1:10" s="8" customFormat="1">
      <c r="B24" s="15"/>
      <c r="D24" s="81"/>
      <c r="F24" s="81"/>
    </row>
    <row r="25" spans="1:10" s="8" customFormat="1">
      <c r="B25" s="12" t="s">
        <v>267</v>
      </c>
      <c r="D25" s="81"/>
      <c r="F25" s="81"/>
    </row>
    <row r="26" spans="1:10" s="8" customFormat="1">
      <c r="B26" s="5" t="s">
        <v>164</v>
      </c>
      <c r="D26" s="13">
        <f>Assumptions!C31</f>
        <v>0</v>
      </c>
      <c r="F26" s="13">
        <f>+SUM(D26:E26)</f>
        <v>0</v>
      </c>
    </row>
    <row r="27" spans="1:10" s="8" customFormat="1">
      <c r="B27" s="5" t="s">
        <v>268</v>
      </c>
      <c r="D27" s="13">
        <f>Assumptions!C14</f>
        <v>6559.6181663837015</v>
      </c>
      <c r="F27" s="13">
        <f>+SUM(D27:E27)</f>
        <v>6559.6181663837015</v>
      </c>
    </row>
    <row r="28" spans="1:10" s="8" customFormat="1">
      <c r="B28" s="5"/>
      <c r="D28" s="13"/>
      <c r="F28" s="13"/>
    </row>
    <row r="29" spans="1:10" s="8" customFormat="1">
      <c r="B29" s="5" t="s">
        <v>165</v>
      </c>
      <c r="C29" s="2"/>
      <c r="D29" s="13">
        <f>D23-D27</f>
        <v>-1661.6181663837015</v>
      </c>
      <c r="F29" s="14">
        <f>+SUM(D29:E29)</f>
        <v>-1661.6181663837015</v>
      </c>
    </row>
    <row r="30" spans="1:10" s="8" customFormat="1">
      <c r="B30" s="15"/>
      <c r="D30" s="81"/>
      <c r="F30" s="81"/>
    </row>
    <row r="31" spans="1:10" s="8" customFormat="1">
      <c r="B31" s="15" t="s">
        <v>201</v>
      </c>
      <c r="D31" s="81">
        <f>MIN(D29,0)</f>
        <v>-1661.6181663837015</v>
      </c>
      <c r="F31" s="81">
        <f>+SUM(D31:E31)</f>
        <v>-1661.6181663837015</v>
      </c>
    </row>
    <row r="32" spans="1:10" ht="5.0999999999999996" customHeight="1"/>
    <row r="33" spans="1:20">
      <c r="A33" s="11"/>
      <c r="B33" s="84" t="s">
        <v>10</v>
      </c>
      <c r="C33" s="85"/>
      <c r="D33" s="85"/>
      <c r="E33" s="85"/>
      <c r="F33" s="85"/>
    </row>
    <row r="34" spans="1:20">
      <c r="B34" s="2" t="s">
        <v>11</v>
      </c>
      <c r="D34" s="6">
        <f>Assumptions!C14</f>
        <v>6559.6181663837015</v>
      </c>
      <c r="E34" s="6"/>
      <c r="F34" s="13">
        <f>+SUM(D34:E34)</f>
        <v>6559.6181663837015</v>
      </c>
      <c r="G34" s="6"/>
    </row>
    <row r="35" spans="1:20" ht="5.0999999999999996" customHeight="1"/>
    <row r="36" spans="1:20">
      <c r="B36" s="2" t="s">
        <v>12</v>
      </c>
      <c r="D36" s="6"/>
      <c r="E36" s="6"/>
      <c r="F36" s="13"/>
    </row>
    <row r="37" spans="1:20">
      <c r="B37" s="5" t="s">
        <v>13</v>
      </c>
      <c r="D37" s="6">
        <f>+PSW!$H$24</f>
        <v>0</v>
      </c>
      <c r="E37" s="6"/>
      <c r="F37" s="13">
        <f>+SUM(D37:E37)</f>
        <v>0</v>
      </c>
      <c r="G37" s="6"/>
    </row>
    <row r="38" spans="1:20">
      <c r="B38" s="5" t="s">
        <v>14</v>
      </c>
      <c r="D38" s="6">
        <f>+PSW!$H$25</f>
        <v>5360.0374404999993</v>
      </c>
      <c r="E38" s="6"/>
      <c r="F38" s="13">
        <f>+SUM(D38:E38)</f>
        <v>5360.0374404999993</v>
      </c>
      <c r="G38" s="6"/>
    </row>
    <row r="39" spans="1:20">
      <c r="B39" s="5" t="s">
        <v>15</v>
      </c>
      <c r="D39" s="6">
        <f>+PSW!$H$26</f>
        <v>679.69229999999993</v>
      </c>
      <c r="E39" s="6"/>
      <c r="F39" s="13">
        <f>+SUM(D39:E39)</f>
        <v>679.69229999999993</v>
      </c>
      <c r="G39" s="6"/>
    </row>
    <row r="40" spans="1:20">
      <c r="B40" s="12" t="s">
        <v>16</v>
      </c>
      <c r="D40" s="16">
        <f>SUM(D37:D39)</f>
        <v>6039.729740499999</v>
      </c>
      <c r="E40" s="6"/>
      <c r="F40" s="14">
        <f>+SUM(D40:E40)</f>
        <v>6039.729740499999</v>
      </c>
      <c r="G40" s="6"/>
    </row>
    <row r="41" spans="1:20" s="10" customFormat="1">
      <c r="B41" s="17" t="s">
        <v>17</v>
      </c>
      <c r="D41" s="18">
        <f>+PSW!$H$42</f>
        <v>0.8315163815598724</v>
      </c>
      <c r="E41" s="18"/>
      <c r="F41" s="18">
        <f>+F40/F34</f>
        <v>0.92074410237047144</v>
      </c>
      <c r="G41" s="18"/>
    </row>
    <row r="42" spans="1:20" s="10" customFormat="1">
      <c r="B42" s="17" t="s">
        <v>78</v>
      </c>
      <c r="D42" s="18">
        <f>+PSW!$H$43</f>
        <v>0.73298169034502747</v>
      </c>
      <c r="E42" s="18"/>
      <c r="F42" s="18" t="e">
        <f>+SUM(F37:F38,#REF!)/F34</f>
        <v>#REF!</v>
      </c>
      <c r="G42" s="18"/>
    </row>
    <row r="43" spans="1:20" s="10" customFormat="1">
      <c r="B43" s="17" t="s">
        <v>100</v>
      </c>
      <c r="D43" s="18">
        <f>+PSW!$H$10</f>
        <v>0</v>
      </c>
      <c r="E43" s="18"/>
      <c r="F43" s="18">
        <f>+F37/SUM(F37:F38)</f>
        <v>0</v>
      </c>
      <c r="G43" s="18"/>
    </row>
    <row r="44" spans="1:20" ht="5.0999999999999996" hidden="1" customHeight="1"/>
    <row r="45" spans="1:20" ht="15" hidden="1" customHeight="1">
      <c r="B45" s="2" t="s">
        <v>83</v>
      </c>
      <c r="D45" s="96" t="e">
        <f>+D37/$F$37</f>
        <v>#DIV/0!</v>
      </c>
    </row>
    <row r="46" spans="1:20" ht="15" hidden="1" customHeight="1">
      <c r="B46" s="2" t="s">
        <v>82</v>
      </c>
      <c r="D46" s="96">
        <f>+D38/$F$38</f>
        <v>1</v>
      </c>
    </row>
    <row r="47" spans="1:20" ht="15" hidden="1" customHeight="1">
      <c r="B47" s="2" t="s">
        <v>89</v>
      </c>
      <c r="D47" s="96">
        <f>+D39/$F$39</f>
        <v>1</v>
      </c>
    </row>
    <row r="48" spans="1:20" ht="15" hidden="1" customHeight="1">
      <c r="B48" s="2" t="s">
        <v>96</v>
      </c>
      <c r="D48" s="96" t="e">
        <f>+#REF!/#REF!</f>
        <v>#REF!</v>
      </c>
      <c r="T48" s="2" t="s">
        <v>147</v>
      </c>
    </row>
    <row r="49" spans="1:15" ht="5.0999999999999996" customHeight="1"/>
    <row r="50" spans="1:15">
      <c r="B50" s="12" t="s">
        <v>87</v>
      </c>
    </row>
    <row r="51" spans="1:15">
      <c r="B51" s="5" t="s">
        <v>13</v>
      </c>
      <c r="D51" s="19">
        <f>+PSW!$H$29</f>
        <v>20.25</v>
      </c>
      <c r="E51" s="19"/>
      <c r="F51" s="19" t="e">
        <f>+SUMPRODUCT(D51:D51,D45:D45)</f>
        <v>#DIV/0!</v>
      </c>
      <c r="G51" s="19"/>
    </row>
    <row r="52" spans="1:15">
      <c r="B52" s="5" t="s">
        <v>14</v>
      </c>
      <c r="D52" s="19">
        <f>+PSW!$H$33</f>
        <v>12.525133673171682</v>
      </c>
      <c r="E52" s="19"/>
      <c r="F52" s="19">
        <f>+SUMPRODUCT(D52:D52,D46:D46)</f>
        <v>12.525133673171682</v>
      </c>
      <c r="G52" s="19"/>
    </row>
    <row r="53" spans="1:15">
      <c r="B53" s="5" t="s">
        <v>15</v>
      </c>
      <c r="D53" s="19">
        <f>+PSW!$H$37</f>
        <v>0</v>
      </c>
      <c r="E53" s="19"/>
      <c r="F53" s="19">
        <f>+SUMPRODUCT(D53:D53,D47:D47)</f>
        <v>0</v>
      </c>
      <c r="G53" s="19"/>
    </row>
    <row r="54" spans="1:15" ht="5.0999999999999996" customHeight="1"/>
    <row r="55" spans="1:15">
      <c r="A55" s="11"/>
      <c r="B55" s="84" t="s">
        <v>88</v>
      </c>
      <c r="C55" s="85"/>
      <c r="D55" s="85"/>
      <c r="E55" s="85"/>
      <c r="F55" s="85"/>
    </row>
    <row r="56" spans="1:15" ht="5.0999999999999996" hidden="1" customHeight="1"/>
    <row r="57" spans="1:15" ht="15" hidden="1" customHeight="1">
      <c r="B57" s="2" t="s">
        <v>20</v>
      </c>
      <c r="D57" s="6">
        <f>+PSW!$G$40</f>
        <v>0</v>
      </c>
      <c r="F57" s="6">
        <f>+SUM(D57:E57)</f>
        <v>0</v>
      </c>
    </row>
    <row r="58" spans="1:15" ht="15" hidden="1" customHeight="1">
      <c r="B58" s="2" t="s">
        <v>90</v>
      </c>
      <c r="D58" s="97">
        <f>+PSW!$G$65</f>
        <v>0</v>
      </c>
      <c r="F58" s="7">
        <f>+SUM(D58:E58)</f>
        <v>0</v>
      </c>
    </row>
    <row r="59" spans="1:15" ht="15" hidden="1" customHeight="1">
      <c r="B59" s="2" t="s">
        <v>91</v>
      </c>
      <c r="D59" s="97" t="e">
        <f>+PSW!#REF!</f>
        <v>#REF!</v>
      </c>
      <c r="F59" s="7" t="e">
        <f>+SUM(D59:E59)</f>
        <v>#REF!</v>
      </c>
    </row>
    <row r="60" spans="1:15" ht="15" hidden="1" customHeight="1">
      <c r="B60" s="2" t="s">
        <v>92</v>
      </c>
      <c r="D60" s="97">
        <f>+PSW!$G$66</f>
        <v>0</v>
      </c>
      <c r="F60" s="7">
        <f>+SUM(D60:E60)</f>
        <v>0</v>
      </c>
    </row>
    <row r="61" spans="1:15" ht="15" hidden="1" customHeight="1">
      <c r="B61" s="2" t="s">
        <v>93</v>
      </c>
      <c r="D61" s="97" t="e">
        <f>+PSW!#REF!+PSW!#REF!</f>
        <v>#REF!</v>
      </c>
      <c r="F61" s="7" t="e">
        <f>+SUM(D61:E61)</f>
        <v>#REF!</v>
      </c>
    </row>
    <row r="62" spans="1:15" ht="5.0999999999999996" customHeight="1"/>
    <row r="63" spans="1:15">
      <c r="B63" s="2" t="s">
        <v>31</v>
      </c>
      <c r="D63" s="19">
        <f>PSW!E18</f>
        <v>7.0934883057709985</v>
      </c>
      <c r="F63" s="19" t="e">
        <f>+F58/$F$57</f>
        <v>#DIV/0!</v>
      </c>
      <c r="J63" s="19"/>
      <c r="K63" s="19"/>
      <c r="L63" s="19"/>
      <c r="M63" s="19"/>
      <c r="N63" s="19"/>
      <c r="O63" s="19"/>
    </row>
    <row r="64" spans="1:15">
      <c r="B64" s="2" t="s">
        <v>144</v>
      </c>
      <c r="D64" s="19">
        <f>PSW!F18</f>
        <v>0.25</v>
      </c>
      <c r="F64" s="19" t="e">
        <f>+F61/$F$57</f>
        <v>#REF!</v>
      </c>
      <c r="J64" s="19"/>
      <c r="K64" s="19"/>
      <c r="L64" s="19"/>
      <c r="M64" s="19"/>
      <c r="N64" s="19"/>
      <c r="O64" s="19"/>
    </row>
    <row r="65" spans="1:15">
      <c r="B65" s="2" t="s">
        <v>29</v>
      </c>
      <c r="D65" s="19">
        <f>PSW!G18</f>
        <v>0</v>
      </c>
      <c r="F65" s="19" t="e">
        <f>+F59/$F$57</f>
        <v>#REF!</v>
      </c>
      <c r="J65" s="19"/>
      <c r="K65" s="19"/>
      <c r="L65" s="19"/>
      <c r="M65" s="108"/>
      <c r="N65" s="19"/>
      <c r="O65" s="19"/>
    </row>
    <row r="66" spans="1:15" hidden="1">
      <c r="B66" s="2" t="s">
        <v>30</v>
      </c>
      <c r="D66" s="19">
        <f>+PSW!$E$18</f>
        <v>7.0934883057709985</v>
      </c>
      <c r="F66" s="19" t="e">
        <f>+F60/$F$57</f>
        <v>#DIV/0!</v>
      </c>
      <c r="J66" s="19"/>
      <c r="K66" s="19"/>
      <c r="L66" s="19"/>
      <c r="M66" s="19"/>
      <c r="N66" s="19"/>
      <c r="O66" s="19"/>
    </row>
    <row r="67" spans="1:15" hidden="1">
      <c r="B67" s="2" t="s">
        <v>110</v>
      </c>
      <c r="D67" s="19" t="e">
        <f>+PSW!#REF!/PSW!G40</f>
        <v>#REF!</v>
      </c>
      <c r="F67" s="19"/>
      <c r="J67" s="19"/>
      <c r="K67" s="19"/>
      <c r="L67" s="19"/>
      <c r="M67" s="19"/>
      <c r="N67" s="19"/>
      <c r="O67" s="19"/>
    </row>
    <row r="68" spans="1:15" hidden="1">
      <c r="B68" s="2" t="s">
        <v>109</v>
      </c>
      <c r="D68" s="19" t="e">
        <f>+PSW!#REF!/PSW!G40</f>
        <v>#REF!</v>
      </c>
      <c r="F68" s="19"/>
      <c r="J68" s="19"/>
      <c r="K68" s="19"/>
      <c r="L68" s="19"/>
      <c r="M68" s="19"/>
      <c r="N68" s="19"/>
      <c r="O68" s="19"/>
    </row>
    <row r="69" spans="1:15">
      <c r="B69" s="2" t="s">
        <v>28</v>
      </c>
      <c r="D69" s="19">
        <f>PSW!H18</f>
        <v>0</v>
      </c>
      <c r="F69" s="19"/>
      <c r="J69" s="19"/>
      <c r="K69" s="19"/>
      <c r="L69" s="19"/>
      <c r="M69" s="19"/>
      <c r="N69" s="19"/>
      <c r="O69" s="19"/>
    </row>
    <row r="70" spans="1:15" ht="5.0999999999999996" customHeight="1"/>
    <row r="71" spans="1:15">
      <c r="A71" s="11"/>
      <c r="B71" s="84" t="s">
        <v>1</v>
      </c>
      <c r="C71" s="85"/>
      <c r="D71" s="85"/>
      <c r="E71" s="85"/>
      <c r="F71" s="85"/>
      <c r="I71" s="163"/>
      <c r="J71" s="163"/>
    </row>
    <row r="72" spans="1:15" ht="5.0999999999999996" hidden="1" customHeight="1"/>
    <row r="73" spans="1:15" ht="15" hidden="1" customHeight="1">
      <c r="B73" s="2" t="s">
        <v>94</v>
      </c>
      <c r="D73" s="6">
        <f>+PSW!$G$41</f>
        <v>0</v>
      </c>
      <c r="F73" s="6">
        <f>+SUM(C73:E73)</f>
        <v>0</v>
      </c>
    </row>
    <row r="74" spans="1:15" ht="15" customHeight="1">
      <c r="B74" s="2" t="s">
        <v>103</v>
      </c>
      <c r="D74" s="6">
        <f>+PSW!H45</f>
        <v>23114.875055085209</v>
      </c>
      <c r="F74" s="6"/>
      <c r="I74" s="6"/>
      <c r="J74" s="6"/>
    </row>
    <row r="75" spans="1:15" ht="15" customHeight="1">
      <c r="A75" s="59"/>
      <c r="B75" s="12" t="s">
        <v>104</v>
      </c>
      <c r="D75" s="6">
        <f>+PSW!H74</f>
        <v>18043.495531848072</v>
      </c>
      <c r="F75" s="6"/>
      <c r="I75" s="6"/>
      <c r="J75" s="6"/>
    </row>
    <row r="76" spans="1:15" ht="15" customHeight="1">
      <c r="A76" s="59"/>
      <c r="B76" s="8" t="s">
        <v>98</v>
      </c>
      <c r="C76" s="8"/>
      <c r="D76" s="113">
        <f>+PSW!$H$76</f>
        <v>5071.3795232371376</v>
      </c>
      <c r="E76" s="8"/>
      <c r="F76" s="99">
        <f>+SUM(C76:E76)</f>
        <v>5071.3795232371376</v>
      </c>
      <c r="H76" s="6"/>
      <c r="I76" s="99"/>
      <c r="J76" s="99"/>
      <c r="K76" s="19"/>
    </row>
    <row r="77" spans="1:15" ht="15" customHeight="1">
      <c r="B77" s="10" t="s">
        <v>99</v>
      </c>
      <c r="C77" s="8"/>
      <c r="D77" s="101">
        <f>+PSW!$H$79</f>
        <v>0.21939895894533282</v>
      </c>
      <c r="E77" s="8"/>
      <c r="F77" s="101" t="e">
        <f>+F76/PSW!G45</f>
        <v>#DIV/0!</v>
      </c>
      <c r="I77" s="101"/>
      <c r="J77" s="101"/>
    </row>
    <row r="78" spans="1:15" ht="5.0999999999999996" customHeight="1"/>
    <row r="79" spans="1:15">
      <c r="B79" s="2" t="s">
        <v>18</v>
      </c>
      <c r="D79" s="19">
        <f>+PSW!$H$77</f>
        <v>2.4223631358524176</v>
      </c>
      <c r="F79" s="19" t="e">
        <f>+F76/F57</f>
        <v>#DIV/0!</v>
      </c>
      <c r="I79" s="19"/>
      <c r="J79" s="19"/>
    </row>
    <row r="80" spans="1:15">
      <c r="B80" s="2" t="s">
        <v>19</v>
      </c>
      <c r="D80" s="19">
        <f>+PSW!$H$78</f>
        <v>2.014234629548028</v>
      </c>
      <c r="F80" s="19" t="e">
        <f>+F76/F73</f>
        <v>#DIV/0!</v>
      </c>
      <c r="I80" s="19"/>
      <c r="J80" s="19"/>
      <c r="K80" s="19"/>
    </row>
    <row r="81" spans="2:25" ht="12.75" customHeight="1">
      <c r="B81" s="2" t="s">
        <v>97</v>
      </c>
      <c r="D81" s="108">
        <f>+PSW!$E$119</f>
        <v>0.14242202463588627</v>
      </c>
      <c r="F81" s="109" t="str">
        <f>+IFERROR(#REF!,"nm")</f>
        <v>nm</v>
      </c>
      <c r="I81" s="108"/>
      <c r="J81" s="108"/>
      <c r="K81" s="19"/>
    </row>
    <row r="82" spans="2:25" ht="12.75" customHeight="1">
      <c r="B82" s="2" t="s">
        <v>177</v>
      </c>
      <c r="D82" s="108">
        <f>PSW!E136</f>
        <v>0.18780213526497835</v>
      </c>
      <c r="F82" s="109"/>
      <c r="I82" s="108"/>
      <c r="J82" s="108"/>
      <c r="K82" s="19"/>
    </row>
    <row r="83" spans="2:25">
      <c r="B83" s="2" t="s">
        <v>112</v>
      </c>
      <c r="D83" s="97">
        <f>+PSW!F119</f>
        <v>2328.2118578417321</v>
      </c>
      <c r="I83" s="97"/>
      <c r="J83" s="97"/>
    </row>
    <row r="84" spans="2:25" ht="9.9499999999999993" customHeight="1">
      <c r="B84" s="20"/>
    </row>
    <row r="85" spans="2:25">
      <c r="B85" s="20" t="s">
        <v>121</v>
      </c>
      <c r="D85" s="7">
        <f>+D17</f>
        <v>26105.943752754261</v>
      </c>
    </row>
    <row r="86" spans="2:25" ht="15">
      <c r="B86" s="2" t="s">
        <v>323</v>
      </c>
      <c r="D86" s="451">
        <f>IF(Assumptions!$E$6=3,PSW!H98/PSW!I76,IF(+D85/D76&gt;0,D85/D76,"nm "))</f>
        <v>5.1477006666798317</v>
      </c>
    </row>
    <row r="88" spans="2:25">
      <c r="B88" s="2" t="s">
        <v>324</v>
      </c>
    </row>
    <row r="93" spans="2:25" ht="15" customHeight="1"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</row>
    <row r="118" spans="1:9">
      <c r="A118" s="2" t="s">
        <v>146</v>
      </c>
    </row>
    <row r="123" spans="1:9">
      <c r="I123" s="2" t="s">
        <v>145</v>
      </c>
    </row>
  </sheetData>
  <pageMargins left="0.25" right="0.25" top="0.3" bottom="0.3" header="0.3" footer="0.3"/>
  <pageSetup scale="68" orientation="landscape" r:id="rId1"/>
  <headerFooter>
    <oddFooter>&amp;L&amp;F&amp;C&amp;P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34998626667073579"/>
  </sheetPr>
  <dimension ref="A1:AF41"/>
  <sheetViews>
    <sheetView tabSelected="1" workbookViewId="0">
      <pane xSplit="2" ySplit="8" topLeftCell="C9" activePane="bottomRight" state="frozen"/>
      <selection activeCell="F41" sqref="F41"/>
      <selection pane="topRight" activeCell="F41" sqref="F41"/>
      <selection pane="bottomLeft" activeCell="F41" sqref="F41"/>
      <selection pane="bottomRight" activeCell="F41" sqref="F41"/>
    </sheetView>
  </sheetViews>
  <sheetFormatPr defaultColWidth="9.33203125" defaultRowHeight="15"/>
  <cols>
    <col min="1" max="1" width="7.33203125" style="644" customWidth="1"/>
    <col min="2" max="2" width="25.6640625" style="644" customWidth="1"/>
    <col min="3" max="8" width="13.83203125" style="644" customWidth="1"/>
    <col min="9" max="9" width="21.83203125" style="644" bestFit="1" customWidth="1"/>
    <col min="10" max="10" width="20" style="644" bestFit="1" customWidth="1"/>
    <col min="11" max="32" width="13.83203125" style="644" customWidth="1"/>
    <col min="33" max="16384" width="9.33203125" style="644"/>
  </cols>
  <sheetData>
    <row r="1" spans="1:32">
      <c r="A1" s="643" t="s">
        <v>279</v>
      </c>
      <c r="D1" s="645"/>
    </row>
    <row r="2" spans="1:32">
      <c r="A2" s="646" t="s">
        <v>440</v>
      </c>
    </row>
    <row r="3" spans="1:32">
      <c r="A3" s="646"/>
    </row>
    <row r="4" spans="1:32">
      <c r="A4" s="646"/>
      <c r="B4" s="644" t="s">
        <v>422</v>
      </c>
      <c r="C4" s="719">
        <f>'Deal Summary'!C42</f>
        <v>1</v>
      </c>
    </row>
    <row r="5" spans="1:32">
      <c r="A5" s="646"/>
    </row>
    <row r="6" spans="1:32">
      <c r="A6" s="646"/>
      <c r="B6" s="692" t="s">
        <v>441</v>
      </c>
      <c r="C6" s="693">
        <v>0</v>
      </c>
      <c r="E6" s="665">
        <v>3.0624744793793384E-2</v>
      </c>
    </row>
    <row r="7" spans="1:32" ht="9.9499999999999993" customHeight="1"/>
    <row r="8" spans="1:32" ht="78" customHeight="1">
      <c r="B8" s="647" t="s">
        <v>402</v>
      </c>
      <c r="C8" s="648" t="s">
        <v>419</v>
      </c>
      <c r="D8" s="648" t="s">
        <v>420</v>
      </c>
      <c r="E8" s="648" t="s">
        <v>339</v>
      </c>
      <c r="F8" s="648" t="s">
        <v>421</v>
      </c>
      <c r="G8" s="648" t="s">
        <v>449</v>
      </c>
      <c r="H8" s="648" t="s">
        <v>450</v>
      </c>
      <c r="I8" s="648" t="s">
        <v>451</v>
      </c>
      <c r="J8" s="648" t="s">
        <v>362</v>
      </c>
      <c r="K8" s="648" t="s">
        <v>273</v>
      </c>
      <c r="L8" s="649" t="s">
        <v>211</v>
      </c>
      <c r="M8" s="648" t="s">
        <v>161</v>
      </c>
      <c r="N8" s="648" t="s">
        <v>423</v>
      </c>
      <c r="O8" s="649" t="s">
        <v>84</v>
      </c>
      <c r="P8" s="648" t="s">
        <v>424</v>
      </c>
      <c r="Q8" s="648" t="s">
        <v>425</v>
      </c>
      <c r="R8" s="649" t="s">
        <v>333</v>
      </c>
      <c r="S8" s="648" t="s">
        <v>433</v>
      </c>
      <c r="T8" s="648" t="s">
        <v>434</v>
      </c>
      <c r="U8" s="648" t="s">
        <v>426</v>
      </c>
      <c r="V8" s="648" t="s">
        <v>427</v>
      </c>
      <c r="W8" s="648" t="s">
        <v>428</v>
      </c>
      <c r="X8" s="649" t="s">
        <v>102</v>
      </c>
      <c r="Y8" s="648" t="s">
        <v>429</v>
      </c>
      <c r="Z8" s="648" t="s">
        <v>439</v>
      </c>
      <c r="AA8" s="648" t="s">
        <v>430</v>
      </c>
      <c r="AB8" s="648" t="s">
        <v>431</v>
      </c>
      <c r="AC8" s="648" t="s">
        <v>41</v>
      </c>
      <c r="AD8" s="648" t="s">
        <v>432</v>
      </c>
      <c r="AE8" s="648" t="s">
        <v>403</v>
      </c>
      <c r="AF8" s="649" t="s">
        <v>445</v>
      </c>
    </row>
    <row r="9" spans="1:32" ht="3" customHeight="1">
      <c r="B9" s="650"/>
      <c r="C9" s="651" t="s">
        <v>404</v>
      </c>
      <c r="D9" s="651"/>
      <c r="E9" s="651"/>
      <c r="F9" s="651"/>
      <c r="G9" s="651"/>
      <c r="H9" s="651"/>
      <c r="I9" s="651"/>
      <c r="J9" s="651"/>
      <c r="K9" s="651"/>
      <c r="L9" s="652"/>
      <c r="M9" s="651"/>
      <c r="N9" s="651"/>
      <c r="O9" s="652"/>
      <c r="P9" s="651"/>
      <c r="Q9" s="651"/>
      <c r="R9" s="652"/>
      <c r="S9" s="651"/>
      <c r="T9" s="651"/>
      <c r="U9" s="651"/>
      <c r="V9" s="651"/>
      <c r="W9" s="651"/>
      <c r="X9" s="652"/>
      <c r="Y9" s="682"/>
      <c r="Z9" s="683"/>
      <c r="AA9" s="683"/>
      <c r="AB9" s="683"/>
      <c r="AC9" s="683"/>
      <c r="AD9" s="683"/>
      <c r="AE9" s="683"/>
      <c r="AF9" s="684"/>
    </row>
    <row r="10" spans="1:32">
      <c r="A10" s="644" t="s">
        <v>435</v>
      </c>
      <c r="B10" s="653" t="s">
        <v>406</v>
      </c>
      <c r="C10" s="654">
        <v>2827</v>
      </c>
      <c r="D10" s="654">
        <v>0</v>
      </c>
      <c r="E10" s="655">
        <f>C10*$E$6</f>
        <v>86.576153532053894</v>
      </c>
      <c r="F10" s="654">
        <f>C10*$C$4</f>
        <v>2827</v>
      </c>
      <c r="G10" s="654">
        <f>ABS(C10-F10)</f>
        <v>0</v>
      </c>
      <c r="H10" s="654">
        <f>D10</f>
        <v>0</v>
      </c>
      <c r="I10" s="655">
        <f>ROUND((K10/L10)-SUM(F10:H10)-J10+E10,0)</f>
        <v>0</v>
      </c>
      <c r="J10" s="655">
        <f>ROUND((K10/L10)-SUM(F10:H10)+E10,0)</f>
        <v>0</v>
      </c>
      <c r="K10" s="729">
        <f>(SUM(C10:D10)-E10)*L10</f>
        <v>2329.360269497754</v>
      </c>
      <c r="L10" s="667">
        <v>0.85</v>
      </c>
      <c r="M10" s="669">
        <f>'Fleet Summary - Pending'!$G$12</f>
        <v>4257.4794520547939</v>
      </c>
      <c r="N10" s="670">
        <f>'Deal Summary'!$E$42</f>
        <v>-6.0476968815557322E-2</v>
      </c>
      <c r="O10" s="673">
        <f>M10*(1+N10)</f>
        <v>4000</v>
      </c>
      <c r="P10" s="675">
        <f>'Deal Summary'!$D$42</f>
        <v>2</v>
      </c>
      <c r="Q10" s="676">
        <v>2.85</v>
      </c>
      <c r="R10" s="740">
        <v>2.85</v>
      </c>
      <c r="S10" s="679">
        <v>100</v>
      </c>
      <c r="T10" s="679">
        <v>0</v>
      </c>
      <c r="U10" s="679">
        <v>0</v>
      </c>
      <c r="V10" s="679">
        <v>225</v>
      </c>
      <c r="W10" s="679">
        <v>550</v>
      </c>
      <c r="X10" s="656">
        <v>0.1</v>
      </c>
      <c r="Y10" s="685">
        <v>0.11849999999999999</v>
      </c>
      <c r="Z10" s="675">
        <f>'[7]MW Region'!$V$166</f>
        <v>3.93627917683696</v>
      </c>
      <c r="AA10" s="704">
        <v>0</v>
      </c>
      <c r="AB10" s="676">
        <v>0.25</v>
      </c>
      <c r="AC10" s="688">
        <f>'Deal Summary'!$F$42</f>
        <v>0</v>
      </c>
      <c r="AD10" s="676">
        <v>17</v>
      </c>
      <c r="AE10" s="705">
        <f>'Deal Summary'!$G$42</f>
        <v>0</v>
      </c>
      <c r="AF10" s="656">
        <v>0</v>
      </c>
    </row>
    <row r="11" spans="1:32">
      <c r="A11" s="644" t="s">
        <v>438</v>
      </c>
      <c r="B11" s="653" t="s">
        <v>407</v>
      </c>
      <c r="C11" s="654">
        <v>232</v>
      </c>
      <c r="D11" s="654">
        <v>114</v>
      </c>
      <c r="E11" s="655">
        <f t="shared" ref="E11:E18" si="0">C11*$E$6</f>
        <v>7.1049407921600647</v>
      </c>
      <c r="F11" s="654">
        <f t="shared" ref="F11:F18" si="1">C11*$C$4</f>
        <v>232</v>
      </c>
      <c r="G11" s="654">
        <f t="shared" ref="G11:G18" si="2">ABS(C11-F11)</f>
        <v>0</v>
      </c>
      <c r="H11" s="654">
        <f t="shared" ref="H11:H18" si="3">D11</f>
        <v>114</v>
      </c>
      <c r="I11" s="655">
        <f t="shared" ref="I11:I20" si="4">ROUND((K11/L11)-SUM(F11:H11)-J11+E11,0)</f>
        <v>0</v>
      </c>
      <c r="J11" s="655">
        <f t="shared" ref="J11:J20" si="5">ROUND((K11/L11)-SUM(F11:H11)+E11,0)</f>
        <v>0</v>
      </c>
      <c r="K11" s="729">
        <f t="shared" ref="K11:K20" si="6">(SUM(C11:D11)-E11)*L11</f>
        <v>288.06080032666392</v>
      </c>
      <c r="L11" s="667">
        <v>0.85</v>
      </c>
      <c r="M11" s="669">
        <f>'Fleet Summary - Pending'!$G$12</f>
        <v>4257.4794520547939</v>
      </c>
      <c r="N11" s="670">
        <f>'Deal Summary'!$E$42</f>
        <v>-6.0476968815557322E-2</v>
      </c>
      <c r="O11" s="673">
        <f t="shared" ref="O11:O18" si="7">M11*(1+N11)</f>
        <v>4000</v>
      </c>
      <c r="P11" s="675">
        <f>'Deal Summary'!$D$42</f>
        <v>2</v>
      </c>
      <c r="Q11" s="676">
        <v>2.85</v>
      </c>
      <c r="R11" s="740">
        <v>2.85</v>
      </c>
      <c r="S11" s="679">
        <v>0</v>
      </c>
      <c r="T11" s="679">
        <v>0</v>
      </c>
      <c r="U11" s="679">
        <v>0</v>
      </c>
      <c r="V11" s="679">
        <v>225</v>
      </c>
      <c r="W11" s="679">
        <v>550</v>
      </c>
      <c r="X11" s="656">
        <v>0.1</v>
      </c>
      <c r="Y11" s="685">
        <v>0.11849999999999999</v>
      </c>
      <c r="Z11" s="675">
        <f>'[7]PNW Region'!$V$166</f>
        <v>1.7754985500070453</v>
      </c>
      <c r="AA11" s="704">
        <v>0</v>
      </c>
      <c r="AB11" s="676">
        <v>0.25</v>
      </c>
      <c r="AC11" s="688">
        <f>'Deal Summary'!$F$42</f>
        <v>0</v>
      </c>
      <c r="AD11" s="676">
        <v>20.25</v>
      </c>
      <c r="AE11" s="705">
        <f>'Deal Summary'!$G$42</f>
        <v>0</v>
      </c>
      <c r="AF11" s="656">
        <v>0</v>
      </c>
    </row>
    <row r="12" spans="1:32">
      <c r="A12" s="644" t="s">
        <v>436</v>
      </c>
      <c r="B12" s="653" t="s">
        <v>408</v>
      </c>
      <c r="C12" s="654">
        <v>1744</v>
      </c>
      <c r="D12" s="654">
        <v>1445</v>
      </c>
      <c r="E12" s="655">
        <f t="shared" si="0"/>
        <v>53.409554920375662</v>
      </c>
      <c r="F12" s="654">
        <f t="shared" si="1"/>
        <v>1744</v>
      </c>
      <c r="G12" s="654">
        <f t="shared" si="2"/>
        <v>0</v>
      </c>
      <c r="H12" s="654">
        <f t="shared" si="3"/>
        <v>1445</v>
      </c>
      <c r="I12" s="655">
        <f t="shared" si="4"/>
        <v>0</v>
      </c>
      <c r="J12" s="655">
        <f t="shared" si="5"/>
        <v>0</v>
      </c>
      <c r="K12" s="729">
        <f t="shared" si="6"/>
        <v>2665.2518783176806</v>
      </c>
      <c r="L12" s="667">
        <v>0.85</v>
      </c>
      <c r="M12" s="669">
        <f>'Fleet Summary - Pending'!$G$12</f>
        <v>4257.4794520547939</v>
      </c>
      <c r="N12" s="670">
        <f>'Deal Summary'!$E$42</f>
        <v>-6.0476968815557322E-2</v>
      </c>
      <c r="O12" s="673">
        <f t="shared" si="7"/>
        <v>4000</v>
      </c>
      <c r="P12" s="675">
        <f>'Deal Summary'!$D$42</f>
        <v>2</v>
      </c>
      <c r="Q12" s="676">
        <v>2.85</v>
      </c>
      <c r="R12" s="740">
        <v>2.85</v>
      </c>
      <c r="S12" s="679">
        <v>100</v>
      </c>
      <c r="T12" s="679">
        <v>0</v>
      </c>
      <c r="U12" s="679">
        <v>0</v>
      </c>
      <c r="V12" s="679">
        <v>225</v>
      </c>
      <c r="W12" s="679">
        <v>550</v>
      </c>
      <c r="X12" s="656">
        <v>0.1</v>
      </c>
      <c r="Y12" s="685">
        <v>0.11849999999999999</v>
      </c>
      <c r="Z12" s="675">
        <f>'[7]GUL Region'!$V$166</f>
        <v>3.1705026723148642</v>
      </c>
      <c r="AA12" s="704">
        <v>0</v>
      </c>
      <c r="AB12" s="676">
        <v>0.25</v>
      </c>
      <c r="AC12" s="688">
        <f>'Deal Summary'!$F$42</f>
        <v>0</v>
      </c>
      <c r="AD12" s="676">
        <v>17</v>
      </c>
      <c r="AE12" s="705">
        <f>'Deal Summary'!$G$42</f>
        <v>0</v>
      </c>
      <c r="AF12" s="656">
        <v>0</v>
      </c>
    </row>
    <row r="13" spans="1:32">
      <c r="A13" s="644" t="s">
        <v>437</v>
      </c>
      <c r="B13" s="653" t="s">
        <v>409</v>
      </c>
      <c r="C13" s="654">
        <v>558</v>
      </c>
      <c r="D13" s="654">
        <v>109</v>
      </c>
      <c r="E13" s="655">
        <f t="shared" si="0"/>
        <v>17.088607594936708</v>
      </c>
      <c r="F13" s="654">
        <f t="shared" si="1"/>
        <v>558</v>
      </c>
      <c r="G13" s="654">
        <f t="shared" si="2"/>
        <v>0</v>
      </c>
      <c r="H13" s="654">
        <f t="shared" si="3"/>
        <v>109</v>
      </c>
      <c r="I13" s="655">
        <f t="shared" si="4"/>
        <v>0</v>
      </c>
      <c r="J13" s="655">
        <f t="shared" si="5"/>
        <v>0</v>
      </c>
      <c r="K13" s="729">
        <f t="shared" si="6"/>
        <v>552.42468354430378</v>
      </c>
      <c r="L13" s="667">
        <v>0.85</v>
      </c>
      <c r="M13" s="669">
        <f>'Fleet Summary - Pending'!$G$12</f>
        <v>4257.4794520547939</v>
      </c>
      <c r="N13" s="670">
        <f>'Deal Summary'!$E$42</f>
        <v>-6.0476968815557322E-2</v>
      </c>
      <c r="O13" s="673">
        <f t="shared" si="7"/>
        <v>4000</v>
      </c>
      <c r="P13" s="675">
        <f>'Deal Summary'!$D$42</f>
        <v>2</v>
      </c>
      <c r="Q13" s="676">
        <v>2.85</v>
      </c>
      <c r="R13" s="740">
        <v>2.85</v>
      </c>
      <c r="S13" s="679">
        <v>100</v>
      </c>
      <c r="T13" s="679">
        <v>0</v>
      </c>
      <c r="U13" s="679">
        <v>0</v>
      </c>
      <c r="V13" s="679">
        <v>225</v>
      </c>
      <c r="W13" s="679">
        <v>550</v>
      </c>
      <c r="X13" s="656">
        <v>0.1</v>
      </c>
      <c r="Y13" s="685">
        <v>0.11849999999999999</v>
      </c>
      <c r="Z13" s="687">
        <f>'[7]DCLI STE'!$V$166</f>
        <v>3.0489028119767929</v>
      </c>
      <c r="AA13" s="704">
        <v>0</v>
      </c>
      <c r="AB13" s="676">
        <v>0.25</v>
      </c>
      <c r="AC13" s="688">
        <f>'Deal Summary'!$F$42</f>
        <v>0</v>
      </c>
      <c r="AD13" s="676">
        <v>17</v>
      </c>
      <c r="AE13" s="705">
        <f>'Deal Summary'!$G$42</f>
        <v>0</v>
      </c>
      <c r="AF13" s="656">
        <v>0</v>
      </c>
    </row>
    <row r="14" spans="1:32">
      <c r="A14" s="644" t="s">
        <v>435</v>
      </c>
      <c r="B14" s="653" t="s">
        <v>410</v>
      </c>
      <c r="C14" s="654">
        <v>565</v>
      </c>
      <c r="D14" s="654">
        <v>0</v>
      </c>
      <c r="E14" s="655">
        <f t="shared" si="0"/>
        <v>17.302980808493263</v>
      </c>
      <c r="F14" s="654">
        <f t="shared" si="1"/>
        <v>565</v>
      </c>
      <c r="G14" s="654">
        <f t="shared" si="2"/>
        <v>0</v>
      </c>
      <c r="H14" s="654">
        <f t="shared" si="3"/>
        <v>0</v>
      </c>
      <c r="I14" s="655">
        <f t="shared" si="4"/>
        <v>0</v>
      </c>
      <c r="J14" s="655">
        <f t="shared" si="5"/>
        <v>0</v>
      </c>
      <c r="K14" s="729">
        <f t="shared" si="6"/>
        <v>465.54246631278068</v>
      </c>
      <c r="L14" s="667">
        <v>0.85</v>
      </c>
      <c r="M14" s="669">
        <f>'Fleet Summary - Pending'!$G$12</f>
        <v>4257.4794520547939</v>
      </c>
      <c r="N14" s="670">
        <f>'Deal Summary'!$E$42</f>
        <v>-6.0476968815557322E-2</v>
      </c>
      <c r="O14" s="673">
        <f t="shared" si="7"/>
        <v>4000</v>
      </c>
      <c r="P14" s="675">
        <f>'Deal Summary'!$D$42</f>
        <v>2</v>
      </c>
      <c r="Q14" s="676">
        <v>2.85</v>
      </c>
      <c r="R14" s="740">
        <v>2.85</v>
      </c>
      <c r="S14" s="679">
        <v>100</v>
      </c>
      <c r="T14" s="679">
        <v>0</v>
      </c>
      <c r="U14" s="679">
        <v>0</v>
      </c>
      <c r="V14" s="679">
        <v>225</v>
      </c>
      <c r="W14" s="679">
        <v>550</v>
      </c>
      <c r="X14" s="656">
        <v>0.1</v>
      </c>
      <c r="Y14" s="685">
        <v>0.11849999999999999</v>
      </c>
      <c r="Z14" s="675">
        <f>'[7]MW Region'!$V$166</f>
        <v>3.93627917683696</v>
      </c>
      <c r="AA14" s="704">
        <v>0</v>
      </c>
      <c r="AB14" s="676">
        <v>0.25</v>
      </c>
      <c r="AC14" s="688">
        <f>'Deal Summary'!$F$42</f>
        <v>0</v>
      </c>
      <c r="AD14" s="676">
        <v>17</v>
      </c>
      <c r="AE14" s="705">
        <f>'Deal Summary'!$G$42</f>
        <v>0</v>
      </c>
      <c r="AF14" s="656">
        <v>0</v>
      </c>
    </row>
    <row r="15" spans="1:32">
      <c r="B15" s="653" t="s">
        <v>411</v>
      </c>
      <c r="C15" s="654">
        <v>2290</v>
      </c>
      <c r="D15" s="654">
        <v>184</v>
      </c>
      <c r="E15" s="655">
        <f t="shared" si="0"/>
        <v>70.130665577786843</v>
      </c>
      <c r="F15" s="654">
        <f t="shared" si="1"/>
        <v>2290</v>
      </c>
      <c r="G15" s="654">
        <f t="shared" si="2"/>
        <v>0</v>
      </c>
      <c r="H15" s="654">
        <f t="shared" si="3"/>
        <v>184</v>
      </c>
      <c r="I15" s="655">
        <f t="shared" si="4"/>
        <v>0</v>
      </c>
      <c r="J15" s="655">
        <f t="shared" si="5"/>
        <v>0</v>
      </c>
      <c r="K15" s="729">
        <f t="shared" si="6"/>
        <v>2043.2889342588812</v>
      </c>
      <c r="L15" s="667">
        <v>0.85</v>
      </c>
      <c r="M15" s="669">
        <f>'Fleet Summary - Pending'!$G$12</f>
        <v>4257.4794520547939</v>
      </c>
      <c r="N15" s="670">
        <f>'Deal Summary'!$E$42</f>
        <v>-6.0476968815557322E-2</v>
      </c>
      <c r="O15" s="673">
        <f t="shared" si="7"/>
        <v>4000</v>
      </c>
      <c r="P15" s="675">
        <f>'Deal Summary'!$D$42</f>
        <v>2</v>
      </c>
      <c r="Q15" s="676">
        <v>2.85</v>
      </c>
      <c r="R15" s="740">
        <v>2.85</v>
      </c>
      <c r="S15" s="679">
        <v>0</v>
      </c>
      <c r="T15" s="679">
        <v>0</v>
      </c>
      <c r="U15" s="679">
        <v>0</v>
      </c>
      <c r="V15" s="679">
        <v>225</v>
      </c>
      <c r="W15" s="679">
        <v>550</v>
      </c>
      <c r="X15" s="656">
        <v>0.1</v>
      </c>
      <c r="Y15" s="685">
        <v>0.11849999999999999</v>
      </c>
      <c r="Z15" s="687">
        <f>'[7]DCLI STE'!$V$166</f>
        <v>3.0489028119767929</v>
      </c>
      <c r="AA15" s="704">
        <v>0</v>
      </c>
      <c r="AB15" s="676">
        <v>0.25</v>
      </c>
      <c r="AC15" s="688">
        <f>'Deal Summary'!$F$42</f>
        <v>0</v>
      </c>
      <c r="AD15" s="676">
        <v>17</v>
      </c>
      <c r="AE15" s="705">
        <f>'Deal Summary'!$G$42</f>
        <v>0</v>
      </c>
      <c r="AF15" s="656">
        <v>0</v>
      </c>
    </row>
    <row r="16" spans="1:32">
      <c r="B16" s="653" t="s">
        <v>412</v>
      </c>
      <c r="C16" s="654">
        <v>4898</v>
      </c>
      <c r="D16" s="654">
        <v>2000</v>
      </c>
      <c r="E16" s="655">
        <f t="shared" si="0"/>
        <v>150</v>
      </c>
      <c r="F16" s="654">
        <f t="shared" si="1"/>
        <v>4898</v>
      </c>
      <c r="G16" s="654">
        <f t="shared" si="2"/>
        <v>0</v>
      </c>
      <c r="H16" s="654">
        <f t="shared" si="3"/>
        <v>2000</v>
      </c>
      <c r="I16" s="655">
        <f t="shared" si="4"/>
        <v>0</v>
      </c>
      <c r="J16" s="655">
        <f t="shared" si="5"/>
        <v>0</v>
      </c>
      <c r="K16" s="655">
        <f t="shared" si="6"/>
        <v>5735.8</v>
      </c>
      <c r="L16" s="667">
        <v>0.85</v>
      </c>
      <c r="M16" s="669">
        <f>'Fleet Summary - Pending'!$G$12</f>
        <v>4257.4794520547939</v>
      </c>
      <c r="N16" s="670">
        <f>'Deal Summary'!$E$42</f>
        <v>-6.0476968815557322E-2</v>
      </c>
      <c r="O16" s="673">
        <f t="shared" si="7"/>
        <v>4000</v>
      </c>
      <c r="P16" s="675">
        <f>'Deal Summary'!$D$42</f>
        <v>2</v>
      </c>
      <c r="Q16" s="676">
        <v>2.85</v>
      </c>
      <c r="R16" s="740">
        <v>2.85</v>
      </c>
      <c r="S16" s="679">
        <v>0</v>
      </c>
      <c r="T16" s="679">
        <v>275</v>
      </c>
      <c r="U16" s="679">
        <v>0</v>
      </c>
      <c r="V16" s="679">
        <v>225</v>
      </c>
      <c r="W16" s="679">
        <v>550</v>
      </c>
      <c r="X16" s="656">
        <v>0.1</v>
      </c>
      <c r="Y16" s="685">
        <v>0.11849999999999999</v>
      </c>
      <c r="Z16" s="675">
        <f>'[7]Los Angeles'!$V$166</f>
        <v>7.0934883057709985</v>
      </c>
      <c r="AA16" s="704">
        <v>0</v>
      </c>
      <c r="AB16" s="676">
        <v>0.25</v>
      </c>
      <c r="AC16" s="688">
        <f>'Deal Summary'!$F$42</f>
        <v>0</v>
      </c>
      <c r="AD16" s="676">
        <v>20.25</v>
      </c>
      <c r="AE16" s="705">
        <f>'Deal Summary'!$G$42</f>
        <v>0</v>
      </c>
      <c r="AF16" s="656">
        <v>0</v>
      </c>
    </row>
    <row r="17" spans="1:32">
      <c r="A17" s="721"/>
      <c r="B17" s="653" t="s">
        <v>413</v>
      </c>
      <c r="C17" s="728">
        <v>534</v>
      </c>
      <c r="D17" s="728">
        <v>777</v>
      </c>
      <c r="E17" s="655">
        <f t="shared" si="0"/>
        <v>16.353613719885669</v>
      </c>
      <c r="F17" s="654">
        <f t="shared" si="1"/>
        <v>534</v>
      </c>
      <c r="G17" s="654">
        <f t="shared" si="2"/>
        <v>0</v>
      </c>
      <c r="H17" s="654">
        <f t="shared" si="3"/>
        <v>777</v>
      </c>
      <c r="I17" s="655">
        <f t="shared" si="4"/>
        <v>0</v>
      </c>
      <c r="J17" s="655">
        <f t="shared" si="5"/>
        <v>0</v>
      </c>
      <c r="K17" s="655">
        <f t="shared" si="6"/>
        <v>1100.4494283380971</v>
      </c>
      <c r="L17" s="667">
        <v>0.85</v>
      </c>
      <c r="M17" s="669">
        <f>'Fleet Summary - Pending'!$G$12</f>
        <v>4257.4794520547939</v>
      </c>
      <c r="N17" s="670">
        <f>'Deal Summary'!$E$42</f>
        <v>-6.0476968815557322E-2</v>
      </c>
      <c r="O17" s="673">
        <f t="shared" si="7"/>
        <v>4000</v>
      </c>
      <c r="P17" s="675">
        <f>'Deal Summary'!$D$42</f>
        <v>2</v>
      </c>
      <c r="Q17" s="676">
        <v>2.85</v>
      </c>
      <c r="R17" s="740">
        <v>2.85</v>
      </c>
      <c r="S17" s="679">
        <v>0</v>
      </c>
      <c r="T17" s="679">
        <v>275</v>
      </c>
      <c r="U17" s="679">
        <v>0</v>
      </c>
      <c r="V17" s="679">
        <v>225</v>
      </c>
      <c r="W17" s="679">
        <v>550</v>
      </c>
      <c r="X17" s="656">
        <v>0.1</v>
      </c>
      <c r="Y17" s="685">
        <v>0.11849999999999999</v>
      </c>
      <c r="Z17" s="675">
        <f>'[7]PNW Region'!$V$166</f>
        <v>1.7754985500070453</v>
      </c>
      <c r="AA17" s="704">
        <v>0</v>
      </c>
      <c r="AB17" s="676">
        <v>0.25</v>
      </c>
      <c r="AC17" s="688">
        <f>'Deal Summary'!$F$42</f>
        <v>0</v>
      </c>
      <c r="AD17" s="676">
        <v>20.25</v>
      </c>
      <c r="AE17" s="705">
        <f>'Deal Summary'!$G$42</f>
        <v>0</v>
      </c>
      <c r="AF17" s="656">
        <v>0</v>
      </c>
    </row>
    <row r="18" spans="1:32">
      <c r="B18" s="653" t="s">
        <v>414</v>
      </c>
      <c r="C18" s="728">
        <v>2020</v>
      </c>
      <c r="D18" s="728">
        <v>1138</v>
      </c>
      <c r="E18" s="655">
        <f t="shared" si="0"/>
        <v>61.861984483462635</v>
      </c>
      <c r="F18" s="654">
        <f t="shared" si="1"/>
        <v>2020</v>
      </c>
      <c r="G18" s="654">
        <f t="shared" si="2"/>
        <v>0</v>
      </c>
      <c r="H18" s="654">
        <f t="shared" si="3"/>
        <v>1138</v>
      </c>
      <c r="I18" s="655">
        <f t="shared" si="4"/>
        <v>0</v>
      </c>
      <c r="J18" s="655">
        <f t="shared" si="5"/>
        <v>0</v>
      </c>
      <c r="K18" s="655">
        <f t="shared" si="6"/>
        <v>2631.7173131890568</v>
      </c>
      <c r="L18" s="667">
        <v>0.85</v>
      </c>
      <c r="M18" s="669">
        <f>'Fleet Summary - Pending'!$G$12</f>
        <v>4257.4794520547939</v>
      </c>
      <c r="N18" s="670">
        <f>'Deal Summary'!$E$42</f>
        <v>-6.0476968815557322E-2</v>
      </c>
      <c r="O18" s="673">
        <f t="shared" si="7"/>
        <v>4000</v>
      </c>
      <c r="P18" s="675">
        <f>'Deal Summary'!$D$42</f>
        <v>2</v>
      </c>
      <c r="Q18" s="676">
        <v>2.85</v>
      </c>
      <c r="R18" s="740">
        <v>2.85</v>
      </c>
      <c r="S18" s="679">
        <v>0</v>
      </c>
      <c r="T18" s="679">
        <v>275</v>
      </c>
      <c r="U18" s="679">
        <v>0</v>
      </c>
      <c r="V18" s="679">
        <v>225</v>
      </c>
      <c r="W18" s="679">
        <v>550</v>
      </c>
      <c r="X18" s="656">
        <v>0.1</v>
      </c>
      <c r="Y18" s="685">
        <v>0.11849999999999999</v>
      </c>
      <c r="Z18" s="675">
        <f>'[7]SSA Oakland'!$V$166</f>
        <v>3.9581721561961967</v>
      </c>
      <c r="AA18" s="704">
        <v>0</v>
      </c>
      <c r="AB18" s="676">
        <v>0.25</v>
      </c>
      <c r="AC18" s="688">
        <f>'Deal Summary'!$F$42</f>
        <v>0</v>
      </c>
      <c r="AD18" s="676">
        <v>20.25</v>
      </c>
      <c r="AE18" s="705">
        <f>'Deal Summary'!$G$42</f>
        <v>0</v>
      </c>
      <c r="AF18" s="656">
        <v>0</v>
      </c>
    </row>
    <row r="19" spans="1:32">
      <c r="B19" s="727" t="s">
        <v>462</v>
      </c>
      <c r="C19" s="728">
        <v>1772</v>
      </c>
      <c r="D19" s="728">
        <v>86</v>
      </c>
      <c r="E19" s="655">
        <f>C19*$E$6</f>
        <v>54.267047774601878</v>
      </c>
      <c r="F19" s="654">
        <f>C19*$C$4</f>
        <v>1772</v>
      </c>
      <c r="G19" s="654">
        <f>ABS(C19-F19)</f>
        <v>0</v>
      </c>
      <c r="H19" s="654">
        <f>D19</f>
        <v>86</v>
      </c>
      <c r="I19" s="655">
        <f t="shared" si="4"/>
        <v>0</v>
      </c>
      <c r="J19" s="655">
        <f t="shared" si="5"/>
        <v>0</v>
      </c>
      <c r="K19" s="655">
        <f t="shared" si="6"/>
        <v>1533.1730093915883</v>
      </c>
      <c r="L19" s="667">
        <v>0.85</v>
      </c>
      <c r="M19" s="669">
        <f>'Fleet Summary - Pending'!$G$12</f>
        <v>4257.4794520547939</v>
      </c>
      <c r="N19" s="670">
        <f>'Deal Summary'!$E$42</f>
        <v>-6.0476968815557322E-2</v>
      </c>
      <c r="O19" s="673">
        <f>M19*(1+N19)</f>
        <v>4000</v>
      </c>
      <c r="P19" s="675">
        <f>'Deal Summary'!$D$42</f>
        <v>2</v>
      </c>
      <c r="Q19" s="676">
        <v>2.85</v>
      </c>
      <c r="R19" s="740">
        <v>2.85</v>
      </c>
      <c r="S19" s="679">
        <v>0</v>
      </c>
      <c r="T19" s="679">
        <v>275</v>
      </c>
      <c r="U19" s="679">
        <v>0</v>
      </c>
      <c r="V19" s="679">
        <v>225</v>
      </c>
      <c r="W19" s="679">
        <v>550</v>
      </c>
      <c r="X19" s="656">
        <v>0.1</v>
      </c>
      <c r="Y19" s="685">
        <v>0.11849999999999999</v>
      </c>
      <c r="Z19" s="678">
        <f>'[7]NE Region'!$V$166</f>
        <v>8.7318117266605189</v>
      </c>
      <c r="AA19" s="704">
        <v>0</v>
      </c>
      <c r="AB19" s="676">
        <v>0.25</v>
      </c>
      <c r="AC19" s="688">
        <f>'Deal Summary'!$F$42</f>
        <v>0</v>
      </c>
      <c r="AD19" s="676">
        <v>20.25</v>
      </c>
      <c r="AE19" s="705">
        <f>'Deal Summary'!$G$42</f>
        <v>0</v>
      </c>
      <c r="AF19" s="656">
        <v>0</v>
      </c>
    </row>
    <row r="20" spans="1:32" s="708" customFormat="1">
      <c r="A20" s="714"/>
      <c r="B20" s="713" t="s">
        <v>463</v>
      </c>
      <c r="C20" s="664">
        <v>1000</v>
      </c>
      <c r="D20" s="664">
        <v>0</v>
      </c>
      <c r="E20" s="663">
        <f>C20*$E$6</f>
        <v>30.624744793793383</v>
      </c>
      <c r="F20" s="664">
        <f>C20*$C$4</f>
        <v>1000</v>
      </c>
      <c r="G20" s="664">
        <f>ABS(C20-F20)</f>
        <v>0</v>
      </c>
      <c r="H20" s="664">
        <f>D20</f>
        <v>0</v>
      </c>
      <c r="I20" s="663">
        <f t="shared" si="4"/>
        <v>0</v>
      </c>
      <c r="J20" s="663">
        <f t="shared" si="5"/>
        <v>0</v>
      </c>
      <c r="K20" s="663">
        <f t="shared" si="6"/>
        <v>823.96896692527559</v>
      </c>
      <c r="L20" s="668">
        <v>0.85</v>
      </c>
      <c r="M20" s="709">
        <f>'Fleet Summary - Pending'!$G$12</f>
        <v>4257.4794520547939</v>
      </c>
      <c r="N20" s="710">
        <f>'Deal Summary'!$E$42</f>
        <v>-6.0476968815557322E-2</v>
      </c>
      <c r="O20" s="674">
        <f>M20*(1+N20)</f>
        <v>4000</v>
      </c>
      <c r="P20" s="711">
        <f>'Deal Summary'!$D$42</f>
        <v>2</v>
      </c>
      <c r="Q20" s="677">
        <v>2.85</v>
      </c>
      <c r="R20" s="741">
        <v>2.85</v>
      </c>
      <c r="S20" s="680">
        <v>0</v>
      </c>
      <c r="T20" s="680">
        <v>275</v>
      </c>
      <c r="U20" s="680">
        <v>0</v>
      </c>
      <c r="V20" s="680">
        <v>225</v>
      </c>
      <c r="W20" s="680">
        <v>550</v>
      </c>
      <c r="X20" s="681">
        <v>0.1</v>
      </c>
      <c r="Y20" s="686">
        <v>0</v>
      </c>
      <c r="Z20" s="712">
        <v>0</v>
      </c>
      <c r="AA20" s="712">
        <v>0</v>
      </c>
      <c r="AB20" s="677">
        <v>0.25</v>
      </c>
      <c r="AC20" s="689">
        <f>'Deal Summary'!$F$42</f>
        <v>0</v>
      </c>
      <c r="AD20" s="677">
        <v>20.25</v>
      </c>
      <c r="AE20" s="726">
        <f>'Deal Summary'!$G$42</f>
        <v>0</v>
      </c>
      <c r="AF20" s="681">
        <v>0</v>
      </c>
    </row>
    <row r="21" spans="1:32">
      <c r="B21" s="644" t="s">
        <v>2</v>
      </c>
      <c r="C21" s="655">
        <f>SUM(C10:C20)</f>
        <v>18440</v>
      </c>
      <c r="D21" s="655">
        <f t="shared" ref="D21:K21" si="8">SUM(D10:D20)</f>
        <v>5853</v>
      </c>
      <c r="E21" s="655">
        <f t="shared" si="8"/>
        <v>564.72029399755013</v>
      </c>
      <c r="F21" s="655">
        <f t="shared" si="8"/>
        <v>18440</v>
      </c>
      <c r="G21" s="655">
        <f t="shared" si="8"/>
        <v>0</v>
      </c>
      <c r="H21" s="655">
        <f t="shared" si="8"/>
        <v>5853</v>
      </c>
      <c r="I21" s="655">
        <f t="shared" si="8"/>
        <v>0</v>
      </c>
      <c r="J21" s="655">
        <f t="shared" si="8"/>
        <v>0</v>
      </c>
      <c r="K21" s="655">
        <f t="shared" si="8"/>
        <v>20169.037750102081</v>
      </c>
      <c r="L21" s="665"/>
      <c r="M21" s="655"/>
      <c r="N21" s="655"/>
      <c r="O21" s="705"/>
      <c r="P21" s="666"/>
      <c r="Q21" s="666"/>
      <c r="R21" s="706"/>
      <c r="S21" s="678"/>
      <c r="T21" s="678"/>
      <c r="U21" s="704"/>
      <c r="V21" s="704"/>
      <c r="W21" s="678"/>
      <c r="X21" s="707"/>
      <c r="Y21" s="657"/>
      <c r="Z21" s="657"/>
    </row>
    <row r="22" spans="1:32">
      <c r="C22" s="645"/>
      <c r="D22" s="645"/>
      <c r="H22" s="645"/>
      <c r="I22" s="645"/>
      <c r="N22" s="645"/>
    </row>
    <row r="23" spans="1:32">
      <c r="B23" s="692" t="s">
        <v>448</v>
      </c>
      <c r="C23" s="658">
        <v>1000</v>
      </c>
      <c r="D23" s="661"/>
      <c r="E23" s="660"/>
      <c r="F23" s="660"/>
      <c r="G23" s="660"/>
      <c r="H23" s="659"/>
      <c r="I23" s="659"/>
      <c r="N23" s="659"/>
    </row>
    <row r="24" spans="1:32">
      <c r="C24" s="661"/>
      <c r="D24" s="661"/>
      <c r="E24" s="660"/>
      <c r="F24" s="660"/>
      <c r="G24" s="660"/>
      <c r="H24" s="659"/>
      <c r="I24" s="659"/>
      <c r="N24" s="659"/>
    </row>
    <row r="25" spans="1:32">
      <c r="B25" s="644" t="s">
        <v>415</v>
      </c>
      <c r="C25" s="662"/>
      <c r="D25" s="662"/>
      <c r="H25" s="659"/>
      <c r="I25" s="659"/>
      <c r="N25" s="659"/>
    </row>
    <row r="26" spans="1:32">
      <c r="B26" s="644" t="s">
        <v>416</v>
      </c>
      <c r="C26" s="662"/>
      <c r="D26" s="662"/>
      <c r="H26" s="659"/>
      <c r="I26" s="659"/>
      <c r="N26" s="659"/>
    </row>
    <row r="27" spans="1:32">
      <c r="B27" s="644" t="s">
        <v>417</v>
      </c>
      <c r="C27" s="662"/>
      <c r="D27" s="662"/>
      <c r="H27" s="659"/>
      <c r="I27" s="659"/>
      <c r="N27" s="659"/>
    </row>
    <row r="28" spans="1:32">
      <c r="B28" s="644" t="s">
        <v>418</v>
      </c>
      <c r="C28" s="662"/>
      <c r="D28" s="662"/>
      <c r="H28" s="659"/>
      <c r="I28" s="659"/>
      <c r="N28" s="659"/>
    </row>
    <row r="29" spans="1:32">
      <c r="C29" s="662"/>
      <c r="D29" s="662"/>
    </row>
    <row r="30" spans="1:32">
      <c r="B30" s="644" t="s">
        <v>406</v>
      </c>
      <c r="C30" s="725">
        <v>2807</v>
      </c>
      <c r="D30" s="725"/>
      <c r="E30" s="725"/>
      <c r="F30" s="725"/>
      <c r="G30" s="725"/>
      <c r="H30" s="725"/>
      <c r="I30" s="725"/>
      <c r="J30" s="725"/>
      <c r="K30" s="725">
        <v>1664.1111111111111</v>
      </c>
      <c r="N30" s="662"/>
    </row>
    <row r="31" spans="1:32">
      <c r="B31" s="644" t="s">
        <v>407</v>
      </c>
      <c r="C31" s="725">
        <v>324</v>
      </c>
      <c r="D31" s="725"/>
      <c r="E31" s="725"/>
      <c r="F31" s="725"/>
      <c r="G31" s="725"/>
      <c r="H31" s="725"/>
      <c r="I31" s="725"/>
      <c r="J31" s="725"/>
      <c r="K31" s="725">
        <v>204.44444444444446</v>
      </c>
      <c r="N31" s="662"/>
    </row>
    <row r="32" spans="1:32">
      <c r="B32" s="644" t="s">
        <v>408</v>
      </c>
      <c r="C32" s="725">
        <v>3408.7777777777778</v>
      </c>
      <c r="D32" s="725"/>
      <c r="E32" s="725"/>
      <c r="F32" s="725"/>
      <c r="G32" s="725"/>
      <c r="H32" s="725"/>
      <c r="I32" s="725"/>
      <c r="J32" s="725"/>
      <c r="K32" s="725">
        <v>2917.2222222222222</v>
      </c>
      <c r="N32" s="662"/>
    </row>
    <row r="33" spans="2:14">
      <c r="B33" s="644" t="s">
        <v>409</v>
      </c>
      <c r="C33" s="725">
        <v>557.55555555555554</v>
      </c>
      <c r="D33" s="725"/>
      <c r="E33" s="725"/>
      <c r="F33" s="725"/>
      <c r="G33" s="725"/>
      <c r="H33" s="725"/>
      <c r="I33" s="725"/>
      <c r="J33" s="725"/>
      <c r="K33" s="725">
        <v>302.11111111111109</v>
      </c>
      <c r="N33" s="662"/>
    </row>
    <row r="34" spans="2:14">
      <c r="B34" s="644" t="s">
        <v>410</v>
      </c>
      <c r="C34" s="725">
        <v>592.44444444444446</v>
      </c>
      <c r="D34" s="725"/>
      <c r="E34" s="725"/>
      <c r="F34" s="725"/>
      <c r="G34" s="725"/>
      <c r="H34" s="725"/>
      <c r="I34" s="725"/>
      <c r="J34" s="725"/>
      <c r="K34" s="725">
        <v>207.22222222222223</v>
      </c>
      <c r="N34" s="662"/>
    </row>
    <row r="35" spans="2:14">
      <c r="B35" s="644" t="s">
        <v>411</v>
      </c>
      <c r="C35" s="725">
        <v>2472.2222222222222</v>
      </c>
      <c r="D35" s="725"/>
      <c r="E35" s="725"/>
      <c r="F35" s="725"/>
      <c r="G35" s="725"/>
      <c r="H35" s="725"/>
      <c r="I35" s="725"/>
      <c r="J35" s="725"/>
      <c r="K35" s="725">
        <v>2231.5555555555557</v>
      </c>
    </row>
    <row r="36" spans="2:14">
      <c r="B36" s="644" t="s">
        <v>412</v>
      </c>
      <c r="C36" s="725"/>
      <c r="D36" s="725"/>
      <c r="E36" s="725"/>
      <c r="F36" s="725"/>
      <c r="G36" s="725"/>
      <c r="H36" s="725"/>
      <c r="I36" s="725"/>
      <c r="J36" s="725"/>
      <c r="K36" s="725"/>
    </row>
    <row r="37" spans="2:14">
      <c r="B37" s="644" t="s">
        <v>413</v>
      </c>
      <c r="C37" s="725"/>
      <c r="D37" s="725"/>
      <c r="E37" s="725"/>
      <c r="F37" s="725"/>
      <c r="G37" s="725"/>
      <c r="H37" s="725"/>
      <c r="I37" s="725"/>
      <c r="J37" s="725"/>
      <c r="K37" s="725"/>
    </row>
    <row r="38" spans="2:14">
      <c r="B38" s="644" t="s">
        <v>414</v>
      </c>
      <c r="C38" s="725"/>
      <c r="D38" s="725"/>
      <c r="E38" s="725"/>
      <c r="F38" s="725"/>
      <c r="G38" s="725"/>
      <c r="H38" s="725"/>
      <c r="I38" s="725"/>
      <c r="J38" s="725"/>
      <c r="K38" s="725"/>
    </row>
    <row r="39" spans="2:14">
      <c r="B39" s="724" t="s">
        <v>462</v>
      </c>
      <c r="C39" s="725"/>
      <c r="D39" s="725"/>
      <c r="E39" s="725"/>
      <c r="F39" s="725"/>
      <c r="G39" s="725"/>
      <c r="H39" s="725"/>
      <c r="I39" s="725"/>
      <c r="J39" s="725"/>
      <c r="K39" s="725"/>
    </row>
    <row r="40" spans="2:14">
      <c r="B40" s="724" t="s">
        <v>463</v>
      </c>
      <c r="C40" s="725"/>
      <c r="D40" s="725"/>
      <c r="E40" s="725"/>
      <c r="F40" s="725"/>
      <c r="G40" s="725"/>
      <c r="H40" s="725"/>
      <c r="I40" s="725"/>
      <c r="J40" s="725"/>
      <c r="K40" s="725"/>
    </row>
    <row r="41" spans="2:14">
      <c r="C41" s="725"/>
      <c r="D41" s="725"/>
      <c r="E41" s="725"/>
      <c r="F41" s="725"/>
      <c r="G41" s="725"/>
      <c r="H41" s="725"/>
      <c r="I41" s="725"/>
      <c r="J41" s="725"/>
      <c r="K41" s="725"/>
    </row>
  </sheetData>
  <printOptions headings="1" gridLines="1"/>
  <pageMargins left="0.7" right="0.7" top="0.75" bottom="0.75" header="0.3" footer="0.3"/>
  <pageSetup orientation="portrait" r:id="rId1"/>
  <headerFooter>
    <oddFooter>&amp;A&amp;RPage &amp;P</oddFooter>
  </headerFooter>
  <ignoredErrors>
    <ignoredError sqref="Z1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FFFF00"/>
  </sheetPr>
  <dimension ref="A1:AC66"/>
  <sheetViews>
    <sheetView showGridLines="0" tabSelected="1" topLeftCell="A4" zoomScale="115" zoomScaleNormal="115" zoomScaleSheetLayoutView="90" workbookViewId="0">
      <selection activeCell="F41" sqref="F41"/>
    </sheetView>
  </sheetViews>
  <sheetFormatPr defaultColWidth="9.33203125" defaultRowHeight="15" customHeight="1" outlineLevelRow="1" outlineLevelCol="1"/>
  <cols>
    <col min="1" max="2" width="3.83203125" style="115" customWidth="1"/>
    <col min="3" max="7" width="18" style="115" customWidth="1"/>
    <col min="8" max="8" width="19" style="115" hidden="1" customWidth="1" outlineLevel="1"/>
    <col min="9" max="9" width="18.33203125" style="115" customWidth="1" collapsed="1"/>
    <col min="10" max="10" width="17.83203125" style="115" customWidth="1"/>
    <col min="11" max="18" width="16.83203125" style="115" customWidth="1"/>
    <col min="19" max="19" width="20" style="115" customWidth="1"/>
    <col min="20" max="20" width="15.83203125" style="115" customWidth="1"/>
    <col min="21" max="21" width="22.6640625" style="115" customWidth="1"/>
    <col min="22" max="29" width="15.83203125" style="115" customWidth="1"/>
    <col min="30" max="16384" width="9.33203125" style="115"/>
  </cols>
  <sheetData>
    <row r="1" spans="1:29" ht="15" customHeight="1">
      <c r="A1" s="114" t="s">
        <v>79</v>
      </c>
    </row>
    <row r="2" spans="1:29">
      <c r="A2" s="116" t="s">
        <v>471</v>
      </c>
      <c r="E2" s="307"/>
      <c r="F2" s="307"/>
      <c r="G2" s="477"/>
      <c r="H2" s="477"/>
      <c r="I2" s="478"/>
    </row>
    <row r="3" spans="1:29">
      <c r="A3" s="117" t="s">
        <v>122</v>
      </c>
    </row>
    <row r="4" spans="1:29" ht="15" customHeight="1">
      <c r="A4" s="117"/>
      <c r="S4" s="207"/>
      <c r="T4" s="208"/>
      <c r="U4" s="158"/>
      <c r="V4" s="158"/>
      <c r="W4" s="158"/>
      <c r="X4" s="158"/>
      <c r="Y4" s="158"/>
      <c r="Z4" s="158"/>
      <c r="AA4" s="158"/>
      <c r="AB4" s="142"/>
      <c r="AC4" s="144"/>
    </row>
    <row r="5" spans="1:29" ht="15" customHeight="1">
      <c r="A5" s="117"/>
      <c r="B5" s="513"/>
      <c r="C5" s="145" t="s">
        <v>344</v>
      </c>
      <c r="D5" s="129"/>
      <c r="E5" s="129"/>
      <c r="F5" s="129"/>
      <c r="G5" s="125"/>
      <c r="H5" s="513" t="s">
        <v>173</v>
      </c>
      <c r="K5" s="145" t="s">
        <v>345</v>
      </c>
      <c r="L5" s="480"/>
      <c r="N5" s="145" t="s">
        <v>346</v>
      </c>
      <c r="O5" s="129"/>
      <c r="P5" s="129"/>
      <c r="Q5" s="129"/>
      <c r="R5" s="129"/>
      <c r="S5" s="125"/>
      <c r="Z5" s="158"/>
      <c r="AA5" s="158"/>
      <c r="AB5" s="142"/>
      <c r="AC5" s="144"/>
    </row>
    <row r="6" spans="1:29">
      <c r="A6" s="117"/>
      <c r="C6" s="515" t="s">
        <v>351</v>
      </c>
      <c r="D6" s="516"/>
      <c r="E6" s="517" t="s">
        <v>126</v>
      </c>
      <c r="F6" s="516"/>
      <c r="G6" s="518"/>
      <c r="K6" s="149" t="s">
        <v>125</v>
      </c>
      <c r="L6" s="161"/>
      <c r="N6" s="282" t="s">
        <v>123</v>
      </c>
      <c r="O6" s="154"/>
      <c r="P6" s="284" t="s">
        <v>208</v>
      </c>
      <c r="Q6" s="283" t="s">
        <v>124</v>
      </c>
      <c r="R6" s="154"/>
      <c r="S6" s="141"/>
      <c r="Z6" s="158"/>
      <c r="AA6" s="158"/>
      <c r="AB6" s="142"/>
      <c r="AC6" s="144"/>
    </row>
    <row r="7" spans="1:29">
      <c r="A7" s="117"/>
      <c r="C7" s="519" t="s">
        <v>128</v>
      </c>
      <c r="D7" s="520">
        <f>'Region Assumptions'!C21</f>
        <v>18440</v>
      </c>
      <c r="E7" s="521" t="s">
        <v>269</v>
      </c>
      <c r="F7" s="217"/>
      <c r="G7" s="530">
        <f>D7</f>
        <v>18440</v>
      </c>
      <c r="K7" s="126" t="s">
        <v>135</v>
      </c>
      <c r="L7" s="120">
        <f>SUM('TOTAL FFU'!G6:G7)/365</f>
        <v>17052.678132370354</v>
      </c>
      <c r="N7" s="127" t="s">
        <v>127</v>
      </c>
      <c r="P7" s="146">
        <f>'TOTAL FFU'!G87</f>
        <v>69760</v>
      </c>
      <c r="Q7" s="215" t="str">
        <f>"$"&amp;TEXT(K37,"0,000")&amp;" per acquired chassis"</f>
        <v>$4,000 per acquired chassis</v>
      </c>
      <c r="S7" s="119"/>
      <c r="Z7" s="158"/>
      <c r="AA7" s="158"/>
      <c r="AB7" s="142"/>
      <c r="AC7" s="144"/>
    </row>
    <row r="8" spans="1:29">
      <c r="A8" s="117"/>
      <c r="C8" s="519" t="s">
        <v>129</v>
      </c>
      <c r="D8" s="520">
        <f>'Region Assumptions'!D21</f>
        <v>5853</v>
      </c>
      <c r="E8" s="522" t="s">
        <v>316</v>
      </c>
      <c r="F8" s="217"/>
      <c r="G8" s="530">
        <f>'Region Assumptions'!G21</f>
        <v>0</v>
      </c>
      <c r="K8" s="150" t="s">
        <v>13</v>
      </c>
      <c r="L8" s="280">
        <f>'TOTAL FFU'!G10</f>
        <v>0</v>
      </c>
      <c r="N8" s="127" t="s">
        <v>202</v>
      </c>
      <c r="P8" s="147">
        <f>'TOTAL FFU'!G92</f>
        <v>569.4</v>
      </c>
      <c r="Q8" s="281" t="s">
        <v>472</v>
      </c>
      <c r="S8" s="119"/>
      <c r="Z8" s="158"/>
      <c r="AA8" s="158"/>
      <c r="AB8" s="142"/>
      <c r="AC8" s="144"/>
    </row>
    <row r="9" spans="1:29">
      <c r="A9" s="117"/>
      <c r="C9" s="523" t="s">
        <v>131</v>
      </c>
      <c r="D9" s="524">
        <f>SUM(D7:D8)</f>
        <v>24293</v>
      </c>
      <c r="E9" s="522" t="s">
        <v>9</v>
      </c>
      <c r="F9" s="217"/>
      <c r="G9" s="530">
        <f>D10</f>
        <v>-564.72029399755047</v>
      </c>
      <c r="H9" s="624"/>
      <c r="K9" s="150" t="s">
        <v>14</v>
      </c>
      <c r="L9" s="280">
        <f>1-L8</f>
        <v>1</v>
      </c>
      <c r="N9" s="127" t="s">
        <v>130</v>
      </c>
      <c r="P9" s="147">
        <f>'TOTAL FFU'!G94</f>
        <v>3093.7841389260461</v>
      </c>
      <c r="Q9" s="215" t="s">
        <v>332</v>
      </c>
      <c r="S9" s="119"/>
      <c r="Z9" s="158"/>
      <c r="AA9" s="158"/>
      <c r="AB9" s="142"/>
      <c r="AC9" s="144"/>
    </row>
    <row r="10" spans="1:29">
      <c r="A10" s="117"/>
      <c r="C10" s="519" t="s">
        <v>143</v>
      </c>
      <c r="D10" s="525">
        <f>+D11-D9</f>
        <v>-564.72029399755047</v>
      </c>
      <c r="E10" s="522" t="s">
        <v>352</v>
      </c>
      <c r="F10" s="217"/>
      <c r="G10" s="530">
        <f>D8</f>
        <v>5853</v>
      </c>
      <c r="H10" s="625"/>
      <c r="K10" s="150" t="s">
        <v>136</v>
      </c>
      <c r="L10" s="151">
        <f>+L7/L16</f>
        <v>0.71866474702995875</v>
      </c>
      <c r="N10" s="127" t="s">
        <v>132</v>
      </c>
      <c r="P10" s="147">
        <f>'TOTAL FFU'!G90</f>
        <v>2536.6000000000004</v>
      </c>
      <c r="Q10" s="281" t="s">
        <v>473</v>
      </c>
      <c r="S10" s="119"/>
      <c r="Z10" s="158"/>
      <c r="AA10" s="158"/>
      <c r="AB10" s="142"/>
      <c r="AC10" s="144"/>
    </row>
    <row r="11" spans="1:29">
      <c r="A11" s="117"/>
      <c r="C11" s="523" t="s">
        <v>133</v>
      </c>
      <c r="D11" s="524">
        <f>'Region Assumptions'!K21/0.85</f>
        <v>23728.27970600245</v>
      </c>
      <c r="E11" s="522" t="s">
        <v>360</v>
      </c>
      <c r="F11" s="217"/>
      <c r="G11" s="530">
        <f>'Region Assumptions'!J21</f>
        <v>0</v>
      </c>
      <c r="H11" s="626"/>
      <c r="K11" s="150" t="s">
        <v>138</v>
      </c>
      <c r="L11" s="151">
        <f>+L7/L14</f>
        <v>0.88150000000000006</v>
      </c>
      <c r="N11" s="127" t="s">
        <v>203</v>
      </c>
      <c r="P11" s="147">
        <f>'TOTAL FFU'!G91</f>
        <v>0</v>
      </c>
      <c r="Q11" s="281" t="s">
        <v>478</v>
      </c>
      <c r="S11" s="119"/>
      <c r="Z11" s="158"/>
      <c r="AA11" s="158"/>
      <c r="AB11" s="142"/>
      <c r="AC11" s="144"/>
    </row>
    <row r="12" spans="1:29">
      <c r="A12" s="117"/>
      <c r="C12" s="126"/>
      <c r="E12" s="527" t="s">
        <v>133</v>
      </c>
      <c r="F12" s="528"/>
      <c r="G12" s="529">
        <f>D11</f>
        <v>23728.27970600245</v>
      </c>
      <c r="H12" s="626"/>
      <c r="K12" s="126" t="s">
        <v>15</v>
      </c>
      <c r="L12" s="120">
        <f>+L14-L7</f>
        <v>2292.3906508064501</v>
      </c>
      <c r="N12" s="127" t="s">
        <v>134</v>
      </c>
      <c r="P12" s="147">
        <f>'TOTAL FFU'!G88</f>
        <v>6976</v>
      </c>
      <c r="Q12" s="277" t="s">
        <v>209</v>
      </c>
      <c r="S12" s="119"/>
      <c r="Z12" s="158"/>
      <c r="AA12" s="158"/>
      <c r="AB12" s="142"/>
      <c r="AC12" s="144"/>
    </row>
    <row r="13" spans="1:29">
      <c r="A13" s="117"/>
      <c r="C13" s="516"/>
      <c r="D13" s="524"/>
      <c r="K13" s="150" t="s">
        <v>136</v>
      </c>
      <c r="L13" s="151">
        <f>L12/L16</f>
        <v>9.661006525587075E-2</v>
      </c>
      <c r="N13" s="127" t="s">
        <v>470</v>
      </c>
      <c r="P13" s="147">
        <f>'TOTAL FFU'!G93</f>
        <v>3924</v>
      </c>
      <c r="Q13" s="281" t="s">
        <v>474</v>
      </c>
      <c r="S13" s="119"/>
      <c r="Z13" s="158"/>
      <c r="AA13" s="158"/>
      <c r="AB13" s="142"/>
      <c r="AC13" s="144"/>
    </row>
    <row r="14" spans="1:29">
      <c r="A14" s="117"/>
      <c r="C14" s="577" t="s">
        <v>296</v>
      </c>
      <c r="D14" s="576"/>
      <c r="E14" s="578"/>
      <c r="F14" s="579"/>
      <c r="G14" s="579"/>
      <c r="K14" s="126" t="s">
        <v>140</v>
      </c>
      <c r="L14" s="120">
        <f>'TOTAL FFU'!G9/365</f>
        <v>19345.068783176805</v>
      </c>
      <c r="N14" s="127" t="s">
        <v>206</v>
      </c>
      <c r="P14" s="734">
        <f>'TOTAL FFU'!G95</f>
        <v>3219.1500000000005</v>
      </c>
      <c r="Q14" s="281" t="s">
        <v>475</v>
      </c>
      <c r="S14" s="119"/>
      <c r="Z14" s="158"/>
      <c r="AA14" s="158"/>
      <c r="AB14" s="142"/>
      <c r="AC14" s="144"/>
    </row>
    <row r="15" spans="1:29">
      <c r="A15" s="117"/>
      <c r="C15" s="580" t="s">
        <v>31</v>
      </c>
      <c r="D15" s="581" t="s">
        <v>144</v>
      </c>
      <c r="E15" s="582" t="s">
        <v>325</v>
      </c>
      <c r="F15" s="582" t="s">
        <v>328</v>
      </c>
      <c r="G15" s="452" t="s">
        <v>468</v>
      </c>
      <c r="K15" s="126" t="s">
        <v>326</v>
      </c>
      <c r="L15" s="153">
        <f>L14/L16</f>
        <v>0.81527481228582954</v>
      </c>
      <c r="N15" s="511" t="s">
        <v>342</v>
      </c>
      <c r="P15" s="742">
        <f>-'TOTAL FFU'!G96-HRCP!G96</f>
        <v>-564.72029399755013</v>
      </c>
      <c r="Q15" s="281" t="s">
        <v>356</v>
      </c>
      <c r="S15" s="119"/>
      <c r="U15" s="158"/>
      <c r="V15" s="158"/>
      <c r="W15" s="158"/>
      <c r="X15" s="158"/>
      <c r="Y15" s="158"/>
      <c r="Z15" s="158"/>
      <c r="AA15" s="158"/>
      <c r="AB15" s="142"/>
      <c r="AC15" s="144"/>
    </row>
    <row r="16" spans="1:29">
      <c r="A16" s="117"/>
      <c r="C16" s="602">
        <f>'TOTAL FFU'!E18</f>
        <v>4.8757686842468848</v>
      </c>
      <c r="D16" s="603">
        <f>'TOTAL FFU'!F18</f>
        <v>0.25</v>
      </c>
      <c r="E16" s="604" t="s">
        <v>469</v>
      </c>
      <c r="F16" s="604" t="s">
        <v>469</v>
      </c>
      <c r="G16" s="605">
        <f>'TOTAL FFU'!H62</f>
        <v>2.85</v>
      </c>
      <c r="K16" s="126" t="s">
        <v>133</v>
      </c>
      <c r="L16" s="120">
        <f>G12</f>
        <v>23728.27970600245</v>
      </c>
      <c r="N16" s="128" t="s">
        <v>116</v>
      </c>
      <c r="O16" s="143"/>
      <c r="P16" s="148">
        <f>SUM(P7:P15)</f>
        <v>89514.213844928483</v>
      </c>
      <c r="Q16" s="373"/>
      <c r="S16" s="119"/>
      <c r="U16" s="158"/>
      <c r="V16" s="158"/>
      <c r="W16" s="158"/>
      <c r="X16" s="158"/>
      <c r="Y16" s="158"/>
      <c r="Z16" s="158"/>
      <c r="AA16" s="158"/>
      <c r="AB16" s="142"/>
      <c r="AC16" s="144"/>
    </row>
    <row r="17" spans="1:29">
      <c r="A17" s="117"/>
      <c r="C17" s="583"/>
      <c r="D17" s="144"/>
      <c r="E17" s="144"/>
      <c r="F17" s="144"/>
      <c r="G17" s="144"/>
      <c r="K17" s="131" t="s">
        <v>128</v>
      </c>
      <c r="L17" s="227">
        <f>G7</f>
        <v>18440</v>
      </c>
      <c r="R17" s="154"/>
      <c r="S17" s="154"/>
      <c r="U17" s="158"/>
      <c r="V17" s="158"/>
      <c r="W17" s="158"/>
      <c r="X17" s="158"/>
      <c r="Y17" s="158"/>
      <c r="Z17" s="158"/>
      <c r="AA17" s="158"/>
      <c r="AB17" s="142"/>
      <c r="AC17" s="144"/>
    </row>
    <row r="18" spans="1:29">
      <c r="A18" s="117"/>
      <c r="C18" s="238" t="s">
        <v>290</v>
      </c>
      <c r="D18" s="231"/>
      <c r="E18" s="231"/>
      <c r="F18" s="239"/>
      <c r="G18" s="239"/>
      <c r="I18" s="240"/>
      <c r="K18" s="131" t="s">
        <v>129</v>
      </c>
      <c r="L18" s="227">
        <f>D8</f>
        <v>5853</v>
      </c>
      <c r="N18" s="145" t="s">
        <v>347</v>
      </c>
      <c r="O18" s="129"/>
      <c r="P18" s="129"/>
      <c r="Q18" s="129"/>
      <c r="R18" s="129"/>
      <c r="S18" s="125"/>
      <c r="U18" s="158"/>
      <c r="V18" s="158"/>
      <c r="W18" s="158"/>
      <c r="X18" s="158"/>
      <c r="Y18" s="158"/>
      <c r="Z18" s="158"/>
      <c r="AA18" s="158"/>
      <c r="AB18" s="142"/>
      <c r="AC18" s="144"/>
    </row>
    <row r="19" spans="1:29">
      <c r="A19" s="117"/>
      <c r="C19" s="241" t="s">
        <v>291</v>
      </c>
      <c r="D19" s="242" t="s">
        <v>85</v>
      </c>
      <c r="E19" s="242" t="s">
        <v>292</v>
      </c>
      <c r="F19" s="243" t="s">
        <v>293</v>
      </c>
      <c r="G19" s="243" t="s">
        <v>357</v>
      </c>
      <c r="I19" s="452" t="s">
        <v>294</v>
      </c>
      <c r="K19" s="131" t="s">
        <v>143</v>
      </c>
      <c r="L19" s="227">
        <f>D10</f>
        <v>-564.72029399755047</v>
      </c>
      <c r="N19" s="282"/>
      <c r="O19" s="154"/>
      <c r="P19" s="284" t="s">
        <v>176</v>
      </c>
      <c r="Q19" s="216" t="s">
        <v>137</v>
      </c>
      <c r="S19" s="141"/>
      <c r="U19" s="158"/>
      <c r="V19" s="158"/>
      <c r="W19" s="158"/>
      <c r="X19" s="158"/>
      <c r="Y19" s="158"/>
      <c r="Z19" s="158"/>
      <c r="AA19" s="158"/>
      <c r="AB19" s="142"/>
      <c r="AC19" s="144"/>
    </row>
    <row r="20" spans="1:29">
      <c r="A20" s="117"/>
      <c r="C20" s="424">
        <f>+'Fleet Summary - Pending'!D13</f>
        <v>18.723287671232878</v>
      </c>
      <c r="D20" s="426">
        <f>'Fleet Summary - Pending'!C7</f>
        <v>25</v>
      </c>
      <c r="E20" s="425">
        <f>+'Fleet Summary - Pending'!C5</f>
        <v>9500</v>
      </c>
      <c r="F20" s="425">
        <f>'Fleet Summary - Pending'!C6</f>
        <v>2500</v>
      </c>
      <c r="G20" s="425">
        <f>'Region Assumptions'!C23</f>
        <v>1000</v>
      </c>
      <c r="I20" s="427">
        <f>+'Fleet Summary - Pending'!H13</f>
        <v>4257.4794520547939</v>
      </c>
      <c r="K20" s="126"/>
      <c r="L20" s="119"/>
      <c r="N20" s="126" t="s">
        <v>353</v>
      </c>
      <c r="P20" s="730">
        <f>'TOTAL FFU'!H34</f>
        <v>61875.682778520917</v>
      </c>
      <c r="Q20" s="115" t="str">
        <f>"$"&amp;TEXT('TOTAL FFU'!H33,"0.00")&amp;" CH Rate"</f>
        <v>$9.94 CH Rate</v>
      </c>
      <c r="S20" s="119"/>
      <c r="U20" s="158"/>
      <c r="V20" s="158"/>
      <c r="W20" s="158"/>
      <c r="X20" s="158"/>
      <c r="Y20" s="158"/>
      <c r="Z20" s="158"/>
      <c r="AA20" s="158"/>
      <c r="AB20" s="142"/>
      <c r="AC20" s="144"/>
    </row>
    <row r="21" spans="1:29">
      <c r="A21" s="117"/>
      <c r="G21" s="286"/>
      <c r="I21" s="286"/>
      <c r="K21" s="149" t="s">
        <v>126</v>
      </c>
      <c r="L21" s="119"/>
      <c r="N21" s="126" t="s">
        <v>354</v>
      </c>
      <c r="P21" s="731">
        <f>'TOTAL FFU'!H30</f>
        <v>0</v>
      </c>
      <c r="Q21" s="115" t="s">
        <v>355</v>
      </c>
      <c r="S21" s="119"/>
      <c r="U21" s="158"/>
      <c r="V21" s="158"/>
      <c r="W21" s="158"/>
      <c r="X21" s="158"/>
      <c r="Y21" s="158"/>
      <c r="Z21" s="158"/>
      <c r="AA21" s="158"/>
      <c r="AB21" s="142"/>
      <c r="AC21" s="144"/>
    </row>
    <row r="22" spans="1:29">
      <c r="A22" s="117"/>
      <c r="C22" s="145" t="s">
        <v>343</v>
      </c>
      <c r="D22" s="129"/>
      <c r="E22" s="129"/>
      <c r="F22" s="129"/>
      <c r="G22" s="129"/>
      <c r="I22" s="125"/>
      <c r="K22" s="126" t="s">
        <v>128</v>
      </c>
      <c r="L22" s="160">
        <f>+G7+G9</f>
        <v>17875.27970600245</v>
      </c>
      <c r="M22" s="575"/>
      <c r="N22" s="126" t="s">
        <v>139</v>
      </c>
      <c r="P22" s="731">
        <f>'TOTAL FFU'!H38</f>
        <v>0</v>
      </c>
      <c r="Q22" s="115" t="s">
        <v>327</v>
      </c>
      <c r="S22" s="119"/>
      <c r="Z22" s="158"/>
      <c r="AA22" s="158"/>
      <c r="AB22" s="142"/>
      <c r="AC22" s="144"/>
    </row>
    <row r="23" spans="1:29">
      <c r="A23" s="117"/>
      <c r="C23" s="523" t="s">
        <v>367</v>
      </c>
      <c r="D23" s="154"/>
      <c r="E23" s="154"/>
      <c r="F23" s="154"/>
      <c r="G23" s="154"/>
      <c r="I23" s="141"/>
      <c r="K23" s="126" t="s">
        <v>129</v>
      </c>
      <c r="L23" s="160">
        <f>G8+G10</f>
        <v>5853</v>
      </c>
      <c r="N23" s="121" t="s">
        <v>141</v>
      </c>
      <c r="O23" s="154"/>
      <c r="P23" s="732">
        <f>+P20+P22+P21</f>
        <v>61875.682778520917</v>
      </c>
      <c r="S23" s="119"/>
      <c r="Z23" s="158"/>
      <c r="AA23" s="158"/>
      <c r="AB23" s="142"/>
      <c r="AC23" s="144"/>
    </row>
    <row r="24" spans="1:29">
      <c r="A24" s="117"/>
      <c r="C24" s="523" t="s">
        <v>368</v>
      </c>
      <c r="G24" s="286"/>
      <c r="I24" s="512"/>
      <c r="K24" s="126" t="s">
        <v>361</v>
      </c>
      <c r="L24" s="160">
        <f>G11</f>
        <v>0</v>
      </c>
      <c r="N24" s="126" t="s">
        <v>373</v>
      </c>
      <c r="P24" s="152">
        <f>'TOTAL FFU'!H65</f>
        <v>34427.559407179637</v>
      </c>
      <c r="Q24" s="217" t="str">
        <f>"$"&amp;TEXT('TOTAL FFU'!E18,"0.00")&amp;" per usage day"</f>
        <v>$4.88 per usage day</v>
      </c>
      <c r="S24" s="119"/>
      <c r="Z24" s="158"/>
      <c r="AA24" s="158"/>
      <c r="AB24" s="142"/>
      <c r="AC24" s="144"/>
    </row>
    <row r="25" spans="1:29">
      <c r="A25" s="117"/>
      <c r="C25" s="523" t="s">
        <v>391</v>
      </c>
      <c r="I25" s="119"/>
      <c r="K25" s="122" t="s">
        <v>133</v>
      </c>
      <c r="L25" s="162">
        <f>G12</f>
        <v>23728.27970600245</v>
      </c>
      <c r="N25" s="126" t="s">
        <v>374</v>
      </c>
      <c r="P25" s="152">
        <f>'TOTAL FFU'!H70+'TOTAL FFU'!H71+'TOTAL FFU'!H72</f>
        <v>6088.5832499999997</v>
      </c>
      <c r="Q25" s="217" t="str">
        <f>"$"&amp;TEXT('TOTAL FFU'!H62,"0.00")&amp;" per chassis per day"</f>
        <v>$2.85 per chassis per day</v>
      </c>
      <c r="S25" s="119"/>
      <c r="U25" s="158"/>
      <c r="V25" s="158"/>
      <c r="W25" s="158"/>
      <c r="X25" s="158"/>
      <c r="Y25" s="158"/>
      <c r="Z25" s="158"/>
      <c r="AA25" s="158"/>
      <c r="AB25" s="142"/>
      <c r="AC25" s="144"/>
    </row>
    <row r="26" spans="1:29">
      <c r="A26" s="117"/>
      <c r="C26" s="523" t="s">
        <v>477</v>
      </c>
      <c r="I26" s="119"/>
      <c r="N26" s="126" t="s">
        <v>170</v>
      </c>
      <c r="P26" s="152">
        <f>'TOTAL FFU'!H66</f>
        <v>2125.4862499999999</v>
      </c>
      <c r="Q26" s="217" t="str">
        <f>"$"&amp;TEXT('TOTAL FFU'!F18,"0.00")&amp;" per chassis per day"</f>
        <v>$0.25 per chassis per day</v>
      </c>
      <c r="S26" s="119"/>
      <c r="U26" s="158"/>
      <c r="V26" s="158"/>
      <c r="W26" s="158"/>
      <c r="X26" s="158"/>
      <c r="Y26" s="158"/>
      <c r="Z26" s="158"/>
      <c r="AA26" s="158"/>
      <c r="AB26" s="142"/>
      <c r="AC26" s="144"/>
    </row>
    <row r="27" spans="1:29">
      <c r="A27" s="117"/>
      <c r="C27" s="733" t="s">
        <v>394</v>
      </c>
      <c r="I27" s="119"/>
      <c r="K27" s="217"/>
      <c r="N27" s="610" t="s">
        <v>142</v>
      </c>
      <c r="O27" s="154"/>
      <c r="P27" s="219">
        <f>P23-SUM(P24:P26)</f>
        <v>19234.053871341283</v>
      </c>
      <c r="S27" s="119"/>
      <c r="U27" s="158"/>
      <c r="V27" s="158"/>
      <c r="W27" s="158"/>
      <c r="X27" s="158"/>
      <c r="Y27" s="158"/>
      <c r="Z27" s="158"/>
      <c r="AA27" s="158"/>
      <c r="AB27" s="142"/>
      <c r="AC27" s="144"/>
    </row>
    <row r="28" spans="1:29">
      <c r="A28" s="117"/>
      <c r="C28" s="526" t="s">
        <v>476</v>
      </c>
      <c r="D28" s="118"/>
      <c r="E28" s="118"/>
      <c r="F28" s="118"/>
      <c r="G28" s="118"/>
      <c r="I28" s="130"/>
      <c r="N28" s="131" t="s">
        <v>114</v>
      </c>
      <c r="P28" s="155">
        <f>+P27/P23</f>
        <v>0.31084996573190227</v>
      </c>
      <c r="S28" s="119"/>
      <c r="U28" s="158"/>
      <c r="V28" s="158"/>
      <c r="W28" s="158"/>
      <c r="X28" s="158"/>
      <c r="Y28" s="158"/>
      <c r="Z28" s="158"/>
      <c r="AA28" s="158"/>
      <c r="AB28" s="142"/>
      <c r="AC28" s="144"/>
    </row>
    <row r="29" spans="1:29">
      <c r="A29" s="117"/>
      <c r="N29" s="126" t="s">
        <v>115</v>
      </c>
      <c r="P29" s="229">
        <f>+P16/P27</f>
        <v>4.6539442201679888</v>
      </c>
      <c r="Q29" s="115" t="s">
        <v>277</v>
      </c>
      <c r="S29" s="119"/>
      <c r="U29" s="158"/>
      <c r="V29" s="158"/>
      <c r="W29" s="158"/>
      <c r="X29" s="158"/>
      <c r="Y29" s="158"/>
      <c r="Z29" s="158"/>
      <c r="AA29" s="158"/>
      <c r="AB29" s="142"/>
      <c r="AC29" s="144"/>
    </row>
    <row r="30" spans="1:29">
      <c r="A30" s="117"/>
      <c r="N30" s="126" t="s">
        <v>178</v>
      </c>
      <c r="P30" s="228">
        <f>'TOTAL FFU'!E119</f>
        <v>0.15532278991054027</v>
      </c>
      <c r="Q30" s="115" t="s">
        <v>275</v>
      </c>
      <c r="S30" s="119"/>
      <c r="U30" s="158"/>
      <c r="V30" s="158"/>
      <c r="W30" s="158"/>
      <c r="X30" s="158"/>
      <c r="Y30" s="158"/>
      <c r="Z30" s="158"/>
      <c r="AA30" s="158"/>
      <c r="AB30" s="142"/>
      <c r="AC30" s="144"/>
    </row>
    <row r="31" spans="1:29">
      <c r="A31" s="117"/>
      <c r="N31" s="126" t="s">
        <v>182</v>
      </c>
      <c r="P31" s="228">
        <f>'TOTAL FFU'!E136</f>
        <v>0.21511639092550294</v>
      </c>
      <c r="Q31" s="115" t="s">
        <v>329</v>
      </c>
      <c r="S31" s="119"/>
      <c r="U31" s="158"/>
      <c r="V31" s="158"/>
      <c r="W31" s="158"/>
      <c r="X31" s="158"/>
      <c r="Y31" s="158"/>
      <c r="Z31" s="158"/>
      <c r="AA31" s="158"/>
      <c r="AB31" s="142"/>
      <c r="AC31" s="144"/>
    </row>
    <row r="32" spans="1:29">
      <c r="A32" s="117"/>
      <c r="N32" s="122" t="s">
        <v>183</v>
      </c>
      <c r="O32" s="118"/>
      <c r="P32" s="157">
        <f>'TOTAL FFU'!F119</f>
        <v>12561.9930453589</v>
      </c>
      <c r="Q32" s="118" t="s">
        <v>276</v>
      </c>
      <c r="R32" s="118"/>
      <c r="S32" s="130"/>
      <c r="U32" s="158"/>
      <c r="V32" s="158"/>
      <c r="W32" s="158"/>
      <c r="X32" s="158"/>
      <c r="Y32" s="158"/>
      <c r="Z32" s="158"/>
      <c r="AA32" s="158"/>
      <c r="AB32" s="142"/>
      <c r="AC32" s="144"/>
    </row>
    <row r="33" spans="1:29">
      <c r="A33" s="117"/>
      <c r="U33" s="158"/>
      <c r="V33" s="158"/>
      <c r="W33" s="158"/>
      <c r="X33" s="158"/>
      <c r="Y33" s="158"/>
      <c r="Z33" s="158"/>
      <c r="AA33" s="158"/>
      <c r="AB33" s="142"/>
      <c r="AC33" s="144"/>
    </row>
    <row r="34" spans="1:29">
      <c r="B34" s="232"/>
      <c r="C34" s="481" t="s">
        <v>117</v>
      </c>
      <c r="D34" s="482"/>
      <c r="E34" s="482"/>
      <c r="F34" s="482"/>
      <c r="G34" s="482"/>
      <c r="H34" s="482"/>
      <c r="I34" s="482"/>
      <c r="J34" s="483"/>
      <c r="K34" s="483"/>
      <c r="L34" s="482"/>
      <c r="M34" s="483"/>
      <c r="N34" s="483"/>
      <c r="O34" s="483"/>
      <c r="P34" s="483"/>
      <c r="Q34" s="483"/>
      <c r="R34" s="484"/>
      <c r="S34" s="720" t="s">
        <v>173</v>
      </c>
      <c r="T34" s="308" t="s">
        <v>173</v>
      </c>
      <c r="U34" s="209" t="s">
        <v>173</v>
      </c>
      <c r="V34" s="209"/>
      <c r="W34" s="209"/>
      <c r="X34" s="209"/>
      <c r="Y34" s="209"/>
      <c r="Z34" s="209"/>
      <c r="AA34" s="209"/>
      <c r="AB34" s="209"/>
      <c r="AC34" s="209"/>
    </row>
    <row r="35" spans="1:29">
      <c r="B35" s="232"/>
      <c r="C35" s="132" t="s">
        <v>392</v>
      </c>
      <c r="D35" s="133"/>
      <c r="E35" s="133"/>
      <c r="F35" s="133"/>
      <c r="G35" s="133"/>
      <c r="H35" s="479"/>
      <c r="I35" s="134" t="s">
        <v>118</v>
      </c>
      <c r="J35" s="135"/>
      <c r="K35" s="135"/>
      <c r="L35" s="136"/>
      <c r="M35" s="136"/>
      <c r="N35" s="137"/>
      <c r="O35" s="136"/>
      <c r="P35" s="136"/>
      <c r="Q35" s="230"/>
      <c r="R35" s="230"/>
      <c r="U35" s="210" t="s">
        <v>173</v>
      </c>
      <c r="V35" s="210"/>
      <c r="W35" s="210"/>
      <c r="X35" s="210"/>
      <c r="Y35" s="210"/>
      <c r="Z35" s="210"/>
      <c r="AA35" s="210"/>
      <c r="AB35" s="210"/>
      <c r="AC35" s="210"/>
    </row>
    <row r="36" spans="1:29" ht="45" customHeight="1">
      <c r="B36" s="232"/>
      <c r="C36" s="138" t="s">
        <v>309</v>
      </c>
      <c r="D36" s="140" t="s">
        <v>393</v>
      </c>
      <c r="E36" s="140" t="s">
        <v>334</v>
      </c>
      <c r="F36" s="140" t="s">
        <v>370</v>
      </c>
      <c r="G36" s="139" t="s">
        <v>371</v>
      </c>
      <c r="H36" s="139" t="s">
        <v>119</v>
      </c>
      <c r="I36" s="138" t="s">
        <v>310</v>
      </c>
      <c r="J36" s="140" t="s">
        <v>359</v>
      </c>
      <c r="K36" s="140" t="s">
        <v>341</v>
      </c>
      <c r="L36" s="140" t="s">
        <v>311</v>
      </c>
      <c r="M36" s="140" t="s">
        <v>312</v>
      </c>
      <c r="N36" s="140" t="s">
        <v>313</v>
      </c>
      <c r="O36" s="140" t="s">
        <v>314</v>
      </c>
      <c r="P36" s="140" t="s">
        <v>180</v>
      </c>
      <c r="Q36" s="140" t="s">
        <v>181</v>
      </c>
      <c r="R36" s="139" t="s">
        <v>120</v>
      </c>
      <c r="U36" s="211"/>
      <c r="V36" s="211"/>
      <c r="W36" s="211"/>
      <c r="X36" s="211"/>
      <c r="Y36" s="211"/>
      <c r="Z36" s="211"/>
      <c r="AA36" s="211"/>
      <c r="AB36" s="211"/>
      <c r="AC36" s="211"/>
    </row>
    <row r="37" spans="1:29" ht="15" hidden="1" customHeight="1" outlineLevel="1">
      <c r="B37" s="232"/>
      <c r="C37" s="121"/>
      <c r="D37" s="154"/>
      <c r="E37" s="154"/>
      <c r="F37" s="154"/>
      <c r="G37" s="154"/>
      <c r="H37" s="629"/>
      <c r="I37" s="220">
        <f>'TOTAL FFU'!G98</f>
        <v>89544.838589722291</v>
      </c>
      <c r="J37" s="159">
        <f>'TOTAL FFU'!G100</f>
        <v>4.6555364349448967</v>
      </c>
      <c r="K37" s="220">
        <f>'TOTAL FFU'!G86</f>
        <v>4000</v>
      </c>
      <c r="L37" s="220">
        <f>AVERAGE('TOTAL FFU'!H76:Q76)</f>
        <v>19234.053871341283</v>
      </c>
      <c r="M37" s="221">
        <f>SUM('TOTAL FFU'!H76:Q76)/SUM('TOTAL FFU'!H45:Q45)</f>
        <v>0.31084996573190221</v>
      </c>
      <c r="N37" s="222">
        <f>'TOTAL FFU'!H77</f>
        <v>2.7240036514887547</v>
      </c>
      <c r="O37" s="222">
        <f>'TOTAL FFU'!H78</f>
        <v>2.2623121969550826</v>
      </c>
      <c r="P37" s="221">
        <f>'TOTAL FFU'!E119</f>
        <v>0.15532278991054027</v>
      </c>
      <c r="Q37" s="221">
        <f>'TOTAL FFU'!E136</f>
        <v>0.21511639092550294</v>
      </c>
      <c r="R37" s="223">
        <f>'TOTAL FFU'!F119</f>
        <v>12561.9930453589</v>
      </c>
      <c r="U37" s="213"/>
      <c r="V37" s="214"/>
      <c r="W37" s="214"/>
      <c r="X37" s="214"/>
      <c r="Y37" s="214"/>
      <c r="Z37" s="214"/>
      <c r="AA37" s="214"/>
      <c r="AB37" s="213"/>
      <c r="AC37" s="212"/>
    </row>
    <row r="38" spans="1:29" s="217" customFormat="1" ht="15" customHeight="1" collapsed="1">
      <c r="A38" s="486">
        <v>1</v>
      </c>
      <c r="B38" s="487">
        <v>1</v>
      </c>
      <c r="C38" s="503" t="s">
        <v>317</v>
      </c>
      <c r="D38" s="736">
        <v>2</v>
      </c>
      <c r="E38" s="504">
        <v>-6.0476968815557322E-2</v>
      </c>
      <c r="F38" s="574">
        <v>0</v>
      </c>
      <c r="G38" s="504">
        <v>0</v>
      </c>
      <c r="H38" s="630">
        <v>1</v>
      </c>
      <c r="I38" s="590">
        <f t="dataTable" ref="I38:R41" dt2D="0" dtr="0" r1="B42"/>
        <v>89544.838589722291</v>
      </c>
      <c r="J38" s="506">
        <v>4.6555364349448967</v>
      </c>
      <c r="K38" s="505">
        <v>4000</v>
      </c>
      <c r="L38" s="505">
        <v>19234.053871341283</v>
      </c>
      <c r="M38" s="507">
        <v>0.31084996573190221</v>
      </c>
      <c r="N38" s="508">
        <v>2.7240036514887547</v>
      </c>
      <c r="O38" s="508">
        <v>2.2623121969550826</v>
      </c>
      <c r="P38" s="509">
        <v>0.15532278991054027</v>
      </c>
      <c r="Q38" s="509">
        <v>0.21511639092550294</v>
      </c>
      <c r="R38" s="510">
        <v>12561.9930453589</v>
      </c>
      <c r="U38" s="213"/>
      <c r="V38" s="214"/>
      <c r="W38" s="214"/>
      <c r="X38" s="214"/>
      <c r="Y38" s="214"/>
      <c r="Z38" s="214"/>
      <c r="AA38" s="214"/>
      <c r="AB38" s="213"/>
      <c r="AC38" s="212"/>
    </row>
    <row r="39" spans="1:29" s="217" customFormat="1" ht="15" customHeight="1">
      <c r="A39" s="486">
        <v>1</v>
      </c>
      <c r="B39" s="487">
        <f t="shared" ref="B39:B41" si="0">B38+1</f>
        <v>2</v>
      </c>
      <c r="C39" s="592" t="s">
        <v>317</v>
      </c>
      <c r="D39" s="737">
        <v>0</v>
      </c>
      <c r="E39" s="593">
        <v>-6.0476968815557322E-2</v>
      </c>
      <c r="F39" s="594">
        <v>8</v>
      </c>
      <c r="G39" s="593">
        <v>0</v>
      </c>
      <c r="H39" s="631">
        <v>2</v>
      </c>
      <c r="I39" s="595">
        <v>89879.527624740032</v>
      </c>
      <c r="J39" s="596">
        <v>3.4665265769188527</v>
      </c>
      <c r="K39" s="597">
        <v>4000</v>
      </c>
      <c r="L39" s="597">
        <v>25927.834571696119</v>
      </c>
      <c r="M39" s="598">
        <v>0.3781250903280543</v>
      </c>
      <c r="N39" s="599">
        <v>3.6720036514887546</v>
      </c>
      <c r="O39" s="599">
        <v>3.0496356506300755</v>
      </c>
      <c r="P39" s="600">
        <v>0.20900609182011443</v>
      </c>
      <c r="Q39" s="600">
        <v>0.29954784453971439</v>
      </c>
      <c r="R39" s="601">
        <v>32470.443487435041</v>
      </c>
      <c r="U39" s="213"/>
      <c r="V39" s="214"/>
      <c r="W39" s="214"/>
      <c r="X39" s="214"/>
      <c r="Y39" s="214"/>
      <c r="Z39" s="214"/>
      <c r="AA39" s="214"/>
      <c r="AB39" s="213"/>
      <c r="AC39" s="212"/>
    </row>
    <row r="40" spans="1:29" s="217" customFormat="1" ht="15" customHeight="1">
      <c r="A40" s="486">
        <v>1</v>
      </c>
      <c r="B40" s="487">
        <f t="shared" si="0"/>
        <v>3</v>
      </c>
      <c r="C40" s="490" t="s">
        <v>317</v>
      </c>
      <c r="D40" s="738">
        <v>0</v>
      </c>
      <c r="E40" s="488">
        <v>-0.17791734771361301</v>
      </c>
      <c r="F40" s="500">
        <v>0</v>
      </c>
      <c r="G40" s="488">
        <v>0</v>
      </c>
      <c r="H40" s="632">
        <v>3</v>
      </c>
      <c r="I40" s="589">
        <v>79952.838589722262</v>
      </c>
      <c r="J40" s="489">
        <v>4.1568376133567924</v>
      </c>
      <c r="K40" s="212">
        <v>3499.9999999999986</v>
      </c>
      <c r="L40" s="212">
        <v>19234.053871341283</v>
      </c>
      <c r="M40" s="501">
        <v>0.31084996573190221</v>
      </c>
      <c r="N40" s="214">
        <v>2.7240036514887547</v>
      </c>
      <c r="O40" s="214">
        <v>2.2623121969550826</v>
      </c>
      <c r="P40" s="213">
        <v>0.1771979570283353</v>
      </c>
      <c r="Q40" s="213">
        <v>0.24587947665574017</v>
      </c>
      <c r="R40" s="491">
        <v>18656.492093009398</v>
      </c>
      <c r="U40" s="213"/>
      <c r="V40" s="214"/>
      <c r="W40" s="214"/>
      <c r="X40" s="214"/>
      <c r="Y40" s="214"/>
      <c r="Z40" s="214"/>
      <c r="AA40" s="214"/>
      <c r="AB40" s="213"/>
      <c r="AC40" s="212"/>
    </row>
    <row r="41" spans="1:29" s="217" customFormat="1" ht="15" customHeight="1">
      <c r="A41" s="486">
        <v>1</v>
      </c>
      <c r="B41" s="487">
        <f t="shared" si="0"/>
        <v>4</v>
      </c>
      <c r="C41" s="492" t="s">
        <v>317</v>
      </c>
      <c r="D41" s="739">
        <v>0</v>
      </c>
      <c r="E41" s="494">
        <v>-0.17791734771361301</v>
      </c>
      <c r="F41" s="573">
        <v>8</v>
      </c>
      <c r="G41" s="494">
        <v>0</v>
      </c>
      <c r="H41" s="633">
        <v>4</v>
      </c>
      <c r="I41" s="591">
        <v>80287.527624740003</v>
      </c>
      <c r="J41" s="496">
        <v>3.0965766694757124</v>
      </c>
      <c r="K41" s="495">
        <v>3499.9999999999986</v>
      </c>
      <c r="L41" s="495">
        <v>25927.834571696119</v>
      </c>
      <c r="M41" s="502">
        <v>0.3781250903280543</v>
      </c>
      <c r="N41" s="498">
        <v>3.6720036514887546</v>
      </c>
      <c r="O41" s="498">
        <v>3.0496356506300755</v>
      </c>
      <c r="P41" s="497">
        <v>0.23547657422969315</v>
      </c>
      <c r="Q41" s="497">
        <v>0.33515896096863873</v>
      </c>
      <c r="R41" s="499">
        <v>38564.942535085531</v>
      </c>
      <c r="U41" s="213"/>
      <c r="V41" s="214"/>
      <c r="W41" s="214"/>
      <c r="X41" s="214"/>
      <c r="Y41" s="214"/>
      <c r="Z41" s="214"/>
      <c r="AA41" s="214"/>
      <c r="AB41" s="213"/>
      <c r="AC41" s="212"/>
    </row>
    <row r="42" spans="1:29" ht="15" hidden="1" customHeight="1" outlineLevel="1">
      <c r="B42" s="428">
        <v>1</v>
      </c>
      <c r="C42" s="627">
        <f>CHOOSE($B$42,A38,A39,A40,A41,)</f>
        <v>1</v>
      </c>
      <c r="D42" s="493">
        <f t="shared" ref="D42:G42" si="1">CHOOSE($B$42,D38,D39,D40,D41)</f>
        <v>2</v>
      </c>
      <c r="E42" s="494">
        <f t="shared" si="1"/>
        <v>-6.0476968815557322E-2</v>
      </c>
      <c r="F42" s="573">
        <f t="shared" si="1"/>
        <v>0</v>
      </c>
      <c r="G42" s="494">
        <f t="shared" si="1"/>
        <v>0</v>
      </c>
      <c r="I42" s="628"/>
      <c r="J42" s="485" t="s">
        <v>295</v>
      </c>
      <c r="K42" s="156"/>
    </row>
    <row r="43" spans="1:29" ht="15" customHeight="1" collapsed="1">
      <c r="C43" s="285" t="s">
        <v>372</v>
      </c>
      <c r="D43" s="453"/>
    </row>
    <row r="44" spans="1:29" ht="15" customHeight="1">
      <c r="C44" s="285" t="s">
        <v>358</v>
      </c>
      <c r="J44" s="286"/>
    </row>
    <row r="45" spans="1:29" ht="15" customHeight="1">
      <c r="C45" s="285"/>
    </row>
    <row r="46" spans="1:29" ht="15" hidden="1" customHeight="1" outlineLevel="1">
      <c r="C46" s="607" t="s">
        <v>365</v>
      </c>
      <c r="D46" s="607" t="s">
        <v>106</v>
      </c>
      <c r="E46" s="607" t="s">
        <v>366</v>
      </c>
    </row>
    <row r="47" spans="1:29" ht="15" hidden="1" customHeight="1" outlineLevel="1">
      <c r="C47" s="608">
        <v>0</v>
      </c>
      <c r="D47" s="609">
        <v>13.533993954581797</v>
      </c>
      <c r="E47" s="156"/>
    </row>
    <row r="48" spans="1:29" ht="15" hidden="1" customHeight="1" outlineLevel="1">
      <c r="C48" s="608">
        <v>0.05</v>
      </c>
      <c r="D48" s="609">
        <v>13.18</v>
      </c>
      <c r="E48" s="609">
        <f>D47-D48</f>
        <v>0.35399395458179761</v>
      </c>
    </row>
    <row r="49" spans="3:13" ht="15" hidden="1" customHeight="1" outlineLevel="1">
      <c r="C49" s="608">
        <f>C48+0.05</f>
        <v>0.1</v>
      </c>
      <c r="D49" s="609">
        <v>12.79</v>
      </c>
      <c r="E49" s="609">
        <f t="shared" ref="E49:E54" si="2">D48-D49</f>
        <v>0.39000000000000057</v>
      </c>
    </row>
    <row r="50" spans="3:13" ht="15" hidden="1" customHeight="1" outlineLevel="1">
      <c r="C50" s="608">
        <f t="shared" ref="C50:C54" si="3">C49+0.05</f>
        <v>0.15000000000000002</v>
      </c>
      <c r="D50" s="609">
        <v>12.36</v>
      </c>
      <c r="E50" s="609">
        <f t="shared" si="2"/>
        <v>0.42999999999999972</v>
      </c>
    </row>
    <row r="51" spans="3:13" ht="15" hidden="1" customHeight="1" outlineLevel="1">
      <c r="C51" s="608">
        <f t="shared" si="3"/>
        <v>0.2</v>
      </c>
      <c r="D51" s="609">
        <v>11.87</v>
      </c>
      <c r="E51" s="609">
        <f t="shared" si="2"/>
        <v>0.49000000000000021</v>
      </c>
    </row>
    <row r="52" spans="3:13" ht="15" hidden="1" customHeight="1" outlineLevel="1">
      <c r="C52" s="608">
        <f t="shared" si="3"/>
        <v>0.25</v>
      </c>
      <c r="D52" s="609">
        <v>11.31</v>
      </c>
      <c r="E52" s="609">
        <f t="shared" si="2"/>
        <v>0.55999999999999872</v>
      </c>
    </row>
    <row r="53" spans="3:13" ht="15" hidden="1" customHeight="1" outlineLevel="1">
      <c r="C53" s="608">
        <f t="shared" si="3"/>
        <v>0.3</v>
      </c>
      <c r="D53" s="609">
        <v>10.66</v>
      </c>
      <c r="E53" s="609">
        <f t="shared" si="2"/>
        <v>0.65000000000000036</v>
      </c>
    </row>
    <row r="54" spans="3:13" ht="15" hidden="1" customHeight="1" outlineLevel="1">
      <c r="C54" s="608">
        <f t="shared" si="3"/>
        <v>0.35</v>
      </c>
      <c r="D54" s="609">
        <v>9.92</v>
      </c>
      <c r="E54" s="609">
        <f t="shared" si="2"/>
        <v>0.74000000000000021</v>
      </c>
    </row>
    <row r="55" spans="3:13" ht="30" hidden="1" customHeight="1" outlineLevel="1" collapsed="1">
      <c r="C55" s="606"/>
      <c r="D55" s="285"/>
      <c r="E55" s="640"/>
      <c r="F55" s="641" t="s">
        <v>399</v>
      </c>
      <c r="G55" s="641" t="s">
        <v>400</v>
      </c>
      <c r="H55" s="642" t="s">
        <v>401</v>
      </c>
    </row>
    <row r="56" spans="3:13" ht="15" hidden="1" customHeight="1" outlineLevel="1">
      <c r="C56" s="606"/>
      <c r="D56" s="285"/>
      <c r="E56" s="126" t="s">
        <v>395</v>
      </c>
      <c r="F56" s="144">
        <f>+K38</f>
        <v>4000</v>
      </c>
      <c r="G56" s="158" t="e">
        <f>+#REF!</f>
        <v>#REF!</v>
      </c>
      <c r="H56" s="636">
        <f>+F38</f>
        <v>0</v>
      </c>
      <c r="M56" s="453"/>
    </row>
    <row r="57" spans="3:13" ht="15" hidden="1" customHeight="1" outlineLevel="1">
      <c r="C57" s="606"/>
      <c r="D57" s="285"/>
      <c r="E57" s="126" t="s">
        <v>396</v>
      </c>
      <c r="F57" s="144">
        <f>+K39</f>
        <v>4000</v>
      </c>
      <c r="G57" s="158" t="e">
        <f>+#REF!</f>
        <v>#REF!</v>
      </c>
      <c r="H57" s="636">
        <f>+F39</f>
        <v>8</v>
      </c>
    </row>
    <row r="58" spans="3:13" ht="15" hidden="1" customHeight="1" outlineLevel="1">
      <c r="E58" s="126" t="s">
        <v>397</v>
      </c>
      <c r="F58" s="144">
        <f>+K40</f>
        <v>3499.9999999999986</v>
      </c>
      <c r="G58" s="158" t="e">
        <f>+#REF!</f>
        <v>#REF!</v>
      </c>
      <c r="H58" s="636">
        <f>+F40</f>
        <v>0</v>
      </c>
    </row>
    <row r="59" spans="3:13" ht="15" hidden="1" customHeight="1" outlineLevel="1">
      <c r="E59" s="122" t="s">
        <v>398</v>
      </c>
      <c r="F59" s="637">
        <f>+K41</f>
        <v>3499.9999999999986</v>
      </c>
      <c r="G59" s="638" t="e">
        <f>+#REF!</f>
        <v>#REF!</v>
      </c>
      <c r="H59" s="639">
        <f>+F41</f>
        <v>8</v>
      </c>
    </row>
    <row r="60" spans="3:13" ht="15" customHeight="1" collapsed="1"/>
    <row r="61" spans="3:13" ht="15" customHeight="1">
      <c r="C61" s="735" t="s">
        <v>481</v>
      </c>
    </row>
    <row r="62" spans="3:13" ht="15" customHeight="1">
      <c r="C62" s="735" t="s">
        <v>479</v>
      </c>
    </row>
    <row r="63" spans="3:13" ht="15" customHeight="1">
      <c r="C63" s="735" t="s">
        <v>480</v>
      </c>
    </row>
    <row r="64" spans="3:13" ht="15" customHeight="1">
      <c r="C64" s="735" t="s">
        <v>482</v>
      </c>
    </row>
    <row r="65" spans="3:3" ht="15" customHeight="1">
      <c r="C65" s="735" t="s">
        <v>483</v>
      </c>
    </row>
    <row r="66" spans="3:3" ht="15" customHeight="1">
      <c r="C66" s="735" t="s">
        <v>484</v>
      </c>
    </row>
  </sheetData>
  <dataConsolidate/>
  <printOptions headings="1" gridLines="1"/>
  <pageMargins left="0.7" right="0.7" top="0.75" bottom="0.75" header="0.3" footer="0.3"/>
  <pageSetup fitToWidth="0" fitToHeight="2" orientation="portrait" r:id="rId1"/>
  <headerFooter>
    <oddFooter>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AA152"/>
  <sheetViews>
    <sheetView showGridLines="0" tabSelected="1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466</v>
      </c>
      <c r="F3" s="24" t="s">
        <v>297</v>
      </c>
      <c r="G3" s="443">
        <v>0.05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434">
        <f>COCP!G6+DCCP!G6+GCCP!G6+MCCP!G6+MWCP!G6+SACP!G6+PSW!G6+PNW!G6+Oakland!G6+NE!G6</f>
        <v>0</v>
      </c>
      <c r="H6" s="434">
        <f>COCP!H6+DCCP!H6+GCCP!H6+MCCP!H6+MWCP!H6+SACP!H6+PSW!H6+PNW!H6+Oakland!H6+NE!H6</f>
        <v>0</v>
      </c>
      <c r="I6" s="434">
        <f>COCP!I6+DCCP!I6+GCCP!I6+MCCP!I6+MWCP!I6+SACP!I6+PSW!I6+PNW!I6+Oakland!I6+NE!I6</f>
        <v>0</v>
      </c>
      <c r="J6" s="434">
        <f>COCP!J6+DCCP!J6+GCCP!J6+MCCP!J6+MWCP!J6+SACP!J6+PSW!J6+PNW!J6+Oakland!J6+NE!J6</f>
        <v>0</v>
      </c>
      <c r="K6" s="434">
        <f>COCP!K6+DCCP!K6+GCCP!K6+MCCP!K6+MWCP!K6+SACP!K6+PSW!K6+PNW!K6+Oakland!K6+NE!K6</f>
        <v>0</v>
      </c>
      <c r="L6" s="434">
        <f>COCP!L6+DCCP!L6+GCCP!L6+MCCP!L6+MWCP!L6+SACP!L6+PSW!L6+PNW!L6+Oakland!L6+NE!L6</f>
        <v>0</v>
      </c>
      <c r="M6" s="434">
        <f>COCP!M6+DCCP!M6+GCCP!M6+MCCP!M6+MWCP!M6+SACP!M6+PSW!M6+PNW!M6+Oakland!M6+NE!M6</f>
        <v>0</v>
      </c>
      <c r="N6" s="434">
        <f>COCP!N6+DCCP!N6+GCCP!N6+MCCP!N6+MWCP!N6+SACP!N6+PSW!N6+PNW!N6+Oakland!N6+NE!N6</f>
        <v>0</v>
      </c>
      <c r="O6" s="434">
        <f>COCP!O6+DCCP!O6+GCCP!O6+MCCP!O6+MWCP!O6+SACP!O6+PSW!O6+PNW!O6+Oakland!O6+NE!O6</f>
        <v>0</v>
      </c>
      <c r="P6" s="434">
        <f>COCP!P6+DCCP!P6+GCCP!P6+MCCP!P6+MWCP!P6+SACP!P6+PSW!P6+PNW!P6+Oakland!P6+NE!P6</f>
        <v>0</v>
      </c>
      <c r="Q6" s="434">
        <f>COCP!Q6+DCCP!Q6+GCCP!Q6+MCCP!Q6+MWCP!Q6+SACP!Q6+PSW!Q6+PNW!Q6+Oakland!Q6+NE!Q6</f>
        <v>0</v>
      </c>
      <c r="S6" s="28"/>
      <c r="T6" s="28"/>
      <c r="U6" s="28"/>
      <c r="V6" s="29"/>
      <c r="X6" s="25"/>
    </row>
    <row r="7" spans="1:24">
      <c r="C7" s="24" t="s">
        <v>253</v>
      </c>
      <c r="G7" s="434">
        <f>COCP!G7+DCCP!G7+GCCP!G7+MCCP!G7+MWCP!G7+SACP!G7+PSW!G7+PNW!G7+Oakland!G7+NE!G7</f>
        <v>6224227.5183151793</v>
      </c>
      <c r="H7" s="434">
        <f>COCP!H7+DCCP!H7+GCCP!H7+MCCP!H7+MWCP!H7+SACP!H7+PSW!H7+PNW!H7+Oakland!H7+NE!H7</f>
        <v>6224227.5183151793</v>
      </c>
      <c r="I7" s="434">
        <f>COCP!I7+DCCP!I7+GCCP!I7+MCCP!I7+MWCP!I7+SACP!I7+PSW!I7+PNW!I7+Oakland!I7+NE!I7</f>
        <v>6224227.5183151793</v>
      </c>
      <c r="J7" s="434">
        <f>COCP!J7+DCCP!J7+GCCP!J7+MCCP!J7+MWCP!J7+SACP!J7+PSW!J7+PNW!J7+Oakland!J7+NE!J7</f>
        <v>6224227.5183151793</v>
      </c>
      <c r="K7" s="434">
        <f>COCP!K7+DCCP!K7+GCCP!K7+MCCP!K7+MWCP!K7+SACP!K7+PSW!K7+PNW!K7+Oakland!K7+NE!K7</f>
        <v>6224227.5183151793</v>
      </c>
      <c r="L7" s="434">
        <f>COCP!L7+DCCP!L7+GCCP!L7+MCCP!L7+MWCP!L7+SACP!L7+PSW!L7+PNW!L7+Oakland!L7+NE!L7</f>
        <v>6224227.5183151793</v>
      </c>
      <c r="M7" s="434">
        <f>COCP!M7+DCCP!M7+GCCP!M7+MCCP!M7+MWCP!M7+SACP!M7+PSW!M7+PNW!M7+Oakland!M7+NE!M7</f>
        <v>6224227.5183151793</v>
      </c>
      <c r="N7" s="434">
        <f>COCP!N7+DCCP!N7+GCCP!N7+MCCP!N7+MWCP!N7+SACP!N7+PSW!N7+PNW!N7+Oakland!N7+NE!N7</f>
        <v>6224227.5183151793</v>
      </c>
      <c r="O7" s="434">
        <f>COCP!O7+DCCP!O7+GCCP!O7+MCCP!O7+MWCP!O7+SACP!O7+PSW!O7+PNW!O7+Oakland!O7+NE!O7</f>
        <v>6224227.5183151793</v>
      </c>
      <c r="P7" s="434">
        <f>COCP!P7+DCCP!P7+GCCP!P7+MCCP!P7+MWCP!P7+SACP!P7+PSW!P7+PNW!P7+Oakland!P7+NE!P7</f>
        <v>6224227.5183151793</v>
      </c>
      <c r="Q7" s="434">
        <f>COCP!Q7+DCCP!Q7+GCCP!Q7+MCCP!Q7+MWCP!Q7+SACP!Q7+PSW!Q7+PNW!Q7+Oakland!Q7+NE!Q7</f>
        <v>6224227.5183151793</v>
      </c>
      <c r="S7" s="28"/>
      <c r="T7" s="28"/>
      <c r="U7" s="28"/>
      <c r="V7" s="29"/>
      <c r="X7" s="25"/>
    </row>
    <row r="8" spans="1:24">
      <c r="C8" s="24" t="s">
        <v>15</v>
      </c>
      <c r="G8" s="434">
        <f>COCP!G8+DCCP!G8+GCCP!G8+MCCP!G8+MWCP!G8+SACP!G8+PSW!G8+PNW!G8+Oakland!G8+NE!G8</f>
        <v>836722.58754435484</v>
      </c>
      <c r="H8" s="434">
        <f>COCP!H8+DCCP!H8+GCCP!H8+MCCP!H8+MWCP!H8+SACP!H8+PSW!H8+PNW!H8+Oakland!H8+NE!H8</f>
        <v>836722.58754435484</v>
      </c>
      <c r="I8" s="434">
        <f>COCP!I8+DCCP!I8+GCCP!I8+MCCP!I8+MWCP!I8+SACP!I8+PSW!I8+PNW!I8+Oakland!I8+NE!I8</f>
        <v>836722.58754435484</v>
      </c>
      <c r="J8" s="434">
        <f>COCP!J8+DCCP!J8+GCCP!J8+MCCP!J8+MWCP!J8+SACP!J8+PSW!J8+PNW!J8+Oakland!J8+NE!J8</f>
        <v>836722.58754435484</v>
      </c>
      <c r="K8" s="434">
        <f>COCP!K8+DCCP!K8+GCCP!K8+MCCP!K8+MWCP!K8+SACP!K8+PSW!K8+PNW!K8+Oakland!K8+NE!K8</f>
        <v>836722.58754435484</v>
      </c>
      <c r="L8" s="434">
        <f>COCP!L8+DCCP!L8+GCCP!L8+MCCP!L8+MWCP!L8+SACP!L8+PSW!L8+PNW!L8+Oakland!L8+NE!L8</f>
        <v>836722.58754435484</v>
      </c>
      <c r="M8" s="434">
        <f>COCP!M8+DCCP!M8+GCCP!M8+MCCP!M8+MWCP!M8+SACP!M8+PSW!M8+PNW!M8+Oakland!M8+NE!M8</f>
        <v>836722.58754435484</v>
      </c>
      <c r="N8" s="434">
        <f>COCP!N8+DCCP!N8+GCCP!N8+MCCP!N8+MWCP!N8+SACP!N8+PSW!N8+PNW!N8+Oakland!N8+NE!N8</f>
        <v>836722.58754435484</v>
      </c>
      <c r="O8" s="434">
        <f>COCP!O8+DCCP!O8+GCCP!O8+MCCP!O8+MWCP!O8+SACP!O8+PSW!O8+PNW!O8+Oakland!O8+NE!O8</f>
        <v>836722.58754435484</v>
      </c>
      <c r="P8" s="434">
        <f>COCP!P8+DCCP!P8+GCCP!P8+MCCP!P8+MWCP!P8+SACP!P8+PSW!P8+PNW!P8+Oakland!P8+NE!P8</f>
        <v>836722.58754435484</v>
      </c>
      <c r="Q8" s="434">
        <f>COCP!Q8+DCCP!Q8+GCCP!Q8+MCCP!Q8+MWCP!Q8+SACP!Q8+PSW!Q8+PNW!Q8+Oakland!Q8+NE!Q8</f>
        <v>836722.58754435484</v>
      </c>
      <c r="S8" s="28"/>
      <c r="U8" s="28"/>
      <c r="V8" s="29"/>
      <c r="X8" s="25"/>
    </row>
    <row r="9" spans="1:24" outlineLevel="1">
      <c r="C9" s="23" t="s">
        <v>25</v>
      </c>
      <c r="G9" s="268">
        <f>SUM(G6:G8)</f>
        <v>7060950.1058595339</v>
      </c>
      <c r="H9" s="268">
        <f t="shared" ref="H9:Q9" si="0">SUM(H6:H8)</f>
        <v>7060950.1058595339</v>
      </c>
      <c r="I9" s="268">
        <f t="shared" si="0"/>
        <v>7060950.1058595339</v>
      </c>
      <c r="J9" s="268">
        <f t="shared" si="0"/>
        <v>7060950.1058595339</v>
      </c>
      <c r="K9" s="268">
        <f t="shared" si="0"/>
        <v>7060950.1058595339</v>
      </c>
      <c r="L9" s="268">
        <f t="shared" si="0"/>
        <v>7060950.1058595339</v>
      </c>
      <c r="M9" s="268">
        <f t="shared" si="0"/>
        <v>7060950.1058595339</v>
      </c>
      <c r="N9" s="268">
        <f t="shared" si="0"/>
        <v>7060950.1058595339</v>
      </c>
      <c r="O9" s="268">
        <f t="shared" si="0"/>
        <v>7060950.1058595339</v>
      </c>
      <c r="P9" s="268">
        <f t="shared" si="0"/>
        <v>7060950.1058595339</v>
      </c>
      <c r="Q9" s="268">
        <f t="shared" si="0"/>
        <v>7060950.1058595339</v>
      </c>
      <c r="S9" s="30"/>
      <c r="U9" s="28"/>
      <c r="V9" s="34"/>
      <c r="W9" s="167"/>
      <c r="X9" s="25"/>
    </row>
    <row r="10" spans="1:24">
      <c r="C10" s="31" t="s">
        <v>26</v>
      </c>
      <c r="G10" s="269">
        <f>G6/SUM(G6:G7)</f>
        <v>0</v>
      </c>
      <c r="H10" s="269">
        <f t="shared" ref="H10:Q10" si="1">H6/SUM(H6:H7)</f>
        <v>0</v>
      </c>
      <c r="I10" s="269">
        <f t="shared" si="1"/>
        <v>0</v>
      </c>
      <c r="J10" s="269">
        <f t="shared" si="1"/>
        <v>0</v>
      </c>
      <c r="K10" s="269">
        <f t="shared" si="1"/>
        <v>0</v>
      </c>
      <c r="L10" s="269">
        <f t="shared" si="1"/>
        <v>0</v>
      </c>
      <c r="M10" s="269">
        <f t="shared" si="1"/>
        <v>0</v>
      </c>
      <c r="N10" s="269">
        <f t="shared" si="1"/>
        <v>0</v>
      </c>
      <c r="O10" s="269">
        <f t="shared" si="1"/>
        <v>0</v>
      </c>
      <c r="P10" s="269">
        <f t="shared" si="1"/>
        <v>0</v>
      </c>
      <c r="Q10" s="269">
        <f t="shared" si="1"/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2">1-H10</f>
        <v>1</v>
      </c>
      <c r="I11" s="269">
        <f t="shared" si="2"/>
        <v>1</v>
      </c>
      <c r="J11" s="269">
        <f t="shared" si="2"/>
        <v>1</v>
      </c>
      <c r="K11" s="269">
        <f t="shared" si="2"/>
        <v>1</v>
      </c>
      <c r="L11" s="269">
        <f t="shared" si="2"/>
        <v>1</v>
      </c>
      <c r="M11" s="269">
        <f t="shared" si="2"/>
        <v>1</v>
      </c>
      <c r="N11" s="269">
        <f t="shared" si="2"/>
        <v>1</v>
      </c>
      <c r="O11" s="269">
        <f t="shared" si="2"/>
        <v>1</v>
      </c>
      <c r="P11" s="269">
        <f t="shared" si="2"/>
        <v>1</v>
      </c>
      <c r="Q11" s="269">
        <f t="shared" si="2"/>
        <v>1</v>
      </c>
      <c r="S11" s="32"/>
      <c r="U11" s="28"/>
      <c r="V11" s="29"/>
      <c r="X11" s="25"/>
    </row>
    <row r="12" spans="1:24">
      <c r="C12" s="31" t="s">
        <v>27</v>
      </c>
      <c r="G12" s="269">
        <f>G8/G9</f>
        <v>0.11850000000000001</v>
      </c>
      <c r="H12" s="269">
        <f t="shared" ref="H12:Q12" si="3">H8/H9</f>
        <v>0.11850000000000001</v>
      </c>
      <c r="I12" s="269">
        <f t="shared" si="3"/>
        <v>0.11850000000000001</v>
      </c>
      <c r="J12" s="269">
        <f t="shared" si="3"/>
        <v>0.11850000000000001</v>
      </c>
      <c r="K12" s="269">
        <f t="shared" si="3"/>
        <v>0.11850000000000001</v>
      </c>
      <c r="L12" s="269">
        <f t="shared" si="3"/>
        <v>0.11850000000000001</v>
      </c>
      <c r="M12" s="269">
        <f t="shared" si="3"/>
        <v>0.11850000000000001</v>
      </c>
      <c r="N12" s="269">
        <f t="shared" si="3"/>
        <v>0.11850000000000001</v>
      </c>
      <c r="O12" s="269">
        <f t="shared" si="3"/>
        <v>0.11850000000000001</v>
      </c>
      <c r="P12" s="269">
        <f t="shared" si="3"/>
        <v>0.11850000000000001</v>
      </c>
      <c r="Q12" s="269">
        <f t="shared" si="3"/>
        <v>0.11850000000000001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0.83050997223100531</v>
      </c>
      <c r="I13" s="269">
        <f t="shared" ref="I13:Q13" si="4">I9/I23/365</f>
        <v>0.83050997223100531</v>
      </c>
      <c r="J13" s="269">
        <f t="shared" si="4"/>
        <v>0.83050997223100531</v>
      </c>
      <c r="K13" s="269">
        <f t="shared" si="4"/>
        <v>0.83050997223100531</v>
      </c>
      <c r="L13" s="269">
        <f t="shared" si="4"/>
        <v>0.83050997223100531</v>
      </c>
      <c r="M13" s="269">
        <f t="shared" si="4"/>
        <v>0.83050997223100531</v>
      </c>
      <c r="N13" s="269">
        <f t="shared" si="4"/>
        <v>0.83050997223100531</v>
      </c>
      <c r="O13" s="269">
        <f t="shared" si="4"/>
        <v>0.83050997223100531</v>
      </c>
      <c r="P13" s="269">
        <f t="shared" si="4"/>
        <v>0.83050997223100531</v>
      </c>
      <c r="Q13" s="269">
        <f t="shared" si="4"/>
        <v>0.83050997223100531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34427.559407179637</v>
      </c>
      <c r="F17" s="203">
        <f>G18*$H$17/1000</f>
        <v>0</v>
      </c>
      <c r="G17" s="203">
        <f>F18*$H$17/1000</f>
        <v>1765.2375264648836</v>
      </c>
      <c r="H17" s="204">
        <f>H40</f>
        <v>7060950.1058595339</v>
      </c>
      <c r="I17" s="204">
        <f>H23*365</f>
        <v>8501945</v>
      </c>
      <c r="L17" s="25"/>
      <c r="O17" s="28"/>
      <c r="V17" s="25"/>
    </row>
    <row r="18" spans="2:24">
      <c r="B18" s="23"/>
      <c r="C18" s="24" t="s">
        <v>33</v>
      </c>
      <c r="E18" s="715">
        <f>SUMPRODUCT('Region Assumptions'!Z10:Z19,'Region Assumptions'!$K$10:$K$19)/SUM('Region Assumptions'!$K$10:$K$19)</f>
        <v>4.8757686842468848</v>
      </c>
      <c r="F18" s="715">
        <f>SUMPRODUCT('Region Assumptions'!AB10:AB19,'Region Assumptions'!$K$10:$K$19)/SUM('Region Assumptions'!$K$10:$K$19)</f>
        <v>0.25</v>
      </c>
      <c r="G18" s="715">
        <f>SUMPRODUCT('Region Assumptions'!AA10:AA19,'Region Assumptions'!$K$10:$K$19)/SUM('Region Assumptions'!$K$10:$K$19)</f>
        <v>0</v>
      </c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4.0493745145586848</v>
      </c>
      <c r="F19" s="188">
        <f>F17/$I17*1000</f>
        <v>0</v>
      </c>
      <c r="G19" s="188">
        <f>G17/$I17*1000</f>
        <v>0.20762749305775133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5">+G21+1</f>
        <v>1</v>
      </c>
      <c r="I21" s="200">
        <f t="shared" si="5"/>
        <v>2</v>
      </c>
      <c r="J21" s="200">
        <f t="shared" si="5"/>
        <v>3</v>
      </c>
      <c r="K21" s="200">
        <f t="shared" si="5"/>
        <v>4</v>
      </c>
      <c r="L21" s="200">
        <f t="shared" si="5"/>
        <v>5</v>
      </c>
      <c r="M21" s="200">
        <f t="shared" si="5"/>
        <v>6</v>
      </c>
      <c r="N21" s="200">
        <f t="shared" si="5"/>
        <v>7</v>
      </c>
      <c r="O21" s="200">
        <f t="shared" si="5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COCP!H23+DCCP!H23+GCCP!H23+MCCP!H23+MWCP!H23+SACP!H23+PSW!H23+PNW!H23+Oakland!H23+NE!H23</f>
        <v>23293</v>
      </c>
      <c r="I23" s="434">
        <f>COCP!I23+DCCP!I23+GCCP!I23+MCCP!I23+MWCP!I23+SACP!I23+PSW!I23+PNW!I23+Oakland!I23+NE!I23</f>
        <v>23293</v>
      </c>
      <c r="J23" s="434">
        <f>COCP!J23+DCCP!J23+GCCP!J23+MCCP!J23+MWCP!J23+SACP!J23+PSW!J23+PNW!J23+Oakland!J23+NE!J23</f>
        <v>23293</v>
      </c>
      <c r="K23" s="434">
        <f>COCP!K23+DCCP!K23+GCCP!K23+MCCP!K23+MWCP!K23+SACP!K23+PSW!K23+PNW!K23+Oakland!K23+NE!K23</f>
        <v>23293</v>
      </c>
      <c r="L23" s="434">
        <f>COCP!L23+DCCP!L23+GCCP!L23+MCCP!L23+MWCP!L23+SACP!L23+PSW!L23+PNW!L23+Oakland!L23+NE!L23</f>
        <v>23293</v>
      </c>
      <c r="M23" s="434">
        <f>COCP!M23+DCCP!M23+GCCP!M23+MCCP!M23+MWCP!M23+SACP!M23+PSW!M23+PNW!M23+Oakland!M23+NE!M23</f>
        <v>23293</v>
      </c>
      <c r="N23" s="434">
        <f>COCP!N23+DCCP!N23+GCCP!N23+MCCP!N23+MWCP!N23+SACP!N23+PSW!N23+PNW!N23+Oakland!N23+NE!N23</f>
        <v>23293</v>
      </c>
      <c r="O23" s="434">
        <f>COCP!O23+DCCP!O23+GCCP!O23+MCCP!O23+MWCP!O23+SACP!O23+PSW!O23+PNW!O23+Oakland!O23+NE!O23</f>
        <v>23293</v>
      </c>
      <c r="P23" s="434">
        <f>COCP!P23+DCCP!P23+GCCP!P23+MCCP!P23+MWCP!P23+SACP!P23+PSW!P23+PNW!P23+Oakland!P23+NE!P23</f>
        <v>23293</v>
      </c>
      <c r="Q23" s="434">
        <f>COCP!Q23+DCCP!Q23+GCCP!Q23+MCCP!Q23+MWCP!Q23+SACP!Q23+PSW!Q23+PNW!Q23+Oakland!Q23+NE!Q23</f>
        <v>23293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6">H28/365/H13</f>
        <v>0</v>
      </c>
      <c r="I24" s="28">
        <f t="shared" si="6"/>
        <v>0</v>
      </c>
      <c r="J24" s="28">
        <f t="shared" si="6"/>
        <v>0</v>
      </c>
      <c r="K24" s="28">
        <f t="shared" si="6"/>
        <v>0</v>
      </c>
      <c r="L24" s="28">
        <f t="shared" si="6"/>
        <v>0</v>
      </c>
      <c r="M24" s="28">
        <f t="shared" si="6"/>
        <v>0</v>
      </c>
      <c r="N24" s="28">
        <f t="shared" si="6"/>
        <v>0</v>
      </c>
      <c r="O24" s="28">
        <f t="shared" si="6"/>
        <v>0</v>
      </c>
      <c r="P24" s="28">
        <f t="shared" si="6"/>
        <v>0</v>
      </c>
      <c r="Q24" s="28">
        <f t="shared" si="6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18099.645129249999</v>
      </c>
      <c r="I25" s="28">
        <f t="shared" ref="I25:Q25" si="7">I32/365/I13*(1-I12)</f>
        <v>18099.645129249999</v>
      </c>
      <c r="J25" s="28">
        <f t="shared" si="7"/>
        <v>18099.645129249999</v>
      </c>
      <c r="K25" s="28">
        <f t="shared" si="7"/>
        <v>18099.645129249999</v>
      </c>
      <c r="L25" s="28">
        <f t="shared" si="7"/>
        <v>18099.645129249999</v>
      </c>
      <c r="M25" s="28">
        <f t="shared" si="7"/>
        <v>18099.645129249999</v>
      </c>
      <c r="N25" s="28">
        <f t="shared" si="7"/>
        <v>18099.645129249999</v>
      </c>
      <c r="O25" s="28">
        <f t="shared" si="7"/>
        <v>18099.645129249999</v>
      </c>
      <c r="P25" s="28">
        <f t="shared" si="7"/>
        <v>18099.645129249999</v>
      </c>
      <c r="Q25" s="28">
        <f t="shared" si="7"/>
        <v>18099.645129249999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2292.3906508064515</v>
      </c>
      <c r="I26" s="28">
        <f t="shared" ref="I26:Q26" si="8">I36/365</f>
        <v>2292.3906508064515</v>
      </c>
      <c r="J26" s="28">
        <f t="shared" si="8"/>
        <v>2292.3906508064515</v>
      </c>
      <c r="K26" s="28">
        <f t="shared" si="8"/>
        <v>2292.3906508064515</v>
      </c>
      <c r="L26" s="28">
        <f t="shared" si="8"/>
        <v>2292.3906508064515</v>
      </c>
      <c r="M26" s="28">
        <f t="shared" si="8"/>
        <v>2292.3906508064515</v>
      </c>
      <c r="N26" s="28">
        <f t="shared" si="8"/>
        <v>2292.3906508064515</v>
      </c>
      <c r="O26" s="28">
        <f t="shared" si="8"/>
        <v>2292.3906508064515</v>
      </c>
      <c r="P26" s="28">
        <f t="shared" si="8"/>
        <v>2292.3906508064515</v>
      </c>
      <c r="Q26" s="28">
        <f t="shared" si="8"/>
        <v>2292.3906508064515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9">+H6</f>
        <v>0</v>
      </c>
      <c r="I28" s="28">
        <f t="shared" si="9"/>
        <v>0</v>
      </c>
      <c r="J28" s="28">
        <f t="shared" si="9"/>
        <v>0</v>
      </c>
      <c r="K28" s="28">
        <f t="shared" si="9"/>
        <v>0</v>
      </c>
      <c r="L28" s="28">
        <f t="shared" si="9"/>
        <v>0</v>
      </c>
      <c r="M28" s="28">
        <f t="shared" si="9"/>
        <v>0</v>
      </c>
      <c r="N28" s="28">
        <f t="shared" si="9"/>
        <v>0</v>
      </c>
      <c r="O28" s="28">
        <f t="shared" si="9"/>
        <v>0</v>
      </c>
      <c r="P28" s="28">
        <f t="shared" si="9"/>
        <v>0</v>
      </c>
      <c r="Q28" s="28">
        <f t="shared" si="9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0">
        <f>SUMPRODUCT('Region Assumptions'!AD10:AD19,'Region Assumptions'!K10:K19)/SUM('Region Assumptions'!K10:K19)</f>
        <v>18.896602291921266</v>
      </c>
      <c r="I29" s="37">
        <f t="shared" ref="I29:Q29" si="10">+H29*(1+$V33)</f>
        <v>18.896602291921266</v>
      </c>
      <c r="J29" s="37">
        <f t="shared" si="10"/>
        <v>18.896602291921266</v>
      </c>
      <c r="K29" s="37">
        <f t="shared" si="10"/>
        <v>18.896602291921266</v>
      </c>
      <c r="L29" s="37">
        <f t="shared" si="10"/>
        <v>18.896602291921266</v>
      </c>
      <c r="M29" s="37">
        <f t="shared" si="10"/>
        <v>18.896602291921266</v>
      </c>
      <c r="N29" s="37">
        <f t="shared" si="10"/>
        <v>18.896602291921266</v>
      </c>
      <c r="O29" s="37">
        <f t="shared" si="10"/>
        <v>18.896602291921266</v>
      </c>
      <c r="P29" s="37">
        <f t="shared" si="10"/>
        <v>18.896602291921266</v>
      </c>
      <c r="Q29" s="37">
        <f t="shared" si="10"/>
        <v>18.896602291921266</v>
      </c>
      <c r="S29" s="37"/>
    </row>
    <row r="30" spans="2:24">
      <c r="B30" s="24" t="s">
        <v>37</v>
      </c>
      <c r="C30" s="39"/>
      <c r="G30" s="49"/>
      <c r="H30" s="49">
        <f t="shared" ref="H30:Q30" si="11">H28*H29/Factor</f>
        <v>0</v>
      </c>
      <c r="I30" s="49">
        <f t="shared" si="11"/>
        <v>0</v>
      </c>
      <c r="J30" s="49">
        <f t="shared" si="11"/>
        <v>0</v>
      </c>
      <c r="K30" s="49">
        <f t="shared" si="11"/>
        <v>0</v>
      </c>
      <c r="L30" s="49">
        <f t="shared" si="11"/>
        <v>0</v>
      </c>
      <c r="M30" s="49">
        <f t="shared" si="11"/>
        <v>0</v>
      </c>
      <c r="N30" s="49">
        <f t="shared" si="11"/>
        <v>0</v>
      </c>
      <c r="O30" s="49">
        <f t="shared" si="11"/>
        <v>0</v>
      </c>
      <c r="P30" s="49">
        <f t="shared" si="11"/>
        <v>0</v>
      </c>
      <c r="Q30" s="49">
        <f t="shared" si="11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2">H7</f>
        <v>6224227.5183151793</v>
      </c>
      <c r="I32" s="28">
        <f t="shared" si="12"/>
        <v>6224227.5183151793</v>
      </c>
      <c r="J32" s="28">
        <f t="shared" si="12"/>
        <v>6224227.5183151793</v>
      </c>
      <c r="K32" s="28">
        <f t="shared" si="12"/>
        <v>6224227.5183151793</v>
      </c>
      <c r="L32" s="28">
        <f t="shared" si="12"/>
        <v>6224227.5183151793</v>
      </c>
      <c r="M32" s="28">
        <f t="shared" si="12"/>
        <v>6224227.5183151793</v>
      </c>
      <c r="N32" s="28">
        <f t="shared" si="12"/>
        <v>6224227.5183151793</v>
      </c>
      <c r="O32" s="28">
        <f t="shared" si="12"/>
        <v>6224227.5183151793</v>
      </c>
      <c r="P32" s="28">
        <f t="shared" si="12"/>
        <v>6224227.5183151793</v>
      </c>
      <c r="Q32" s="28">
        <f t="shared" si="12"/>
        <v>6224227.5183151793</v>
      </c>
      <c r="S32" s="43"/>
      <c r="U32" s="27" t="s">
        <v>38</v>
      </c>
      <c r="V32" s="41"/>
      <c r="W32" s="41"/>
    </row>
    <row r="33" spans="2:24">
      <c r="C33" s="39" t="s">
        <v>257</v>
      </c>
      <c r="H33" s="690">
        <f>((COCP!H33*COCP!H32)+(DCCP!H32*DCCP!H33)+(GCCP!H32*GCCP!H33)+(MCCP!H32*MCCP!H33)+(MWCP!H32*MWCP!H33)+(SACP!H32*SACP!H33)+(PSW!H32*PSW!H33)+(PNW!H32*PNW!H33)+(Oakland!H32*Oakland!H33)+(NE!H32*NE!H33))/'TOTAL FFU'!H32</f>
        <v>9.9411023450617524</v>
      </c>
      <c r="I33" s="37">
        <f>+H33*(1+$V34)</f>
        <v>9.9411023450617524</v>
      </c>
      <c r="J33" s="37">
        <f t="shared" ref="J33:Q33" si="13">+I33*(1+$V34)</f>
        <v>9.9411023450617524</v>
      </c>
      <c r="K33" s="37">
        <f t="shared" si="13"/>
        <v>9.9411023450617524</v>
      </c>
      <c r="L33" s="37">
        <f t="shared" si="13"/>
        <v>9.9411023450617524</v>
      </c>
      <c r="M33" s="37">
        <f t="shared" si="13"/>
        <v>9.9411023450617524</v>
      </c>
      <c r="N33" s="37">
        <f t="shared" si="13"/>
        <v>9.9411023450617524</v>
      </c>
      <c r="O33" s="37">
        <f t="shared" si="13"/>
        <v>9.9411023450617524</v>
      </c>
      <c r="P33" s="37">
        <f t="shared" si="13"/>
        <v>9.9411023450617524</v>
      </c>
      <c r="Q33" s="37">
        <f t="shared" si="13"/>
        <v>9.9411023450617524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4">H32*H33/Factor</f>
        <v>61875.682778520917</v>
      </c>
      <c r="I34" s="49">
        <f t="shared" si="14"/>
        <v>61875.682778520917</v>
      </c>
      <c r="J34" s="49">
        <f t="shared" si="14"/>
        <v>61875.682778520917</v>
      </c>
      <c r="K34" s="49">
        <f t="shared" si="14"/>
        <v>61875.682778520917</v>
      </c>
      <c r="L34" s="49">
        <f t="shared" si="14"/>
        <v>61875.682778520917</v>
      </c>
      <c r="M34" s="49">
        <f t="shared" si="14"/>
        <v>61875.682778520917</v>
      </c>
      <c r="N34" s="49">
        <f t="shared" si="14"/>
        <v>61875.682778520917</v>
      </c>
      <c r="O34" s="49">
        <f t="shared" si="14"/>
        <v>61875.682778520917</v>
      </c>
      <c r="P34" s="49">
        <f t="shared" si="14"/>
        <v>61875.682778520917</v>
      </c>
      <c r="Q34" s="49">
        <f t="shared" si="14"/>
        <v>61875.682778520917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5">H8</f>
        <v>836722.58754435484</v>
      </c>
      <c r="I36" s="28">
        <f t="shared" si="15"/>
        <v>836722.58754435484</v>
      </c>
      <c r="J36" s="28">
        <f t="shared" si="15"/>
        <v>836722.58754435484</v>
      </c>
      <c r="K36" s="28">
        <f t="shared" si="15"/>
        <v>836722.58754435484</v>
      </c>
      <c r="L36" s="28">
        <f t="shared" si="15"/>
        <v>836722.58754435484</v>
      </c>
      <c r="M36" s="28">
        <f t="shared" si="15"/>
        <v>836722.58754435484</v>
      </c>
      <c r="N36" s="28">
        <f t="shared" si="15"/>
        <v>836722.58754435484</v>
      </c>
      <c r="O36" s="28">
        <f t="shared" si="15"/>
        <v>836722.58754435484</v>
      </c>
      <c r="P36" s="28">
        <f t="shared" si="15"/>
        <v>836722.58754435484</v>
      </c>
      <c r="Q36" s="28">
        <f t="shared" si="15"/>
        <v>836722.58754435484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0">
        <f>SUMPRODUCT('Region Assumptions'!AC10:AC19,'Region Assumptions'!K10:K19)/SUM('Region Assumptions'!K10:K19)</f>
        <v>0</v>
      </c>
      <c r="I37" s="178">
        <f t="shared" ref="I37:Q37" si="16">H37*(1+$V$36)</f>
        <v>0</v>
      </c>
      <c r="J37" s="178">
        <f t="shared" si="16"/>
        <v>0</v>
      </c>
      <c r="K37" s="178">
        <f t="shared" si="16"/>
        <v>0</v>
      </c>
      <c r="L37" s="178">
        <f t="shared" si="16"/>
        <v>0</v>
      </c>
      <c r="M37" s="178">
        <f t="shared" si="16"/>
        <v>0</v>
      </c>
      <c r="N37" s="178">
        <f t="shared" si="16"/>
        <v>0</v>
      </c>
      <c r="O37" s="178">
        <f t="shared" si="16"/>
        <v>0</v>
      </c>
      <c r="P37" s="178">
        <f t="shared" si="16"/>
        <v>0</v>
      </c>
      <c r="Q37" s="178">
        <f t="shared" si="16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17">H36*H37/Factor</f>
        <v>0</v>
      </c>
      <c r="I38" s="49">
        <f t="shared" si="17"/>
        <v>0</v>
      </c>
      <c r="J38" s="49">
        <f t="shared" si="17"/>
        <v>0</v>
      </c>
      <c r="K38" s="49">
        <f t="shared" si="17"/>
        <v>0</v>
      </c>
      <c r="L38" s="49">
        <f t="shared" si="17"/>
        <v>0</v>
      </c>
      <c r="M38" s="49">
        <f t="shared" si="17"/>
        <v>0</v>
      </c>
      <c r="N38" s="49">
        <f t="shared" si="17"/>
        <v>0</v>
      </c>
      <c r="O38" s="49">
        <f t="shared" si="17"/>
        <v>0</v>
      </c>
      <c r="P38" s="49">
        <f t="shared" si="17"/>
        <v>0</v>
      </c>
      <c r="Q38" s="49">
        <f t="shared" si="17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7060950.1058595339</v>
      </c>
      <c r="I40" s="28">
        <f t="shared" ref="I40:Q40" si="18">I28+I32+I36</f>
        <v>7060950.1058595339</v>
      </c>
      <c r="J40" s="28">
        <f t="shared" si="18"/>
        <v>7060950.1058595339</v>
      </c>
      <c r="K40" s="28">
        <f t="shared" si="18"/>
        <v>7060950.1058595339</v>
      </c>
      <c r="L40" s="28">
        <f t="shared" si="18"/>
        <v>7060950.1058595339</v>
      </c>
      <c r="M40" s="28">
        <f t="shared" si="18"/>
        <v>7060950.1058595339</v>
      </c>
      <c r="N40" s="28">
        <f t="shared" si="18"/>
        <v>7060950.1058595339</v>
      </c>
      <c r="O40" s="28">
        <f t="shared" si="18"/>
        <v>7060950.1058595339</v>
      </c>
      <c r="P40" s="28">
        <f t="shared" si="18"/>
        <v>7060950.1058595339</v>
      </c>
      <c r="Q40" s="28">
        <f t="shared" si="18"/>
        <v>7060950.1058595339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19">H23*365</f>
        <v>8501945</v>
      </c>
      <c r="I41" s="28">
        <f t="shared" si="19"/>
        <v>8501945</v>
      </c>
      <c r="J41" s="28">
        <f t="shared" si="19"/>
        <v>8501945</v>
      </c>
      <c r="K41" s="28">
        <f t="shared" si="19"/>
        <v>8501945</v>
      </c>
      <c r="L41" s="28">
        <f t="shared" si="19"/>
        <v>8501945</v>
      </c>
      <c r="M41" s="28">
        <f t="shared" si="19"/>
        <v>8501945</v>
      </c>
      <c r="N41" s="28">
        <f t="shared" si="19"/>
        <v>8501945</v>
      </c>
      <c r="O41" s="28">
        <f t="shared" si="19"/>
        <v>8501945</v>
      </c>
      <c r="P41" s="28">
        <f t="shared" si="19"/>
        <v>8501945</v>
      </c>
      <c r="Q41" s="28">
        <f t="shared" si="19"/>
        <v>8501945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0">H40/H41</f>
        <v>0.8305099722310052</v>
      </c>
      <c r="I42" s="34">
        <f t="shared" si="20"/>
        <v>0.8305099722310052</v>
      </c>
      <c r="J42" s="34">
        <f t="shared" si="20"/>
        <v>0.8305099722310052</v>
      </c>
      <c r="K42" s="34">
        <f t="shared" si="20"/>
        <v>0.8305099722310052</v>
      </c>
      <c r="L42" s="34">
        <f t="shared" si="20"/>
        <v>0.8305099722310052</v>
      </c>
      <c r="M42" s="34">
        <f t="shared" si="20"/>
        <v>0.8305099722310052</v>
      </c>
      <c r="N42" s="34">
        <f t="shared" si="20"/>
        <v>0.8305099722310052</v>
      </c>
      <c r="O42" s="34">
        <f t="shared" si="20"/>
        <v>0.8305099722310052</v>
      </c>
      <c r="P42" s="34">
        <f t="shared" si="20"/>
        <v>0.8305099722310052</v>
      </c>
      <c r="Q42" s="34">
        <f t="shared" si="20"/>
        <v>0.8305099722310052</v>
      </c>
      <c r="S42" s="34"/>
      <c r="V42" s="45"/>
    </row>
    <row r="43" spans="2:24">
      <c r="C43" s="24" t="s">
        <v>46</v>
      </c>
      <c r="G43" s="34"/>
      <c r="H43" s="34">
        <f>(H28+H32)/H41</f>
        <v>0.73209454052163114</v>
      </c>
      <c r="I43" s="34">
        <f t="shared" ref="I43:Q43" si="21">(I28+I32)/I41</f>
        <v>0.73209454052163114</v>
      </c>
      <c r="J43" s="34">
        <f t="shared" si="21"/>
        <v>0.73209454052163114</v>
      </c>
      <c r="K43" s="34">
        <f t="shared" si="21"/>
        <v>0.73209454052163114</v>
      </c>
      <c r="L43" s="34">
        <f t="shared" si="21"/>
        <v>0.73209454052163114</v>
      </c>
      <c r="M43" s="34">
        <f t="shared" si="21"/>
        <v>0.73209454052163114</v>
      </c>
      <c r="N43" s="34">
        <f t="shared" si="21"/>
        <v>0.73209454052163114</v>
      </c>
      <c r="O43" s="34">
        <f t="shared" si="21"/>
        <v>0.73209454052163114</v>
      </c>
      <c r="P43" s="34">
        <f t="shared" si="21"/>
        <v>0.73209454052163114</v>
      </c>
      <c r="Q43" s="34">
        <f t="shared" si="21"/>
        <v>0.73209454052163114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2">H30+H34+H38</f>
        <v>61875.682778520917</v>
      </c>
      <c r="I45" s="48">
        <f t="shared" si="22"/>
        <v>61875.682778520917</v>
      </c>
      <c r="J45" s="48">
        <f t="shared" si="22"/>
        <v>61875.682778520917</v>
      </c>
      <c r="K45" s="48">
        <f t="shared" si="22"/>
        <v>61875.682778520917</v>
      </c>
      <c r="L45" s="48">
        <f t="shared" si="22"/>
        <v>61875.682778520917</v>
      </c>
      <c r="M45" s="48">
        <f t="shared" si="22"/>
        <v>61875.682778520917</v>
      </c>
      <c r="N45" s="48">
        <f t="shared" si="22"/>
        <v>61875.682778520917</v>
      </c>
      <c r="O45" s="48">
        <f t="shared" si="22"/>
        <v>61875.682778520917</v>
      </c>
      <c r="P45" s="48">
        <f t="shared" si="22"/>
        <v>61875.682778520917</v>
      </c>
      <c r="Q45" s="48">
        <f t="shared" si="22"/>
        <v>61875.682778520917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3">H45*Factor/(H40)</f>
        <v>8.7630817171719357</v>
      </c>
      <c r="I46" s="51">
        <f t="shared" si="23"/>
        <v>8.7630817171719357</v>
      </c>
      <c r="J46" s="51">
        <f t="shared" si="23"/>
        <v>8.7630817171719357</v>
      </c>
      <c r="K46" s="51">
        <f t="shared" si="23"/>
        <v>8.7630817171719357</v>
      </c>
      <c r="L46" s="51">
        <f t="shared" si="23"/>
        <v>8.7630817171719357</v>
      </c>
      <c r="M46" s="51">
        <f t="shared" si="23"/>
        <v>8.7630817171719357</v>
      </c>
      <c r="N46" s="51">
        <f t="shared" si="23"/>
        <v>8.7630817171719357</v>
      </c>
      <c r="O46" s="51">
        <f t="shared" si="23"/>
        <v>8.7630817171719357</v>
      </c>
      <c r="P46" s="51">
        <f t="shared" si="23"/>
        <v>8.7630817171719357</v>
      </c>
      <c r="Q46" s="51">
        <f t="shared" si="23"/>
        <v>8.7630817171719357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4">H34</f>
        <v>61875.682778520917</v>
      </c>
      <c r="I48" s="49">
        <f t="shared" si="24"/>
        <v>61875.682778520917</v>
      </c>
      <c r="J48" s="49">
        <f t="shared" si="24"/>
        <v>61875.682778520917</v>
      </c>
      <c r="K48" s="49">
        <f t="shared" si="24"/>
        <v>61875.682778520917</v>
      </c>
      <c r="L48" s="49">
        <f t="shared" si="24"/>
        <v>61875.682778520917</v>
      </c>
      <c r="M48" s="49">
        <f t="shared" si="24"/>
        <v>61875.682778520917</v>
      </c>
      <c r="N48" s="49">
        <f t="shared" si="24"/>
        <v>61875.682778520917</v>
      </c>
      <c r="O48" s="49">
        <f t="shared" si="24"/>
        <v>61875.682778520917</v>
      </c>
      <c r="P48" s="49">
        <f t="shared" si="24"/>
        <v>61875.682778520917</v>
      </c>
      <c r="Q48" s="49">
        <f t="shared" si="24"/>
        <v>61875.682778520917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5">H38</f>
        <v>0</v>
      </c>
      <c r="I49" s="49">
        <f t="shared" si="25"/>
        <v>0</v>
      </c>
      <c r="J49" s="49">
        <f t="shared" si="25"/>
        <v>0</v>
      </c>
      <c r="K49" s="49">
        <f t="shared" si="25"/>
        <v>0</v>
      </c>
      <c r="L49" s="49">
        <f t="shared" si="25"/>
        <v>0</v>
      </c>
      <c r="M49" s="49">
        <f t="shared" si="25"/>
        <v>0</v>
      </c>
      <c r="N49" s="49">
        <f t="shared" si="25"/>
        <v>0</v>
      </c>
      <c r="O49" s="49">
        <f t="shared" si="25"/>
        <v>0</v>
      </c>
      <c r="P49" s="49">
        <f t="shared" si="25"/>
        <v>0</v>
      </c>
      <c r="Q49" s="49">
        <f t="shared" si="25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6">H32</f>
        <v>6224227.5183151793</v>
      </c>
      <c r="I50" s="28">
        <f t="shared" si="26"/>
        <v>6224227.5183151793</v>
      </c>
      <c r="J50" s="28">
        <f t="shared" si="26"/>
        <v>6224227.5183151793</v>
      </c>
      <c r="K50" s="28">
        <f t="shared" si="26"/>
        <v>6224227.5183151793</v>
      </c>
      <c r="L50" s="28">
        <f t="shared" si="26"/>
        <v>6224227.5183151793</v>
      </c>
      <c r="M50" s="28">
        <f t="shared" si="26"/>
        <v>6224227.5183151793</v>
      </c>
      <c r="N50" s="28">
        <f t="shared" si="26"/>
        <v>6224227.5183151793</v>
      </c>
      <c r="O50" s="28">
        <f t="shared" si="26"/>
        <v>6224227.5183151793</v>
      </c>
      <c r="P50" s="28">
        <f t="shared" si="26"/>
        <v>6224227.5183151793</v>
      </c>
      <c r="Q50" s="28">
        <f t="shared" si="26"/>
        <v>6224227.5183151793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27">H36</f>
        <v>836722.58754435484</v>
      </c>
      <c r="I51" s="28">
        <f t="shared" si="27"/>
        <v>836722.58754435484</v>
      </c>
      <c r="J51" s="28">
        <f t="shared" si="27"/>
        <v>836722.58754435484</v>
      </c>
      <c r="K51" s="28">
        <f t="shared" si="27"/>
        <v>836722.58754435484</v>
      </c>
      <c r="L51" s="28">
        <f t="shared" si="27"/>
        <v>836722.58754435484</v>
      </c>
      <c r="M51" s="28">
        <f t="shared" si="27"/>
        <v>836722.58754435484</v>
      </c>
      <c r="N51" s="28">
        <f t="shared" si="27"/>
        <v>836722.58754435484</v>
      </c>
      <c r="O51" s="28">
        <f t="shared" si="27"/>
        <v>836722.58754435484</v>
      </c>
      <c r="P51" s="28">
        <f t="shared" si="27"/>
        <v>836722.58754435484</v>
      </c>
      <c r="Q51" s="28">
        <f t="shared" si="27"/>
        <v>836722.58754435484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28">(SUM(H48:H49)*Factor)/SUM(H50:H51)</f>
        <v>8.7630817171719357</v>
      </c>
      <c r="I52" s="54">
        <f t="shared" si="28"/>
        <v>8.7630817171719357</v>
      </c>
      <c r="J52" s="54">
        <f t="shared" si="28"/>
        <v>8.7630817171719357</v>
      </c>
      <c r="K52" s="54">
        <f t="shared" si="28"/>
        <v>8.7630817171719357</v>
      </c>
      <c r="L52" s="54">
        <f t="shared" si="28"/>
        <v>8.7630817171719357</v>
      </c>
      <c r="M52" s="54">
        <f t="shared" si="28"/>
        <v>8.7630817171719357</v>
      </c>
      <c r="N52" s="54">
        <f t="shared" si="28"/>
        <v>8.7630817171719357</v>
      </c>
      <c r="O52" s="54">
        <f t="shared" si="28"/>
        <v>8.7630817171719357</v>
      </c>
      <c r="P52" s="54">
        <f t="shared" si="28"/>
        <v>8.7630817171719357</v>
      </c>
      <c r="Q52" s="54">
        <f t="shared" si="28"/>
        <v>8.7630817171719357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29">(SUM(H48:H49)*Factor)/SUM(H50)</f>
        <v>9.9411023450617524</v>
      </c>
      <c r="I53" s="54">
        <f t="shared" si="29"/>
        <v>9.9411023450617524</v>
      </c>
      <c r="J53" s="54">
        <f t="shared" si="29"/>
        <v>9.9411023450617524</v>
      </c>
      <c r="K53" s="54">
        <f t="shared" si="29"/>
        <v>9.9411023450617524</v>
      </c>
      <c r="L53" s="54">
        <f t="shared" si="29"/>
        <v>9.9411023450617524</v>
      </c>
      <c r="M53" s="54">
        <f t="shared" si="29"/>
        <v>9.9411023450617524</v>
      </c>
      <c r="N53" s="54">
        <f t="shared" si="29"/>
        <v>9.9411023450617524</v>
      </c>
      <c r="O53" s="54">
        <f t="shared" si="29"/>
        <v>9.9411023450617524</v>
      </c>
      <c r="P53" s="54">
        <f t="shared" si="29"/>
        <v>9.9411023450617524</v>
      </c>
      <c r="Q53" s="54">
        <f t="shared" si="29"/>
        <v>9.9411023450617524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0">IFERROR(H38*Factor/H36,0)</f>
        <v>0</v>
      </c>
      <c r="I54" s="54">
        <f t="shared" si="30"/>
        <v>0</v>
      </c>
      <c r="J54" s="54">
        <f t="shared" si="30"/>
        <v>0</v>
      </c>
      <c r="K54" s="54">
        <f t="shared" si="30"/>
        <v>0</v>
      </c>
      <c r="L54" s="54">
        <f t="shared" si="30"/>
        <v>0</v>
      </c>
      <c r="M54" s="54">
        <f t="shared" si="30"/>
        <v>0</v>
      </c>
      <c r="N54" s="54">
        <f t="shared" si="30"/>
        <v>0</v>
      </c>
      <c r="O54" s="54">
        <f t="shared" si="30"/>
        <v>0</v>
      </c>
      <c r="P54" s="54">
        <f t="shared" si="30"/>
        <v>0</v>
      </c>
      <c r="Q54" s="54">
        <f t="shared" si="30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4.8757686842468848</v>
      </c>
      <c r="I57" s="188">
        <f>H57</f>
        <v>4.8757686842468848</v>
      </c>
      <c r="J57" s="188">
        <f t="shared" ref="J57:Q57" si="31">I57</f>
        <v>4.8757686842468848</v>
      </c>
      <c r="K57" s="188">
        <f t="shared" si="31"/>
        <v>4.8757686842468848</v>
      </c>
      <c r="L57" s="188">
        <f t="shared" si="31"/>
        <v>4.8757686842468848</v>
      </c>
      <c r="M57" s="188">
        <f t="shared" si="31"/>
        <v>4.8757686842468848</v>
      </c>
      <c r="N57" s="188">
        <f t="shared" si="31"/>
        <v>4.8757686842468848</v>
      </c>
      <c r="O57" s="188">
        <f t="shared" si="31"/>
        <v>4.8757686842468848</v>
      </c>
      <c r="P57" s="188">
        <f t="shared" si="31"/>
        <v>4.8757686842468848</v>
      </c>
      <c r="Q57" s="188">
        <f t="shared" si="31"/>
        <v>4.8757686842468848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2">+I58*(1+$V38)</f>
        <v>0.25</v>
      </c>
      <c r="K58" s="37">
        <f t="shared" si="32"/>
        <v>0.25</v>
      </c>
      <c r="L58" s="37">
        <f t="shared" si="32"/>
        <v>0.25</v>
      </c>
      <c r="M58" s="37">
        <f t="shared" si="32"/>
        <v>0.25</v>
      </c>
      <c r="N58" s="37">
        <f t="shared" si="32"/>
        <v>0.25</v>
      </c>
      <c r="O58" s="37">
        <f t="shared" si="32"/>
        <v>0.25</v>
      </c>
      <c r="P58" s="37">
        <f t="shared" si="32"/>
        <v>0.25</v>
      </c>
      <c r="Q58" s="37">
        <f t="shared" si="32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3">+I59*(1+$V40)</f>
        <v>0</v>
      </c>
      <c r="K59" s="37">
        <f t="shared" si="33"/>
        <v>0</v>
      </c>
      <c r="L59" s="37">
        <f t="shared" si="33"/>
        <v>0</v>
      </c>
      <c r="M59" s="37">
        <f t="shared" si="33"/>
        <v>0</v>
      </c>
      <c r="N59" s="37">
        <f t="shared" si="33"/>
        <v>0</v>
      </c>
      <c r="O59" s="37">
        <f t="shared" si="33"/>
        <v>0</v>
      </c>
      <c r="P59" s="37">
        <f t="shared" si="33"/>
        <v>0</v>
      </c>
      <c r="Q59" s="37">
        <f t="shared" si="33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3"/>
        <v>0</v>
      </c>
      <c r="K60" s="37">
        <f t="shared" si="33"/>
        <v>0</v>
      </c>
      <c r="L60" s="37">
        <f t="shared" si="33"/>
        <v>0</v>
      </c>
      <c r="M60" s="37">
        <f t="shared" si="33"/>
        <v>0</v>
      </c>
      <c r="N60" s="37">
        <f t="shared" si="33"/>
        <v>0</v>
      </c>
      <c r="O60" s="37">
        <f t="shared" si="33"/>
        <v>0</v>
      </c>
      <c r="P60" s="37">
        <f t="shared" si="33"/>
        <v>0</v>
      </c>
      <c r="Q60" s="37">
        <f t="shared" si="33"/>
        <v>0</v>
      </c>
      <c r="S60" s="37"/>
    </row>
    <row r="61" spans="2:24" ht="12.75" customHeight="1">
      <c r="C61" s="24" t="s">
        <v>337</v>
      </c>
      <c r="G61" s="37"/>
      <c r="H61" s="716">
        <f>IFERROR(SUMPRODUCT('Region Assumptions'!P10:P19,'Region Assumptions'!G10:G19)/SUM('Region Assumptions'!G10:G19),0)</f>
        <v>0</v>
      </c>
      <c r="I61" s="188">
        <f t="shared" ref="I61:Q61" si="34">+H61*(1+$V41)</f>
        <v>0</v>
      </c>
      <c r="J61" s="188">
        <f t="shared" si="34"/>
        <v>0</v>
      </c>
      <c r="K61" s="188">
        <f t="shared" si="34"/>
        <v>0</v>
      </c>
      <c r="L61" s="188">
        <f t="shared" si="34"/>
        <v>0</v>
      </c>
      <c r="M61" s="188">
        <f t="shared" si="34"/>
        <v>0</v>
      </c>
      <c r="N61" s="188">
        <f t="shared" si="34"/>
        <v>0</v>
      </c>
      <c r="O61" s="188">
        <f t="shared" si="34"/>
        <v>0</v>
      </c>
      <c r="P61" s="188">
        <f t="shared" si="34"/>
        <v>0</v>
      </c>
      <c r="Q61" s="188">
        <f t="shared" si="34"/>
        <v>0</v>
      </c>
      <c r="S61" s="37"/>
    </row>
    <row r="62" spans="2:24" ht="12.75" customHeight="1">
      <c r="C62" s="24" t="s">
        <v>349</v>
      </c>
      <c r="G62" s="37"/>
      <c r="H62" s="690">
        <f>IFERROR(SUMPRODUCT('Region Assumptions'!Q10:Q19,'Region Assumptions'!H10:H19)/SUM('Region Assumptions'!H10:H19),0)</f>
        <v>2.85</v>
      </c>
      <c r="I62" s="188">
        <f>+H62*(1+$V41)</f>
        <v>2.85</v>
      </c>
      <c r="J62" s="188">
        <f t="shared" ref="J62:Q62" si="35">+I62*(1+$V41)</f>
        <v>2.85</v>
      </c>
      <c r="K62" s="188">
        <f t="shared" si="35"/>
        <v>2.85</v>
      </c>
      <c r="L62" s="188">
        <f t="shared" si="35"/>
        <v>2.85</v>
      </c>
      <c r="M62" s="188">
        <f t="shared" si="35"/>
        <v>2.85</v>
      </c>
      <c r="N62" s="188">
        <f t="shared" si="35"/>
        <v>2.85</v>
      </c>
      <c r="O62" s="188">
        <f t="shared" si="35"/>
        <v>2.85</v>
      </c>
      <c r="P62" s="188">
        <f t="shared" si="35"/>
        <v>2.85</v>
      </c>
      <c r="Q62" s="188">
        <f t="shared" si="35"/>
        <v>2.85</v>
      </c>
      <c r="S62" s="37"/>
    </row>
    <row r="63" spans="2:24" ht="12.75" customHeight="1">
      <c r="C63" s="24" t="s">
        <v>369</v>
      </c>
      <c r="G63" s="37"/>
      <c r="H63" s="690">
        <f>IFERROR(SUMPRODUCT('Region Assumptions'!R10:R19,'Region Assumptions'!I10:I19)/SUM('Region Assumptions'!I10:I19),0)</f>
        <v>0</v>
      </c>
      <c r="I63" s="188">
        <f>+H63*(1+$V41)</f>
        <v>0</v>
      </c>
      <c r="J63" s="188">
        <f t="shared" ref="J63:Q63" si="36">+I63*(1+$V41)</f>
        <v>0</v>
      </c>
      <c r="K63" s="188">
        <f t="shared" si="36"/>
        <v>0</v>
      </c>
      <c r="L63" s="188">
        <f t="shared" si="36"/>
        <v>0</v>
      </c>
      <c r="M63" s="188">
        <f t="shared" si="36"/>
        <v>0</v>
      </c>
      <c r="N63" s="188">
        <f t="shared" si="36"/>
        <v>0</v>
      </c>
      <c r="O63" s="188">
        <f t="shared" si="36"/>
        <v>0</v>
      </c>
      <c r="P63" s="188">
        <f t="shared" si="36"/>
        <v>0</v>
      </c>
      <c r="Q63" s="188">
        <f t="shared" si="36"/>
        <v>0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37">+H$40*H57/1000</f>
        <v>34427.559407179637</v>
      </c>
      <c r="I65" s="55">
        <f t="shared" si="37"/>
        <v>34427.559407179637</v>
      </c>
      <c r="J65" s="55">
        <f t="shared" si="37"/>
        <v>34427.559407179637</v>
      </c>
      <c r="K65" s="55">
        <f t="shared" si="37"/>
        <v>34427.559407179637</v>
      </c>
      <c r="L65" s="55">
        <f t="shared" si="37"/>
        <v>34427.559407179637</v>
      </c>
      <c r="M65" s="55">
        <f t="shared" si="37"/>
        <v>34427.559407179637</v>
      </c>
      <c r="N65" s="55">
        <f t="shared" si="37"/>
        <v>34427.559407179637</v>
      </c>
      <c r="O65" s="55">
        <f t="shared" si="37"/>
        <v>34427.559407179637</v>
      </c>
      <c r="P65" s="55">
        <f t="shared" si="37"/>
        <v>34427.559407179637</v>
      </c>
      <c r="Q65" s="55">
        <f t="shared" si="37"/>
        <v>34427.559407179637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2125.4862499999999</v>
      </c>
      <c r="I66" s="56">
        <f t="shared" ref="I66:Q66" si="38">+I$41*I58/1000</f>
        <v>2125.4862499999999</v>
      </c>
      <c r="J66" s="56">
        <f t="shared" si="38"/>
        <v>2125.4862499999999</v>
      </c>
      <c r="K66" s="56">
        <f t="shared" si="38"/>
        <v>2125.4862499999999</v>
      </c>
      <c r="L66" s="56">
        <f t="shared" si="38"/>
        <v>2125.4862499999999</v>
      </c>
      <c r="M66" s="56">
        <f t="shared" si="38"/>
        <v>2125.4862499999999</v>
      </c>
      <c r="N66" s="56">
        <f t="shared" si="38"/>
        <v>2125.4862499999999</v>
      </c>
      <c r="O66" s="56">
        <f t="shared" si="38"/>
        <v>2125.4862499999999</v>
      </c>
      <c r="P66" s="56">
        <f t="shared" si="38"/>
        <v>2125.4862499999999</v>
      </c>
      <c r="Q66" s="56">
        <f t="shared" si="38"/>
        <v>2125.4862499999999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39">+H$40*H59/1000</f>
        <v>0</v>
      </c>
      <c r="I67" s="56">
        <f t="shared" si="39"/>
        <v>0</v>
      </c>
      <c r="J67" s="56">
        <f t="shared" si="39"/>
        <v>0</v>
      </c>
      <c r="K67" s="56">
        <f t="shared" si="39"/>
        <v>0</v>
      </c>
      <c r="L67" s="56">
        <f t="shared" si="39"/>
        <v>0</v>
      </c>
      <c r="M67" s="56">
        <f t="shared" si="39"/>
        <v>0</v>
      </c>
      <c r="N67" s="56">
        <f t="shared" si="39"/>
        <v>0</v>
      </c>
      <c r="O67" s="56">
        <f t="shared" si="39"/>
        <v>0</v>
      </c>
      <c r="P67" s="56">
        <f t="shared" si="39"/>
        <v>0</v>
      </c>
      <c r="Q67" s="56">
        <f t="shared" si="39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39"/>
        <v>0</v>
      </c>
      <c r="I68" s="56">
        <f t="shared" si="39"/>
        <v>0</v>
      </c>
      <c r="J68" s="56">
        <f t="shared" si="39"/>
        <v>0</v>
      </c>
      <c r="K68" s="56">
        <f t="shared" si="39"/>
        <v>0</v>
      </c>
      <c r="L68" s="56">
        <f t="shared" si="39"/>
        <v>0</v>
      </c>
      <c r="M68" s="56">
        <f t="shared" si="39"/>
        <v>0</v>
      </c>
      <c r="N68" s="56">
        <f t="shared" si="39"/>
        <v>0</v>
      </c>
      <c r="O68" s="56">
        <f t="shared" si="39"/>
        <v>0</v>
      </c>
      <c r="P68" s="56">
        <f t="shared" si="39"/>
        <v>0</v>
      </c>
      <c r="Q68" s="56">
        <f t="shared" si="39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17">
        <f>'Region Assumptions'!$C$6*'TOTAL FFU'!H45</f>
        <v>0</v>
      </c>
      <c r="I69" s="703">
        <f>'Region Assumptions'!$C$6*'TOTAL FFU'!I45</f>
        <v>0</v>
      </c>
      <c r="J69" s="703">
        <f>'Region Assumptions'!$C$6*'TOTAL FFU'!J45</f>
        <v>0</v>
      </c>
      <c r="K69" s="703">
        <f>'Region Assumptions'!$C$6*'TOTAL FFU'!K45</f>
        <v>0</v>
      </c>
      <c r="L69" s="703">
        <f>'Region Assumptions'!$C$6*'TOTAL FFU'!L45</f>
        <v>0</v>
      </c>
      <c r="M69" s="703">
        <f>'Region Assumptions'!$C$6*'TOTAL FFU'!M45</f>
        <v>0</v>
      </c>
      <c r="N69" s="703">
        <f>'Region Assumptions'!$C$6*'TOTAL FFU'!N45</f>
        <v>0</v>
      </c>
      <c r="O69" s="703">
        <f>'Region Assumptions'!$C$6*'TOTAL FFU'!O45</f>
        <v>0</v>
      </c>
      <c r="P69" s="703">
        <f>'Region Assumptions'!$C$6*'TOTAL FFU'!P45</f>
        <v>0</v>
      </c>
      <c r="Q69" s="703">
        <f>'Region Assumptions'!$C$6*'TOTAL FFU'!Q45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H61*365*SUM('Region Assumptions'!$G$10:$G$19)/1000</f>
        <v>0</v>
      </c>
      <c r="I70" s="434">
        <f>I61*365*SUM('Region Assumptions'!$G$10:$G$19)/1000</f>
        <v>0</v>
      </c>
      <c r="J70" s="434">
        <f>J61*365*SUM('Region Assumptions'!$G$10:$G$19)/1000</f>
        <v>0</v>
      </c>
      <c r="K70" s="434">
        <f>K61*365*SUM('Region Assumptions'!$G$10:$G$19)/1000</f>
        <v>0</v>
      </c>
      <c r="L70" s="434">
        <f>L61*365*SUM('Region Assumptions'!$G$10:$G$19)/1000</f>
        <v>0</v>
      </c>
      <c r="M70" s="434">
        <f>M61*365*SUM('Region Assumptions'!$G$10:$G$19)/1000</f>
        <v>0</v>
      </c>
      <c r="N70" s="434">
        <f>N61*365*SUM('Region Assumptions'!$G$10:$G$19)/1000</f>
        <v>0</v>
      </c>
      <c r="O70" s="434">
        <f>O61*365*SUM('Region Assumptions'!$G$10:$G$19)/1000</f>
        <v>0</v>
      </c>
      <c r="P70" s="434">
        <f>P61*365*SUM('Region Assumptions'!$G$10:$G$19)/1000</f>
        <v>0</v>
      </c>
      <c r="Q70" s="434">
        <f>Q61*365*SUM('Region Assumptions'!$G$10:$G$19)/1000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H62*365*SUM('Region Assumptions'!$H$10:$H$19)/1000</f>
        <v>6088.5832499999997</v>
      </c>
      <c r="I71" s="434">
        <f>I62*365*SUM('Region Assumptions'!$H$10:$H$19)/1000</f>
        <v>6088.5832499999997</v>
      </c>
      <c r="J71" s="434">
        <f>J62*365*SUM('Region Assumptions'!$H$10:$H$19)/1000</f>
        <v>6088.5832499999997</v>
      </c>
      <c r="K71" s="434">
        <f>K62*365*SUM('Region Assumptions'!$H$10:$H$19)/1000</f>
        <v>6088.5832499999997</v>
      </c>
      <c r="L71" s="434">
        <f>L62*365*SUM('Region Assumptions'!$H$10:$H$19)/1000</f>
        <v>6088.5832499999997</v>
      </c>
      <c r="M71" s="434">
        <f>M62*365*SUM('Region Assumptions'!$H$10:$H$19)/1000</f>
        <v>6088.5832499999997</v>
      </c>
      <c r="N71" s="434">
        <f>N62*365*SUM('Region Assumptions'!$H$10:$H$19)/1000</f>
        <v>6088.5832499999997</v>
      </c>
      <c r="O71" s="434">
        <f>O62*365*SUM('Region Assumptions'!$H$10:$H$19)/1000</f>
        <v>6088.5832499999997</v>
      </c>
      <c r="P71" s="434">
        <f>P62*365*SUM('Region Assumptions'!$H$10:$H$19)/1000</f>
        <v>6088.5832499999997</v>
      </c>
      <c r="Q71" s="434">
        <f>Q62*365*SUM('Region Assumptions'!$H$10:$H$19)/1000</f>
        <v>6088.5832499999997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H63*365*SUM('Region Assumptions'!$I$10:$I$19)/1000</f>
        <v>0</v>
      </c>
      <c r="I72" s="434">
        <f>I63*365*SUM('Region Assumptions'!$I$10:$I$19)/1000</f>
        <v>0</v>
      </c>
      <c r="J72" s="434">
        <f>J63*365*SUM('Region Assumptions'!$I$10:$I$19)/1000</f>
        <v>0</v>
      </c>
      <c r="K72" s="434">
        <f>K63*365*SUM('Region Assumptions'!$I$10:$I$19)/1000</f>
        <v>0</v>
      </c>
      <c r="L72" s="434">
        <f>L63*365*SUM('Region Assumptions'!$I$10:$I$19)/1000</f>
        <v>0</v>
      </c>
      <c r="M72" s="434">
        <f>M63*365*SUM('Region Assumptions'!$I$10:$I$19)/1000</f>
        <v>0</v>
      </c>
      <c r="N72" s="434">
        <f>N63*365*SUM('Region Assumptions'!$I$10:$I$19)/1000</f>
        <v>0</v>
      </c>
      <c r="O72" s="434">
        <f>O63*365*SUM('Region Assumptions'!$I$10:$I$19)/1000</f>
        <v>0</v>
      </c>
      <c r="P72" s="434">
        <f>P63*365*SUM('Region Assumptions'!$I$10:$I$19)/1000</f>
        <v>0</v>
      </c>
      <c r="Q72" s="434">
        <f>Q63*365*SUM('Region Assumptions'!$I$10:$I$19)/1000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COCP!H73+DCCP!H73+GCCP!H73+MCCP!H73+MWCP!H73+SACP!H73+PSW!H73+PNW!H73+Oakland!H73+NE!H73</f>
        <v>0</v>
      </c>
      <c r="I73" s="434">
        <f>COCP!I73+DCCP!I73+GCCP!I73+MCCP!I73+MWCP!I73+SACP!I73+PSW!I73+PNW!I73+Oakland!I73+NE!I73</f>
        <v>0</v>
      </c>
      <c r="J73" s="434">
        <f>COCP!J73+DCCP!J73+GCCP!J73+MCCP!J73+MWCP!J73+SACP!J73+PSW!J73+PNW!J73+Oakland!J73+NE!J73</f>
        <v>0</v>
      </c>
      <c r="K73" s="434">
        <f>COCP!K73+DCCP!K73+GCCP!K73+MCCP!K73+MWCP!K73+SACP!K73+PSW!K73+PNW!K73+Oakland!K73+NE!K73</f>
        <v>0</v>
      </c>
      <c r="L73" s="434">
        <f>COCP!L73+DCCP!L73+GCCP!L73+MCCP!L73+MWCP!L73+SACP!L73+PSW!L73+PNW!L73+Oakland!L73+NE!L73</f>
        <v>0</v>
      </c>
      <c r="M73" s="434">
        <f>COCP!M73+DCCP!M73+GCCP!M73+MCCP!M73+MWCP!M73+SACP!M73+PSW!M73+PNW!M73+Oakland!M73+NE!M73</f>
        <v>0</v>
      </c>
      <c r="N73" s="434">
        <f>COCP!N73+DCCP!N73+GCCP!N73+MCCP!N73+MWCP!N73+SACP!N73+PSW!N73+PNW!N73+Oakland!N73+NE!N73</f>
        <v>0</v>
      </c>
      <c r="O73" s="434">
        <f>COCP!O73+DCCP!O73+GCCP!O73+MCCP!O73+MWCP!O73+SACP!O73+PSW!O73+PNW!O73+Oakland!O73+NE!O73</f>
        <v>0</v>
      </c>
      <c r="P73" s="434">
        <f>COCP!P73+DCCP!P73+GCCP!P73+MCCP!P73+MWCP!P73+SACP!P73+PSW!P73+PNW!P73+Oakland!P73+NE!P73</f>
        <v>0</v>
      </c>
      <c r="Q73" s="434">
        <f>COCP!Q73+DCCP!Q73+GCCP!Q73+MCCP!Q73+MWCP!Q73+SACP!Q73+PSW!Q73+PNW!Q73+Oakland!Q73+NE!Q73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42641.628907179635</v>
      </c>
      <c r="I74" s="48">
        <f t="shared" ref="I74:Q74" si="40">SUM(I65:I73)</f>
        <v>42641.628907179635</v>
      </c>
      <c r="J74" s="48">
        <f t="shared" si="40"/>
        <v>42641.628907179635</v>
      </c>
      <c r="K74" s="48">
        <f t="shared" si="40"/>
        <v>42641.628907179635</v>
      </c>
      <c r="L74" s="48">
        <f t="shared" si="40"/>
        <v>42641.628907179635</v>
      </c>
      <c r="M74" s="48">
        <f t="shared" si="40"/>
        <v>42641.628907179635</v>
      </c>
      <c r="N74" s="48">
        <f t="shared" si="40"/>
        <v>42641.628907179635</v>
      </c>
      <c r="O74" s="48">
        <f t="shared" si="40"/>
        <v>42641.628907179635</v>
      </c>
      <c r="P74" s="48">
        <f t="shared" si="40"/>
        <v>42641.628907179635</v>
      </c>
      <c r="Q74" s="48">
        <f t="shared" si="40"/>
        <v>42641.628907179635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19234.053871341283</v>
      </c>
      <c r="I76" s="48">
        <f t="shared" ref="I76:Q76" si="41">+I45-I74</f>
        <v>19234.053871341283</v>
      </c>
      <c r="J76" s="48">
        <f t="shared" si="41"/>
        <v>19234.053871341283</v>
      </c>
      <c r="K76" s="48">
        <f t="shared" si="41"/>
        <v>19234.053871341283</v>
      </c>
      <c r="L76" s="48">
        <f t="shared" si="41"/>
        <v>19234.053871341283</v>
      </c>
      <c r="M76" s="48">
        <f t="shared" si="41"/>
        <v>19234.053871341283</v>
      </c>
      <c r="N76" s="48">
        <f t="shared" si="41"/>
        <v>19234.053871341283</v>
      </c>
      <c r="O76" s="48">
        <f t="shared" si="41"/>
        <v>19234.053871341283</v>
      </c>
      <c r="P76" s="48">
        <f t="shared" si="41"/>
        <v>19234.053871341283</v>
      </c>
      <c r="Q76" s="48">
        <f t="shared" si="41"/>
        <v>19234.053871341283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2">H76*1000/H40</f>
        <v>2.7240036514887547</v>
      </c>
      <c r="I77" s="37">
        <f t="shared" si="42"/>
        <v>2.7240036514887547</v>
      </c>
      <c r="J77" s="37">
        <f t="shared" si="42"/>
        <v>2.7240036514887547</v>
      </c>
      <c r="K77" s="37">
        <f t="shared" si="42"/>
        <v>2.7240036514887547</v>
      </c>
      <c r="L77" s="37">
        <f t="shared" si="42"/>
        <v>2.7240036514887547</v>
      </c>
      <c r="M77" s="37">
        <f t="shared" si="42"/>
        <v>2.7240036514887547</v>
      </c>
      <c r="N77" s="37">
        <f t="shared" si="42"/>
        <v>2.7240036514887547</v>
      </c>
      <c r="O77" s="37">
        <f t="shared" si="42"/>
        <v>2.7240036514887547</v>
      </c>
      <c r="P77" s="37">
        <f t="shared" si="42"/>
        <v>2.7240036514887547</v>
      </c>
      <c r="Q77" s="37">
        <f t="shared" si="42"/>
        <v>2.7240036514887547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3">H76*1000/H41</f>
        <v>2.2623121969550826</v>
      </c>
      <c r="I78" s="37">
        <f t="shared" si="43"/>
        <v>2.2623121969550826</v>
      </c>
      <c r="J78" s="37">
        <f t="shared" si="43"/>
        <v>2.2623121969550826</v>
      </c>
      <c r="K78" s="37">
        <f t="shared" si="43"/>
        <v>2.2623121969550826</v>
      </c>
      <c r="L78" s="37">
        <f t="shared" si="43"/>
        <v>2.2623121969550826</v>
      </c>
      <c r="M78" s="37">
        <f t="shared" si="43"/>
        <v>2.2623121969550826</v>
      </c>
      <c r="N78" s="37">
        <f t="shared" si="43"/>
        <v>2.2623121969550826</v>
      </c>
      <c r="O78" s="37">
        <f t="shared" si="43"/>
        <v>2.2623121969550826</v>
      </c>
      <c r="P78" s="37">
        <f t="shared" si="43"/>
        <v>2.2623121969550826</v>
      </c>
      <c r="Q78" s="37">
        <f t="shared" si="43"/>
        <v>2.2623121969550826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4">+H76/H45</f>
        <v>0.31084996573190227</v>
      </c>
      <c r="I79" s="57">
        <f t="shared" si="44"/>
        <v>0.31084996573190227</v>
      </c>
      <c r="J79" s="57">
        <f t="shared" si="44"/>
        <v>0.31084996573190227</v>
      </c>
      <c r="K79" s="57">
        <f t="shared" si="44"/>
        <v>0.31084996573190227</v>
      </c>
      <c r="L79" s="57">
        <f t="shared" si="44"/>
        <v>0.31084996573190227</v>
      </c>
      <c r="M79" s="57">
        <f t="shared" si="44"/>
        <v>0.31084996573190227</v>
      </c>
      <c r="N79" s="57">
        <f t="shared" si="44"/>
        <v>0.31084996573190227</v>
      </c>
      <c r="O79" s="57">
        <f t="shared" si="44"/>
        <v>0.31084996573190227</v>
      </c>
      <c r="P79" s="57">
        <f t="shared" si="44"/>
        <v>0.31084996573190227</v>
      </c>
      <c r="Q79" s="57">
        <f t="shared" si="44"/>
        <v>0.31084996573190227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COCP!G83+DCCP!G83+GCCP!G83+MCCP!G83+MWCP!G83+SACP!G83+PSW!G83+PNW!G83+Oakland!G83+NE!G83</f>
        <v>17440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IFERROR(SUMPRODUCT('Region Assumptions'!$M$10:$M$19,'Region Assumptions'!$F$10:$F$19)/SUM('Region Assumptions'!$F$10:$F$19),0)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718">
        <f>IFERROR(SUMPRODUCT('Region Assumptions'!$N$10:$N$19,'Region Assumptions'!$F$10:$F$19)/SUM('Region Assumptions'!$F$10:$F$19),0)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69760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Assumptions'!$X$10</f>
        <v>0.1</v>
      </c>
      <c r="G88" s="49">
        <f>F88*G87</f>
        <v>6976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76736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5">
        <f>COCP!G90+DCCP!G90+GCCP!G90+MCCP!G90+MWCP!G90+SACP!G90+PSW!G90+PNW!G90+Oakland!G90+NE!G90</f>
        <v>2536.6000000000004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COCP!G91+DCCP!G91+GCCP!G91+MCCP!G91+MWCP!G91+SACP!G91+PSW!G91+PNW!G91+Oakland!G91+NE!G91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COCP!G92+DCCP!G92+GCCP!G92+MCCP!G92+MWCP!G92+SACP!G92+PSW!G92+PNW!G92+Oakland!G92+NE!G92</f>
        <v>569.4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COCP!G93+DCCP!G93+GCCP!G93+MCCP!G93+MWCP!G93+SACP!G93+PSW!G93+PNW!G93+Oakland!G93+NE!G93</f>
        <v>3924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3093.7841389260461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COCP!G95+DCCP!G95+GCCP!G95+MCCP!G95+MWCP!G95+SACP!G95+PSW!G95+PNW!G95+Oakland!G95+NE!G95</f>
        <v>3219.1500000000005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COCP!G96+DCCP!G96+GCCP!G96+MCCP!G96+MWCP!G96+SACP!G96+PSW!G96+PNW!G96+Oakland!G96+NE!G96</f>
        <v>534.09554920375672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12808.838589722291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89544.838589722291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4.6555364349448967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5">G21</f>
        <v>0</v>
      </c>
      <c r="H104" s="201">
        <f t="shared" si="45"/>
        <v>1</v>
      </c>
      <c r="I104" s="201">
        <f t="shared" si="45"/>
        <v>2</v>
      </c>
      <c r="J104" s="201">
        <f t="shared" si="45"/>
        <v>3</v>
      </c>
      <c r="K104" s="201">
        <f t="shared" si="45"/>
        <v>4</v>
      </c>
      <c r="L104" s="201">
        <f t="shared" si="45"/>
        <v>5</v>
      </c>
      <c r="M104" s="201">
        <f t="shared" si="45"/>
        <v>6</v>
      </c>
      <c r="N104" s="201">
        <f t="shared" si="45"/>
        <v>7</v>
      </c>
      <c r="O104" s="201">
        <f t="shared" si="45"/>
        <v>8</v>
      </c>
      <c r="P104" s="201">
        <f t="shared" si="45"/>
        <v>9</v>
      </c>
      <c r="Q104" s="201">
        <f t="shared" si="45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-86451.054450796248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Pending'!L12,'TOTAL FFU'!G86)/1000</f>
        <v>43600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6">H76</f>
        <v>19234.053871341283</v>
      </c>
      <c r="I108" s="22">
        <f t="shared" si="46"/>
        <v>19234.053871341283</v>
      </c>
      <c r="J108" s="22">
        <f t="shared" si="46"/>
        <v>19234.053871341283</v>
      </c>
      <c r="K108" s="22">
        <f t="shared" si="46"/>
        <v>19234.053871341283</v>
      </c>
      <c r="L108" s="22">
        <f t="shared" si="46"/>
        <v>19234.053871341283</v>
      </c>
      <c r="M108" s="22">
        <f t="shared" si="46"/>
        <v>19234.053871341283</v>
      </c>
      <c r="N108" s="22">
        <f t="shared" si="46"/>
        <v>19234.053871341283</v>
      </c>
      <c r="O108" s="22">
        <f t="shared" si="46"/>
        <v>19234.053871341283</v>
      </c>
      <c r="P108" s="22">
        <f t="shared" si="46"/>
        <v>19234.053871341283</v>
      </c>
      <c r="Q108" s="22">
        <f t="shared" si="46"/>
        <v>19234.053871341283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-16671.454062374039</v>
      </c>
      <c r="I109" s="72">
        <f>'Region Assumptions'!$C$4*($G$105+$G$94)/5</f>
        <v>-16671.454062374039</v>
      </c>
      <c r="J109" s="72">
        <f>'Region Assumptions'!$C$4*($G$105+$G$94)/5</f>
        <v>-16671.454062374039</v>
      </c>
      <c r="K109" s="72">
        <f>'Region Assumptions'!$C$4*($G$105+$G$94)/5</f>
        <v>-16671.454062374039</v>
      </c>
      <c r="L109" s="72">
        <f>'Region Assumptions'!$C$4*($G$105+$G$94)/5</f>
        <v>-16671.454062374039</v>
      </c>
      <c r="M109" s="72">
        <f t="shared" ref="M109:Q109" si="47">IF($H$109=0,IF(M104&lt;7,$H$105/5,0),IF(M104&lt;6,L109,0))</f>
        <v>0</v>
      </c>
      <c r="N109" s="72">
        <f t="shared" si="47"/>
        <v>0</v>
      </c>
      <c r="O109" s="72">
        <f t="shared" si="47"/>
        <v>0</v>
      </c>
      <c r="P109" s="72">
        <f t="shared" si="47"/>
        <v>0</v>
      </c>
      <c r="Q109" s="72">
        <f t="shared" si="47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48">SUM(H108:H109)</f>
        <v>2562.599808967243</v>
      </c>
      <c r="I110" s="73">
        <f t="shared" si="48"/>
        <v>2562.599808967243</v>
      </c>
      <c r="J110" s="73">
        <f t="shared" si="48"/>
        <v>2562.599808967243</v>
      </c>
      <c r="K110" s="73">
        <f t="shared" si="48"/>
        <v>2562.599808967243</v>
      </c>
      <c r="L110" s="73">
        <f t="shared" si="48"/>
        <v>2562.599808967243</v>
      </c>
      <c r="M110" s="73">
        <f t="shared" si="48"/>
        <v>19234.053871341283</v>
      </c>
      <c r="N110" s="73">
        <f t="shared" si="48"/>
        <v>19234.053871341283</v>
      </c>
      <c r="O110" s="73">
        <f t="shared" si="48"/>
        <v>19234.053871341283</v>
      </c>
      <c r="P110" s="73">
        <f t="shared" si="48"/>
        <v>19234.053871341283</v>
      </c>
      <c r="Q110" s="73">
        <f t="shared" si="48"/>
        <v>19234.053871341283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49">MIN(-H110*$E111,0)</f>
        <v>-1025.0399235868972</v>
      </c>
      <c r="I111" s="72">
        <f t="shared" si="49"/>
        <v>-1025.0399235868972</v>
      </c>
      <c r="J111" s="72">
        <f t="shared" si="49"/>
        <v>-1025.0399235868972</v>
      </c>
      <c r="K111" s="72">
        <f t="shared" si="49"/>
        <v>-1025.0399235868972</v>
      </c>
      <c r="L111" s="72">
        <f t="shared" si="49"/>
        <v>-1025.0399235868972</v>
      </c>
      <c r="M111" s="72">
        <f t="shared" si="49"/>
        <v>-7693.6215485365137</v>
      </c>
      <c r="N111" s="72">
        <f t="shared" si="49"/>
        <v>-7693.6215485365137</v>
      </c>
      <c r="O111" s="72">
        <f t="shared" si="49"/>
        <v>-7693.6215485365137</v>
      </c>
      <c r="P111" s="72">
        <f t="shared" si="49"/>
        <v>-7693.6215485365137</v>
      </c>
      <c r="Q111" s="72">
        <f t="shared" si="49"/>
        <v>-7693.6215485365137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0">SUM(H108:H108,H111)</f>
        <v>18209.013947754385</v>
      </c>
      <c r="I112" s="72">
        <f t="shared" si="50"/>
        <v>18209.013947754385</v>
      </c>
      <c r="J112" s="72">
        <f t="shared" si="50"/>
        <v>18209.013947754385</v>
      </c>
      <c r="K112" s="72">
        <f t="shared" si="50"/>
        <v>18209.013947754385</v>
      </c>
      <c r="L112" s="72">
        <f t="shared" si="50"/>
        <v>18209.013947754385</v>
      </c>
      <c r="M112" s="72">
        <f t="shared" si="50"/>
        <v>11540.432322804769</v>
      </c>
      <c r="N112" s="72">
        <f t="shared" si="50"/>
        <v>11540.432322804769</v>
      </c>
      <c r="O112" s="72">
        <f t="shared" si="50"/>
        <v>11540.432322804769</v>
      </c>
      <c r="P112" s="72">
        <f t="shared" si="50"/>
        <v>11540.432322804769</v>
      </c>
      <c r="Q112" s="72">
        <f t="shared" si="50"/>
        <v>11540.432322804769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-3093.7841389260461</v>
      </c>
      <c r="I113" s="72">
        <f t="shared" ref="I113:Q113" si="51">$E113*(H45-I45)</f>
        <v>0</v>
      </c>
      <c r="J113" s="72">
        <f t="shared" si="51"/>
        <v>0</v>
      </c>
      <c r="K113" s="72">
        <f t="shared" si="51"/>
        <v>0</v>
      </c>
      <c r="L113" s="72">
        <f t="shared" si="51"/>
        <v>0</v>
      </c>
      <c r="M113" s="72">
        <f t="shared" si="51"/>
        <v>0</v>
      </c>
      <c r="N113" s="72">
        <f t="shared" si="51"/>
        <v>0</v>
      </c>
      <c r="O113" s="72">
        <f t="shared" si="51"/>
        <v>0</v>
      </c>
      <c r="P113" s="72">
        <f t="shared" si="51"/>
        <v>0</v>
      </c>
      <c r="Q113" s="72">
        <f t="shared" si="51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2">+H114</f>
        <v>0</v>
      </c>
      <c r="J114" s="72">
        <f t="shared" si="52"/>
        <v>0</v>
      </c>
      <c r="K114" s="72">
        <f t="shared" si="52"/>
        <v>0</v>
      </c>
      <c r="L114" s="72">
        <f t="shared" si="52"/>
        <v>0</v>
      </c>
      <c r="M114" s="72">
        <f t="shared" si="52"/>
        <v>0</v>
      </c>
      <c r="N114" s="72">
        <f t="shared" si="52"/>
        <v>0</v>
      </c>
      <c r="O114" s="72">
        <f t="shared" si="52"/>
        <v>0</v>
      </c>
      <c r="P114" s="72">
        <f t="shared" si="52"/>
        <v>0</v>
      </c>
      <c r="Q114" s="72">
        <f t="shared" si="52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3">SUM(H112:H114)</f>
        <v>15115.229808828339</v>
      </c>
      <c r="I115" s="75">
        <f t="shared" si="53"/>
        <v>18209.013947754385</v>
      </c>
      <c r="J115" s="75">
        <f t="shared" si="53"/>
        <v>18209.013947754385</v>
      </c>
      <c r="K115" s="75">
        <f t="shared" si="53"/>
        <v>18209.013947754385</v>
      </c>
      <c r="L115" s="75">
        <f t="shared" si="53"/>
        <v>18209.013947754385</v>
      </c>
      <c r="M115" s="75">
        <f t="shared" si="53"/>
        <v>11540.432322804769</v>
      </c>
      <c r="N115" s="75">
        <f t="shared" si="53"/>
        <v>11540.432322804769</v>
      </c>
      <c r="O115" s="75">
        <f t="shared" si="53"/>
        <v>11540.432322804769</v>
      </c>
      <c r="P115" s="75">
        <f t="shared" si="53"/>
        <v>11540.432322804769</v>
      </c>
      <c r="Q115" s="75">
        <f t="shared" si="53"/>
        <v>11540.432322804769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4">+G105+G106+G115</f>
        <v>-86451.054450796248</v>
      </c>
      <c r="H117" s="70">
        <f t="shared" si="54"/>
        <v>15115.229808828339</v>
      </c>
      <c r="I117" s="70">
        <f t="shared" si="54"/>
        <v>18209.013947754385</v>
      </c>
      <c r="J117" s="70">
        <f t="shared" si="54"/>
        <v>18209.013947754385</v>
      </c>
      <c r="K117" s="70">
        <f t="shared" si="54"/>
        <v>18209.013947754385</v>
      </c>
      <c r="L117" s="70">
        <f t="shared" si="54"/>
        <v>18209.013947754385</v>
      </c>
      <c r="M117" s="70">
        <f t="shared" si="54"/>
        <v>11540.432322804769</v>
      </c>
      <c r="N117" s="70">
        <f t="shared" si="54"/>
        <v>11540.432322804769</v>
      </c>
      <c r="O117" s="70">
        <f t="shared" si="54"/>
        <v>11540.432322804769</v>
      </c>
      <c r="P117" s="70">
        <f t="shared" si="54"/>
        <v>11540.432322804769</v>
      </c>
      <c r="Q117" s="70">
        <f t="shared" si="54"/>
        <v>55140.432322804772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0.15532278991054027</v>
      </c>
      <c r="F119" s="70">
        <f>+NPV(0.12,G117:Q117)</f>
        <v>12561.9930453589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5">G104</f>
        <v>0</v>
      </c>
      <c r="H121" s="201">
        <f t="shared" si="55"/>
        <v>1</v>
      </c>
      <c r="I121" s="201">
        <f t="shared" si="55"/>
        <v>2</v>
      </c>
      <c r="J121" s="201">
        <f t="shared" si="55"/>
        <v>3</v>
      </c>
      <c r="K121" s="201">
        <f t="shared" si="55"/>
        <v>4</v>
      </c>
      <c r="L121" s="201">
        <f t="shared" si="55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5"/>
        <v>-86451.054450796248</v>
      </c>
      <c r="H122" s="70">
        <f t="shared" si="55"/>
        <v>0</v>
      </c>
      <c r="I122" s="70">
        <f t="shared" si="55"/>
        <v>0</v>
      </c>
      <c r="J122" s="70">
        <f t="shared" si="55"/>
        <v>0</v>
      </c>
      <c r="K122" s="70">
        <f t="shared" si="55"/>
        <v>0</v>
      </c>
      <c r="L122" s="70">
        <f t="shared" si="55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96170.269356706413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6">H108</f>
        <v>19234.053871341283</v>
      </c>
      <c r="I125" s="22">
        <f t="shared" si="56"/>
        <v>19234.053871341283</v>
      </c>
      <c r="J125" s="22">
        <f t="shared" si="56"/>
        <v>19234.053871341283</v>
      </c>
      <c r="K125" s="22">
        <f t="shared" si="56"/>
        <v>19234.053871341283</v>
      </c>
      <c r="L125" s="22">
        <f t="shared" si="56"/>
        <v>19234.053871341283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6"/>
        <v>-16671.454062374039</v>
      </c>
      <c r="I126" s="72">
        <f t="shared" si="56"/>
        <v>-16671.454062374039</v>
      </c>
      <c r="J126" s="72">
        <f t="shared" si="56"/>
        <v>-16671.454062374039</v>
      </c>
      <c r="K126" s="72">
        <f t="shared" si="56"/>
        <v>-16671.454062374039</v>
      </c>
      <c r="L126" s="72">
        <f t="shared" si="56"/>
        <v>-16671.454062374039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2562.599808967243</v>
      </c>
      <c r="I127" s="73">
        <f>SUM(I125:I126)</f>
        <v>2562.599808967243</v>
      </c>
      <c r="J127" s="73">
        <f>SUM(J125:J126)</f>
        <v>2562.599808967243</v>
      </c>
      <c r="K127" s="73">
        <f>SUM(K125:K126)</f>
        <v>2562.599808967243</v>
      </c>
      <c r="L127" s="73">
        <f>SUM(L125:L126)</f>
        <v>2562.599808967243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57">MIN(-H127*$E128,0)</f>
        <v>-1025.0399235868972</v>
      </c>
      <c r="I128" s="72">
        <f t="shared" si="57"/>
        <v>-1025.0399235868972</v>
      </c>
      <c r="J128" s="72">
        <f t="shared" si="57"/>
        <v>-1025.0399235868972</v>
      </c>
      <c r="K128" s="72">
        <f t="shared" si="57"/>
        <v>-1025.0399235868972</v>
      </c>
      <c r="L128" s="72">
        <f t="shared" si="57"/>
        <v>-1025.0399235868972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18209.013947754385</v>
      </c>
      <c r="I129" s="72">
        <f>SUM(I125:I125,I128)</f>
        <v>18209.013947754385</v>
      </c>
      <c r="J129" s="72">
        <f>SUM(J125:J125,J128)</f>
        <v>18209.013947754385</v>
      </c>
      <c r="K129" s="72">
        <f>SUM(K125:K125,K128)</f>
        <v>18209.013947754385</v>
      </c>
      <c r="L129" s="72">
        <f>SUM(L125:L125,L128)</f>
        <v>18209.013947754385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58">H113</f>
        <v>-3093.7841389260461</v>
      </c>
      <c r="I130" s="72">
        <f t="shared" si="58"/>
        <v>0</v>
      </c>
      <c r="J130" s="72">
        <f t="shared" si="58"/>
        <v>0</v>
      </c>
      <c r="K130" s="72">
        <f t="shared" si="58"/>
        <v>0</v>
      </c>
      <c r="L130" s="72">
        <f t="shared" si="58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58"/>
        <v>0</v>
      </c>
      <c r="I131" s="72">
        <f t="shared" si="58"/>
        <v>0</v>
      </c>
      <c r="J131" s="72">
        <f t="shared" si="58"/>
        <v>0</v>
      </c>
      <c r="K131" s="72">
        <f t="shared" si="58"/>
        <v>0</v>
      </c>
      <c r="L131" s="72">
        <f t="shared" si="58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15115.229808828339</v>
      </c>
      <c r="I132" s="73">
        <f>SUM(I129:I131)</f>
        <v>18209.013947754385</v>
      </c>
      <c r="J132" s="73">
        <f>SUM(J129:J131)</f>
        <v>18209.013947754385</v>
      </c>
      <c r="K132" s="73">
        <f>SUM(K129:K131)</f>
        <v>18209.013947754385</v>
      </c>
      <c r="L132" s="73">
        <f>SUM(L129:L131)</f>
        <v>18209.013947754385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59">+G122+G123+G132</f>
        <v>-86451.054450796248</v>
      </c>
      <c r="H134" s="70">
        <f t="shared" si="59"/>
        <v>15115.229808828339</v>
      </c>
      <c r="I134" s="70">
        <f t="shared" si="59"/>
        <v>18209.013947754385</v>
      </c>
      <c r="J134" s="70">
        <f t="shared" si="59"/>
        <v>18209.013947754385</v>
      </c>
      <c r="K134" s="70">
        <f t="shared" si="59"/>
        <v>18209.013947754385</v>
      </c>
      <c r="L134" s="70">
        <f t="shared" si="59"/>
        <v>114379.2833044608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0.21511639092550294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  <ignoredErrors>
    <ignoredError sqref="H62:H63" formulaRange="1"/>
    <ignoredError sqref="H66:Q6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A152"/>
  <sheetViews>
    <sheetView showGridLines="0" tabSelected="1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452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749465.84331022855</v>
      </c>
      <c r="H7" s="184">
        <f t="shared" ref="H7:Q7" si="1">$G$9*H11*(1-$G$12)</f>
        <v>749465.84331022855</v>
      </c>
      <c r="I7" s="184">
        <f t="shared" si="1"/>
        <v>749465.84331022855</v>
      </c>
      <c r="J7" s="184">
        <f t="shared" si="1"/>
        <v>749465.84331022855</v>
      </c>
      <c r="K7" s="184">
        <f t="shared" si="1"/>
        <v>749465.84331022855</v>
      </c>
      <c r="L7" s="184">
        <f t="shared" si="1"/>
        <v>749465.84331022855</v>
      </c>
      <c r="M7" s="184">
        <f t="shared" si="1"/>
        <v>749465.84331022855</v>
      </c>
      <c r="N7" s="184">
        <f t="shared" si="1"/>
        <v>749465.84331022855</v>
      </c>
      <c r="O7" s="184">
        <f t="shared" si="1"/>
        <v>749465.84331022855</v>
      </c>
      <c r="P7" s="184">
        <f t="shared" si="1"/>
        <v>749465.84331022855</v>
      </c>
      <c r="Q7" s="184">
        <f t="shared" si="1"/>
        <v>749465.84331022855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100750.65505645161</v>
      </c>
      <c r="H8" s="184">
        <f t="shared" si="2"/>
        <v>100750.65505645161</v>
      </c>
      <c r="I8" s="184">
        <f t="shared" si="2"/>
        <v>100750.65505645161</v>
      </c>
      <c r="J8" s="184">
        <f t="shared" si="2"/>
        <v>100750.65505645161</v>
      </c>
      <c r="K8" s="184">
        <f t="shared" si="2"/>
        <v>100750.65505645161</v>
      </c>
      <c r="L8" s="184">
        <f t="shared" si="2"/>
        <v>100750.65505645161</v>
      </c>
      <c r="M8" s="184">
        <f t="shared" si="2"/>
        <v>100750.65505645161</v>
      </c>
      <c r="N8" s="184">
        <f t="shared" si="2"/>
        <v>100750.65505645161</v>
      </c>
      <c r="O8" s="184">
        <f t="shared" si="2"/>
        <v>100750.65505645161</v>
      </c>
      <c r="P8" s="184">
        <f t="shared" si="2"/>
        <v>100750.65505645161</v>
      </c>
      <c r="Q8" s="184">
        <f t="shared" si="2"/>
        <v>100750.65505645161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Assumptions'!$K$10*365</f>
        <v>850216.49836668023</v>
      </c>
      <c r="H9" s="268">
        <f t="shared" ref="H9:Q9" si="3">G9</f>
        <v>850216.49836668023</v>
      </c>
      <c r="I9" s="268">
        <f t="shared" si="3"/>
        <v>850216.49836668023</v>
      </c>
      <c r="J9" s="268">
        <f t="shared" si="3"/>
        <v>850216.49836668023</v>
      </c>
      <c r="K9" s="268">
        <f t="shared" si="3"/>
        <v>850216.49836668023</v>
      </c>
      <c r="L9" s="268">
        <f t="shared" si="3"/>
        <v>850216.49836668023</v>
      </c>
      <c r="M9" s="268">
        <f t="shared" si="3"/>
        <v>850216.49836668023</v>
      </c>
      <c r="N9" s="268">
        <f t="shared" si="3"/>
        <v>850216.49836668023</v>
      </c>
      <c r="O9" s="268">
        <f t="shared" si="3"/>
        <v>850216.49836668023</v>
      </c>
      <c r="P9" s="268">
        <f>O9</f>
        <v>850216.49836668023</v>
      </c>
      <c r="Q9" s="268">
        <f t="shared" si="3"/>
        <v>850216.49836668023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Assumptions'!$AE$10</f>
        <v>0</v>
      </c>
      <c r="I10" s="438">
        <f>H10+'Region Assumptions'!$AE$10</f>
        <v>0</v>
      </c>
      <c r="J10" s="438">
        <f>I10+'Region Assumptions'!$AE$10</f>
        <v>0</v>
      </c>
      <c r="K10" s="438">
        <f>J10+'Region Assumptions'!$AE$10</f>
        <v>0</v>
      </c>
      <c r="L10" s="438">
        <f>K10+'Region Assumptions'!$AE$10</f>
        <v>0</v>
      </c>
      <c r="M10" s="438">
        <f>L10+'Region Assumptions'!$AE$10</f>
        <v>0</v>
      </c>
      <c r="N10" s="438">
        <f>M10+'Region Assumptions'!$AE$10</f>
        <v>0</v>
      </c>
      <c r="O10" s="438">
        <f>N10+'Region Assumptions'!$AE$10</f>
        <v>0</v>
      </c>
      <c r="P10" s="438">
        <f>O10+'Region Assumptions'!$AE$10</f>
        <v>0</v>
      </c>
      <c r="Q10" s="438">
        <f>P10+'Region Assumptions'!$AE$10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Assumptions'!$Y$10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0.82396896692527555</v>
      </c>
      <c r="I13" s="269">
        <f t="shared" ref="I13:Q13" si="6">I9/I23/365</f>
        <v>0.82396896692527555</v>
      </c>
      <c r="J13" s="269">
        <f t="shared" si="6"/>
        <v>0.82396896692527555</v>
      </c>
      <c r="K13" s="269">
        <f t="shared" si="6"/>
        <v>0.82396896692527555</v>
      </c>
      <c r="L13" s="269">
        <f t="shared" si="6"/>
        <v>0.82396896692527555</v>
      </c>
      <c r="M13" s="269">
        <f t="shared" si="6"/>
        <v>0.82396896692527555</v>
      </c>
      <c r="N13" s="269">
        <f t="shared" si="6"/>
        <v>0.82396896692527555</v>
      </c>
      <c r="O13" s="269">
        <f t="shared" si="6"/>
        <v>0.82396896692527555</v>
      </c>
      <c r="P13" s="269">
        <f t="shared" si="6"/>
        <v>0.82396896692527555</v>
      </c>
      <c r="Q13" s="269">
        <f t="shared" si="6"/>
        <v>0.82396896692527555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3346.6894983239981</v>
      </c>
      <c r="F17" s="203">
        <f>F18*$H$17/1000</f>
        <v>212.55412459167002</v>
      </c>
      <c r="G17" s="203">
        <f>G18*$H$17/1000</f>
        <v>0</v>
      </c>
      <c r="H17" s="204">
        <f>H40</f>
        <v>850216.49836668011</v>
      </c>
      <c r="I17" s="204">
        <f>H23*365</f>
        <v>1031855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Assumptions'!$Z$10</f>
        <v>3.93627917683696</v>
      </c>
      <c r="F18" s="690">
        <f>'Region Assumptions'!$AB$10</f>
        <v>0.25</v>
      </c>
      <c r="G18" s="690">
        <f>'Region Assumptions'!$AA$10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3.2433718868678239</v>
      </c>
      <c r="F19" s="188">
        <f>F17/$I17*1000</f>
        <v>0.20599224173131886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Assumptions'!$F$10+'Region Assumptions'!$G$10+'Region Assumptions'!$H$10</f>
        <v>2827</v>
      </c>
      <c r="I23" s="184">
        <f>H23</f>
        <v>2827</v>
      </c>
      <c r="J23" s="184">
        <f t="shared" ref="J23:Q23" si="8">I23</f>
        <v>2827</v>
      </c>
      <c r="K23" s="184">
        <f t="shared" si="8"/>
        <v>2827</v>
      </c>
      <c r="L23" s="184">
        <f t="shared" si="8"/>
        <v>2827</v>
      </c>
      <c r="M23" s="184">
        <f t="shared" si="8"/>
        <v>2827</v>
      </c>
      <c r="N23" s="184">
        <f t="shared" si="8"/>
        <v>2827</v>
      </c>
      <c r="O23" s="184">
        <f t="shared" si="8"/>
        <v>2827</v>
      </c>
      <c r="P23" s="184">
        <f t="shared" si="8"/>
        <v>2827</v>
      </c>
      <c r="Q23" s="184">
        <f t="shared" si="8"/>
        <v>2827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2196.6984407499995</v>
      </c>
      <c r="I25" s="28">
        <f t="shared" ref="I25:Q25" si="10">I32/365/I13*(1-I12)</f>
        <v>2196.6984407499995</v>
      </c>
      <c r="J25" s="28">
        <f t="shared" si="10"/>
        <v>2196.6984407499995</v>
      </c>
      <c r="K25" s="28">
        <f t="shared" si="10"/>
        <v>2196.6984407499995</v>
      </c>
      <c r="L25" s="28">
        <f t="shared" si="10"/>
        <v>2196.6984407499995</v>
      </c>
      <c r="M25" s="28">
        <f t="shared" si="10"/>
        <v>2196.6984407499995</v>
      </c>
      <c r="N25" s="28">
        <f t="shared" si="10"/>
        <v>2196.6984407499995</v>
      </c>
      <c r="O25" s="28">
        <f t="shared" si="10"/>
        <v>2196.6984407499995</v>
      </c>
      <c r="P25" s="28">
        <f t="shared" si="10"/>
        <v>2196.6984407499995</v>
      </c>
      <c r="Q25" s="28">
        <f t="shared" si="10"/>
        <v>2196.6984407499995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276.02919193548388</v>
      </c>
      <c r="I26" s="28">
        <f t="shared" ref="I26:Q26" si="11">I36/365</f>
        <v>276.02919193548388</v>
      </c>
      <c r="J26" s="28">
        <f t="shared" si="11"/>
        <v>276.02919193548388</v>
      </c>
      <c r="K26" s="28">
        <f t="shared" si="11"/>
        <v>276.02919193548388</v>
      </c>
      <c r="L26" s="28">
        <f t="shared" si="11"/>
        <v>276.02919193548388</v>
      </c>
      <c r="M26" s="28">
        <f t="shared" si="11"/>
        <v>276.02919193548388</v>
      </c>
      <c r="N26" s="28">
        <f t="shared" si="11"/>
        <v>276.02919193548388</v>
      </c>
      <c r="O26" s="28">
        <f t="shared" si="11"/>
        <v>276.02919193548388</v>
      </c>
      <c r="P26" s="28">
        <f t="shared" si="11"/>
        <v>276.02919193548388</v>
      </c>
      <c r="Q26" s="28">
        <f t="shared" si="11"/>
        <v>276.02919193548388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Assumptions'!$AD$10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749465.84331022855</v>
      </c>
      <c r="I32" s="28">
        <f t="shared" si="15"/>
        <v>749465.84331022855</v>
      </c>
      <c r="J32" s="28">
        <f t="shared" si="15"/>
        <v>749465.84331022855</v>
      </c>
      <c r="K32" s="28">
        <f t="shared" si="15"/>
        <v>749465.84331022855</v>
      </c>
      <c r="L32" s="28">
        <f t="shared" si="15"/>
        <v>749465.84331022855</v>
      </c>
      <c r="M32" s="28">
        <f t="shared" si="15"/>
        <v>749465.84331022855</v>
      </c>
      <c r="N32" s="28">
        <f t="shared" si="15"/>
        <v>749465.84331022855</v>
      </c>
      <c r="O32" s="28">
        <f t="shared" si="15"/>
        <v>749465.84331022855</v>
      </c>
      <c r="P32" s="28">
        <f t="shared" si="15"/>
        <v>749465.84331022855</v>
      </c>
      <c r="Q32" s="28">
        <f t="shared" si="15"/>
        <v>749465.84331022855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9.2311010921569085</v>
      </c>
      <c r="I33" s="37">
        <f t="shared" ref="I33:Q33" si="16">+H33*(1+$V34)</f>
        <v>9.2311010921569085</v>
      </c>
      <c r="J33" s="37">
        <f t="shared" si="16"/>
        <v>9.2311010921569085</v>
      </c>
      <c r="K33" s="37">
        <f t="shared" si="16"/>
        <v>9.2311010921569085</v>
      </c>
      <c r="L33" s="37">
        <f t="shared" si="16"/>
        <v>9.2311010921569085</v>
      </c>
      <c r="M33" s="37">
        <f t="shared" si="16"/>
        <v>9.2311010921569085</v>
      </c>
      <c r="N33" s="37">
        <f t="shared" si="16"/>
        <v>9.2311010921569085</v>
      </c>
      <c r="O33" s="37">
        <f t="shared" si="16"/>
        <v>9.2311010921569085</v>
      </c>
      <c r="P33" s="37">
        <f t="shared" si="16"/>
        <v>9.2311010921569085</v>
      </c>
      <c r="Q33" s="37">
        <f t="shared" si="16"/>
        <v>9.2311010921569085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6918.3949647153495</v>
      </c>
      <c r="I34" s="49">
        <f t="shared" si="17"/>
        <v>6918.3949647153495</v>
      </c>
      <c r="J34" s="49">
        <f t="shared" si="17"/>
        <v>6918.3949647153495</v>
      </c>
      <c r="K34" s="49">
        <f t="shared" si="17"/>
        <v>6918.3949647153495</v>
      </c>
      <c r="L34" s="49">
        <f t="shared" si="17"/>
        <v>6918.3949647153495</v>
      </c>
      <c r="M34" s="49">
        <f t="shared" si="17"/>
        <v>6918.3949647153495</v>
      </c>
      <c r="N34" s="49">
        <f t="shared" si="17"/>
        <v>6918.3949647153495</v>
      </c>
      <c r="O34" s="49">
        <f t="shared" si="17"/>
        <v>6918.3949647153495</v>
      </c>
      <c r="P34" s="49">
        <f t="shared" si="17"/>
        <v>6918.3949647153495</v>
      </c>
      <c r="Q34" s="49">
        <f t="shared" si="17"/>
        <v>6918.3949647153495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100750.65505645161</v>
      </c>
      <c r="I36" s="28">
        <f t="shared" si="18"/>
        <v>100750.65505645161</v>
      </c>
      <c r="J36" s="28">
        <f t="shared" si="18"/>
        <v>100750.65505645161</v>
      </c>
      <c r="K36" s="28">
        <f t="shared" si="18"/>
        <v>100750.65505645161</v>
      </c>
      <c r="L36" s="28">
        <f t="shared" si="18"/>
        <v>100750.65505645161</v>
      </c>
      <c r="M36" s="28">
        <f t="shared" si="18"/>
        <v>100750.65505645161</v>
      </c>
      <c r="N36" s="28">
        <f t="shared" si="18"/>
        <v>100750.65505645161</v>
      </c>
      <c r="O36" s="28">
        <f t="shared" si="18"/>
        <v>100750.65505645161</v>
      </c>
      <c r="P36" s="28">
        <f t="shared" si="18"/>
        <v>100750.65505645161</v>
      </c>
      <c r="Q36" s="28">
        <f t="shared" si="18"/>
        <v>100750.65505645161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Assumptions'!$AC$10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850216.49836668011</v>
      </c>
      <c r="I40" s="28">
        <f t="shared" ref="I40:Q40" si="21">I28+I32+I36</f>
        <v>850216.49836668011</v>
      </c>
      <c r="J40" s="28">
        <f t="shared" si="21"/>
        <v>850216.49836668011</v>
      </c>
      <c r="K40" s="28">
        <f t="shared" si="21"/>
        <v>850216.49836668011</v>
      </c>
      <c r="L40" s="28">
        <f t="shared" si="21"/>
        <v>850216.49836668011</v>
      </c>
      <c r="M40" s="28">
        <f t="shared" si="21"/>
        <v>850216.49836668011</v>
      </c>
      <c r="N40" s="28">
        <f t="shared" si="21"/>
        <v>850216.49836668011</v>
      </c>
      <c r="O40" s="28">
        <f t="shared" si="21"/>
        <v>850216.49836668011</v>
      </c>
      <c r="P40" s="28">
        <f t="shared" si="21"/>
        <v>850216.49836668011</v>
      </c>
      <c r="Q40" s="28">
        <f t="shared" si="21"/>
        <v>850216.49836668011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1031855</v>
      </c>
      <c r="I41" s="28">
        <f t="shared" si="22"/>
        <v>1031855</v>
      </c>
      <c r="J41" s="28">
        <f t="shared" si="22"/>
        <v>1031855</v>
      </c>
      <c r="K41" s="28">
        <f t="shared" si="22"/>
        <v>1031855</v>
      </c>
      <c r="L41" s="28">
        <f t="shared" si="22"/>
        <v>1031855</v>
      </c>
      <c r="M41" s="28">
        <f t="shared" si="22"/>
        <v>1031855</v>
      </c>
      <c r="N41" s="28">
        <f t="shared" si="22"/>
        <v>1031855</v>
      </c>
      <c r="O41" s="28">
        <f t="shared" si="22"/>
        <v>1031855</v>
      </c>
      <c r="P41" s="28">
        <f t="shared" si="22"/>
        <v>1031855</v>
      </c>
      <c r="Q41" s="28">
        <f t="shared" si="22"/>
        <v>1031855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0.82396896692527544</v>
      </c>
      <c r="I42" s="34">
        <f t="shared" si="23"/>
        <v>0.82396896692527544</v>
      </c>
      <c r="J42" s="34">
        <f t="shared" si="23"/>
        <v>0.82396896692527544</v>
      </c>
      <c r="K42" s="34">
        <f t="shared" si="23"/>
        <v>0.82396896692527544</v>
      </c>
      <c r="L42" s="34">
        <f t="shared" si="23"/>
        <v>0.82396896692527544</v>
      </c>
      <c r="M42" s="34">
        <f t="shared" si="23"/>
        <v>0.82396896692527544</v>
      </c>
      <c r="N42" s="34">
        <f t="shared" si="23"/>
        <v>0.82396896692527544</v>
      </c>
      <c r="O42" s="34">
        <f t="shared" si="23"/>
        <v>0.82396896692527544</v>
      </c>
      <c r="P42" s="34">
        <f t="shared" si="23"/>
        <v>0.82396896692527544</v>
      </c>
      <c r="Q42" s="34">
        <f t="shared" si="23"/>
        <v>0.82396896692527544</v>
      </c>
      <c r="S42" s="34"/>
      <c r="V42" s="45"/>
    </row>
    <row r="43" spans="2:24">
      <c r="C43" s="24" t="s">
        <v>46</v>
      </c>
      <c r="G43" s="34"/>
      <c r="H43" s="34">
        <f>(H28+H32)/H41</f>
        <v>0.7263286443446304</v>
      </c>
      <c r="I43" s="34">
        <f t="shared" ref="I43:Q43" si="24">(I28+I32)/I41</f>
        <v>0.7263286443446304</v>
      </c>
      <c r="J43" s="34">
        <f t="shared" si="24"/>
        <v>0.7263286443446304</v>
      </c>
      <c r="K43" s="34">
        <f t="shared" si="24"/>
        <v>0.7263286443446304</v>
      </c>
      <c r="L43" s="34">
        <f t="shared" si="24"/>
        <v>0.7263286443446304</v>
      </c>
      <c r="M43" s="34">
        <f t="shared" si="24"/>
        <v>0.7263286443446304</v>
      </c>
      <c r="N43" s="34">
        <f t="shared" si="24"/>
        <v>0.7263286443446304</v>
      </c>
      <c r="O43" s="34">
        <f t="shared" si="24"/>
        <v>0.7263286443446304</v>
      </c>
      <c r="P43" s="34">
        <f t="shared" si="24"/>
        <v>0.7263286443446304</v>
      </c>
      <c r="Q43" s="34">
        <f t="shared" si="24"/>
        <v>0.7263286443446304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6918.3949647153495</v>
      </c>
      <c r="I45" s="48">
        <f t="shared" si="25"/>
        <v>6918.3949647153495</v>
      </c>
      <c r="J45" s="48">
        <f t="shared" si="25"/>
        <v>6918.3949647153495</v>
      </c>
      <c r="K45" s="48">
        <f t="shared" si="25"/>
        <v>6918.3949647153495</v>
      </c>
      <c r="L45" s="48">
        <f t="shared" si="25"/>
        <v>6918.3949647153495</v>
      </c>
      <c r="M45" s="48">
        <f t="shared" si="25"/>
        <v>6918.3949647153495</v>
      </c>
      <c r="N45" s="48">
        <f t="shared" si="25"/>
        <v>6918.3949647153495</v>
      </c>
      <c r="O45" s="48">
        <f t="shared" si="25"/>
        <v>6918.3949647153495</v>
      </c>
      <c r="P45" s="48">
        <f t="shared" si="25"/>
        <v>6918.3949647153495</v>
      </c>
      <c r="Q45" s="48">
        <f t="shared" si="25"/>
        <v>6918.3949647153495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8.1372156127363162</v>
      </c>
      <c r="I46" s="51">
        <f t="shared" si="26"/>
        <v>8.1372156127363162</v>
      </c>
      <c r="J46" s="51">
        <f t="shared" si="26"/>
        <v>8.1372156127363162</v>
      </c>
      <c r="K46" s="51">
        <f t="shared" si="26"/>
        <v>8.1372156127363162</v>
      </c>
      <c r="L46" s="51">
        <f t="shared" si="26"/>
        <v>8.1372156127363162</v>
      </c>
      <c r="M46" s="51">
        <f t="shared" si="26"/>
        <v>8.1372156127363162</v>
      </c>
      <c r="N46" s="51">
        <f t="shared" si="26"/>
        <v>8.1372156127363162</v>
      </c>
      <c r="O46" s="51">
        <f t="shared" si="26"/>
        <v>8.1372156127363162</v>
      </c>
      <c r="P46" s="51">
        <f t="shared" si="26"/>
        <v>8.1372156127363162</v>
      </c>
      <c r="Q46" s="51">
        <f t="shared" si="26"/>
        <v>8.1372156127363162</v>
      </c>
      <c r="S46" s="51"/>
      <c r="V46" s="29"/>
    </row>
    <row r="47" spans="2:24" ht="4.9000000000000004" customHeight="1">
      <c r="G47" s="28"/>
    </row>
    <row r="48" spans="2:24" ht="13.9" customHeight="1" outlineLevel="1">
      <c r="B48" s="24" t="s">
        <v>260</v>
      </c>
      <c r="F48" s="52"/>
      <c r="G48" s="49"/>
      <c r="H48" s="49">
        <f t="shared" ref="H48:Q48" si="27">H34</f>
        <v>6918.3949647153495</v>
      </c>
      <c r="I48" s="49">
        <f t="shared" si="27"/>
        <v>6918.3949647153495</v>
      </c>
      <c r="J48" s="49">
        <f t="shared" si="27"/>
        <v>6918.3949647153495</v>
      </c>
      <c r="K48" s="49">
        <f t="shared" si="27"/>
        <v>6918.3949647153495</v>
      </c>
      <c r="L48" s="49">
        <f t="shared" si="27"/>
        <v>6918.3949647153495</v>
      </c>
      <c r="M48" s="49">
        <f t="shared" si="27"/>
        <v>6918.3949647153495</v>
      </c>
      <c r="N48" s="49">
        <f t="shared" si="27"/>
        <v>6918.3949647153495</v>
      </c>
      <c r="O48" s="49">
        <f t="shared" si="27"/>
        <v>6918.3949647153495</v>
      </c>
      <c r="P48" s="49">
        <f t="shared" si="27"/>
        <v>6918.3949647153495</v>
      </c>
      <c r="Q48" s="49">
        <f t="shared" si="27"/>
        <v>6918.3949647153495</v>
      </c>
      <c r="S48" s="28"/>
      <c r="U48" s="27"/>
    </row>
    <row r="49" spans="2:24" ht="13.9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customHeight="1" outlineLevel="1">
      <c r="B50" s="24" t="s">
        <v>261</v>
      </c>
      <c r="F50" s="53"/>
      <c r="G50" s="28"/>
      <c r="H50" s="28">
        <f t="shared" ref="H50:Q50" si="29">H32</f>
        <v>749465.84331022855</v>
      </c>
      <c r="I50" s="28">
        <f t="shared" si="29"/>
        <v>749465.84331022855</v>
      </c>
      <c r="J50" s="28">
        <f t="shared" si="29"/>
        <v>749465.84331022855</v>
      </c>
      <c r="K50" s="28">
        <f t="shared" si="29"/>
        <v>749465.84331022855</v>
      </c>
      <c r="L50" s="28">
        <f t="shared" si="29"/>
        <v>749465.84331022855</v>
      </c>
      <c r="M50" s="28">
        <f t="shared" si="29"/>
        <v>749465.84331022855</v>
      </c>
      <c r="N50" s="28">
        <f t="shared" si="29"/>
        <v>749465.84331022855</v>
      </c>
      <c r="O50" s="28">
        <f t="shared" si="29"/>
        <v>749465.84331022855</v>
      </c>
      <c r="P50" s="28">
        <f t="shared" si="29"/>
        <v>749465.84331022855</v>
      </c>
      <c r="Q50" s="28">
        <f t="shared" si="29"/>
        <v>749465.84331022855</v>
      </c>
      <c r="S50" s="28"/>
      <c r="V50" s="50"/>
    </row>
    <row r="51" spans="2:24" ht="13.9" customHeight="1" outlineLevel="1">
      <c r="B51" s="24" t="s">
        <v>49</v>
      </c>
      <c r="G51" s="28"/>
      <c r="H51" s="28">
        <f t="shared" ref="H51:Q51" si="30">H36</f>
        <v>100750.65505645161</v>
      </c>
      <c r="I51" s="28">
        <f t="shared" si="30"/>
        <v>100750.65505645161</v>
      </c>
      <c r="J51" s="28">
        <f t="shared" si="30"/>
        <v>100750.65505645161</v>
      </c>
      <c r="K51" s="28">
        <f t="shared" si="30"/>
        <v>100750.65505645161</v>
      </c>
      <c r="L51" s="28">
        <f t="shared" si="30"/>
        <v>100750.65505645161</v>
      </c>
      <c r="M51" s="28">
        <f t="shared" si="30"/>
        <v>100750.65505645161</v>
      </c>
      <c r="N51" s="28">
        <f t="shared" si="30"/>
        <v>100750.65505645161</v>
      </c>
      <c r="O51" s="28">
        <f t="shared" si="30"/>
        <v>100750.65505645161</v>
      </c>
      <c r="P51" s="28">
        <f t="shared" si="30"/>
        <v>100750.65505645161</v>
      </c>
      <c r="Q51" s="28">
        <f t="shared" si="30"/>
        <v>100750.65505645161</v>
      </c>
      <c r="S51" s="28"/>
      <c r="V51" s="50"/>
    </row>
    <row r="52" spans="2:24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8.1372156127363162</v>
      </c>
      <c r="I52" s="54">
        <f t="shared" si="31"/>
        <v>8.1372156127363162</v>
      </c>
      <c r="J52" s="54">
        <f t="shared" si="31"/>
        <v>8.1372156127363162</v>
      </c>
      <c r="K52" s="54">
        <f t="shared" si="31"/>
        <v>8.1372156127363162</v>
      </c>
      <c r="L52" s="54">
        <f t="shared" si="31"/>
        <v>8.1372156127363162</v>
      </c>
      <c r="M52" s="54">
        <f t="shared" si="31"/>
        <v>8.1372156127363162</v>
      </c>
      <c r="N52" s="54">
        <f t="shared" si="31"/>
        <v>8.1372156127363162</v>
      </c>
      <c r="O52" s="54">
        <f t="shared" si="31"/>
        <v>8.1372156127363162</v>
      </c>
      <c r="P52" s="54">
        <f t="shared" si="31"/>
        <v>8.1372156127363162</v>
      </c>
      <c r="Q52" s="54">
        <f t="shared" si="31"/>
        <v>8.1372156127363162</v>
      </c>
      <c r="S52" s="54"/>
    </row>
    <row r="53" spans="2:24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9.2311010921569085</v>
      </c>
      <c r="I53" s="54">
        <f t="shared" si="32"/>
        <v>9.2311010921569085</v>
      </c>
      <c r="J53" s="54">
        <f t="shared" si="32"/>
        <v>9.2311010921569085</v>
      </c>
      <c r="K53" s="54">
        <f t="shared" si="32"/>
        <v>9.2311010921569085</v>
      </c>
      <c r="L53" s="54">
        <f t="shared" si="32"/>
        <v>9.2311010921569085</v>
      </c>
      <c r="M53" s="54">
        <f t="shared" si="32"/>
        <v>9.2311010921569085</v>
      </c>
      <c r="N53" s="54">
        <f t="shared" si="32"/>
        <v>9.2311010921569085</v>
      </c>
      <c r="O53" s="54">
        <f t="shared" si="32"/>
        <v>9.2311010921569085</v>
      </c>
      <c r="P53" s="54">
        <f t="shared" si="32"/>
        <v>9.2311010921569085</v>
      </c>
      <c r="Q53" s="54">
        <f t="shared" si="32"/>
        <v>9.2311010921569085</v>
      </c>
      <c r="S53" s="54"/>
      <c r="V53" s="50"/>
    </row>
    <row r="54" spans="2:24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>
      <c r="B56" s="23" t="s">
        <v>50</v>
      </c>
    </row>
    <row r="57" spans="2:24" ht="12.75" customHeight="1">
      <c r="C57" s="24" t="s">
        <v>51</v>
      </c>
      <c r="G57" s="37"/>
      <c r="H57" s="188">
        <f>E18</f>
        <v>3.93627917683696</v>
      </c>
      <c r="I57" s="188">
        <f>H57</f>
        <v>3.93627917683696</v>
      </c>
      <c r="J57" s="188">
        <f t="shared" ref="J57:Q57" si="34">I57</f>
        <v>3.93627917683696</v>
      </c>
      <c r="K57" s="188">
        <f t="shared" si="34"/>
        <v>3.93627917683696</v>
      </c>
      <c r="L57" s="188">
        <f t="shared" si="34"/>
        <v>3.93627917683696</v>
      </c>
      <c r="M57" s="188">
        <f t="shared" si="34"/>
        <v>3.93627917683696</v>
      </c>
      <c r="N57" s="188">
        <f t="shared" si="34"/>
        <v>3.93627917683696</v>
      </c>
      <c r="O57" s="188">
        <f t="shared" si="34"/>
        <v>3.93627917683696</v>
      </c>
      <c r="P57" s="188">
        <f t="shared" si="34"/>
        <v>3.93627917683696</v>
      </c>
      <c r="Q57" s="188">
        <f t="shared" si="34"/>
        <v>3.93627917683696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Assumptions'!$P$10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Assumptions'!$Q$10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Assumptions'!$R$10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3346.6894983239981</v>
      </c>
      <c r="I65" s="55">
        <f t="shared" si="40"/>
        <v>3346.6894983239981</v>
      </c>
      <c r="J65" s="55">
        <f t="shared" si="40"/>
        <v>3346.6894983239981</v>
      </c>
      <c r="K65" s="55">
        <f t="shared" si="40"/>
        <v>3346.6894983239981</v>
      </c>
      <c r="L65" s="55">
        <f t="shared" si="40"/>
        <v>3346.6894983239981</v>
      </c>
      <c r="M65" s="55">
        <f t="shared" si="40"/>
        <v>3346.6894983239981</v>
      </c>
      <c r="N65" s="55">
        <f t="shared" si="40"/>
        <v>3346.6894983239981</v>
      </c>
      <c r="O65" s="55">
        <f t="shared" si="40"/>
        <v>3346.6894983239981</v>
      </c>
      <c r="P65" s="55">
        <f t="shared" si="40"/>
        <v>3346.6894983239981</v>
      </c>
      <c r="Q65" s="55">
        <f t="shared" si="40"/>
        <v>3346.6894983239981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257.96375</v>
      </c>
      <c r="I66" s="56">
        <f t="shared" ref="I66:Q66" si="41">+I$41*I58/1000</f>
        <v>257.96375</v>
      </c>
      <c r="J66" s="56">
        <f t="shared" si="41"/>
        <v>257.96375</v>
      </c>
      <c r="K66" s="56">
        <f t="shared" si="41"/>
        <v>257.96375</v>
      </c>
      <c r="L66" s="56">
        <f t="shared" si="41"/>
        <v>257.96375</v>
      </c>
      <c r="M66" s="56">
        <f t="shared" si="41"/>
        <v>257.96375</v>
      </c>
      <c r="N66" s="56">
        <f t="shared" si="41"/>
        <v>257.96375</v>
      </c>
      <c r="O66" s="56">
        <f t="shared" si="41"/>
        <v>257.96375</v>
      </c>
      <c r="P66" s="56">
        <f t="shared" si="41"/>
        <v>257.96375</v>
      </c>
      <c r="Q66" s="56">
        <f t="shared" si="41"/>
        <v>257.96375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Assumptions'!$C$6*COCP!H45</f>
        <v>0</v>
      </c>
      <c r="I69" s="703">
        <f>'Region Assumptions'!$C$6*COCP!I45</f>
        <v>0</v>
      </c>
      <c r="J69" s="703">
        <f>'Region Assumptions'!$C$6*COCP!J45</f>
        <v>0</v>
      </c>
      <c r="K69" s="703">
        <f>'Region Assumptions'!$C$6*COCP!K45</f>
        <v>0</v>
      </c>
      <c r="L69" s="703">
        <f>'Region Assumptions'!$C$6*COCP!L45</f>
        <v>0</v>
      </c>
      <c r="M69" s="703">
        <f>'Region Assumptions'!$C$6*COCP!M45</f>
        <v>0</v>
      </c>
      <c r="N69" s="703">
        <f>'Region Assumptions'!$C$6*COCP!N45</f>
        <v>0</v>
      </c>
      <c r="O69" s="703">
        <f>'Region Assumptions'!$C$6*COCP!O45</f>
        <v>0</v>
      </c>
      <c r="P69" s="703">
        <f>'Region Assumptions'!$C$6*COCP!P45</f>
        <v>0</v>
      </c>
      <c r="Q69" s="703">
        <f>'Region Assumptions'!$C$6*COCP!Q45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Assumptions'!$G$10/1000</f>
        <v>0</v>
      </c>
      <c r="I70" s="434">
        <f>I61*365*'Region Assumptions'!$G$10/1000</f>
        <v>0</v>
      </c>
      <c r="J70" s="434">
        <f>J61*365*'Region Assumptions'!$G$10/1000</f>
        <v>0</v>
      </c>
      <c r="K70" s="434">
        <f>K61*365*'Region Assumptions'!$G$10/1000</f>
        <v>0</v>
      </c>
      <c r="L70" s="434">
        <f>L61*365*'Region Assumptions'!$G$10/1000</f>
        <v>0</v>
      </c>
      <c r="M70" s="434">
        <f>M61*365*'Region Assumptions'!$G$10/1000</f>
        <v>0</v>
      </c>
      <c r="N70" s="434">
        <f>N61*365*'Region Assumptions'!$G$10/1000</f>
        <v>0</v>
      </c>
      <c r="O70" s="434">
        <f>O61*365*'Region Assumptions'!$G$10/1000</f>
        <v>0</v>
      </c>
      <c r="P70" s="434">
        <f>P61*365*'Region Assumptions'!$G$10/1000</f>
        <v>0</v>
      </c>
      <c r="Q70" s="434">
        <f>Q61*365*'Region Assumptions'!$G$10/1000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Assumptions'!$H$10/1000</f>
        <v>0</v>
      </c>
      <c r="I71" s="434">
        <f>I62*365*'Region Assumptions'!$H$10/1000</f>
        <v>0</v>
      </c>
      <c r="J71" s="434">
        <f>J62*365*'Region Assumptions'!$H$10/1000</f>
        <v>0</v>
      </c>
      <c r="K71" s="434">
        <f>K62*365*'Region Assumptions'!$H$10/1000</f>
        <v>0</v>
      </c>
      <c r="L71" s="434">
        <f>L62*365*'Region Assumptions'!$H$10/1000</f>
        <v>0</v>
      </c>
      <c r="M71" s="434">
        <f>M62*365*'Region Assumptions'!$H$10/1000</f>
        <v>0</v>
      </c>
      <c r="N71" s="434">
        <f>N62*365*'Region Assumptions'!$H$10/1000</f>
        <v>0</v>
      </c>
      <c r="O71" s="434">
        <f>O62*365*'Region Assumptions'!$H$10/1000</f>
        <v>0</v>
      </c>
      <c r="P71" s="434">
        <f>P62*365*'Region Assumptions'!$H$10/1000</f>
        <v>0</v>
      </c>
      <c r="Q71" s="434">
        <f>Q62*365*'Region Assumptions'!$H$10/1000</f>
        <v>0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Assumptions'!$I$10/1000</f>
        <v>0</v>
      </c>
      <c r="I72" s="434">
        <f>I63*365*'Region Assumptions'!$I$10/1000</f>
        <v>0</v>
      </c>
      <c r="J72" s="434">
        <f>J63*365*'Region Assumptions'!$I$10/1000</f>
        <v>0</v>
      </c>
      <c r="K72" s="434">
        <f>K63*365*'Region Assumptions'!$I$10/1000</f>
        <v>0</v>
      </c>
      <c r="L72" s="434">
        <f>L63*365*'Region Assumptions'!$I$10/1000</f>
        <v>0</v>
      </c>
      <c r="M72" s="434">
        <f>M63*365*'Region Assumptions'!$I$10/1000</f>
        <v>0</v>
      </c>
      <c r="N72" s="434">
        <f>N63*365*'Region Assumptions'!$I$10/1000</f>
        <v>0</v>
      </c>
      <c r="O72" s="434">
        <f>O63*365*'Region Assumptions'!$I$10/1000</f>
        <v>0</v>
      </c>
      <c r="P72" s="434">
        <f>P63*365*'Region Assumptions'!$I$10/1000</f>
        <v>0</v>
      </c>
      <c r="Q72" s="434">
        <f>Q63*365*'Region Assumptions'!$I$10/1000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Assumptions'!$AF$10/1000</f>
        <v>0</v>
      </c>
      <c r="I73" s="434">
        <f>(I28*(I29-I33))*'Region Assumptions'!$AF$10/1000</f>
        <v>0</v>
      </c>
      <c r="J73" s="434">
        <f>(J28*(J29-J33))*'Region Assumptions'!$AF$10/1000</f>
        <v>0</v>
      </c>
      <c r="K73" s="434">
        <f>(K28*(K29-K33))*'Region Assumptions'!$AF$10/1000</f>
        <v>0</v>
      </c>
      <c r="L73" s="434">
        <f>(L28*(L29-L33))*'Region Assumptions'!$AF$10/1000</f>
        <v>0</v>
      </c>
      <c r="M73" s="434">
        <f>(M28*(M29-M33))*'Region Assumptions'!$AF$10/1000</f>
        <v>0</v>
      </c>
      <c r="N73" s="434">
        <f>(N28*(N29-N33))*'Region Assumptions'!$AF$10/1000</f>
        <v>0</v>
      </c>
      <c r="O73" s="434">
        <f>(O28*(O29-O33))*'Region Assumptions'!$AF$10/1000</f>
        <v>0</v>
      </c>
      <c r="P73" s="434">
        <f>(P28*(P29-P33))*'Region Assumptions'!$AF$10/1000</f>
        <v>0</v>
      </c>
      <c r="Q73" s="434">
        <f>(Q28*(Q29-Q33))*'Region Assumptions'!$AF$10/1000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3604.653248323998</v>
      </c>
      <c r="I74" s="48">
        <f t="shared" ref="I74:Q74" si="43">SUM(I65:I73)</f>
        <v>3604.653248323998</v>
      </c>
      <c r="J74" s="48">
        <f t="shared" si="43"/>
        <v>3604.653248323998</v>
      </c>
      <c r="K74" s="48">
        <f t="shared" si="43"/>
        <v>3604.653248323998</v>
      </c>
      <c r="L74" s="48">
        <f t="shared" si="43"/>
        <v>3604.653248323998</v>
      </c>
      <c r="M74" s="48">
        <f t="shared" si="43"/>
        <v>3604.653248323998</v>
      </c>
      <c r="N74" s="48">
        <f t="shared" si="43"/>
        <v>3604.653248323998</v>
      </c>
      <c r="O74" s="48">
        <f t="shared" si="43"/>
        <v>3604.653248323998</v>
      </c>
      <c r="P74" s="48">
        <f t="shared" si="43"/>
        <v>3604.653248323998</v>
      </c>
      <c r="Q74" s="48">
        <f t="shared" si="43"/>
        <v>3604.653248323998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3313.7417163913515</v>
      </c>
      <c r="I76" s="48">
        <f t="shared" ref="I76:Q76" si="44">+I45-I74</f>
        <v>3313.7417163913515</v>
      </c>
      <c r="J76" s="48">
        <f t="shared" si="44"/>
        <v>3313.7417163913515</v>
      </c>
      <c r="K76" s="48">
        <f t="shared" si="44"/>
        <v>3313.7417163913515</v>
      </c>
      <c r="L76" s="48">
        <f t="shared" si="44"/>
        <v>3313.7417163913515</v>
      </c>
      <c r="M76" s="48">
        <f t="shared" si="44"/>
        <v>3313.7417163913515</v>
      </c>
      <c r="N76" s="48">
        <f t="shared" si="44"/>
        <v>3313.7417163913515</v>
      </c>
      <c r="O76" s="48">
        <f t="shared" si="44"/>
        <v>3313.7417163913515</v>
      </c>
      <c r="P76" s="48">
        <f t="shared" si="44"/>
        <v>3313.7417163913515</v>
      </c>
      <c r="Q76" s="48">
        <f t="shared" si="44"/>
        <v>3313.7417163913515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3.8975269507910748</v>
      </c>
      <c r="I77" s="37">
        <f t="shared" si="45"/>
        <v>3.8975269507910748</v>
      </c>
      <c r="J77" s="37">
        <f t="shared" si="45"/>
        <v>3.8975269507910748</v>
      </c>
      <c r="K77" s="37">
        <f t="shared" si="45"/>
        <v>3.8975269507910748</v>
      </c>
      <c r="L77" s="37">
        <f t="shared" si="45"/>
        <v>3.8975269507910748</v>
      </c>
      <c r="M77" s="37">
        <f t="shared" si="45"/>
        <v>3.8975269507910748</v>
      </c>
      <c r="N77" s="37">
        <f t="shared" si="45"/>
        <v>3.8975269507910748</v>
      </c>
      <c r="O77" s="37">
        <f t="shared" si="45"/>
        <v>3.8975269507910748</v>
      </c>
      <c r="P77" s="37">
        <f t="shared" si="45"/>
        <v>3.8975269507910748</v>
      </c>
      <c r="Q77" s="37">
        <f t="shared" si="45"/>
        <v>3.8975269507910748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3.2114412552067408</v>
      </c>
      <c r="I78" s="37">
        <f t="shared" si="46"/>
        <v>3.2114412552067408</v>
      </c>
      <c r="J78" s="37">
        <f t="shared" si="46"/>
        <v>3.2114412552067408</v>
      </c>
      <c r="K78" s="37">
        <f t="shared" si="46"/>
        <v>3.2114412552067408</v>
      </c>
      <c r="L78" s="37">
        <f t="shared" si="46"/>
        <v>3.2114412552067408</v>
      </c>
      <c r="M78" s="37">
        <f t="shared" si="46"/>
        <v>3.2114412552067408</v>
      </c>
      <c r="N78" s="37">
        <f t="shared" si="46"/>
        <v>3.2114412552067408</v>
      </c>
      <c r="O78" s="37">
        <f t="shared" si="46"/>
        <v>3.2114412552067408</v>
      </c>
      <c r="P78" s="37">
        <f t="shared" si="46"/>
        <v>3.2114412552067408</v>
      </c>
      <c r="Q78" s="37">
        <f t="shared" si="46"/>
        <v>3.2114412552067408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0.47897550418729123</v>
      </c>
      <c r="I79" s="57">
        <f t="shared" si="47"/>
        <v>0.47897550418729123</v>
      </c>
      <c r="J79" s="57">
        <f t="shared" si="47"/>
        <v>0.47897550418729123</v>
      </c>
      <c r="K79" s="57">
        <f t="shared" si="47"/>
        <v>0.47897550418729123</v>
      </c>
      <c r="L79" s="57">
        <f t="shared" si="47"/>
        <v>0.47897550418729123</v>
      </c>
      <c r="M79" s="57">
        <f t="shared" si="47"/>
        <v>0.47897550418729123</v>
      </c>
      <c r="N79" s="57">
        <f t="shared" si="47"/>
        <v>0.47897550418729123</v>
      </c>
      <c r="O79" s="57">
        <f t="shared" si="47"/>
        <v>0.47897550418729123</v>
      </c>
      <c r="P79" s="57">
        <f t="shared" si="47"/>
        <v>0.47897550418729123</v>
      </c>
      <c r="Q79" s="57">
        <f t="shared" si="47"/>
        <v>0.47897550418729123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Assumptions'!$F$10</f>
        <v>2827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Assumptions'!$M$10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Assumptions'!$N$10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11308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Assumptions'!$X$10</f>
        <v>0.1</v>
      </c>
      <c r="G88" s="49">
        <f>F88*G87</f>
        <v>1130.8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12438.8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Assumptions'!$T$10*COCP!G83/1000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Assumptions'!$U$10*COCP!G83/1000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Assumptions'!$S$10*COCP!G83/1000</f>
        <v>282.7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Assumptions'!$V$10*COCP!G83/1000</f>
        <v>636.07500000000005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345.91974823576749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Assumptions'!$W$10*'Region Assumptions'!$H$10/1000</f>
        <v>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Assumptions'!$E$10*'Region Assumptions'!$C$4/1000</f>
        <v>86.576153532053894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1178.1185947037136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13616.918594703713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4.1092275017536579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-13270.998846467946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Pending'!L12,COCP!G86)/1000</f>
        <v>7067.5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3313.7417163913515</v>
      </c>
      <c r="I108" s="22">
        <f t="shared" si="49"/>
        <v>3313.7417163913515</v>
      </c>
      <c r="J108" s="22">
        <f t="shared" si="49"/>
        <v>3313.7417163913515</v>
      </c>
      <c r="K108" s="22">
        <f t="shared" si="49"/>
        <v>3313.7417163913515</v>
      </c>
      <c r="L108" s="22">
        <f t="shared" si="49"/>
        <v>3313.7417163913515</v>
      </c>
      <c r="M108" s="22">
        <f t="shared" si="49"/>
        <v>3313.7417163913515</v>
      </c>
      <c r="N108" s="22">
        <f t="shared" si="49"/>
        <v>3313.7417163913515</v>
      </c>
      <c r="O108" s="22">
        <f t="shared" si="49"/>
        <v>3313.7417163913515</v>
      </c>
      <c r="P108" s="22">
        <f t="shared" si="49"/>
        <v>3313.7417163913515</v>
      </c>
      <c r="Q108" s="22">
        <f t="shared" si="49"/>
        <v>3313.7417163913515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-2585.0158196464358</v>
      </c>
      <c r="I109" s="72">
        <f>'Region Assumptions'!$C$4*($G$105+$G$94)/5</f>
        <v>-2585.0158196464358</v>
      </c>
      <c r="J109" s="72">
        <f>'Region Assumptions'!$C$4*($G$105+$G$94)/5</f>
        <v>-2585.0158196464358</v>
      </c>
      <c r="K109" s="72">
        <f>'Region Assumptions'!$C$4*($G$105+$G$94)/5</f>
        <v>-2585.0158196464358</v>
      </c>
      <c r="L109" s="72">
        <f>'Region Assumptions'!$C$4*($G$105+$G$94)/5</f>
        <v>-2585.0158196464358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728.72589674491564</v>
      </c>
      <c r="I110" s="73">
        <f t="shared" si="51"/>
        <v>728.72589674491564</v>
      </c>
      <c r="J110" s="73">
        <f t="shared" si="51"/>
        <v>728.72589674491564</v>
      </c>
      <c r="K110" s="73">
        <f t="shared" si="51"/>
        <v>728.72589674491564</v>
      </c>
      <c r="L110" s="73">
        <f t="shared" si="51"/>
        <v>728.72589674491564</v>
      </c>
      <c r="M110" s="73">
        <f t="shared" si="51"/>
        <v>3313.7417163913515</v>
      </c>
      <c r="N110" s="73">
        <f t="shared" si="51"/>
        <v>3313.7417163913515</v>
      </c>
      <c r="O110" s="73">
        <f t="shared" si="51"/>
        <v>3313.7417163913515</v>
      </c>
      <c r="P110" s="73">
        <f t="shared" si="51"/>
        <v>3313.7417163913515</v>
      </c>
      <c r="Q110" s="73">
        <f t="shared" si="51"/>
        <v>3313.7417163913515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-291.49035869796626</v>
      </c>
      <c r="I111" s="72">
        <f t="shared" si="52"/>
        <v>-291.49035869796626</v>
      </c>
      <c r="J111" s="72">
        <f t="shared" si="52"/>
        <v>-291.49035869796626</v>
      </c>
      <c r="K111" s="72">
        <f t="shared" si="52"/>
        <v>-291.49035869796626</v>
      </c>
      <c r="L111" s="72">
        <f t="shared" si="52"/>
        <v>-291.49035869796626</v>
      </c>
      <c r="M111" s="72">
        <f t="shared" si="52"/>
        <v>-1325.4966865565407</v>
      </c>
      <c r="N111" s="72">
        <f t="shared" si="52"/>
        <v>-1325.4966865565407</v>
      </c>
      <c r="O111" s="72">
        <f t="shared" si="52"/>
        <v>-1325.4966865565407</v>
      </c>
      <c r="P111" s="72">
        <f t="shared" si="52"/>
        <v>-1325.4966865565407</v>
      </c>
      <c r="Q111" s="72">
        <f t="shared" si="52"/>
        <v>-1325.4966865565407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3022.2513576933852</v>
      </c>
      <c r="I112" s="72">
        <f t="shared" si="53"/>
        <v>3022.2513576933852</v>
      </c>
      <c r="J112" s="72">
        <f t="shared" si="53"/>
        <v>3022.2513576933852</v>
      </c>
      <c r="K112" s="72">
        <f t="shared" si="53"/>
        <v>3022.2513576933852</v>
      </c>
      <c r="L112" s="72">
        <f t="shared" si="53"/>
        <v>3022.2513576933852</v>
      </c>
      <c r="M112" s="72">
        <f t="shared" si="53"/>
        <v>1988.2450298348108</v>
      </c>
      <c r="N112" s="72">
        <f t="shared" si="53"/>
        <v>1988.2450298348108</v>
      </c>
      <c r="O112" s="72">
        <f t="shared" si="53"/>
        <v>1988.2450298348108</v>
      </c>
      <c r="P112" s="72">
        <f t="shared" si="53"/>
        <v>1988.2450298348108</v>
      </c>
      <c r="Q112" s="72">
        <f t="shared" si="53"/>
        <v>1988.2450298348108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-345.91974823576749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2676.3316094576176</v>
      </c>
      <c r="I115" s="75">
        <f t="shared" si="56"/>
        <v>3022.2513576933852</v>
      </c>
      <c r="J115" s="75">
        <f t="shared" si="56"/>
        <v>3022.2513576933852</v>
      </c>
      <c r="K115" s="75">
        <f t="shared" si="56"/>
        <v>3022.2513576933852</v>
      </c>
      <c r="L115" s="75">
        <f t="shared" si="56"/>
        <v>3022.2513576933852</v>
      </c>
      <c r="M115" s="75">
        <f t="shared" si="56"/>
        <v>1988.2450298348108</v>
      </c>
      <c r="N115" s="75">
        <f t="shared" si="56"/>
        <v>1988.2450298348108</v>
      </c>
      <c r="O115" s="75">
        <f t="shared" si="56"/>
        <v>1988.2450298348108</v>
      </c>
      <c r="P115" s="75">
        <f t="shared" si="56"/>
        <v>1988.2450298348108</v>
      </c>
      <c r="Q115" s="75">
        <f t="shared" si="56"/>
        <v>1988.2450298348108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-13270.998846467946</v>
      </c>
      <c r="H117" s="70">
        <f t="shared" si="57"/>
        <v>2676.3316094576176</v>
      </c>
      <c r="I117" s="70">
        <f t="shared" si="57"/>
        <v>3022.2513576933852</v>
      </c>
      <c r="J117" s="70">
        <f t="shared" si="57"/>
        <v>3022.2513576933852</v>
      </c>
      <c r="K117" s="70">
        <f t="shared" si="57"/>
        <v>3022.2513576933852</v>
      </c>
      <c r="L117" s="70">
        <f t="shared" si="57"/>
        <v>3022.2513576933852</v>
      </c>
      <c r="M117" s="70">
        <f t="shared" si="57"/>
        <v>1988.2450298348108</v>
      </c>
      <c r="N117" s="70">
        <f t="shared" si="57"/>
        <v>1988.2450298348108</v>
      </c>
      <c r="O117" s="70">
        <f t="shared" si="57"/>
        <v>1988.2450298348108</v>
      </c>
      <c r="P117" s="70">
        <f t="shared" si="57"/>
        <v>1988.2450298348108</v>
      </c>
      <c r="Q117" s="70">
        <f t="shared" si="57"/>
        <v>9055.7450298348103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0.17910857567912641</v>
      </c>
      <c r="F119" s="70">
        <f>+NPV(0.12,G117:Q117)</f>
        <v>3265.2494129499764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-13270.998846467946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16568.708581956758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3313.7417163913515</v>
      </c>
      <c r="I125" s="22">
        <f t="shared" si="59"/>
        <v>3313.7417163913515</v>
      </c>
      <c r="J125" s="22">
        <f t="shared" si="59"/>
        <v>3313.7417163913515</v>
      </c>
      <c r="K125" s="22">
        <f t="shared" si="59"/>
        <v>3313.7417163913515</v>
      </c>
      <c r="L125" s="22">
        <f t="shared" si="59"/>
        <v>3313.7417163913515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-2585.0158196464358</v>
      </c>
      <c r="I126" s="72">
        <f t="shared" si="59"/>
        <v>-2585.0158196464358</v>
      </c>
      <c r="J126" s="72">
        <f t="shared" si="59"/>
        <v>-2585.0158196464358</v>
      </c>
      <c r="K126" s="72">
        <f t="shared" si="59"/>
        <v>-2585.0158196464358</v>
      </c>
      <c r="L126" s="72">
        <f t="shared" si="59"/>
        <v>-2585.0158196464358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728.72589674491564</v>
      </c>
      <c r="I127" s="73">
        <f>SUM(I125:I126)</f>
        <v>728.72589674491564</v>
      </c>
      <c r="J127" s="73">
        <f>SUM(J125:J126)</f>
        <v>728.72589674491564</v>
      </c>
      <c r="K127" s="73">
        <f>SUM(K125:K126)</f>
        <v>728.72589674491564</v>
      </c>
      <c r="L127" s="73">
        <f>SUM(L125:L126)</f>
        <v>728.72589674491564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-291.49035869796626</v>
      </c>
      <c r="I128" s="72">
        <f t="shared" si="60"/>
        <v>-291.49035869796626</v>
      </c>
      <c r="J128" s="72">
        <f t="shared" si="60"/>
        <v>-291.49035869796626</v>
      </c>
      <c r="K128" s="72">
        <f t="shared" si="60"/>
        <v>-291.49035869796626</v>
      </c>
      <c r="L128" s="72">
        <f t="shared" si="60"/>
        <v>-291.49035869796626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3022.2513576933852</v>
      </c>
      <c r="I129" s="72">
        <f>SUM(I125:I125,I128)</f>
        <v>3022.2513576933852</v>
      </c>
      <c r="J129" s="72">
        <f>SUM(J125:J125,J128)</f>
        <v>3022.2513576933852</v>
      </c>
      <c r="K129" s="72">
        <f>SUM(K125:K125,K128)</f>
        <v>3022.2513576933852</v>
      </c>
      <c r="L129" s="72">
        <f>SUM(L125:L125,L128)</f>
        <v>3022.2513576933852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-345.91974823576749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2676.3316094576176</v>
      </c>
      <c r="I132" s="73">
        <f>SUM(I129:I131)</f>
        <v>3022.2513576933852</v>
      </c>
      <c r="J132" s="73">
        <f>SUM(J129:J131)</f>
        <v>3022.2513576933852</v>
      </c>
      <c r="K132" s="73">
        <f>SUM(K129:K131)</f>
        <v>3022.2513576933852</v>
      </c>
      <c r="L132" s="73">
        <f>SUM(L129:L131)</f>
        <v>3022.2513576933852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-13270.998846467946</v>
      </c>
      <c r="H134" s="70">
        <f t="shared" si="62"/>
        <v>2676.3316094576176</v>
      </c>
      <c r="I134" s="70">
        <f t="shared" si="62"/>
        <v>3022.2513576933852</v>
      </c>
      <c r="J134" s="70">
        <f t="shared" si="62"/>
        <v>3022.2513576933852</v>
      </c>
      <c r="K134" s="70">
        <f t="shared" si="62"/>
        <v>3022.2513576933852</v>
      </c>
      <c r="L134" s="70">
        <f t="shared" si="62"/>
        <v>19590.959939650143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0.25024067994765997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152"/>
  <sheetViews>
    <sheetView showGridLines="0" tabSelected="1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453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92682.842353103304</v>
      </c>
      <c r="H7" s="184">
        <f t="shared" ref="H7:Q7" si="1">$G$9*H11*(1-$G$12)</f>
        <v>92682.842353103304</v>
      </c>
      <c r="I7" s="184">
        <f t="shared" si="1"/>
        <v>92682.842353103304</v>
      </c>
      <c r="J7" s="184">
        <f t="shared" si="1"/>
        <v>92682.842353103304</v>
      </c>
      <c r="K7" s="184">
        <f t="shared" si="1"/>
        <v>92682.842353103304</v>
      </c>
      <c r="L7" s="184">
        <f t="shared" si="1"/>
        <v>92682.842353103304</v>
      </c>
      <c r="M7" s="184">
        <f t="shared" si="1"/>
        <v>92682.842353103304</v>
      </c>
      <c r="N7" s="184">
        <f t="shared" si="1"/>
        <v>92682.842353103304</v>
      </c>
      <c r="O7" s="184">
        <f t="shared" si="1"/>
        <v>92682.842353103304</v>
      </c>
      <c r="P7" s="184">
        <f t="shared" si="1"/>
        <v>92682.842353103304</v>
      </c>
      <c r="Q7" s="184">
        <f t="shared" si="1"/>
        <v>92682.842353103304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12459.349766129031</v>
      </c>
      <c r="H8" s="184">
        <f t="shared" si="2"/>
        <v>12459.349766129031</v>
      </c>
      <c r="I8" s="184">
        <f t="shared" si="2"/>
        <v>12459.349766129031</v>
      </c>
      <c r="J8" s="184">
        <f t="shared" si="2"/>
        <v>12459.349766129031</v>
      </c>
      <c r="K8" s="184">
        <f t="shared" si="2"/>
        <v>12459.349766129031</v>
      </c>
      <c r="L8" s="184">
        <f t="shared" si="2"/>
        <v>12459.349766129031</v>
      </c>
      <c r="M8" s="184">
        <f t="shared" si="2"/>
        <v>12459.349766129031</v>
      </c>
      <c r="N8" s="184">
        <f t="shared" si="2"/>
        <v>12459.349766129031</v>
      </c>
      <c r="O8" s="184">
        <f t="shared" si="2"/>
        <v>12459.349766129031</v>
      </c>
      <c r="P8" s="184">
        <f t="shared" si="2"/>
        <v>12459.349766129031</v>
      </c>
      <c r="Q8" s="184">
        <f t="shared" si="2"/>
        <v>12459.349766129031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Assumptions'!$K$11*365</f>
        <v>105142.19211923234</v>
      </c>
      <c r="H9" s="268">
        <f t="shared" ref="H9:Q9" si="3">G9</f>
        <v>105142.19211923234</v>
      </c>
      <c r="I9" s="268">
        <f t="shared" si="3"/>
        <v>105142.19211923234</v>
      </c>
      <c r="J9" s="268">
        <f t="shared" si="3"/>
        <v>105142.19211923234</v>
      </c>
      <c r="K9" s="268">
        <f t="shared" si="3"/>
        <v>105142.19211923234</v>
      </c>
      <c r="L9" s="268">
        <f t="shared" si="3"/>
        <v>105142.19211923234</v>
      </c>
      <c r="M9" s="268">
        <f t="shared" si="3"/>
        <v>105142.19211923234</v>
      </c>
      <c r="N9" s="268">
        <f t="shared" si="3"/>
        <v>105142.19211923234</v>
      </c>
      <c r="O9" s="268">
        <f t="shared" si="3"/>
        <v>105142.19211923234</v>
      </c>
      <c r="P9" s="268">
        <f>O9</f>
        <v>105142.19211923234</v>
      </c>
      <c r="Q9" s="268">
        <f t="shared" si="3"/>
        <v>105142.19211923234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Assumptions'!$AE$11</f>
        <v>0</v>
      </c>
      <c r="I10" s="438">
        <f>H10+'Region Assumptions'!$AE$11</f>
        <v>0</v>
      </c>
      <c r="J10" s="438">
        <f>I10+'Region Assumptions'!$AE$11</f>
        <v>0</v>
      </c>
      <c r="K10" s="438">
        <f>J10+'Region Assumptions'!$AE$11</f>
        <v>0</v>
      </c>
      <c r="L10" s="438">
        <f>K10+'Region Assumptions'!$AE$11</f>
        <v>0</v>
      </c>
      <c r="M10" s="438">
        <f>L10+'Region Assumptions'!$AE$11</f>
        <v>0</v>
      </c>
      <c r="N10" s="438">
        <f>M10+'Region Assumptions'!$AE$11</f>
        <v>0</v>
      </c>
      <c r="O10" s="438">
        <f>N10+'Region Assumptions'!$AE$11</f>
        <v>0</v>
      </c>
      <c r="P10" s="438">
        <f>O10+'Region Assumptions'!$AE$11</f>
        <v>0</v>
      </c>
      <c r="Q10" s="438">
        <f>P10+'Region Assumptions'!$AE$11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Assumptions'!$Y$11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0.83254566568399979</v>
      </c>
      <c r="I13" s="269">
        <f t="shared" ref="I13:Q13" si="6">I9/I23/365</f>
        <v>0.83254566568399979</v>
      </c>
      <c r="J13" s="269">
        <f t="shared" si="6"/>
        <v>0.83254566568399979</v>
      </c>
      <c r="K13" s="269">
        <f t="shared" si="6"/>
        <v>0.83254566568399979</v>
      </c>
      <c r="L13" s="269">
        <f t="shared" si="6"/>
        <v>0.83254566568399979</v>
      </c>
      <c r="M13" s="269">
        <f t="shared" si="6"/>
        <v>0.83254566568399979</v>
      </c>
      <c r="N13" s="269">
        <f t="shared" si="6"/>
        <v>0.83254566568399979</v>
      </c>
      <c r="O13" s="269">
        <f t="shared" si="6"/>
        <v>0.83254566568399979</v>
      </c>
      <c r="P13" s="269">
        <f t="shared" si="6"/>
        <v>0.83254566568399979</v>
      </c>
      <c r="Q13" s="269">
        <f t="shared" si="6"/>
        <v>0.83254566568399979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186.67980965225919</v>
      </c>
      <c r="F17" s="203">
        <f>F18*$H$17/1000</f>
        <v>26.285548029808083</v>
      </c>
      <c r="G17" s="203">
        <f>G18*$H$17/1000</f>
        <v>0</v>
      </c>
      <c r="H17" s="204">
        <f>H40</f>
        <v>105142.19211923234</v>
      </c>
      <c r="I17" s="204">
        <f>H23*365</f>
        <v>126290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Assumptions'!$Z$11</f>
        <v>1.7754985500070453</v>
      </c>
      <c r="F18" s="690">
        <f>'Region Assumptions'!$AB$11</f>
        <v>0.25</v>
      </c>
      <c r="G18" s="690">
        <f>'Region Assumptions'!$AA$11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1.4781836222365921</v>
      </c>
      <c r="F19" s="188">
        <f>F17/$I17*1000</f>
        <v>0.20813641642099995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Assumptions'!$F$11+'Region Assumptions'!$G$11+'Region Assumptions'!$H$11</f>
        <v>346</v>
      </c>
      <c r="I23" s="184">
        <f>H23</f>
        <v>346</v>
      </c>
      <c r="J23" s="184">
        <f t="shared" ref="J23:Q23" si="8">I23</f>
        <v>346</v>
      </c>
      <c r="K23" s="184">
        <f t="shared" si="8"/>
        <v>346</v>
      </c>
      <c r="L23" s="184">
        <f t="shared" si="8"/>
        <v>346</v>
      </c>
      <c r="M23" s="184">
        <f t="shared" si="8"/>
        <v>346</v>
      </c>
      <c r="N23" s="184">
        <f t="shared" si="8"/>
        <v>346</v>
      </c>
      <c r="O23" s="184">
        <f t="shared" si="8"/>
        <v>346</v>
      </c>
      <c r="P23" s="184">
        <f t="shared" si="8"/>
        <v>346</v>
      </c>
      <c r="Q23" s="184">
        <f t="shared" si="8"/>
        <v>346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268.85661850000002</v>
      </c>
      <c r="I25" s="28">
        <f t="shared" ref="I25:Q25" si="10">I32/365/I13*(1-I12)</f>
        <v>268.85661850000002</v>
      </c>
      <c r="J25" s="28">
        <f t="shared" si="10"/>
        <v>268.85661850000002</v>
      </c>
      <c r="K25" s="28">
        <f t="shared" si="10"/>
        <v>268.85661850000002</v>
      </c>
      <c r="L25" s="28">
        <f t="shared" si="10"/>
        <v>268.85661850000002</v>
      </c>
      <c r="M25" s="28">
        <f t="shared" si="10"/>
        <v>268.85661850000002</v>
      </c>
      <c r="N25" s="28">
        <f t="shared" si="10"/>
        <v>268.85661850000002</v>
      </c>
      <c r="O25" s="28">
        <f t="shared" si="10"/>
        <v>268.85661850000002</v>
      </c>
      <c r="P25" s="28">
        <f t="shared" si="10"/>
        <v>268.85661850000002</v>
      </c>
      <c r="Q25" s="28">
        <f t="shared" si="10"/>
        <v>268.85661850000002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34.135204838709676</v>
      </c>
      <c r="I26" s="28">
        <f t="shared" ref="I26:Q26" si="11">I36/365</f>
        <v>34.135204838709676</v>
      </c>
      <c r="J26" s="28">
        <f t="shared" si="11"/>
        <v>34.135204838709676</v>
      </c>
      <c r="K26" s="28">
        <f t="shared" si="11"/>
        <v>34.135204838709676</v>
      </c>
      <c r="L26" s="28">
        <f t="shared" si="11"/>
        <v>34.135204838709676</v>
      </c>
      <c r="M26" s="28">
        <f t="shared" si="11"/>
        <v>34.135204838709676</v>
      </c>
      <c r="N26" s="28">
        <f t="shared" si="11"/>
        <v>34.135204838709676</v>
      </c>
      <c r="O26" s="28">
        <f t="shared" si="11"/>
        <v>34.135204838709676</v>
      </c>
      <c r="P26" s="28">
        <f t="shared" si="11"/>
        <v>34.135204838709676</v>
      </c>
      <c r="Q26" s="28">
        <f t="shared" si="11"/>
        <v>34.135204838709676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Assumptions'!$AD$11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92682.842353103304</v>
      </c>
      <c r="I32" s="28">
        <f t="shared" si="15"/>
        <v>92682.842353103304</v>
      </c>
      <c r="J32" s="28">
        <f t="shared" si="15"/>
        <v>92682.842353103304</v>
      </c>
      <c r="K32" s="28">
        <f t="shared" si="15"/>
        <v>92682.842353103304</v>
      </c>
      <c r="L32" s="28">
        <f t="shared" si="15"/>
        <v>92682.842353103304</v>
      </c>
      <c r="M32" s="28">
        <f t="shared" si="15"/>
        <v>92682.842353103304</v>
      </c>
      <c r="N32" s="28">
        <f t="shared" si="15"/>
        <v>92682.842353103304</v>
      </c>
      <c r="O32" s="28">
        <f t="shared" si="15"/>
        <v>92682.842353103304</v>
      </c>
      <c r="P32" s="28">
        <f t="shared" si="15"/>
        <v>92682.842353103304</v>
      </c>
      <c r="Q32" s="28">
        <f t="shared" si="15"/>
        <v>92682.842353103304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6.2888930599304604</v>
      </c>
      <c r="I33" s="37">
        <f t="shared" ref="I33:Q33" si="16">+H33*(1+$V34)</f>
        <v>6.2888930599304604</v>
      </c>
      <c r="J33" s="37">
        <f t="shared" si="16"/>
        <v>6.2888930599304604</v>
      </c>
      <c r="K33" s="37">
        <f t="shared" si="16"/>
        <v>6.2888930599304604</v>
      </c>
      <c r="L33" s="37">
        <f t="shared" si="16"/>
        <v>6.2888930599304604</v>
      </c>
      <c r="M33" s="37">
        <f t="shared" si="16"/>
        <v>6.2888930599304604</v>
      </c>
      <c r="N33" s="37">
        <f t="shared" si="16"/>
        <v>6.2888930599304604</v>
      </c>
      <c r="O33" s="37">
        <f t="shared" si="16"/>
        <v>6.2888930599304604</v>
      </c>
      <c r="P33" s="37">
        <f t="shared" si="16"/>
        <v>6.2888930599304604</v>
      </c>
      <c r="Q33" s="37">
        <f t="shared" si="16"/>
        <v>6.2888930599304604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582.87248404906029</v>
      </c>
      <c r="I34" s="49">
        <f t="shared" si="17"/>
        <v>582.87248404906029</v>
      </c>
      <c r="J34" s="49">
        <f t="shared" si="17"/>
        <v>582.87248404906029</v>
      </c>
      <c r="K34" s="49">
        <f t="shared" si="17"/>
        <v>582.87248404906029</v>
      </c>
      <c r="L34" s="49">
        <f t="shared" si="17"/>
        <v>582.87248404906029</v>
      </c>
      <c r="M34" s="49">
        <f t="shared" si="17"/>
        <v>582.87248404906029</v>
      </c>
      <c r="N34" s="49">
        <f t="shared" si="17"/>
        <v>582.87248404906029</v>
      </c>
      <c r="O34" s="49">
        <f t="shared" si="17"/>
        <v>582.87248404906029</v>
      </c>
      <c r="P34" s="49">
        <f t="shared" si="17"/>
        <v>582.87248404906029</v>
      </c>
      <c r="Q34" s="49">
        <f t="shared" si="17"/>
        <v>582.87248404906029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12459.349766129031</v>
      </c>
      <c r="I36" s="28">
        <f t="shared" si="18"/>
        <v>12459.349766129031</v>
      </c>
      <c r="J36" s="28">
        <f t="shared" si="18"/>
        <v>12459.349766129031</v>
      </c>
      <c r="K36" s="28">
        <f t="shared" si="18"/>
        <v>12459.349766129031</v>
      </c>
      <c r="L36" s="28">
        <f t="shared" si="18"/>
        <v>12459.349766129031</v>
      </c>
      <c r="M36" s="28">
        <f t="shared" si="18"/>
        <v>12459.349766129031</v>
      </c>
      <c r="N36" s="28">
        <f t="shared" si="18"/>
        <v>12459.349766129031</v>
      </c>
      <c r="O36" s="28">
        <f t="shared" si="18"/>
        <v>12459.349766129031</v>
      </c>
      <c r="P36" s="28">
        <f t="shared" si="18"/>
        <v>12459.349766129031</v>
      </c>
      <c r="Q36" s="28">
        <f t="shared" si="18"/>
        <v>12459.349766129031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Assumptions'!$AC$11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105142.19211923234</v>
      </c>
      <c r="I40" s="28">
        <f t="shared" ref="I40:Q40" si="21">I28+I32+I36</f>
        <v>105142.19211923234</v>
      </c>
      <c r="J40" s="28">
        <f t="shared" si="21"/>
        <v>105142.19211923234</v>
      </c>
      <c r="K40" s="28">
        <f t="shared" si="21"/>
        <v>105142.19211923234</v>
      </c>
      <c r="L40" s="28">
        <f t="shared" si="21"/>
        <v>105142.19211923234</v>
      </c>
      <c r="M40" s="28">
        <f t="shared" si="21"/>
        <v>105142.19211923234</v>
      </c>
      <c r="N40" s="28">
        <f t="shared" si="21"/>
        <v>105142.19211923234</v>
      </c>
      <c r="O40" s="28">
        <f t="shared" si="21"/>
        <v>105142.19211923234</v>
      </c>
      <c r="P40" s="28">
        <f t="shared" si="21"/>
        <v>105142.19211923234</v>
      </c>
      <c r="Q40" s="28">
        <f t="shared" si="21"/>
        <v>105142.19211923234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126290</v>
      </c>
      <c r="I41" s="28">
        <f t="shared" si="22"/>
        <v>126290</v>
      </c>
      <c r="J41" s="28">
        <f t="shared" si="22"/>
        <v>126290</v>
      </c>
      <c r="K41" s="28">
        <f t="shared" si="22"/>
        <v>126290</v>
      </c>
      <c r="L41" s="28">
        <f t="shared" si="22"/>
        <v>126290</v>
      </c>
      <c r="M41" s="28">
        <f t="shared" si="22"/>
        <v>126290</v>
      </c>
      <c r="N41" s="28">
        <f t="shared" si="22"/>
        <v>126290</v>
      </c>
      <c r="O41" s="28">
        <f t="shared" si="22"/>
        <v>126290</v>
      </c>
      <c r="P41" s="28">
        <f t="shared" si="22"/>
        <v>126290</v>
      </c>
      <c r="Q41" s="28">
        <f t="shared" si="22"/>
        <v>126290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0.83254566568399979</v>
      </c>
      <c r="I42" s="34">
        <f t="shared" si="23"/>
        <v>0.83254566568399979</v>
      </c>
      <c r="J42" s="34">
        <f t="shared" si="23"/>
        <v>0.83254566568399979</v>
      </c>
      <c r="K42" s="34">
        <f t="shared" si="23"/>
        <v>0.83254566568399979</v>
      </c>
      <c r="L42" s="34">
        <f t="shared" si="23"/>
        <v>0.83254566568399979</v>
      </c>
      <c r="M42" s="34">
        <f t="shared" si="23"/>
        <v>0.83254566568399979</v>
      </c>
      <c r="N42" s="34">
        <f t="shared" si="23"/>
        <v>0.83254566568399979</v>
      </c>
      <c r="O42" s="34">
        <f t="shared" si="23"/>
        <v>0.83254566568399979</v>
      </c>
      <c r="P42" s="34">
        <f t="shared" si="23"/>
        <v>0.83254566568399979</v>
      </c>
      <c r="Q42" s="34">
        <f t="shared" si="23"/>
        <v>0.83254566568399979</v>
      </c>
      <c r="S42" s="34"/>
      <c r="V42" s="45"/>
    </row>
    <row r="43" spans="2:24">
      <c r="C43" s="24" t="s">
        <v>46</v>
      </c>
      <c r="G43" s="34"/>
      <c r="H43" s="34">
        <f>(H28+H32)/H41</f>
        <v>0.73388900430044579</v>
      </c>
      <c r="I43" s="34">
        <f t="shared" ref="I43:Q43" si="24">(I28+I32)/I41</f>
        <v>0.73388900430044579</v>
      </c>
      <c r="J43" s="34">
        <f t="shared" si="24"/>
        <v>0.73388900430044579</v>
      </c>
      <c r="K43" s="34">
        <f t="shared" si="24"/>
        <v>0.73388900430044579</v>
      </c>
      <c r="L43" s="34">
        <f t="shared" si="24"/>
        <v>0.73388900430044579</v>
      </c>
      <c r="M43" s="34">
        <f t="shared" si="24"/>
        <v>0.73388900430044579</v>
      </c>
      <c r="N43" s="34">
        <f t="shared" si="24"/>
        <v>0.73388900430044579</v>
      </c>
      <c r="O43" s="34">
        <f t="shared" si="24"/>
        <v>0.73388900430044579</v>
      </c>
      <c r="P43" s="34">
        <f t="shared" si="24"/>
        <v>0.73388900430044579</v>
      </c>
      <c r="Q43" s="34">
        <f t="shared" si="24"/>
        <v>0.73388900430044579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582.87248404906029</v>
      </c>
      <c r="I45" s="48">
        <f t="shared" si="25"/>
        <v>582.87248404906029</v>
      </c>
      <c r="J45" s="48">
        <f t="shared" si="25"/>
        <v>582.87248404906029</v>
      </c>
      <c r="K45" s="48">
        <f t="shared" si="25"/>
        <v>582.87248404906029</v>
      </c>
      <c r="L45" s="48">
        <f t="shared" si="25"/>
        <v>582.87248404906029</v>
      </c>
      <c r="M45" s="48">
        <f t="shared" si="25"/>
        <v>582.87248404906029</v>
      </c>
      <c r="N45" s="48">
        <f t="shared" si="25"/>
        <v>582.87248404906029</v>
      </c>
      <c r="O45" s="48">
        <f t="shared" si="25"/>
        <v>582.87248404906029</v>
      </c>
      <c r="P45" s="48">
        <f t="shared" si="25"/>
        <v>582.87248404906029</v>
      </c>
      <c r="Q45" s="48">
        <f t="shared" si="25"/>
        <v>582.87248404906029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5.5436592323287002</v>
      </c>
      <c r="I46" s="51">
        <f t="shared" si="26"/>
        <v>5.5436592323287002</v>
      </c>
      <c r="J46" s="51">
        <f t="shared" si="26"/>
        <v>5.5436592323287002</v>
      </c>
      <c r="K46" s="51">
        <f t="shared" si="26"/>
        <v>5.5436592323287002</v>
      </c>
      <c r="L46" s="51">
        <f t="shared" si="26"/>
        <v>5.5436592323287002</v>
      </c>
      <c r="M46" s="51">
        <f t="shared" si="26"/>
        <v>5.5436592323287002</v>
      </c>
      <c r="N46" s="51">
        <f t="shared" si="26"/>
        <v>5.5436592323287002</v>
      </c>
      <c r="O46" s="51">
        <f t="shared" si="26"/>
        <v>5.5436592323287002</v>
      </c>
      <c r="P46" s="51">
        <f t="shared" si="26"/>
        <v>5.5436592323287002</v>
      </c>
      <c r="Q46" s="51">
        <f t="shared" si="26"/>
        <v>5.5436592323287002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582.87248404906029</v>
      </c>
      <c r="I48" s="49">
        <f t="shared" si="27"/>
        <v>582.87248404906029</v>
      </c>
      <c r="J48" s="49">
        <f t="shared" si="27"/>
        <v>582.87248404906029</v>
      </c>
      <c r="K48" s="49">
        <f t="shared" si="27"/>
        <v>582.87248404906029</v>
      </c>
      <c r="L48" s="49">
        <f t="shared" si="27"/>
        <v>582.87248404906029</v>
      </c>
      <c r="M48" s="49">
        <f t="shared" si="27"/>
        <v>582.87248404906029</v>
      </c>
      <c r="N48" s="49">
        <f t="shared" si="27"/>
        <v>582.87248404906029</v>
      </c>
      <c r="O48" s="49">
        <f t="shared" si="27"/>
        <v>582.87248404906029</v>
      </c>
      <c r="P48" s="49">
        <f t="shared" si="27"/>
        <v>582.87248404906029</v>
      </c>
      <c r="Q48" s="49">
        <f t="shared" si="27"/>
        <v>582.87248404906029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92682.842353103304</v>
      </c>
      <c r="I50" s="28">
        <f t="shared" si="29"/>
        <v>92682.842353103304</v>
      </c>
      <c r="J50" s="28">
        <f t="shared" si="29"/>
        <v>92682.842353103304</v>
      </c>
      <c r="K50" s="28">
        <f t="shared" si="29"/>
        <v>92682.842353103304</v>
      </c>
      <c r="L50" s="28">
        <f t="shared" si="29"/>
        <v>92682.842353103304</v>
      </c>
      <c r="M50" s="28">
        <f t="shared" si="29"/>
        <v>92682.842353103304</v>
      </c>
      <c r="N50" s="28">
        <f t="shared" si="29"/>
        <v>92682.842353103304</v>
      </c>
      <c r="O50" s="28">
        <f t="shared" si="29"/>
        <v>92682.842353103304</v>
      </c>
      <c r="P50" s="28">
        <f t="shared" si="29"/>
        <v>92682.842353103304</v>
      </c>
      <c r="Q50" s="28">
        <f t="shared" si="29"/>
        <v>92682.842353103304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12459.349766129031</v>
      </c>
      <c r="I51" s="28">
        <f t="shared" si="30"/>
        <v>12459.349766129031</v>
      </c>
      <c r="J51" s="28">
        <f t="shared" si="30"/>
        <v>12459.349766129031</v>
      </c>
      <c r="K51" s="28">
        <f t="shared" si="30"/>
        <v>12459.349766129031</v>
      </c>
      <c r="L51" s="28">
        <f t="shared" si="30"/>
        <v>12459.349766129031</v>
      </c>
      <c r="M51" s="28">
        <f t="shared" si="30"/>
        <v>12459.349766129031</v>
      </c>
      <c r="N51" s="28">
        <f t="shared" si="30"/>
        <v>12459.349766129031</v>
      </c>
      <c r="O51" s="28">
        <f t="shared" si="30"/>
        <v>12459.349766129031</v>
      </c>
      <c r="P51" s="28">
        <f t="shared" si="30"/>
        <v>12459.349766129031</v>
      </c>
      <c r="Q51" s="28">
        <f t="shared" si="30"/>
        <v>12459.349766129031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5.5436592323287002</v>
      </c>
      <c r="I52" s="54">
        <f t="shared" si="31"/>
        <v>5.5436592323287002</v>
      </c>
      <c r="J52" s="54">
        <f t="shared" si="31"/>
        <v>5.5436592323287002</v>
      </c>
      <c r="K52" s="54">
        <f t="shared" si="31"/>
        <v>5.5436592323287002</v>
      </c>
      <c r="L52" s="54">
        <f t="shared" si="31"/>
        <v>5.5436592323287002</v>
      </c>
      <c r="M52" s="54">
        <f t="shared" si="31"/>
        <v>5.5436592323287002</v>
      </c>
      <c r="N52" s="54">
        <f t="shared" si="31"/>
        <v>5.5436592323287002</v>
      </c>
      <c r="O52" s="54">
        <f t="shared" si="31"/>
        <v>5.5436592323287002</v>
      </c>
      <c r="P52" s="54">
        <f t="shared" si="31"/>
        <v>5.5436592323287002</v>
      </c>
      <c r="Q52" s="54">
        <f t="shared" si="31"/>
        <v>5.5436592323287002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6.2888930599304596</v>
      </c>
      <c r="I53" s="54">
        <f t="shared" si="32"/>
        <v>6.2888930599304596</v>
      </c>
      <c r="J53" s="54">
        <f t="shared" si="32"/>
        <v>6.2888930599304596</v>
      </c>
      <c r="K53" s="54">
        <f t="shared" si="32"/>
        <v>6.2888930599304596</v>
      </c>
      <c r="L53" s="54">
        <f t="shared" si="32"/>
        <v>6.2888930599304596</v>
      </c>
      <c r="M53" s="54">
        <f t="shared" si="32"/>
        <v>6.2888930599304596</v>
      </c>
      <c r="N53" s="54">
        <f t="shared" si="32"/>
        <v>6.2888930599304596</v>
      </c>
      <c r="O53" s="54">
        <f t="shared" si="32"/>
        <v>6.2888930599304596</v>
      </c>
      <c r="P53" s="54">
        <f t="shared" si="32"/>
        <v>6.2888930599304596</v>
      </c>
      <c r="Q53" s="54">
        <f t="shared" si="32"/>
        <v>6.2888930599304596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1.7754985500070453</v>
      </c>
      <c r="I57" s="188">
        <f>H57</f>
        <v>1.7754985500070453</v>
      </c>
      <c r="J57" s="188">
        <f t="shared" ref="J57:Q57" si="34">I57</f>
        <v>1.7754985500070453</v>
      </c>
      <c r="K57" s="188">
        <f t="shared" si="34"/>
        <v>1.7754985500070453</v>
      </c>
      <c r="L57" s="188">
        <f t="shared" si="34"/>
        <v>1.7754985500070453</v>
      </c>
      <c r="M57" s="188">
        <f t="shared" si="34"/>
        <v>1.7754985500070453</v>
      </c>
      <c r="N57" s="188">
        <f t="shared" si="34"/>
        <v>1.7754985500070453</v>
      </c>
      <c r="O57" s="188">
        <f t="shared" si="34"/>
        <v>1.7754985500070453</v>
      </c>
      <c r="P57" s="188">
        <f t="shared" si="34"/>
        <v>1.7754985500070453</v>
      </c>
      <c r="Q57" s="188">
        <f t="shared" si="34"/>
        <v>1.7754985500070453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Assumptions'!$P$11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Assumptions'!$Q$11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Assumptions'!$R$11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186.67980965225919</v>
      </c>
      <c r="I65" s="55">
        <f t="shared" si="40"/>
        <v>186.67980965225919</v>
      </c>
      <c r="J65" s="55">
        <f t="shared" si="40"/>
        <v>186.67980965225919</v>
      </c>
      <c r="K65" s="55">
        <f t="shared" si="40"/>
        <v>186.67980965225919</v>
      </c>
      <c r="L65" s="55">
        <f t="shared" si="40"/>
        <v>186.67980965225919</v>
      </c>
      <c r="M65" s="55">
        <f t="shared" si="40"/>
        <v>186.67980965225919</v>
      </c>
      <c r="N65" s="55">
        <f t="shared" si="40"/>
        <v>186.67980965225919</v>
      </c>
      <c r="O65" s="55">
        <f t="shared" si="40"/>
        <v>186.67980965225919</v>
      </c>
      <c r="P65" s="55">
        <f t="shared" si="40"/>
        <v>186.67980965225919</v>
      </c>
      <c r="Q65" s="55">
        <f t="shared" si="40"/>
        <v>186.67980965225919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31.572500000000002</v>
      </c>
      <c r="I66" s="56">
        <f t="shared" ref="I66:Q66" si="41">+I$41*I58/1000</f>
        <v>31.572500000000002</v>
      </c>
      <c r="J66" s="56">
        <f t="shared" si="41"/>
        <v>31.572500000000002</v>
      </c>
      <c r="K66" s="56">
        <f t="shared" si="41"/>
        <v>31.572500000000002</v>
      </c>
      <c r="L66" s="56">
        <f t="shared" si="41"/>
        <v>31.572500000000002</v>
      </c>
      <c r="M66" s="56">
        <f t="shared" si="41"/>
        <v>31.572500000000002</v>
      </c>
      <c r="N66" s="56">
        <f t="shared" si="41"/>
        <v>31.572500000000002</v>
      </c>
      <c r="O66" s="56">
        <f t="shared" si="41"/>
        <v>31.572500000000002</v>
      </c>
      <c r="P66" s="56">
        <f t="shared" si="41"/>
        <v>31.572500000000002</v>
      </c>
      <c r="Q66" s="56">
        <f t="shared" si="41"/>
        <v>31.572500000000002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Assumptions'!$C$6*DCCP!H45</f>
        <v>0</v>
      </c>
      <c r="I69" s="703">
        <f>'Region Assumptions'!$C$6*DCCP!I45</f>
        <v>0</v>
      </c>
      <c r="J69" s="703">
        <f>'Region Assumptions'!$C$6*DCCP!J45</f>
        <v>0</v>
      </c>
      <c r="K69" s="703">
        <f>'Region Assumptions'!$C$6*DCCP!K45</f>
        <v>0</v>
      </c>
      <c r="L69" s="703">
        <f>'Region Assumptions'!$C$6*DCCP!L45</f>
        <v>0</v>
      </c>
      <c r="M69" s="703">
        <f>'Region Assumptions'!$C$6*DCCP!M45</f>
        <v>0</v>
      </c>
      <c r="N69" s="703">
        <f>'Region Assumptions'!$C$6*DCCP!N45</f>
        <v>0</v>
      </c>
      <c r="O69" s="703">
        <f>'Region Assumptions'!$C$6*DCCP!O45</f>
        <v>0</v>
      </c>
      <c r="P69" s="703">
        <f>'Region Assumptions'!$C$6*DCCP!P45</f>
        <v>0</v>
      </c>
      <c r="Q69" s="703">
        <f>'Region Assumptions'!$C$6*DCCP!Q45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Assumptions'!$G$11/1000</f>
        <v>0</v>
      </c>
      <c r="I70" s="434">
        <f>I61*365*'Region Assumptions'!$G$11/1000</f>
        <v>0</v>
      </c>
      <c r="J70" s="434">
        <f>J61*365*'Region Assumptions'!$G$11/1000</f>
        <v>0</v>
      </c>
      <c r="K70" s="434">
        <f>K61*365*'Region Assumptions'!$G$11/1000</f>
        <v>0</v>
      </c>
      <c r="L70" s="434">
        <f>L61*365*'Region Assumptions'!$G$11/1000</f>
        <v>0</v>
      </c>
      <c r="M70" s="434">
        <f>M61*365*'Region Assumptions'!$G$11/1000</f>
        <v>0</v>
      </c>
      <c r="N70" s="434">
        <f>N61*365*'Region Assumptions'!$G$11/1000</f>
        <v>0</v>
      </c>
      <c r="O70" s="434">
        <f>O61*365*'Region Assumptions'!$G$11/1000</f>
        <v>0</v>
      </c>
      <c r="P70" s="434">
        <f>P61*365*'Region Assumptions'!$G$11/1000</f>
        <v>0</v>
      </c>
      <c r="Q70" s="434">
        <f>Q61*365*'Region Assumptions'!$G$11/1000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Assumptions'!$H$11/1000</f>
        <v>118.5885</v>
      </c>
      <c r="I71" s="434">
        <f>I62*365*'Region Assumptions'!$H$11/1000</f>
        <v>118.5885</v>
      </c>
      <c r="J71" s="434">
        <f>J62*365*'Region Assumptions'!$H$11/1000</f>
        <v>118.5885</v>
      </c>
      <c r="K71" s="434">
        <f>K62*365*'Region Assumptions'!$H$11/1000</f>
        <v>118.5885</v>
      </c>
      <c r="L71" s="434">
        <f>L62*365*'Region Assumptions'!$H$11/1000</f>
        <v>118.5885</v>
      </c>
      <c r="M71" s="434">
        <f>M62*365*'Region Assumptions'!$H$11/1000</f>
        <v>118.5885</v>
      </c>
      <c r="N71" s="434">
        <f>N62*365*'Region Assumptions'!$H$11/1000</f>
        <v>118.5885</v>
      </c>
      <c r="O71" s="434">
        <f>O62*365*'Region Assumptions'!$H$11/1000</f>
        <v>118.5885</v>
      </c>
      <c r="P71" s="434">
        <f>P62*365*'Region Assumptions'!$H$11/1000</f>
        <v>118.5885</v>
      </c>
      <c r="Q71" s="434">
        <f>Q62*365*'Region Assumptions'!$H$11/1000</f>
        <v>118.5885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Assumptions'!$I$11/1000</f>
        <v>0</v>
      </c>
      <c r="I72" s="434">
        <f>I63*365*'Region Assumptions'!$I$11/1000</f>
        <v>0</v>
      </c>
      <c r="J72" s="434">
        <f>J63*365*'Region Assumptions'!$I$11/1000</f>
        <v>0</v>
      </c>
      <c r="K72" s="434">
        <f>K63*365*'Region Assumptions'!$I$11/1000</f>
        <v>0</v>
      </c>
      <c r="L72" s="434">
        <f>L63*365*'Region Assumptions'!$I$11/1000</f>
        <v>0</v>
      </c>
      <c r="M72" s="434">
        <f>M63*365*'Region Assumptions'!$I$11/1000</f>
        <v>0</v>
      </c>
      <c r="N72" s="434">
        <f>N63*365*'Region Assumptions'!$I$11/1000</f>
        <v>0</v>
      </c>
      <c r="O72" s="434">
        <f>O63*365*'Region Assumptions'!$I$11/1000</f>
        <v>0</v>
      </c>
      <c r="P72" s="434">
        <f>P63*365*'Region Assumptions'!$I$11/1000</f>
        <v>0</v>
      </c>
      <c r="Q72" s="434">
        <f>Q63*365*'Region Assumptions'!$I$11/1000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Assumptions'!$AF$11/1000</f>
        <v>0</v>
      </c>
      <c r="I73" s="434">
        <f>(I28*(I29-I33))*'Region Assumptions'!$AF$11/1000</f>
        <v>0</v>
      </c>
      <c r="J73" s="434">
        <f>(J28*(J29-J33))*'Region Assumptions'!$AF$11/1000</f>
        <v>0</v>
      </c>
      <c r="K73" s="434">
        <f>(K28*(K29-K33))*'Region Assumptions'!$AF$11/1000</f>
        <v>0</v>
      </c>
      <c r="L73" s="434">
        <f>(L28*(L29-L33))*'Region Assumptions'!$AF$11/1000</f>
        <v>0</v>
      </c>
      <c r="M73" s="434">
        <f>(M28*(M29-M33))*'Region Assumptions'!$AF$11/1000</f>
        <v>0</v>
      </c>
      <c r="N73" s="434">
        <f>(N28*(N29-N33))*'Region Assumptions'!$AF$11/1000</f>
        <v>0</v>
      </c>
      <c r="O73" s="434">
        <f>(O28*(O29-O33))*'Region Assumptions'!$AF$11/1000</f>
        <v>0</v>
      </c>
      <c r="P73" s="434">
        <f>(P28*(P29-P33))*'Region Assumptions'!$AF$11/1000</f>
        <v>0</v>
      </c>
      <c r="Q73" s="434">
        <f>(Q28*(Q29-Q33))*'Region Assumptions'!$AF$11/1000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336.84080965225917</v>
      </c>
      <c r="I74" s="48">
        <f t="shared" ref="I74:Q74" si="43">SUM(I65:I73)</f>
        <v>336.84080965225917</v>
      </c>
      <c r="J74" s="48">
        <f t="shared" si="43"/>
        <v>336.84080965225917</v>
      </c>
      <c r="K74" s="48">
        <f t="shared" si="43"/>
        <v>336.84080965225917</v>
      </c>
      <c r="L74" s="48">
        <f t="shared" si="43"/>
        <v>336.84080965225917</v>
      </c>
      <c r="M74" s="48">
        <f t="shared" si="43"/>
        <v>336.84080965225917</v>
      </c>
      <c r="N74" s="48">
        <f t="shared" si="43"/>
        <v>336.84080965225917</v>
      </c>
      <c r="O74" s="48">
        <f t="shared" si="43"/>
        <v>336.84080965225917</v>
      </c>
      <c r="P74" s="48">
        <f t="shared" si="43"/>
        <v>336.84080965225917</v>
      </c>
      <c r="Q74" s="48">
        <f t="shared" si="43"/>
        <v>336.84080965225917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246.03167439680112</v>
      </c>
      <c r="I76" s="48">
        <f t="shared" ref="I76:Q76" si="44">+I45-I74</f>
        <v>246.03167439680112</v>
      </c>
      <c r="J76" s="48">
        <f t="shared" si="44"/>
        <v>246.03167439680112</v>
      </c>
      <c r="K76" s="48">
        <f t="shared" si="44"/>
        <v>246.03167439680112</v>
      </c>
      <c r="L76" s="48">
        <f t="shared" si="44"/>
        <v>246.03167439680112</v>
      </c>
      <c r="M76" s="48">
        <f t="shared" si="44"/>
        <v>246.03167439680112</v>
      </c>
      <c r="N76" s="48">
        <f t="shared" si="44"/>
        <v>246.03167439680112</v>
      </c>
      <c r="O76" s="48">
        <f t="shared" si="44"/>
        <v>246.03167439680112</v>
      </c>
      <c r="P76" s="48">
        <f t="shared" si="44"/>
        <v>246.03167439680112</v>
      </c>
      <c r="Q76" s="48">
        <f t="shared" si="44"/>
        <v>246.03167439680112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2.3399899644264468</v>
      </c>
      <c r="I77" s="37">
        <f t="shared" si="45"/>
        <v>2.3399899644264468</v>
      </c>
      <c r="J77" s="37">
        <f t="shared" si="45"/>
        <v>2.3399899644264468</v>
      </c>
      <c r="K77" s="37">
        <f t="shared" si="45"/>
        <v>2.3399899644264468</v>
      </c>
      <c r="L77" s="37">
        <f t="shared" si="45"/>
        <v>2.3399899644264468</v>
      </c>
      <c r="M77" s="37">
        <f t="shared" si="45"/>
        <v>2.3399899644264468</v>
      </c>
      <c r="N77" s="37">
        <f t="shared" si="45"/>
        <v>2.3399899644264468</v>
      </c>
      <c r="O77" s="37">
        <f t="shared" si="45"/>
        <v>2.3399899644264468</v>
      </c>
      <c r="P77" s="37">
        <f t="shared" si="45"/>
        <v>2.3399899644264468</v>
      </c>
      <c r="Q77" s="37">
        <f t="shared" si="45"/>
        <v>2.3399899644264468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1.9481485026272953</v>
      </c>
      <c r="I78" s="37">
        <f t="shared" si="46"/>
        <v>1.9481485026272953</v>
      </c>
      <c r="J78" s="37">
        <f t="shared" si="46"/>
        <v>1.9481485026272953</v>
      </c>
      <c r="K78" s="37">
        <f t="shared" si="46"/>
        <v>1.9481485026272953</v>
      </c>
      <c r="L78" s="37">
        <f t="shared" si="46"/>
        <v>1.9481485026272953</v>
      </c>
      <c r="M78" s="37">
        <f t="shared" si="46"/>
        <v>1.9481485026272953</v>
      </c>
      <c r="N78" s="37">
        <f t="shared" si="46"/>
        <v>1.9481485026272953</v>
      </c>
      <c r="O78" s="37">
        <f t="shared" si="46"/>
        <v>1.9481485026272953</v>
      </c>
      <c r="P78" s="37">
        <f t="shared" si="46"/>
        <v>1.9481485026272953</v>
      </c>
      <c r="Q78" s="37">
        <f t="shared" si="46"/>
        <v>1.9481485026272953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0.42210205684729607</v>
      </c>
      <c r="I79" s="57">
        <f t="shared" si="47"/>
        <v>0.42210205684729607</v>
      </c>
      <c r="J79" s="57">
        <f t="shared" si="47"/>
        <v>0.42210205684729607</v>
      </c>
      <c r="K79" s="57">
        <f t="shared" si="47"/>
        <v>0.42210205684729607</v>
      </c>
      <c r="L79" s="57">
        <f t="shared" si="47"/>
        <v>0.42210205684729607</v>
      </c>
      <c r="M79" s="57">
        <f t="shared" si="47"/>
        <v>0.42210205684729607</v>
      </c>
      <c r="N79" s="57">
        <f t="shared" si="47"/>
        <v>0.42210205684729607</v>
      </c>
      <c r="O79" s="57">
        <f t="shared" si="47"/>
        <v>0.42210205684729607</v>
      </c>
      <c r="P79" s="57">
        <f t="shared" si="47"/>
        <v>0.42210205684729607</v>
      </c>
      <c r="Q79" s="57">
        <f t="shared" si="47"/>
        <v>0.42210205684729607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Assumptions'!$F$11</f>
        <v>232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Assumptions'!$M$11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Assumptions'!$N$11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928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Assumptions'!$X$11</f>
        <v>0.1</v>
      </c>
      <c r="G88" s="49">
        <f>F88*G87</f>
        <v>92.800000000000011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1020.8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Assumptions'!$T$11*DCCP!G83/1000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Assumptions'!$U$11*DCCP!G83/1000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Assumptions'!$S$11*DCCP!G83/1000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Assumptions'!$V$11*DCCP!G83/1000</f>
        <v>52.2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29.143624202453015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Assumptions'!$W$11*'Region Assumptions'!$H$11/1000</f>
        <v>62.7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Assumptions'!$E$11*'Region Assumptions'!$C$4/1000</f>
        <v>7.1049407921600647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136.93868341029298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1157.7386834102929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4.705648922028983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-1128.5950592078398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Pending'!L12,DCCP!G86)/1000</f>
        <v>580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246.03167439680112</v>
      </c>
      <c r="I108" s="22">
        <f t="shared" si="49"/>
        <v>246.03167439680112</v>
      </c>
      <c r="J108" s="22">
        <f t="shared" si="49"/>
        <v>246.03167439680112</v>
      </c>
      <c r="K108" s="22">
        <f t="shared" si="49"/>
        <v>246.03167439680112</v>
      </c>
      <c r="L108" s="22">
        <f t="shared" si="49"/>
        <v>246.03167439680112</v>
      </c>
      <c r="M108" s="22">
        <f t="shared" si="49"/>
        <v>246.03167439680112</v>
      </c>
      <c r="N108" s="22">
        <f t="shared" si="49"/>
        <v>246.03167439680112</v>
      </c>
      <c r="O108" s="22">
        <f t="shared" si="49"/>
        <v>246.03167439680112</v>
      </c>
      <c r="P108" s="22">
        <f t="shared" si="49"/>
        <v>246.03167439680112</v>
      </c>
      <c r="Q108" s="22">
        <f t="shared" si="49"/>
        <v>246.03167439680112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-219.89028700107733</v>
      </c>
      <c r="I109" s="72">
        <f>'Region Assumptions'!$C$4*($G$105+$G$94)/5</f>
        <v>-219.89028700107733</v>
      </c>
      <c r="J109" s="72">
        <f>'Region Assumptions'!$C$4*($G$105+$G$94)/5</f>
        <v>-219.89028700107733</v>
      </c>
      <c r="K109" s="72">
        <f>'Region Assumptions'!$C$4*($G$105+$G$94)/5</f>
        <v>-219.89028700107733</v>
      </c>
      <c r="L109" s="72">
        <f>'Region Assumptions'!$C$4*($G$105+$G$94)/5</f>
        <v>-219.89028700107733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26.141387395723797</v>
      </c>
      <c r="I110" s="73">
        <f t="shared" si="51"/>
        <v>26.141387395723797</v>
      </c>
      <c r="J110" s="73">
        <f t="shared" si="51"/>
        <v>26.141387395723797</v>
      </c>
      <c r="K110" s="73">
        <f t="shared" si="51"/>
        <v>26.141387395723797</v>
      </c>
      <c r="L110" s="73">
        <f t="shared" si="51"/>
        <v>26.141387395723797</v>
      </c>
      <c r="M110" s="73">
        <f t="shared" si="51"/>
        <v>246.03167439680112</v>
      </c>
      <c r="N110" s="73">
        <f t="shared" si="51"/>
        <v>246.03167439680112</v>
      </c>
      <c r="O110" s="73">
        <f t="shared" si="51"/>
        <v>246.03167439680112</v>
      </c>
      <c r="P110" s="73">
        <f t="shared" si="51"/>
        <v>246.03167439680112</v>
      </c>
      <c r="Q110" s="73">
        <f t="shared" si="51"/>
        <v>246.03167439680112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-10.456554958289519</v>
      </c>
      <c r="I111" s="72">
        <f t="shared" si="52"/>
        <v>-10.456554958289519</v>
      </c>
      <c r="J111" s="72">
        <f t="shared" si="52"/>
        <v>-10.456554958289519</v>
      </c>
      <c r="K111" s="72">
        <f t="shared" si="52"/>
        <v>-10.456554958289519</v>
      </c>
      <c r="L111" s="72">
        <f t="shared" si="52"/>
        <v>-10.456554958289519</v>
      </c>
      <c r="M111" s="72">
        <f t="shared" si="52"/>
        <v>-98.412669758720455</v>
      </c>
      <c r="N111" s="72">
        <f t="shared" si="52"/>
        <v>-98.412669758720455</v>
      </c>
      <c r="O111" s="72">
        <f t="shared" si="52"/>
        <v>-98.412669758720455</v>
      </c>
      <c r="P111" s="72">
        <f t="shared" si="52"/>
        <v>-98.412669758720455</v>
      </c>
      <c r="Q111" s="72">
        <f t="shared" si="52"/>
        <v>-98.412669758720455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235.57511943851159</v>
      </c>
      <c r="I112" s="72">
        <f t="shared" si="53"/>
        <v>235.57511943851159</v>
      </c>
      <c r="J112" s="72">
        <f t="shared" si="53"/>
        <v>235.57511943851159</v>
      </c>
      <c r="K112" s="72">
        <f t="shared" si="53"/>
        <v>235.57511943851159</v>
      </c>
      <c r="L112" s="72">
        <f t="shared" si="53"/>
        <v>235.57511943851159</v>
      </c>
      <c r="M112" s="72">
        <f t="shared" si="53"/>
        <v>147.61900463808067</v>
      </c>
      <c r="N112" s="72">
        <f t="shared" si="53"/>
        <v>147.61900463808067</v>
      </c>
      <c r="O112" s="72">
        <f t="shared" si="53"/>
        <v>147.61900463808067</v>
      </c>
      <c r="P112" s="72">
        <f t="shared" si="53"/>
        <v>147.61900463808067</v>
      </c>
      <c r="Q112" s="72">
        <f t="shared" si="53"/>
        <v>147.61900463808067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-29.143624202453015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206.43149523605857</v>
      </c>
      <c r="I115" s="75">
        <f t="shared" si="56"/>
        <v>235.57511943851159</v>
      </c>
      <c r="J115" s="75">
        <f t="shared" si="56"/>
        <v>235.57511943851159</v>
      </c>
      <c r="K115" s="75">
        <f t="shared" si="56"/>
        <v>235.57511943851159</v>
      </c>
      <c r="L115" s="75">
        <f t="shared" si="56"/>
        <v>235.57511943851159</v>
      </c>
      <c r="M115" s="75">
        <f t="shared" si="56"/>
        <v>147.61900463808067</v>
      </c>
      <c r="N115" s="75">
        <f t="shared" si="56"/>
        <v>147.61900463808067</v>
      </c>
      <c r="O115" s="75">
        <f t="shared" si="56"/>
        <v>147.61900463808067</v>
      </c>
      <c r="P115" s="75">
        <f t="shared" si="56"/>
        <v>147.61900463808067</v>
      </c>
      <c r="Q115" s="75">
        <f t="shared" si="56"/>
        <v>147.61900463808067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-1128.5950592078398</v>
      </c>
      <c r="H117" s="70">
        <f t="shared" si="57"/>
        <v>206.43149523605857</v>
      </c>
      <c r="I117" s="70">
        <f t="shared" si="57"/>
        <v>235.57511943851159</v>
      </c>
      <c r="J117" s="70">
        <f t="shared" si="57"/>
        <v>235.57511943851159</v>
      </c>
      <c r="K117" s="70">
        <f t="shared" si="57"/>
        <v>235.57511943851159</v>
      </c>
      <c r="L117" s="70">
        <f t="shared" si="57"/>
        <v>235.57511943851159</v>
      </c>
      <c r="M117" s="70">
        <f t="shared" si="57"/>
        <v>147.61900463808067</v>
      </c>
      <c r="N117" s="70">
        <f t="shared" si="57"/>
        <v>147.61900463808067</v>
      </c>
      <c r="O117" s="70">
        <f t="shared" si="57"/>
        <v>147.61900463808067</v>
      </c>
      <c r="P117" s="70">
        <f t="shared" si="57"/>
        <v>147.61900463808067</v>
      </c>
      <c r="Q117" s="70">
        <f t="shared" si="57"/>
        <v>727.6190046380807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0.15539261515488456</v>
      </c>
      <c r="F119" s="70">
        <f>+NPV(0.12,G117:Q117)</f>
        <v>163.63458383692083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-1128.5950592078398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1230.1583719840055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246.03167439680112</v>
      </c>
      <c r="I125" s="22">
        <f t="shared" si="59"/>
        <v>246.03167439680112</v>
      </c>
      <c r="J125" s="22">
        <f t="shared" si="59"/>
        <v>246.03167439680112</v>
      </c>
      <c r="K125" s="22">
        <f t="shared" si="59"/>
        <v>246.03167439680112</v>
      </c>
      <c r="L125" s="22">
        <f t="shared" si="59"/>
        <v>246.03167439680112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-219.89028700107733</v>
      </c>
      <c r="I126" s="72">
        <f t="shared" si="59"/>
        <v>-219.89028700107733</v>
      </c>
      <c r="J126" s="72">
        <f t="shared" si="59"/>
        <v>-219.89028700107733</v>
      </c>
      <c r="K126" s="72">
        <f t="shared" si="59"/>
        <v>-219.89028700107733</v>
      </c>
      <c r="L126" s="72">
        <f t="shared" si="59"/>
        <v>-219.89028700107733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26.141387395723797</v>
      </c>
      <c r="I127" s="73">
        <f>SUM(I125:I126)</f>
        <v>26.141387395723797</v>
      </c>
      <c r="J127" s="73">
        <f>SUM(J125:J126)</f>
        <v>26.141387395723797</v>
      </c>
      <c r="K127" s="73">
        <f>SUM(K125:K126)</f>
        <v>26.141387395723797</v>
      </c>
      <c r="L127" s="73">
        <f>SUM(L125:L126)</f>
        <v>26.141387395723797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-10.456554958289519</v>
      </c>
      <c r="I128" s="72">
        <f t="shared" si="60"/>
        <v>-10.456554958289519</v>
      </c>
      <c r="J128" s="72">
        <f t="shared" si="60"/>
        <v>-10.456554958289519</v>
      </c>
      <c r="K128" s="72">
        <f t="shared" si="60"/>
        <v>-10.456554958289519</v>
      </c>
      <c r="L128" s="72">
        <f t="shared" si="60"/>
        <v>-10.456554958289519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235.57511943851159</v>
      </c>
      <c r="I129" s="72">
        <f>SUM(I125:I125,I128)</f>
        <v>235.57511943851159</v>
      </c>
      <c r="J129" s="72">
        <f>SUM(J125:J125,J128)</f>
        <v>235.57511943851159</v>
      </c>
      <c r="K129" s="72">
        <f>SUM(K125:K125,K128)</f>
        <v>235.57511943851159</v>
      </c>
      <c r="L129" s="72">
        <f>SUM(L125:L125,L128)</f>
        <v>235.57511943851159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-29.143624202453015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206.43149523605857</v>
      </c>
      <c r="I132" s="73">
        <f>SUM(I129:I131)</f>
        <v>235.57511943851159</v>
      </c>
      <c r="J132" s="73">
        <f>SUM(J129:J131)</f>
        <v>235.57511943851159</v>
      </c>
      <c r="K132" s="73">
        <f>SUM(K129:K131)</f>
        <v>235.57511943851159</v>
      </c>
      <c r="L132" s="73">
        <f>SUM(L129:L131)</f>
        <v>235.57511943851159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-1128.5950592078398</v>
      </c>
      <c r="H134" s="70">
        <f t="shared" si="62"/>
        <v>206.43149523605857</v>
      </c>
      <c r="I134" s="70">
        <f t="shared" si="62"/>
        <v>235.57511943851159</v>
      </c>
      <c r="J134" s="70">
        <f t="shared" si="62"/>
        <v>235.57511943851159</v>
      </c>
      <c r="K134" s="70">
        <f t="shared" si="62"/>
        <v>235.57511943851159</v>
      </c>
      <c r="L134" s="70">
        <f t="shared" si="62"/>
        <v>1465.7334914225171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0.21319177722512261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A152"/>
  <sheetViews>
    <sheetView showGridLines="0" tabSelected="1" topLeftCell="A42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454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857538.12871901784</v>
      </c>
      <c r="H7" s="184">
        <f t="shared" ref="H7:Q7" si="1">$G$9*H11*(1-$G$12)</f>
        <v>857538.12871901784</v>
      </c>
      <c r="I7" s="184">
        <f t="shared" si="1"/>
        <v>857538.12871901784</v>
      </c>
      <c r="J7" s="184">
        <f t="shared" si="1"/>
        <v>857538.12871901784</v>
      </c>
      <c r="K7" s="184">
        <f t="shared" si="1"/>
        <v>857538.12871901784</v>
      </c>
      <c r="L7" s="184">
        <f t="shared" si="1"/>
        <v>857538.12871901784</v>
      </c>
      <c r="M7" s="184">
        <f t="shared" si="1"/>
        <v>857538.12871901784</v>
      </c>
      <c r="N7" s="184">
        <f t="shared" si="1"/>
        <v>857538.12871901784</v>
      </c>
      <c r="O7" s="184">
        <f t="shared" si="1"/>
        <v>857538.12871901784</v>
      </c>
      <c r="P7" s="184">
        <f t="shared" si="1"/>
        <v>857538.12871901784</v>
      </c>
      <c r="Q7" s="184">
        <f t="shared" si="1"/>
        <v>857538.12871901784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115278.80686693547</v>
      </c>
      <c r="H8" s="184">
        <f t="shared" si="2"/>
        <v>115278.80686693547</v>
      </c>
      <c r="I8" s="184">
        <f t="shared" si="2"/>
        <v>115278.80686693547</v>
      </c>
      <c r="J8" s="184">
        <f t="shared" si="2"/>
        <v>115278.80686693547</v>
      </c>
      <c r="K8" s="184">
        <f t="shared" si="2"/>
        <v>115278.80686693547</v>
      </c>
      <c r="L8" s="184">
        <f t="shared" si="2"/>
        <v>115278.80686693547</v>
      </c>
      <c r="M8" s="184">
        <f t="shared" si="2"/>
        <v>115278.80686693547</v>
      </c>
      <c r="N8" s="184">
        <f t="shared" si="2"/>
        <v>115278.80686693547</v>
      </c>
      <c r="O8" s="184">
        <f t="shared" si="2"/>
        <v>115278.80686693547</v>
      </c>
      <c r="P8" s="184">
        <f t="shared" si="2"/>
        <v>115278.80686693547</v>
      </c>
      <c r="Q8" s="184">
        <f t="shared" si="2"/>
        <v>115278.80686693547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Assumptions'!$K$12*365</f>
        <v>972816.93558595341</v>
      </c>
      <c r="H9" s="268">
        <f t="shared" ref="H9:Q9" si="3">G9</f>
        <v>972816.93558595341</v>
      </c>
      <c r="I9" s="268">
        <f t="shared" si="3"/>
        <v>972816.93558595341</v>
      </c>
      <c r="J9" s="268">
        <f t="shared" si="3"/>
        <v>972816.93558595341</v>
      </c>
      <c r="K9" s="268">
        <f t="shared" si="3"/>
        <v>972816.93558595341</v>
      </c>
      <c r="L9" s="268">
        <f t="shared" si="3"/>
        <v>972816.93558595341</v>
      </c>
      <c r="M9" s="268">
        <f t="shared" si="3"/>
        <v>972816.93558595341</v>
      </c>
      <c r="N9" s="268">
        <f t="shared" si="3"/>
        <v>972816.93558595341</v>
      </c>
      <c r="O9" s="268">
        <f t="shared" si="3"/>
        <v>972816.93558595341</v>
      </c>
      <c r="P9" s="268">
        <f>O9</f>
        <v>972816.93558595341</v>
      </c>
      <c r="Q9" s="268">
        <f t="shared" si="3"/>
        <v>972816.93558595341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Assumptions'!$AE$12</f>
        <v>0</v>
      </c>
      <c r="I10" s="438">
        <f>H10+'Region Assumptions'!$AE$12</f>
        <v>0</v>
      </c>
      <c r="J10" s="438">
        <f>I10+'Region Assumptions'!$AE$12</f>
        <v>0</v>
      </c>
      <c r="K10" s="438">
        <f>J10+'Region Assumptions'!$AE$12</f>
        <v>0</v>
      </c>
      <c r="L10" s="438">
        <f>K10+'Region Assumptions'!$AE$12</f>
        <v>0</v>
      </c>
      <c r="M10" s="438">
        <f>L10+'Region Assumptions'!$AE$12</f>
        <v>0</v>
      </c>
      <c r="N10" s="438">
        <f>M10+'Region Assumptions'!$AE$12</f>
        <v>0</v>
      </c>
      <c r="O10" s="438">
        <f>N10+'Region Assumptions'!$AE$12</f>
        <v>0</v>
      </c>
      <c r="P10" s="438">
        <f>O10+'Region Assumptions'!$AE$12</f>
        <v>0</v>
      </c>
      <c r="Q10" s="438">
        <f>P10+'Region Assumptions'!$AE$12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Assumptions'!$Y$12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0.83576415124417702</v>
      </c>
      <c r="I13" s="269">
        <f t="shared" ref="I13:Q13" si="6">I9/I23/365</f>
        <v>0.83576415124417702</v>
      </c>
      <c r="J13" s="269">
        <f t="shared" si="6"/>
        <v>0.83576415124417702</v>
      </c>
      <c r="K13" s="269">
        <f t="shared" si="6"/>
        <v>0.83576415124417702</v>
      </c>
      <c r="L13" s="269">
        <f t="shared" si="6"/>
        <v>0.83576415124417702</v>
      </c>
      <c r="M13" s="269">
        <f t="shared" si="6"/>
        <v>0.83576415124417702</v>
      </c>
      <c r="N13" s="269">
        <f t="shared" si="6"/>
        <v>0.83576415124417702</v>
      </c>
      <c r="O13" s="269">
        <f t="shared" si="6"/>
        <v>0.83576415124417702</v>
      </c>
      <c r="P13" s="269">
        <f t="shared" si="6"/>
        <v>0.83576415124417702</v>
      </c>
      <c r="Q13" s="269">
        <f t="shared" si="6"/>
        <v>0.83576415124417702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3084.3186939484222</v>
      </c>
      <c r="F17" s="203">
        <f>F18*$H$17/1000</f>
        <v>243.20423389648832</v>
      </c>
      <c r="G17" s="203">
        <f>G18*$H$17/1000</f>
        <v>0</v>
      </c>
      <c r="H17" s="204">
        <f>H40</f>
        <v>972816.9355859533</v>
      </c>
      <c r="I17" s="204">
        <f>H23*365</f>
        <v>1163985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Assumptions'!$Z$12</f>
        <v>3.1705026723148642</v>
      </c>
      <c r="F18" s="690">
        <f>'Region Assumptions'!$AB$12</f>
        <v>0.25</v>
      </c>
      <c r="G18" s="690">
        <f>'Region Assumptions'!$AA$12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2.6497924749446273</v>
      </c>
      <c r="F19" s="188">
        <f>F17/$I17*1000</f>
        <v>0.20894103781104423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Assumptions'!$F$12+'Region Assumptions'!$G$12+'Region Assumptions'!$H$12</f>
        <v>3189</v>
      </c>
      <c r="I23" s="184">
        <f>H23</f>
        <v>3189</v>
      </c>
      <c r="J23" s="184">
        <f t="shared" ref="J23:Q23" si="8">I23</f>
        <v>3189</v>
      </c>
      <c r="K23" s="184">
        <f t="shared" si="8"/>
        <v>3189</v>
      </c>
      <c r="L23" s="184">
        <f t="shared" si="8"/>
        <v>3189</v>
      </c>
      <c r="M23" s="184">
        <f t="shared" si="8"/>
        <v>3189</v>
      </c>
      <c r="N23" s="184">
        <f t="shared" si="8"/>
        <v>3189</v>
      </c>
      <c r="O23" s="184">
        <f t="shared" si="8"/>
        <v>3189</v>
      </c>
      <c r="P23" s="184">
        <f t="shared" si="8"/>
        <v>3189</v>
      </c>
      <c r="Q23" s="184">
        <f t="shared" si="8"/>
        <v>3189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2477.9877352499998</v>
      </c>
      <c r="I25" s="28">
        <f t="shared" ref="I25:Q25" si="10">I32/365/I13*(1-I12)</f>
        <v>2477.9877352499998</v>
      </c>
      <c r="J25" s="28">
        <f t="shared" si="10"/>
        <v>2477.9877352499998</v>
      </c>
      <c r="K25" s="28">
        <f t="shared" si="10"/>
        <v>2477.9877352499998</v>
      </c>
      <c r="L25" s="28">
        <f t="shared" si="10"/>
        <v>2477.9877352499998</v>
      </c>
      <c r="M25" s="28">
        <f t="shared" si="10"/>
        <v>2477.9877352499998</v>
      </c>
      <c r="N25" s="28">
        <f t="shared" si="10"/>
        <v>2477.9877352499998</v>
      </c>
      <c r="O25" s="28">
        <f t="shared" si="10"/>
        <v>2477.9877352499998</v>
      </c>
      <c r="P25" s="28">
        <f t="shared" si="10"/>
        <v>2477.9877352499998</v>
      </c>
      <c r="Q25" s="28">
        <f t="shared" si="10"/>
        <v>2477.9877352499998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315.83234758064515</v>
      </c>
      <c r="I26" s="28">
        <f t="shared" ref="I26:Q26" si="11">I36/365</f>
        <v>315.83234758064515</v>
      </c>
      <c r="J26" s="28">
        <f t="shared" si="11"/>
        <v>315.83234758064515</v>
      </c>
      <c r="K26" s="28">
        <f t="shared" si="11"/>
        <v>315.83234758064515</v>
      </c>
      <c r="L26" s="28">
        <f t="shared" si="11"/>
        <v>315.83234758064515</v>
      </c>
      <c r="M26" s="28">
        <f t="shared" si="11"/>
        <v>315.83234758064515</v>
      </c>
      <c r="N26" s="28">
        <f t="shared" si="11"/>
        <v>315.83234758064515</v>
      </c>
      <c r="O26" s="28">
        <f t="shared" si="11"/>
        <v>315.83234758064515</v>
      </c>
      <c r="P26" s="28">
        <f t="shared" si="11"/>
        <v>315.83234758064515</v>
      </c>
      <c r="Q26" s="28">
        <f t="shared" si="11"/>
        <v>315.83234758064515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Assumptions'!$AD$12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857538.12871901784</v>
      </c>
      <c r="I32" s="28">
        <f t="shared" si="15"/>
        <v>857538.12871901784</v>
      </c>
      <c r="J32" s="28">
        <f t="shared" si="15"/>
        <v>857538.12871901784</v>
      </c>
      <c r="K32" s="28">
        <f t="shared" si="15"/>
        <v>857538.12871901784</v>
      </c>
      <c r="L32" s="28">
        <f t="shared" si="15"/>
        <v>857538.12871901784</v>
      </c>
      <c r="M32" s="28">
        <f t="shared" si="15"/>
        <v>857538.12871901784</v>
      </c>
      <c r="N32" s="28">
        <f t="shared" si="15"/>
        <v>857538.12871901784</v>
      </c>
      <c r="O32" s="28">
        <f t="shared" si="15"/>
        <v>857538.12871901784</v>
      </c>
      <c r="P32" s="28">
        <f t="shared" si="15"/>
        <v>857538.12871901784</v>
      </c>
      <c r="Q32" s="28">
        <f t="shared" si="15"/>
        <v>857538.12871901784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8.19346929738402</v>
      </c>
      <c r="I33" s="37">
        <f t="shared" ref="I33:Q33" si="16">+H33*(1+$V34)</f>
        <v>8.19346929738402</v>
      </c>
      <c r="J33" s="37">
        <f t="shared" si="16"/>
        <v>8.19346929738402</v>
      </c>
      <c r="K33" s="37">
        <f t="shared" si="16"/>
        <v>8.19346929738402</v>
      </c>
      <c r="L33" s="37">
        <f t="shared" si="16"/>
        <v>8.19346929738402</v>
      </c>
      <c r="M33" s="37">
        <f t="shared" si="16"/>
        <v>8.19346929738402</v>
      </c>
      <c r="N33" s="37">
        <f t="shared" si="16"/>
        <v>8.19346929738402</v>
      </c>
      <c r="O33" s="37">
        <f t="shared" si="16"/>
        <v>8.19346929738402</v>
      </c>
      <c r="P33" s="37">
        <f t="shared" si="16"/>
        <v>8.19346929738402</v>
      </c>
      <c r="Q33" s="37">
        <f t="shared" si="16"/>
        <v>8.19346929738402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7026.2123289954188</v>
      </c>
      <c r="I34" s="49">
        <f t="shared" si="17"/>
        <v>7026.2123289954188</v>
      </c>
      <c r="J34" s="49">
        <f t="shared" si="17"/>
        <v>7026.2123289954188</v>
      </c>
      <c r="K34" s="49">
        <f t="shared" si="17"/>
        <v>7026.2123289954188</v>
      </c>
      <c r="L34" s="49">
        <f t="shared" si="17"/>
        <v>7026.2123289954188</v>
      </c>
      <c r="M34" s="49">
        <f t="shared" si="17"/>
        <v>7026.2123289954188</v>
      </c>
      <c r="N34" s="49">
        <f t="shared" si="17"/>
        <v>7026.2123289954188</v>
      </c>
      <c r="O34" s="49">
        <f t="shared" si="17"/>
        <v>7026.2123289954188</v>
      </c>
      <c r="P34" s="49">
        <f t="shared" si="17"/>
        <v>7026.2123289954188</v>
      </c>
      <c r="Q34" s="49">
        <f t="shared" si="17"/>
        <v>7026.2123289954188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115278.80686693547</v>
      </c>
      <c r="I36" s="28">
        <f t="shared" si="18"/>
        <v>115278.80686693547</v>
      </c>
      <c r="J36" s="28">
        <f t="shared" si="18"/>
        <v>115278.80686693547</v>
      </c>
      <c r="K36" s="28">
        <f t="shared" si="18"/>
        <v>115278.80686693547</v>
      </c>
      <c r="L36" s="28">
        <f t="shared" si="18"/>
        <v>115278.80686693547</v>
      </c>
      <c r="M36" s="28">
        <f t="shared" si="18"/>
        <v>115278.80686693547</v>
      </c>
      <c r="N36" s="28">
        <f t="shared" si="18"/>
        <v>115278.80686693547</v>
      </c>
      <c r="O36" s="28">
        <f t="shared" si="18"/>
        <v>115278.80686693547</v>
      </c>
      <c r="P36" s="28">
        <f t="shared" si="18"/>
        <v>115278.80686693547</v>
      </c>
      <c r="Q36" s="28">
        <f t="shared" si="18"/>
        <v>115278.80686693547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Assumptions'!$AC$12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972816.9355859533</v>
      </c>
      <c r="I40" s="28">
        <f t="shared" ref="I40:Q40" si="21">I28+I32+I36</f>
        <v>972816.9355859533</v>
      </c>
      <c r="J40" s="28">
        <f t="shared" si="21"/>
        <v>972816.9355859533</v>
      </c>
      <c r="K40" s="28">
        <f t="shared" si="21"/>
        <v>972816.9355859533</v>
      </c>
      <c r="L40" s="28">
        <f t="shared" si="21"/>
        <v>972816.9355859533</v>
      </c>
      <c r="M40" s="28">
        <f t="shared" si="21"/>
        <v>972816.9355859533</v>
      </c>
      <c r="N40" s="28">
        <f t="shared" si="21"/>
        <v>972816.9355859533</v>
      </c>
      <c r="O40" s="28">
        <f t="shared" si="21"/>
        <v>972816.9355859533</v>
      </c>
      <c r="P40" s="28">
        <f t="shared" si="21"/>
        <v>972816.9355859533</v>
      </c>
      <c r="Q40" s="28">
        <f t="shared" si="21"/>
        <v>972816.9355859533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1163985</v>
      </c>
      <c r="I41" s="28">
        <f t="shared" si="22"/>
        <v>1163985</v>
      </c>
      <c r="J41" s="28">
        <f t="shared" si="22"/>
        <v>1163985</v>
      </c>
      <c r="K41" s="28">
        <f t="shared" si="22"/>
        <v>1163985</v>
      </c>
      <c r="L41" s="28">
        <f t="shared" si="22"/>
        <v>1163985</v>
      </c>
      <c r="M41" s="28">
        <f t="shared" si="22"/>
        <v>1163985</v>
      </c>
      <c r="N41" s="28">
        <f t="shared" si="22"/>
        <v>1163985</v>
      </c>
      <c r="O41" s="28">
        <f t="shared" si="22"/>
        <v>1163985</v>
      </c>
      <c r="P41" s="28">
        <f t="shared" si="22"/>
        <v>1163985</v>
      </c>
      <c r="Q41" s="28">
        <f t="shared" si="22"/>
        <v>1163985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0.83576415124417691</v>
      </c>
      <c r="I42" s="34">
        <f t="shared" si="23"/>
        <v>0.83576415124417691</v>
      </c>
      <c r="J42" s="34">
        <f t="shared" si="23"/>
        <v>0.83576415124417691</v>
      </c>
      <c r="K42" s="34">
        <f t="shared" si="23"/>
        <v>0.83576415124417691</v>
      </c>
      <c r="L42" s="34">
        <f t="shared" si="23"/>
        <v>0.83576415124417691</v>
      </c>
      <c r="M42" s="34">
        <f t="shared" si="23"/>
        <v>0.83576415124417691</v>
      </c>
      <c r="N42" s="34">
        <f t="shared" si="23"/>
        <v>0.83576415124417691</v>
      </c>
      <c r="O42" s="34">
        <f t="shared" si="23"/>
        <v>0.83576415124417691</v>
      </c>
      <c r="P42" s="34">
        <f t="shared" si="23"/>
        <v>0.83576415124417691</v>
      </c>
      <c r="Q42" s="34">
        <f t="shared" si="23"/>
        <v>0.83576415124417691</v>
      </c>
      <c r="S42" s="34"/>
      <c r="V42" s="45"/>
    </row>
    <row r="43" spans="2:24">
      <c r="C43" s="24" t="s">
        <v>46</v>
      </c>
      <c r="G43" s="34"/>
      <c r="H43" s="34">
        <f>(H28+H32)/H41</f>
        <v>0.73672609932174193</v>
      </c>
      <c r="I43" s="34">
        <f t="shared" ref="I43:Q43" si="24">(I28+I32)/I41</f>
        <v>0.73672609932174193</v>
      </c>
      <c r="J43" s="34">
        <f t="shared" si="24"/>
        <v>0.73672609932174193</v>
      </c>
      <c r="K43" s="34">
        <f t="shared" si="24"/>
        <v>0.73672609932174193</v>
      </c>
      <c r="L43" s="34">
        <f t="shared" si="24"/>
        <v>0.73672609932174193</v>
      </c>
      <c r="M43" s="34">
        <f t="shared" si="24"/>
        <v>0.73672609932174193</v>
      </c>
      <c r="N43" s="34">
        <f t="shared" si="24"/>
        <v>0.73672609932174193</v>
      </c>
      <c r="O43" s="34">
        <f t="shared" si="24"/>
        <v>0.73672609932174193</v>
      </c>
      <c r="P43" s="34">
        <f t="shared" si="24"/>
        <v>0.73672609932174193</v>
      </c>
      <c r="Q43" s="34">
        <f t="shared" si="24"/>
        <v>0.73672609932174193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7026.2123289954188</v>
      </c>
      <c r="I45" s="48">
        <f t="shared" si="25"/>
        <v>7026.2123289954188</v>
      </c>
      <c r="J45" s="48">
        <f t="shared" si="25"/>
        <v>7026.2123289954188</v>
      </c>
      <c r="K45" s="48">
        <f t="shared" si="25"/>
        <v>7026.2123289954188</v>
      </c>
      <c r="L45" s="48">
        <f t="shared" si="25"/>
        <v>7026.2123289954188</v>
      </c>
      <c r="M45" s="48">
        <f t="shared" si="25"/>
        <v>7026.2123289954188</v>
      </c>
      <c r="N45" s="48">
        <f t="shared" si="25"/>
        <v>7026.2123289954188</v>
      </c>
      <c r="O45" s="48">
        <f t="shared" si="25"/>
        <v>7026.2123289954188</v>
      </c>
      <c r="P45" s="48">
        <f t="shared" si="25"/>
        <v>7026.2123289954188</v>
      </c>
      <c r="Q45" s="48">
        <f t="shared" si="25"/>
        <v>7026.2123289954188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7.2225431856440139</v>
      </c>
      <c r="I46" s="51">
        <f t="shared" si="26"/>
        <v>7.2225431856440139</v>
      </c>
      <c r="J46" s="51">
        <f t="shared" si="26"/>
        <v>7.2225431856440139</v>
      </c>
      <c r="K46" s="51">
        <f t="shared" si="26"/>
        <v>7.2225431856440139</v>
      </c>
      <c r="L46" s="51">
        <f t="shared" si="26"/>
        <v>7.2225431856440139</v>
      </c>
      <c r="M46" s="51">
        <f t="shared" si="26"/>
        <v>7.2225431856440139</v>
      </c>
      <c r="N46" s="51">
        <f t="shared" si="26"/>
        <v>7.2225431856440139</v>
      </c>
      <c r="O46" s="51">
        <f t="shared" si="26"/>
        <v>7.2225431856440139</v>
      </c>
      <c r="P46" s="51">
        <f t="shared" si="26"/>
        <v>7.2225431856440139</v>
      </c>
      <c r="Q46" s="51">
        <f t="shared" si="26"/>
        <v>7.2225431856440139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7026.2123289954188</v>
      </c>
      <c r="I48" s="49">
        <f t="shared" si="27"/>
        <v>7026.2123289954188</v>
      </c>
      <c r="J48" s="49">
        <f t="shared" si="27"/>
        <v>7026.2123289954188</v>
      </c>
      <c r="K48" s="49">
        <f t="shared" si="27"/>
        <v>7026.2123289954188</v>
      </c>
      <c r="L48" s="49">
        <f t="shared" si="27"/>
        <v>7026.2123289954188</v>
      </c>
      <c r="M48" s="49">
        <f t="shared" si="27"/>
        <v>7026.2123289954188</v>
      </c>
      <c r="N48" s="49">
        <f t="shared" si="27"/>
        <v>7026.2123289954188</v>
      </c>
      <c r="O48" s="49">
        <f t="shared" si="27"/>
        <v>7026.2123289954188</v>
      </c>
      <c r="P48" s="49">
        <f t="shared" si="27"/>
        <v>7026.2123289954188</v>
      </c>
      <c r="Q48" s="49">
        <f t="shared" si="27"/>
        <v>7026.2123289954188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857538.12871901784</v>
      </c>
      <c r="I50" s="28">
        <f t="shared" si="29"/>
        <v>857538.12871901784</v>
      </c>
      <c r="J50" s="28">
        <f t="shared" si="29"/>
        <v>857538.12871901784</v>
      </c>
      <c r="K50" s="28">
        <f t="shared" si="29"/>
        <v>857538.12871901784</v>
      </c>
      <c r="L50" s="28">
        <f t="shared" si="29"/>
        <v>857538.12871901784</v>
      </c>
      <c r="M50" s="28">
        <f t="shared" si="29"/>
        <v>857538.12871901784</v>
      </c>
      <c r="N50" s="28">
        <f t="shared" si="29"/>
        <v>857538.12871901784</v>
      </c>
      <c r="O50" s="28">
        <f t="shared" si="29"/>
        <v>857538.12871901784</v>
      </c>
      <c r="P50" s="28">
        <f t="shared" si="29"/>
        <v>857538.12871901784</v>
      </c>
      <c r="Q50" s="28">
        <f t="shared" si="29"/>
        <v>857538.12871901784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115278.80686693547</v>
      </c>
      <c r="I51" s="28">
        <f t="shared" si="30"/>
        <v>115278.80686693547</v>
      </c>
      <c r="J51" s="28">
        <f t="shared" si="30"/>
        <v>115278.80686693547</v>
      </c>
      <c r="K51" s="28">
        <f t="shared" si="30"/>
        <v>115278.80686693547</v>
      </c>
      <c r="L51" s="28">
        <f t="shared" si="30"/>
        <v>115278.80686693547</v>
      </c>
      <c r="M51" s="28">
        <f t="shared" si="30"/>
        <v>115278.80686693547</v>
      </c>
      <c r="N51" s="28">
        <f t="shared" si="30"/>
        <v>115278.80686693547</v>
      </c>
      <c r="O51" s="28">
        <f t="shared" si="30"/>
        <v>115278.80686693547</v>
      </c>
      <c r="P51" s="28">
        <f t="shared" si="30"/>
        <v>115278.80686693547</v>
      </c>
      <c r="Q51" s="28">
        <f t="shared" si="30"/>
        <v>115278.80686693547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7.2225431856440139</v>
      </c>
      <c r="I52" s="54">
        <f t="shared" si="31"/>
        <v>7.2225431856440139</v>
      </c>
      <c r="J52" s="54">
        <f t="shared" si="31"/>
        <v>7.2225431856440139</v>
      </c>
      <c r="K52" s="54">
        <f t="shared" si="31"/>
        <v>7.2225431856440139</v>
      </c>
      <c r="L52" s="54">
        <f t="shared" si="31"/>
        <v>7.2225431856440139</v>
      </c>
      <c r="M52" s="54">
        <f t="shared" si="31"/>
        <v>7.2225431856440139</v>
      </c>
      <c r="N52" s="54">
        <f t="shared" si="31"/>
        <v>7.2225431856440139</v>
      </c>
      <c r="O52" s="54">
        <f t="shared" si="31"/>
        <v>7.2225431856440139</v>
      </c>
      <c r="P52" s="54">
        <f t="shared" si="31"/>
        <v>7.2225431856440139</v>
      </c>
      <c r="Q52" s="54">
        <f t="shared" si="31"/>
        <v>7.2225431856440139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8.19346929738402</v>
      </c>
      <c r="I53" s="54">
        <f t="shared" si="32"/>
        <v>8.19346929738402</v>
      </c>
      <c r="J53" s="54">
        <f t="shared" si="32"/>
        <v>8.19346929738402</v>
      </c>
      <c r="K53" s="54">
        <f t="shared" si="32"/>
        <v>8.19346929738402</v>
      </c>
      <c r="L53" s="54">
        <f t="shared" si="32"/>
        <v>8.19346929738402</v>
      </c>
      <c r="M53" s="54">
        <f t="shared" si="32"/>
        <v>8.19346929738402</v>
      </c>
      <c r="N53" s="54">
        <f t="shared" si="32"/>
        <v>8.19346929738402</v>
      </c>
      <c r="O53" s="54">
        <f t="shared" si="32"/>
        <v>8.19346929738402</v>
      </c>
      <c r="P53" s="54">
        <f t="shared" si="32"/>
        <v>8.19346929738402</v>
      </c>
      <c r="Q53" s="54">
        <f t="shared" si="32"/>
        <v>8.19346929738402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3.1705026723148642</v>
      </c>
      <c r="I57" s="188">
        <f>H57</f>
        <v>3.1705026723148642</v>
      </c>
      <c r="J57" s="188">
        <f t="shared" ref="J57:Q57" si="34">I57</f>
        <v>3.1705026723148642</v>
      </c>
      <c r="K57" s="188">
        <f t="shared" si="34"/>
        <v>3.1705026723148642</v>
      </c>
      <c r="L57" s="188">
        <f t="shared" si="34"/>
        <v>3.1705026723148642</v>
      </c>
      <c r="M57" s="188">
        <f t="shared" si="34"/>
        <v>3.1705026723148642</v>
      </c>
      <c r="N57" s="188">
        <f t="shared" si="34"/>
        <v>3.1705026723148642</v>
      </c>
      <c r="O57" s="188">
        <f t="shared" si="34"/>
        <v>3.1705026723148642</v>
      </c>
      <c r="P57" s="188">
        <f t="shared" si="34"/>
        <v>3.1705026723148642</v>
      </c>
      <c r="Q57" s="188">
        <f t="shared" si="34"/>
        <v>3.1705026723148642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Assumptions'!$P$12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Assumptions'!$Q$12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Assumptions'!$R$12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3084.3186939484222</v>
      </c>
      <c r="I65" s="55">
        <f t="shared" si="40"/>
        <v>3084.3186939484222</v>
      </c>
      <c r="J65" s="55">
        <f t="shared" si="40"/>
        <v>3084.3186939484222</v>
      </c>
      <c r="K65" s="55">
        <f t="shared" si="40"/>
        <v>3084.3186939484222</v>
      </c>
      <c r="L65" s="55">
        <f t="shared" si="40"/>
        <v>3084.3186939484222</v>
      </c>
      <c r="M65" s="55">
        <f t="shared" si="40"/>
        <v>3084.3186939484222</v>
      </c>
      <c r="N65" s="55">
        <f t="shared" si="40"/>
        <v>3084.3186939484222</v>
      </c>
      <c r="O65" s="55">
        <f t="shared" si="40"/>
        <v>3084.3186939484222</v>
      </c>
      <c r="P65" s="55">
        <f t="shared" si="40"/>
        <v>3084.3186939484222</v>
      </c>
      <c r="Q65" s="55">
        <f t="shared" si="40"/>
        <v>3084.3186939484222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290.99624999999997</v>
      </c>
      <c r="I66" s="56">
        <f t="shared" ref="I66:Q66" si="41">+I$41*I58/1000</f>
        <v>290.99624999999997</v>
      </c>
      <c r="J66" s="56">
        <f t="shared" si="41"/>
        <v>290.99624999999997</v>
      </c>
      <c r="K66" s="56">
        <f t="shared" si="41"/>
        <v>290.99624999999997</v>
      </c>
      <c r="L66" s="56">
        <f t="shared" si="41"/>
        <v>290.99624999999997</v>
      </c>
      <c r="M66" s="56">
        <f t="shared" si="41"/>
        <v>290.99624999999997</v>
      </c>
      <c r="N66" s="56">
        <f t="shared" si="41"/>
        <v>290.99624999999997</v>
      </c>
      <c r="O66" s="56">
        <f t="shared" si="41"/>
        <v>290.99624999999997</v>
      </c>
      <c r="P66" s="56">
        <f t="shared" si="41"/>
        <v>290.99624999999997</v>
      </c>
      <c r="Q66" s="56">
        <f t="shared" si="41"/>
        <v>290.99624999999997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Assumptions'!$C$6*GCCP!H45</f>
        <v>0</v>
      </c>
      <c r="I69" s="703">
        <f>'Region Assumptions'!$C$6*GCCP!I45</f>
        <v>0</v>
      </c>
      <c r="J69" s="703">
        <f>'Region Assumptions'!$C$6*GCCP!J45</f>
        <v>0</v>
      </c>
      <c r="K69" s="703">
        <f>'Region Assumptions'!$C$6*GCCP!K45</f>
        <v>0</v>
      </c>
      <c r="L69" s="703">
        <f>'Region Assumptions'!$C$6*GCCP!L45</f>
        <v>0</v>
      </c>
      <c r="M69" s="703">
        <f>'Region Assumptions'!$C$6*GCCP!M45</f>
        <v>0</v>
      </c>
      <c r="N69" s="703">
        <f>'Region Assumptions'!$C$6*GCCP!N45</f>
        <v>0</v>
      </c>
      <c r="O69" s="703">
        <f>'Region Assumptions'!$C$6*GCCP!O45</f>
        <v>0</v>
      </c>
      <c r="P69" s="703">
        <f>'Region Assumptions'!$C$6*GCCP!P45</f>
        <v>0</v>
      </c>
      <c r="Q69" s="703">
        <f>'Region Assumptions'!$C$6*GCCP!Q45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Assumptions'!$G$12/1000</f>
        <v>0</v>
      </c>
      <c r="I70" s="434">
        <f>I61*365*'Region Assumptions'!$G$12/1000</f>
        <v>0</v>
      </c>
      <c r="J70" s="434">
        <f>J61*365*'Region Assumptions'!$G$12/1000</f>
        <v>0</v>
      </c>
      <c r="K70" s="434">
        <f>K61*365*'Region Assumptions'!$G$12/1000</f>
        <v>0</v>
      </c>
      <c r="L70" s="434">
        <f>L61*365*'Region Assumptions'!$G$12/1000</f>
        <v>0</v>
      </c>
      <c r="M70" s="434">
        <f>M61*365*'Region Assumptions'!$G$12/1000</f>
        <v>0</v>
      </c>
      <c r="N70" s="434">
        <f>N61*365*'Region Assumptions'!$G$12/1000</f>
        <v>0</v>
      </c>
      <c r="O70" s="434">
        <f>O61*365*'Region Assumptions'!$G$12/1000</f>
        <v>0</v>
      </c>
      <c r="P70" s="434">
        <f>P61*365*'Region Assumptions'!$G$12/1000</f>
        <v>0</v>
      </c>
      <c r="Q70" s="434">
        <f>Q61*365*'Region Assumptions'!$G$12/1000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Assumptions'!$H$12/1000</f>
        <v>1503.1612500000001</v>
      </c>
      <c r="I71" s="434">
        <f>I62*365*'Region Assumptions'!$H$12/1000</f>
        <v>1503.1612500000001</v>
      </c>
      <c r="J71" s="434">
        <f>J62*365*'Region Assumptions'!$H$12/1000</f>
        <v>1503.1612500000001</v>
      </c>
      <c r="K71" s="434">
        <f>K62*365*'Region Assumptions'!$H$12/1000</f>
        <v>1503.1612500000001</v>
      </c>
      <c r="L71" s="434">
        <f>L62*365*'Region Assumptions'!$H$12/1000</f>
        <v>1503.1612500000001</v>
      </c>
      <c r="M71" s="434">
        <f>M62*365*'Region Assumptions'!$H$12/1000</f>
        <v>1503.1612500000001</v>
      </c>
      <c r="N71" s="434">
        <f>N62*365*'Region Assumptions'!$H$12/1000</f>
        <v>1503.1612500000001</v>
      </c>
      <c r="O71" s="434">
        <f>O62*365*'Region Assumptions'!$H$12/1000</f>
        <v>1503.1612500000001</v>
      </c>
      <c r="P71" s="434">
        <f>P62*365*'Region Assumptions'!$H$12/1000</f>
        <v>1503.1612500000001</v>
      </c>
      <c r="Q71" s="434">
        <f>Q62*365*'Region Assumptions'!$H$12/1000</f>
        <v>1503.1612500000001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Assumptions'!$I$12/1000</f>
        <v>0</v>
      </c>
      <c r="I72" s="434">
        <f>I63*365*'Region Assumptions'!$I$12/1000</f>
        <v>0</v>
      </c>
      <c r="J72" s="434">
        <f>J63*365*'Region Assumptions'!$I$12/1000</f>
        <v>0</v>
      </c>
      <c r="K72" s="434">
        <f>K63*365*'Region Assumptions'!$I$12/1000</f>
        <v>0</v>
      </c>
      <c r="L72" s="434">
        <f>L63*365*'Region Assumptions'!$I$12/1000</f>
        <v>0</v>
      </c>
      <c r="M72" s="434">
        <f>M63*365*'Region Assumptions'!$I$12/1000</f>
        <v>0</v>
      </c>
      <c r="N72" s="434">
        <f>N63*365*'Region Assumptions'!$I$12/1000</f>
        <v>0</v>
      </c>
      <c r="O72" s="434">
        <f>O63*365*'Region Assumptions'!$I$12/1000</f>
        <v>0</v>
      </c>
      <c r="P72" s="434">
        <f>P63*365*'Region Assumptions'!$I$12/1000</f>
        <v>0</v>
      </c>
      <c r="Q72" s="434">
        <f>Q63*365*'Region Assumptions'!$I$12/1000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Assumptions'!$AF$12/1000</f>
        <v>0</v>
      </c>
      <c r="I73" s="434">
        <f>(I28*(I29-I33))*'Region Assumptions'!$AF$12/1000</f>
        <v>0</v>
      </c>
      <c r="J73" s="434">
        <f>(J28*(J29-J33))*'Region Assumptions'!$AF$12/1000</f>
        <v>0</v>
      </c>
      <c r="K73" s="434">
        <f>(K28*(K29-K33))*'Region Assumptions'!$AF$12/1000</f>
        <v>0</v>
      </c>
      <c r="L73" s="434">
        <f>(L28*(L29-L33))*'Region Assumptions'!$AF$12/1000</f>
        <v>0</v>
      </c>
      <c r="M73" s="434">
        <f>(M28*(M29-M33))*'Region Assumptions'!$AF$12/1000</f>
        <v>0</v>
      </c>
      <c r="N73" s="434">
        <f>(N28*(N29-N33))*'Region Assumptions'!$AF$12/1000</f>
        <v>0</v>
      </c>
      <c r="O73" s="434">
        <f>(O28*(O29-O33))*'Region Assumptions'!$AF$12/1000</f>
        <v>0</v>
      </c>
      <c r="P73" s="434">
        <f>(P28*(P29-P33))*'Region Assumptions'!$AF$12/1000</f>
        <v>0</v>
      </c>
      <c r="Q73" s="434">
        <f>(Q28*(Q29-Q33))*'Region Assumptions'!$AF$12/1000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4878.4761939484224</v>
      </c>
      <c r="I74" s="48">
        <f t="shared" ref="I74:Q74" si="43">SUM(I65:I73)</f>
        <v>4878.4761939484224</v>
      </c>
      <c r="J74" s="48">
        <f t="shared" si="43"/>
        <v>4878.4761939484224</v>
      </c>
      <c r="K74" s="48">
        <f t="shared" si="43"/>
        <v>4878.4761939484224</v>
      </c>
      <c r="L74" s="48">
        <f t="shared" si="43"/>
        <v>4878.4761939484224</v>
      </c>
      <c r="M74" s="48">
        <f t="shared" si="43"/>
        <v>4878.4761939484224</v>
      </c>
      <c r="N74" s="48">
        <f t="shared" si="43"/>
        <v>4878.4761939484224</v>
      </c>
      <c r="O74" s="48">
        <f t="shared" si="43"/>
        <v>4878.4761939484224</v>
      </c>
      <c r="P74" s="48">
        <f t="shared" si="43"/>
        <v>4878.4761939484224</v>
      </c>
      <c r="Q74" s="48">
        <f t="shared" si="43"/>
        <v>4878.4761939484224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2147.7361350469964</v>
      </c>
      <c r="I76" s="48">
        <f t="shared" ref="I76:Q76" si="44">+I45-I74</f>
        <v>2147.7361350469964</v>
      </c>
      <c r="J76" s="48">
        <f t="shared" si="44"/>
        <v>2147.7361350469964</v>
      </c>
      <c r="K76" s="48">
        <f t="shared" si="44"/>
        <v>2147.7361350469964</v>
      </c>
      <c r="L76" s="48">
        <f t="shared" si="44"/>
        <v>2147.7361350469964</v>
      </c>
      <c r="M76" s="48">
        <f t="shared" si="44"/>
        <v>2147.7361350469964</v>
      </c>
      <c r="N76" s="48">
        <f t="shared" si="44"/>
        <v>2147.7361350469964</v>
      </c>
      <c r="O76" s="48">
        <f t="shared" si="44"/>
        <v>2147.7361350469964</v>
      </c>
      <c r="P76" s="48">
        <f t="shared" si="44"/>
        <v>2147.7361350469964</v>
      </c>
      <c r="Q76" s="48">
        <f t="shared" si="44"/>
        <v>2147.7361350469964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2.2077495328073811</v>
      </c>
      <c r="I77" s="37">
        <f t="shared" si="45"/>
        <v>2.2077495328073811</v>
      </c>
      <c r="J77" s="37">
        <f t="shared" si="45"/>
        <v>2.2077495328073811</v>
      </c>
      <c r="K77" s="37">
        <f t="shared" si="45"/>
        <v>2.2077495328073811</v>
      </c>
      <c r="L77" s="37">
        <f t="shared" si="45"/>
        <v>2.2077495328073811</v>
      </c>
      <c r="M77" s="37">
        <f t="shared" si="45"/>
        <v>2.2077495328073811</v>
      </c>
      <c r="N77" s="37">
        <f t="shared" si="45"/>
        <v>2.2077495328073811</v>
      </c>
      <c r="O77" s="37">
        <f t="shared" si="45"/>
        <v>2.2077495328073811</v>
      </c>
      <c r="P77" s="37">
        <f t="shared" si="45"/>
        <v>2.2077495328073811</v>
      </c>
      <c r="Q77" s="37">
        <f t="shared" si="45"/>
        <v>2.2077495328073811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1.8451579144464891</v>
      </c>
      <c r="I78" s="37">
        <f t="shared" si="46"/>
        <v>1.8451579144464891</v>
      </c>
      <c r="J78" s="37">
        <f t="shared" si="46"/>
        <v>1.8451579144464891</v>
      </c>
      <c r="K78" s="37">
        <f t="shared" si="46"/>
        <v>1.8451579144464891</v>
      </c>
      <c r="L78" s="37">
        <f t="shared" si="46"/>
        <v>1.8451579144464891</v>
      </c>
      <c r="M78" s="37">
        <f t="shared" si="46"/>
        <v>1.8451579144464891</v>
      </c>
      <c r="N78" s="37">
        <f t="shared" si="46"/>
        <v>1.8451579144464891</v>
      </c>
      <c r="O78" s="37">
        <f t="shared" si="46"/>
        <v>1.8451579144464891</v>
      </c>
      <c r="P78" s="37">
        <f t="shared" si="46"/>
        <v>1.8451579144464891</v>
      </c>
      <c r="Q78" s="37">
        <f t="shared" si="46"/>
        <v>1.8451579144464891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0.30567481232866067</v>
      </c>
      <c r="I79" s="57">
        <f t="shared" si="47"/>
        <v>0.30567481232866067</v>
      </c>
      <c r="J79" s="57">
        <f t="shared" si="47"/>
        <v>0.30567481232866067</v>
      </c>
      <c r="K79" s="57">
        <f t="shared" si="47"/>
        <v>0.30567481232866067</v>
      </c>
      <c r="L79" s="57">
        <f t="shared" si="47"/>
        <v>0.30567481232866067</v>
      </c>
      <c r="M79" s="57">
        <f t="shared" si="47"/>
        <v>0.30567481232866067</v>
      </c>
      <c r="N79" s="57">
        <f t="shared" si="47"/>
        <v>0.30567481232866067</v>
      </c>
      <c r="O79" s="57">
        <f t="shared" si="47"/>
        <v>0.30567481232866067</v>
      </c>
      <c r="P79" s="57">
        <f t="shared" si="47"/>
        <v>0.30567481232866067</v>
      </c>
      <c r="Q79" s="57">
        <f t="shared" si="47"/>
        <v>0.30567481232866067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Assumptions'!$F$12</f>
        <v>1744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Assumptions'!$M$12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Assumptions'!$N$12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6976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Assumptions'!$X$12</f>
        <v>0.1</v>
      </c>
      <c r="G88" s="49">
        <f>F88*G87</f>
        <v>697.6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7673.6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Assumptions'!$T$12*GCCP!G83/1000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Assumptions'!$U$12*GCCP!G83/1000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Assumptions'!$S$12*GCCP!G83/1000</f>
        <v>174.4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Assumptions'!$V$12*GCCP!G83/1000</f>
        <v>392.4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351.31061644977098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Assumptions'!$W$12*'Region Assumptions'!$H$12/1000</f>
        <v>794.75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Assumptions'!$E$12*'Region Assumptions'!$C$4/1000</f>
        <v>53.409554920375662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1659.4510615293952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9333.0510615293952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4.3455296529362393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-8981.7404450796239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Pending'!L12,GCCP!G86)/1000</f>
        <v>4360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2147.7361350469964</v>
      </c>
      <c r="I108" s="22">
        <f t="shared" si="49"/>
        <v>2147.7361350469964</v>
      </c>
      <c r="J108" s="22">
        <f t="shared" si="49"/>
        <v>2147.7361350469964</v>
      </c>
      <c r="K108" s="22">
        <f t="shared" si="49"/>
        <v>2147.7361350469964</v>
      </c>
      <c r="L108" s="22">
        <f t="shared" si="49"/>
        <v>2147.7361350469964</v>
      </c>
      <c r="M108" s="22">
        <f t="shared" si="49"/>
        <v>2147.7361350469964</v>
      </c>
      <c r="N108" s="22">
        <f t="shared" si="49"/>
        <v>2147.7361350469964</v>
      </c>
      <c r="O108" s="22">
        <f t="shared" si="49"/>
        <v>2147.7361350469964</v>
      </c>
      <c r="P108" s="22">
        <f t="shared" si="49"/>
        <v>2147.7361350469964</v>
      </c>
      <c r="Q108" s="22">
        <f t="shared" si="49"/>
        <v>2147.7361350469964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-1726.0859657259705</v>
      </c>
      <c r="I109" s="72">
        <f>'Region Assumptions'!$C$4*($G$105+$G$94)/5</f>
        <v>-1726.0859657259705</v>
      </c>
      <c r="J109" s="72">
        <f>'Region Assumptions'!$C$4*($G$105+$G$94)/5</f>
        <v>-1726.0859657259705</v>
      </c>
      <c r="K109" s="72">
        <f>'Region Assumptions'!$C$4*($G$105+$G$94)/5</f>
        <v>-1726.0859657259705</v>
      </c>
      <c r="L109" s="72">
        <f>'Region Assumptions'!$C$4*($G$105+$G$94)/5</f>
        <v>-1726.0859657259705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421.65016932102594</v>
      </c>
      <c r="I110" s="73">
        <f t="shared" si="51"/>
        <v>421.65016932102594</v>
      </c>
      <c r="J110" s="73">
        <f t="shared" si="51"/>
        <v>421.65016932102594</v>
      </c>
      <c r="K110" s="73">
        <f t="shared" si="51"/>
        <v>421.65016932102594</v>
      </c>
      <c r="L110" s="73">
        <f t="shared" si="51"/>
        <v>421.65016932102594</v>
      </c>
      <c r="M110" s="73">
        <f t="shared" si="51"/>
        <v>2147.7361350469964</v>
      </c>
      <c r="N110" s="73">
        <f t="shared" si="51"/>
        <v>2147.7361350469964</v>
      </c>
      <c r="O110" s="73">
        <f t="shared" si="51"/>
        <v>2147.7361350469964</v>
      </c>
      <c r="P110" s="73">
        <f t="shared" si="51"/>
        <v>2147.7361350469964</v>
      </c>
      <c r="Q110" s="73">
        <f t="shared" si="51"/>
        <v>2147.7361350469964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-168.66006772841038</v>
      </c>
      <c r="I111" s="72">
        <f t="shared" si="52"/>
        <v>-168.66006772841038</v>
      </c>
      <c r="J111" s="72">
        <f t="shared" si="52"/>
        <v>-168.66006772841038</v>
      </c>
      <c r="K111" s="72">
        <f t="shared" si="52"/>
        <v>-168.66006772841038</v>
      </c>
      <c r="L111" s="72">
        <f t="shared" si="52"/>
        <v>-168.66006772841038</v>
      </c>
      <c r="M111" s="72">
        <f t="shared" si="52"/>
        <v>-859.09445401879861</v>
      </c>
      <c r="N111" s="72">
        <f t="shared" si="52"/>
        <v>-859.09445401879861</v>
      </c>
      <c r="O111" s="72">
        <f t="shared" si="52"/>
        <v>-859.09445401879861</v>
      </c>
      <c r="P111" s="72">
        <f t="shared" si="52"/>
        <v>-859.09445401879861</v>
      </c>
      <c r="Q111" s="72">
        <f t="shared" si="52"/>
        <v>-859.09445401879861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1979.076067318586</v>
      </c>
      <c r="I112" s="72">
        <f t="shared" si="53"/>
        <v>1979.076067318586</v>
      </c>
      <c r="J112" s="72">
        <f t="shared" si="53"/>
        <v>1979.076067318586</v>
      </c>
      <c r="K112" s="72">
        <f t="shared" si="53"/>
        <v>1979.076067318586</v>
      </c>
      <c r="L112" s="72">
        <f t="shared" si="53"/>
        <v>1979.076067318586</v>
      </c>
      <c r="M112" s="72">
        <f t="shared" si="53"/>
        <v>1288.6416810281978</v>
      </c>
      <c r="N112" s="72">
        <f t="shared" si="53"/>
        <v>1288.6416810281978</v>
      </c>
      <c r="O112" s="72">
        <f t="shared" si="53"/>
        <v>1288.6416810281978</v>
      </c>
      <c r="P112" s="72">
        <f t="shared" si="53"/>
        <v>1288.6416810281978</v>
      </c>
      <c r="Q112" s="72">
        <f t="shared" si="53"/>
        <v>1288.6416810281978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-351.31061644977098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1627.7654508688149</v>
      </c>
      <c r="I115" s="75">
        <f t="shared" si="56"/>
        <v>1979.076067318586</v>
      </c>
      <c r="J115" s="75">
        <f t="shared" si="56"/>
        <v>1979.076067318586</v>
      </c>
      <c r="K115" s="75">
        <f t="shared" si="56"/>
        <v>1979.076067318586</v>
      </c>
      <c r="L115" s="75">
        <f t="shared" si="56"/>
        <v>1979.076067318586</v>
      </c>
      <c r="M115" s="75">
        <f t="shared" si="56"/>
        <v>1288.6416810281978</v>
      </c>
      <c r="N115" s="75">
        <f t="shared" si="56"/>
        <v>1288.6416810281978</v>
      </c>
      <c r="O115" s="75">
        <f t="shared" si="56"/>
        <v>1288.6416810281978</v>
      </c>
      <c r="P115" s="75">
        <f t="shared" si="56"/>
        <v>1288.6416810281978</v>
      </c>
      <c r="Q115" s="75">
        <f t="shared" si="56"/>
        <v>1288.6416810281978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-8981.7404450796239</v>
      </c>
      <c r="H117" s="70">
        <f t="shared" si="57"/>
        <v>1627.7654508688149</v>
      </c>
      <c r="I117" s="70">
        <f t="shared" si="57"/>
        <v>1979.076067318586</v>
      </c>
      <c r="J117" s="70">
        <f t="shared" si="57"/>
        <v>1979.076067318586</v>
      </c>
      <c r="K117" s="70">
        <f t="shared" si="57"/>
        <v>1979.076067318586</v>
      </c>
      <c r="L117" s="70">
        <f t="shared" si="57"/>
        <v>1979.076067318586</v>
      </c>
      <c r="M117" s="70">
        <f t="shared" si="57"/>
        <v>1288.6416810281978</v>
      </c>
      <c r="N117" s="70">
        <f t="shared" si="57"/>
        <v>1288.6416810281978</v>
      </c>
      <c r="O117" s="70">
        <f t="shared" si="57"/>
        <v>1288.6416810281978</v>
      </c>
      <c r="P117" s="70">
        <f t="shared" si="57"/>
        <v>1288.6416810281978</v>
      </c>
      <c r="Q117" s="70">
        <f t="shared" si="57"/>
        <v>5648.641681028198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0.16534077623694721</v>
      </c>
      <c r="F119" s="70">
        <f>+NPV(0.12,G117:Q117)</f>
        <v>1677.1134104401453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-8981.7404450796239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10738.680675234982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2147.7361350469964</v>
      </c>
      <c r="I125" s="22">
        <f t="shared" si="59"/>
        <v>2147.7361350469964</v>
      </c>
      <c r="J125" s="22">
        <f t="shared" si="59"/>
        <v>2147.7361350469964</v>
      </c>
      <c r="K125" s="22">
        <f t="shared" si="59"/>
        <v>2147.7361350469964</v>
      </c>
      <c r="L125" s="22">
        <f t="shared" si="59"/>
        <v>2147.7361350469964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-1726.0859657259705</v>
      </c>
      <c r="I126" s="72">
        <f t="shared" si="59"/>
        <v>-1726.0859657259705</v>
      </c>
      <c r="J126" s="72">
        <f t="shared" si="59"/>
        <v>-1726.0859657259705</v>
      </c>
      <c r="K126" s="72">
        <f t="shared" si="59"/>
        <v>-1726.0859657259705</v>
      </c>
      <c r="L126" s="72">
        <f t="shared" si="59"/>
        <v>-1726.0859657259705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421.65016932102594</v>
      </c>
      <c r="I127" s="73">
        <f>SUM(I125:I126)</f>
        <v>421.65016932102594</v>
      </c>
      <c r="J127" s="73">
        <f>SUM(J125:J126)</f>
        <v>421.65016932102594</v>
      </c>
      <c r="K127" s="73">
        <f>SUM(K125:K126)</f>
        <v>421.65016932102594</v>
      </c>
      <c r="L127" s="73">
        <f>SUM(L125:L126)</f>
        <v>421.65016932102594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-168.66006772841038</v>
      </c>
      <c r="I128" s="72">
        <f t="shared" si="60"/>
        <v>-168.66006772841038</v>
      </c>
      <c r="J128" s="72">
        <f t="shared" si="60"/>
        <v>-168.66006772841038</v>
      </c>
      <c r="K128" s="72">
        <f t="shared" si="60"/>
        <v>-168.66006772841038</v>
      </c>
      <c r="L128" s="72">
        <f t="shared" si="60"/>
        <v>-168.66006772841038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1979.076067318586</v>
      </c>
      <c r="I129" s="72">
        <f>SUM(I125:I125,I128)</f>
        <v>1979.076067318586</v>
      </c>
      <c r="J129" s="72">
        <f>SUM(J125:J125,J128)</f>
        <v>1979.076067318586</v>
      </c>
      <c r="K129" s="72">
        <f>SUM(K125:K125,K128)</f>
        <v>1979.076067318586</v>
      </c>
      <c r="L129" s="72">
        <f>SUM(L125:L125,L128)</f>
        <v>1979.076067318586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-351.31061644977098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1627.7654508688149</v>
      </c>
      <c r="I132" s="73">
        <f>SUM(I129:I131)</f>
        <v>1979.076067318586</v>
      </c>
      <c r="J132" s="73">
        <f>SUM(J129:J131)</f>
        <v>1979.076067318586</v>
      </c>
      <c r="K132" s="73">
        <f>SUM(K129:K131)</f>
        <v>1979.076067318586</v>
      </c>
      <c r="L132" s="73">
        <f>SUM(L129:L131)</f>
        <v>1979.076067318586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-8981.7404450796239</v>
      </c>
      <c r="H134" s="70">
        <f t="shared" si="62"/>
        <v>1627.7654508688149</v>
      </c>
      <c r="I134" s="70">
        <f t="shared" si="62"/>
        <v>1979.076067318586</v>
      </c>
      <c r="J134" s="70">
        <f t="shared" si="62"/>
        <v>1979.076067318586</v>
      </c>
      <c r="K134" s="70">
        <f t="shared" si="62"/>
        <v>1979.076067318586</v>
      </c>
      <c r="L134" s="70">
        <f t="shared" si="62"/>
        <v>12717.756742553567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0.23356120909624445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dataConsolidate/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52"/>
  <sheetViews>
    <sheetView showGridLines="0" tabSelected="1" topLeftCell="A42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456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177741.26086867088</v>
      </c>
      <c r="H7" s="184">
        <f t="shared" ref="H7:Q7" si="1">$G$9*H11*(1-$G$12)</f>
        <v>177741.26086867088</v>
      </c>
      <c r="I7" s="184">
        <f t="shared" si="1"/>
        <v>177741.26086867088</v>
      </c>
      <c r="J7" s="184">
        <f t="shared" si="1"/>
        <v>177741.26086867088</v>
      </c>
      <c r="K7" s="184">
        <f t="shared" si="1"/>
        <v>177741.26086867088</v>
      </c>
      <c r="L7" s="184">
        <f t="shared" si="1"/>
        <v>177741.26086867088</v>
      </c>
      <c r="M7" s="184">
        <f t="shared" si="1"/>
        <v>177741.26086867088</v>
      </c>
      <c r="N7" s="184">
        <f t="shared" si="1"/>
        <v>177741.26086867088</v>
      </c>
      <c r="O7" s="184">
        <f t="shared" si="1"/>
        <v>177741.26086867088</v>
      </c>
      <c r="P7" s="184">
        <f t="shared" si="1"/>
        <v>177741.26086867088</v>
      </c>
      <c r="Q7" s="184">
        <f t="shared" si="1"/>
        <v>177741.26086867088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23893.748625</v>
      </c>
      <c r="H8" s="184">
        <f t="shared" si="2"/>
        <v>23893.748625</v>
      </c>
      <c r="I8" s="184">
        <f t="shared" si="2"/>
        <v>23893.748625</v>
      </c>
      <c r="J8" s="184">
        <f t="shared" si="2"/>
        <v>23893.748625</v>
      </c>
      <c r="K8" s="184">
        <f t="shared" si="2"/>
        <v>23893.748625</v>
      </c>
      <c r="L8" s="184">
        <f t="shared" si="2"/>
        <v>23893.748625</v>
      </c>
      <c r="M8" s="184">
        <f t="shared" si="2"/>
        <v>23893.748625</v>
      </c>
      <c r="N8" s="184">
        <f t="shared" si="2"/>
        <v>23893.748625</v>
      </c>
      <c r="O8" s="184">
        <f t="shared" si="2"/>
        <v>23893.748625</v>
      </c>
      <c r="P8" s="184">
        <f t="shared" si="2"/>
        <v>23893.748625</v>
      </c>
      <c r="Q8" s="184">
        <f t="shared" si="2"/>
        <v>23893.748625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Assumptions'!$K$13*365</f>
        <v>201635.00949367089</v>
      </c>
      <c r="H9" s="268">
        <f t="shared" ref="H9:Q9" si="3">G9</f>
        <v>201635.00949367089</v>
      </c>
      <c r="I9" s="268">
        <f t="shared" si="3"/>
        <v>201635.00949367089</v>
      </c>
      <c r="J9" s="268">
        <f t="shared" si="3"/>
        <v>201635.00949367089</v>
      </c>
      <c r="K9" s="268">
        <f t="shared" si="3"/>
        <v>201635.00949367089</v>
      </c>
      <c r="L9" s="268">
        <f t="shared" si="3"/>
        <v>201635.00949367089</v>
      </c>
      <c r="M9" s="268">
        <f t="shared" si="3"/>
        <v>201635.00949367089</v>
      </c>
      <c r="N9" s="268">
        <f t="shared" si="3"/>
        <v>201635.00949367089</v>
      </c>
      <c r="O9" s="268">
        <f t="shared" si="3"/>
        <v>201635.00949367089</v>
      </c>
      <c r="P9" s="268">
        <f>O9</f>
        <v>201635.00949367089</v>
      </c>
      <c r="Q9" s="268">
        <f t="shared" si="3"/>
        <v>201635.00949367089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Assumptions'!$AE$13</f>
        <v>0</v>
      </c>
      <c r="I10" s="438">
        <f>H10+'Region Assumptions'!$AE$13</f>
        <v>0</v>
      </c>
      <c r="J10" s="438">
        <f>I10+'Region Assumptions'!$AE$13</f>
        <v>0</v>
      </c>
      <c r="K10" s="438">
        <f>J10+'Region Assumptions'!$AE$13</f>
        <v>0</v>
      </c>
      <c r="L10" s="438">
        <f>K10+'Region Assumptions'!$AE$13</f>
        <v>0</v>
      </c>
      <c r="M10" s="438">
        <f>L10+'Region Assumptions'!$AE$13</f>
        <v>0</v>
      </c>
      <c r="N10" s="438">
        <f>M10+'Region Assumptions'!$AE$13</f>
        <v>0</v>
      </c>
      <c r="O10" s="438">
        <f>N10+'Region Assumptions'!$AE$13</f>
        <v>0</v>
      </c>
      <c r="P10" s="438">
        <f>O10+'Region Assumptions'!$AE$13</f>
        <v>0</v>
      </c>
      <c r="Q10" s="438">
        <f>P10+'Region Assumptions'!$AE$13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Assumptions'!$Y$13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0.82822291385952596</v>
      </c>
      <c r="I13" s="269">
        <f t="shared" ref="I13:Q13" si="6">I9/I23/365</f>
        <v>0.82822291385952596</v>
      </c>
      <c r="J13" s="269">
        <f t="shared" si="6"/>
        <v>0.82822291385952596</v>
      </c>
      <c r="K13" s="269">
        <f t="shared" si="6"/>
        <v>0.82822291385952596</v>
      </c>
      <c r="L13" s="269">
        <f t="shared" si="6"/>
        <v>0.82822291385952596</v>
      </c>
      <c r="M13" s="269">
        <f t="shared" si="6"/>
        <v>0.82822291385952596</v>
      </c>
      <c r="N13" s="269">
        <f t="shared" si="6"/>
        <v>0.82822291385952596</v>
      </c>
      <c r="O13" s="269">
        <f t="shared" si="6"/>
        <v>0.82822291385952596</v>
      </c>
      <c r="P13" s="269">
        <f t="shared" si="6"/>
        <v>0.82822291385952596</v>
      </c>
      <c r="Q13" s="269">
        <f t="shared" si="6"/>
        <v>0.82822291385952596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614.76554743822044</v>
      </c>
      <c r="F17" s="203">
        <f>F18*$H$17/1000</f>
        <v>50.40875237341772</v>
      </c>
      <c r="G17" s="203">
        <f>G18*$H$17/1000</f>
        <v>0</v>
      </c>
      <c r="H17" s="204">
        <f>H40</f>
        <v>201635.00949367089</v>
      </c>
      <c r="I17" s="204">
        <f>H23*365</f>
        <v>243455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Assumptions'!$Z$13</f>
        <v>3.0489028119767929</v>
      </c>
      <c r="F18" s="690">
        <f>'Region Assumptions'!$AB$13</f>
        <v>0.25</v>
      </c>
      <c r="G18" s="690">
        <f>'Region Assumptions'!$AA$13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2.5251711710099216</v>
      </c>
      <c r="F19" s="188">
        <f>F17/$I17*1000</f>
        <v>0.20705572846488149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Assumptions'!$F$13+'Region Assumptions'!$G$13+'Region Assumptions'!$H$13</f>
        <v>667</v>
      </c>
      <c r="I23" s="184">
        <f>H23</f>
        <v>667</v>
      </c>
      <c r="J23" s="184">
        <f t="shared" ref="J23:Q23" si="8">I23</f>
        <v>667</v>
      </c>
      <c r="K23" s="184">
        <f t="shared" si="8"/>
        <v>667</v>
      </c>
      <c r="L23" s="184">
        <f t="shared" si="8"/>
        <v>667</v>
      </c>
      <c r="M23" s="184">
        <f t="shared" si="8"/>
        <v>667</v>
      </c>
      <c r="N23" s="184">
        <f t="shared" si="8"/>
        <v>667</v>
      </c>
      <c r="O23" s="184">
        <f t="shared" si="8"/>
        <v>667</v>
      </c>
      <c r="P23" s="184">
        <f t="shared" si="8"/>
        <v>667</v>
      </c>
      <c r="Q23" s="184">
        <f t="shared" si="8"/>
        <v>667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518.28718074999995</v>
      </c>
      <c r="I25" s="28">
        <f t="shared" ref="I25:Q25" si="10">I32/365/I13*(1-I12)</f>
        <v>518.28718074999995</v>
      </c>
      <c r="J25" s="28">
        <f t="shared" si="10"/>
        <v>518.28718074999995</v>
      </c>
      <c r="K25" s="28">
        <f t="shared" si="10"/>
        <v>518.28718074999995</v>
      </c>
      <c r="L25" s="28">
        <f t="shared" si="10"/>
        <v>518.28718074999995</v>
      </c>
      <c r="M25" s="28">
        <f t="shared" si="10"/>
        <v>518.28718074999995</v>
      </c>
      <c r="N25" s="28">
        <f t="shared" si="10"/>
        <v>518.28718074999995</v>
      </c>
      <c r="O25" s="28">
        <f t="shared" si="10"/>
        <v>518.28718074999995</v>
      </c>
      <c r="P25" s="28">
        <f t="shared" si="10"/>
        <v>518.28718074999995</v>
      </c>
      <c r="Q25" s="28">
        <f t="shared" si="10"/>
        <v>518.28718074999995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65.462325000000007</v>
      </c>
      <c r="I26" s="28">
        <f t="shared" ref="I26:Q26" si="11">I36/365</f>
        <v>65.462325000000007</v>
      </c>
      <c r="J26" s="28">
        <f t="shared" si="11"/>
        <v>65.462325000000007</v>
      </c>
      <c r="K26" s="28">
        <f t="shared" si="11"/>
        <v>65.462325000000007</v>
      </c>
      <c r="L26" s="28">
        <f t="shared" si="11"/>
        <v>65.462325000000007</v>
      </c>
      <c r="M26" s="28">
        <f t="shared" si="11"/>
        <v>65.462325000000007</v>
      </c>
      <c r="N26" s="28">
        <f t="shared" si="11"/>
        <v>65.462325000000007</v>
      </c>
      <c r="O26" s="28">
        <f t="shared" si="11"/>
        <v>65.462325000000007</v>
      </c>
      <c r="P26" s="28">
        <f t="shared" si="11"/>
        <v>65.462325000000007</v>
      </c>
      <c r="Q26" s="28">
        <f t="shared" si="11"/>
        <v>65.462325000000007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Assumptions'!$AD$13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177741.26086867088</v>
      </c>
      <c r="I32" s="28">
        <f t="shared" si="15"/>
        <v>177741.26086867088</v>
      </c>
      <c r="J32" s="28">
        <f t="shared" si="15"/>
        <v>177741.26086867088</v>
      </c>
      <c r="K32" s="28">
        <f t="shared" si="15"/>
        <v>177741.26086867088</v>
      </c>
      <c r="L32" s="28">
        <f t="shared" si="15"/>
        <v>177741.26086867088</v>
      </c>
      <c r="M32" s="28">
        <f t="shared" si="15"/>
        <v>177741.26086867088</v>
      </c>
      <c r="N32" s="28">
        <f t="shared" si="15"/>
        <v>177741.26086867088</v>
      </c>
      <c r="O32" s="28">
        <f t="shared" si="15"/>
        <v>177741.26086867088</v>
      </c>
      <c r="P32" s="28">
        <f t="shared" si="15"/>
        <v>177741.26086867088</v>
      </c>
      <c r="Q32" s="28">
        <f t="shared" si="15"/>
        <v>177741.26086867088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7.6282350126460825</v>
      </c>
      <c r="I33" s="37">
        <f t="shared" ref="I33:Q33" si="16">+H33*(1+$V34)</f>
        <v>7.6282350126460825</v>
      </c>
      <c r="J33" s="37">
        <f t="shared" si="16"/>
        <v>7.6282350126460825</v>
      </c>
      <c r="K33" s="37">
        <f t="shared" si="16"/>
        <v>7.6282350126460825</v>
      </c>
      <c r="L33" s="37">
        <f t="shared" si="16"/>
        <v>7.6282350126460825</v>
      </c>
      <c r="M33" s="37">
        <f t="shared" si="16"/>
        <v>7.6282350126460825</v>
      </c>
      <c r="N33" s="37">
        <f t="shared" si="16"/>
        <v>7.6282350126460825</v>
      </c>
      <c r="O33" s="37">
        <f t="shared" si="16"/>
        <v>7.6282350126460825</v>
      </c>
      <c r="P33" s="37">
        <f t="shared" si="16"/>
        <v>7.6282350126460825</v>
      </c>
      <c r="Q33" s="37">
        <f t="shared" si="16"/>
        <v>7.6282350126460825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1355.8521093502563</v>
      </c>
      <c r="I34" s="49">
        <f t="shared" si="17"/>
        <v>1355.8521093502563</v>
      </c>
      <c r="J34" s="49">
        <f t="shared" si="17"/>
        <v>1355.8521093502563</v>
      </c>
      <c r="K34" s="49">
        <f t="shared" si="17"/>
        <v>1355.8521093502563</v>
      </c>
      <c r="L34" s="49">
        <f t="shared" si="17"/>
        <v>1355.8521093502563</v>
      </c>
      <c r="M34" s="49">
        <f t="shared" si="17"/>
        <v>1355.8521093502563</v>
      </c>
      <c r="N34" s="49">
        <f t="shared" si="17"/>
        <v>1355.8521093502563</v>
      </c>
      <c r="O34" s="49">
        <f t="shared" si="17"/>
        <v>1355.8521093502563</v>
      </c>
      <c r="P34" s="49">
        <f t="shared" si="17"/>
        <v>1355.8521093502563</v>
      </c>
      <c r="Q34" s="49">
        <f t="shared" si="17"/>
        <v>1355.8521093502563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23893.748625</v>
      </c>
      <c r="I36" s="28">
        <f t="shared" si="18"/>
        <v>23893.748625</v>
      </c>
      <c r="J36" s="28">
        <f t="shared" si="18"/>
        <v>23893.748625</v>
      </c>
      <c r="K36" s="28">
        <f t="shared" si="18"/>
        <v>23893.748625</v>
      </c>
      <c r="L36" s="28">
        <f t="shared" si="18"/>
        <v>23893.748625</v>
      </c>
      <c r="M36" s="28">
        <f t="shared" si="18"/>
        <v>23893.748625</v>
      </c>
      <c r="N36" s="28">
        <f t="shared" si="18"/>
        <v>23893.748625</v>
      </c>
      <c r="O36" s="28">
        <f t="shared" si="18"/>
        <v>23893.748625</v>
      </c>
      <c r="P36" s="28">
        <f t="shared" si="18"/>
        <v>23893.748625</v>
      </c>
      <c r="Q36" s="28">
        <f t="shared" si="18"/>
        <v>23893.748625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Assumptions'!$AC$13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201635.00949367089</v>
      </c>
      <c r="I40" s="28">
        <f t="shared" ref="I40:Q40" si="21">I28+I32+I36</f>
        <v>201635.00949367089</v>
      </c>
      <c r="J40" s="28">
        <f t="shared" si="21"/>
        <v>201635.00949367089</v>
      </c>
      <c r="K40" s="28">
        <f t="shared" si="21"/>
        <v>201635.00949367089</v>
      </c>
      <c r="L40" s="28">
        <f t="shared" si="21"/>
        <v>201635.00949367089</v>
      </c>
      <c r="M40" s="28">
        <f t="shared" si="21"/>
        <v>201635.00949367089</v>
      </c>
      <c r="N40" s="28">
        <f t="shared" si="21"/>
        <v>201635.00949367089</v>
      </c>
      <c r="O40" s="28">
        <f t="shared" si="21"/>
        <v>201635.00949367089</v>
      </c>
      <c r="P40" s="28">
        <f t="shared" si="21"/>
        <v>201635.00949367089</v>
      </c>
      <c r="Q40" s="28">
        <f t="shared" si="21"/>
        <v>201635.00949367089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243455</v>
      </c>
      <c r="I41" s="28">
        <f t="shared" si="22"/>
        <v>243455</v>
      </c>
      <c r="J41" s="28">
        <f t="shared" si="22"/>
        <v>243455</v>
      </c>
      <c r="K41" s="28">
        <f t="shared" si="22"/>
        <v>243455</v>
      </c>
      <c r="L41" s="28">
        <f t="shared" si="22"/>
        <v>243455</v>
      </c>
      <c r="M41" s="28">
        <f t="shared" si="22"/>
        <v>243455</v>
      </c>
      <c r="N41" s="28">
        <f t="shared" si="22"/>
        <v>243455</v>
      </c>
      <c r="O41" s="28">
        <f t="shared" si="22"/>
        <v>243455</v>
      </c>
      <c r="P41" s="28">
        <f t="shared" si="22"/>
        <v>243455</v>
      </c>
      <c r="Q41" s="28">
        <f t="shared" si="22"/>
        <v>243455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0.82822291385952596</v>
      </c>
      <c r="I42" s="34">
        <f t="shared" si="23"/>
        <v>0.82822291385952596</v>
      </c>
      <c r="J42" s="34">
        <f t="shared" si="23"/>
        <v>0.82822291385952596</v>
      </c>
      <c r="K42" s="34">
        <f t="shared" si="23"/>
        <v>0.82822291385952596</v>
      </c>
      <c r="L42" s="34">
        <f t="shared" si="23"/>
        <v>0.82822291385952596</v>
      </c>
      <c r="M42" s="34">
        <f t="shared" si="23"/>
        <v>0.82822291385952596</v>
      </c>
      <c r="N42" s="34">
        <f t="shared" si="23"/>
        <v>0.82822291385952596</v>
      </c>
      <c r="O42" s="34">
        <f t="shared" si="23"/>
        <v>0.82822291385952596</v>
      </c>
      <c r="P42" s="34">
        <f t="shared" si="23"/>
        <v>0.82822291385952596</v>
      </c>
      <c r="Q42" s="34">
        <f t="shared" si="23"/>
        <v>0.82822291385952596</v>
      </c>
      <c r="S42" s="34"/>
      <c r="V42" s="45"/>
    </row>
    <row r="43" spans="2:24">
      <c r="C43" s="24" t="s">
        <v>46</v>
      </c>
      <c r="G43" s="34"/>
      <c r="H43" s="34">
        <f>(H28+H32)/H41</f>
        <v>0.73007849856717211</v>
      </c>
      <c r="I43" s="34">
        <f t="shared" ref="I43:Q43" si="24">(I28+I32)/I41</f>
        <v>0.73007849856717211</v>
      </c>
      <c r="J43" s="34">
        <f t="shared" si="24"/>
        <v>0.73007849856717211</v>
      </c>
      <c r="K43" s="34">
        <f t="shared" si="24"/>
        <v>0.73007849856717211</v>
      </c>
      <c r="L43" s="34">
        <f t="shared" si="24"/>
        <v>0.73007849856717211</v>
      </c>
      <c r="M43" s="34">
        <f t="shared" si="24"/>
        <v>0.73007849856717211</v>
      </c>
      <c r="N43" s="34">
        <f t="shared" si="24"/>
        <v>0.73007849856717211</v>
      </c>
      <c r="O43" s="34">
        <f t="shared" si="24"/>
        <v>0.73007849856717211</v>
      </c>
      <c r="P43" s="34">
        <f t="shared" si="24"/>
        <v>0.73007849856717211</v>
      </c>
      <c r="Q43" s="34">
        <f t="shared" si="24"/>
        <v>0.73007849856717211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1355.8521093502563</v>
      </c>
      <c r="I45" s="48">
        <f t="shared" si="25"/>
        <v>1355.8521093502563</v>
      </c>
      <c r="J45" s="48">
        <f t="shared" si="25"/>
        <v>1355.8521093502563</v>
      </c>
      <c r="K45" s="48">
        <f t="shared" si="25"/>
        <v>1355.8521093502563</v>
      </c>
      <c r="L45" s="48">
        <f t="shared" si="25"/>
        <v>1355.8521093502563</v>
      </c>
      <c r="M45" s="48">
        <f t="shared" si="25"/>
        <v>1355.8521093502563</v>
      </c>
      <c r="N45" s="48">
        <f t="shared" si="25"/>
        <v>1355.8521093502563</v>
      </c>
      <c r="O45" s="48">
        <f t="shared" si="25"/>
        <v>1355.8521093502563</v>
      </c>
      <c r="P45" s="48">
        <f t="shared" si="25"/>
        <v>1355.8521093502563</v>
      </c>
      <c r="Q45" s="48">
        <f t="shared" si="25"/>
        <v>1355.8521093502563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6.7242891636475219</v>
      </c>
      <c r="I46" s="51">
        <f t="shared" si="26"/>
        <v>6.7242891636475219</v>
      </c>
      <c r="J46" s="51">
        <f t="shared" si="26"/>
        <v>6.7242891636475219</v>
      </c>
      <c r="K46" s="51">
        <f t="shared" si="26"/>
        <v>6.7242891636475219</v>
      </c>
      <c r="L46" s="51">
        <f t="shared" si="26"/>
        <v>6.7242891636475219</v>
      </c>
      <c r="M46" s="51">
        <f t="shared" si="26"/>
        <v>6.7242891636475219</v>
      </c>
      <c r="N46" s="51">
        <f t="shared" si="26"/>
        <v>6.7242891636475219</v>
      </c>
      <c r="O46" s="51">
        <f t="shared" si="26"/>
        <v>6.7242891636475219</v>
      </c>
      <c r="P46" s="51">
        <f t="shared" si="26"/>
        <v>6.7242891636475219</v>
      </c>
      <c r="Q46" s="51">
        <f t="shared" si="26"/>
        <v>6.7242891636475219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1355.8521093502563</v>
      </c>
      <c r="I48" s="49">
        <f t="shared" si="27"/>
        <v>1355.8521093502563</v>
      </c>
      <c r="J48" s="49">
        <f t="shared" si="27"/>
        <v>1355.8521093502563</v>
      </c>
      <c r="K48" s="49">
        <f t="shared" si="27"/>
        <v>1355.8521093502563</v>
      </c>
      <c r="L48" s="49">
        <f t="shared" si="27"/>
        <v>1355.8521093502563</v>
      </c>
      <c r="M48" s="49">
        <f t="shared" si="27"/>
        <v>1355.8521093502563</v>
      </c>
      <c r="N48" s="49">
        <f t="shared" si="27"/>
        <v>1355.8521093502563</v>
      </c>
      <c r="O48" s="49">
        <f t="shared" si="27"/>
        <v>1355.8521093502563</v>
      </c>
      <c r="P48" s="49">
        <f t="shared" si="27"/>
        <v>1355.8521093502563</v>
      </c>
      <c r="Q48" s="49">
        <f t="shared" si="27"/>
        <v>1355.8521093502563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177741.26086867088</v>
      </c>
      <c r="I50" s="28">
        <f t="shared" si="29"/>
        <v>177741.26086867088</v>
      </c>
      <c r="J50" s="28">
        <f t="shared" si="29"/>
        <v>177741.26086867088</v>
      </c>
      <c r="K50" s="28">
        <f t="shared" si="29"/>
        <v>177741.26086867088</v>
      </c>
      <c r="L50" s="28">
        <f t="shared" si="29"/>
        <v>177741.26086867088</v>
      </c>
      <c r="M50" s="28">
        <f t="shared" si="29"/>
        <v>177741.26086867088</v>
      </c>
      <c r="N50" s="28">
        <f t="shared" si="29"/>
        <v>177741.26086867088</v>
      </c>
      <c r="O50" s="28">
        <f t="shared" si="29"/>
        <v>177741.26086867088</v>
      </c>
      <c r="P50" s="28">
        <f t="shared" si="29"/>
        <v>177741.26086867088</v>
      </c>
      <c r="Q50" s="28">
        <f t="shared" si="29"/>
        <v>177741.26086867088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23893.748625</v>
      </c>
      <c r="I51" s="28">
        <f t="shared" si="30"/>
        <v>23893.748625</v>
      </c>
      <c r="J51" s="28">
        <f t="shared" si="30"/>
        <v>23893.748625</v>
      </c>
      <c r="K51" s="28">
        <f t="shared" si="30"/>
        <v>23893.748625</v>
      </c>
      <c r="L51" s="28">
        <f t="shared" si="30"/>
        <v>23893.748625</v>
      </c>
      <c r="M51" s="28">
        <f t="shared" si="30"/>
        <v>23893.748625</v>
      </c>
      <c r="N51" s="28">
        <f t="shared" si="30"/>
        <v>23893.748625</v>
      </c>
      <c r="O51" s="28">
        <f t="shared" si="30"/>
        <v>23893.748625</v>
      </c>
      <c r="P51" s="28">
        <f t="shared" si="30"/>
        <v>23893.748625</v>
      </c>
      <c r="Q51" s="28">
        <f t="shared" si="30"/>
        <v>23893.748625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6.7242891636475219</v>
      </c>
      <c r="I52" s="54">
        <f t="shared" si="31"/>
        <v>6.7242891636475219</v>
      </c>
      <c r="J52" s="54">
        <f t="shared" si="31"/>
        <v>6.7242891636475219</v>
      </c>
      <c r="K52" s="54">
        <f t="shared" si="31"/>
        <v>6.7242891636475219</v>
      </c>
      <c r="L52" s="54">
        <f t="shared" si="31"/>
        <v>6.7242891636475219</v>
      </c>
      <c r="M52" s="54">
        <f t="shared" si="31"/>
        <v>6.7242891636475219</v>
      </c>
      <c r="N52" s="54">
        <f t="shared" si="31"/>
        <v>6.7242891636475219</v>
      </c>
      <c r="O52" s="54">
        <f t="shared" si="31"/>
        <v>6.7242891636475219</v>
      </c>
      <c r="P52" s="54">
        <f t="shared" si="31"/>
        <v>6.7242891636475219</v>
      </c>
      <c r="Q52" s="54">
        <f t="shared" si="31"/>
        <v>6.7242891636475219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7.6282350126460834</v>
      </c>
      <c r="I53" s="54">
        <f t="shared" si="32"/>
        <v>7.6282350126460834</v>
      </c>
      <c r="J53" s="54">
        <f t="shared" si="32"/>
        <v>7.6282350126460834</v>
      </c>
      <c r="K53" s="54">
        <f t="shared" si="32"/>
        <v>7.6282350126460834</v>
      </c>
      <c r="L53" s="54">
        <f t="shared" si="32"/>
        <v>7.6282350126460834</v>
      </c>
      <c r="M53" s="54">
        <f t="shared" si="32"/>
        <v>7.6282350126460834</v>
      </c>
      <c r="N53" s="54">
        <f t="shared" si="32"/>
        <v>7.6282350126460834</v>
      </c>
      <c r="O53" s="54">
        <f t="shared" si="32"/>
        <v>7.6282350126460834</v>
      </c>
      <c r="P53" s="54">
        <f t="shared" si="32"/>
        <v>7.6282350126460834</v>
      </c>
      <c r="Q53" s="54">
        <f t="shared" si="32"/>
        <v>7.6282350126460834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3.0489028119767929</v>
      </c>
      <c r="I57" s="188">
        <f>H57</f>
        <v>3.0489028119767929</v>
      </c>
      <c r="J57" s="188">
        <f t="shared" ref="J57:Q57" si="34">I57</f>
        <v>3.0489028119767929</v>
      </c>
      <c r="K57" s="188">
        <f t="shared" si="34"/>
        <v>3.0489028119767929</v>
      </c>
      <c r="L57" s="188">
        <f t="shared" si="34"/>
        <v>3.0489028119767929</v>
      </c>
      <c r="M57" s="188">
        <f t="shared" si="34"/>
        <v>3.0489028119767929</v>
      </c>
      <c r="N57" s="188">
        <f t="shared" si="34"/>
        <v>3.0489028119767929</v>
      </c>
      <c r="O57" s="188">
        <f t="shared" si="34"/>
        <v>3.0489028119767929</v>
      </c>
      <c r="P57" s="188">
        <f t="shared" si="34"/>
        <v>3.0489028119767929</v>
      </c>
      <c r="Q57" s="188">
        <f t="shared" si="34"/>
        <v>3.0489028119767929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Assumptions'!$P$13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Assumptions'!$Q$13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Assumptions'!$R$13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614.76554743822044</v>
      </c>
      <c r="I65" s="55">
        <f t="shared" si="40"/>
        <v>614.76554743822044</v>
      </c>
      <c r="J65" s="55">
        <f t="shared" si="40"/>
        <v>614.76554743822044</v>
      </c>
      <c r="K65" s="55">
        <f t="shared" si="40"/>
        <v>614.76554743822044</v>
      </c>
      <c r="L65" s="55">
        <f t="shared" si="40"/>
        <v>614.76554743822044</v>
      </c>
      <c r="M65" s="55">
        <f t="shared" si="40"/>
        <v>614.76554743822044</v>
      </c>
      <c r="N65" s="55">
        <f t="shared" si="40"/>
        <v>614.76554743822044</v>
      </c>
      <c r="O65" s="55">
        <f t="shared" si="40"/>
        <v>614.76554743822044</v>
      </c>
      <c r="P65" s="55">
        <f t="shared" si="40"/>
        <v>614.76554743822044</v>
      </c>
      <c r="Q65" s="55">
        <f t="shared" si="40"/>
        <v>614.76554743822044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60.863750000000003</v>
      </c>
      <c r="I66" s="56">
        <f t="shared" ref="I66:Q66" si="41">+I$41*I58/1000</f>
        <v>60.863750000000003</v>
      </c>
      <c r="J66" s="56">
        <f t="shared" si="41"/>
        <v>60.863750000000003</v>
      </c>
      <c r="K66" s="56">
        <f t="shared" si="41"/>
        <v>60.863750000000003</v>
      </c>
      <c r="L66" s="56">
        <f t="shared" si="41"/>
        <v>60.863750000000003</v>
      </c>
      <c r="M66" s="56">
        <f t="shared" si="41"/>
        <v>60.863750000000003</v>
      </c>
      <c r="N66" s="56">
        <f t="shared" si="41"/>
        <v>60.863750000000003</v>
      </c>
      <c r="O66" s="56">
        <f t="shared" si="41"/>
        <v>60.863750000000003</v>
      </c>
      <c r="P66" s="56">
        <f t="shared" si="41"/>
        <v>60.863750000000003</v>
      </c>
      <c r="Q66" s="56">
        <f t="shared" si="41"/>
        <v>60.863750000000003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Assumptions'!$C$6*MCCP!H45</f>
        <v>0</v>
      </c>
      <c r="I69" s="703">
        <f>'Region Assumptions'!$C$6*MCCP!I45</f>
        <v>0</v>
      </c>
      <c r="J69" s="703">
        <f>'Region Assumptions'!$C$6*MCCP!J45</f>
        <v>0</v>
      </c>
      <c r="K69" s="703">
        <f>'Region Assumptions'!$C$6*MCCP!K45</f>
        <v>0</v>
      </c>
      <c r="L69" s="703">
        <f>'Region Assumptions'!$C$6*MCCP!L45</f>
        <v>0</v>
      </c>
      <c r="M69" s="703">
        <f>'Region Assumptions'!$C$6*MCCP!M45</f>
        <v>0</v>
      </c>
      <c r="N69" s="703">
        <f>'Region Assumptions'!$C$6*MCCP!N45</f>
        <v>0</v>
      </c>
      <c r="O69" s="703">
        <f>'Region Assumptions'!$C$6*MCCP!O45</f>
        <v>0</v>
      </c>
      <c r="P69" s="703">
        <f>'Region Assumptions'!$C$6*MCCP!P45</f>
        <v>0</v>
      </c>
      <c r="Q69" s="703">
        <f>'Region Assumptions'!$C$6*MCCP!Q45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Assumptions'!$G$13/1000</f>
        <v>0</v>
      </c>
      <c r="I70" s="434">
        <f>I61*365*'Region Assumptions'!$G$13/1000</f>
        <v>0</v>
      </c>
      <c r="J70" s="434">
        <f>J61*365*'Region Assumptions'!$G$13/1000</f>
        <v>0</v>
      </c>
      <c r="K70" s="434">
        <f>K61*365*'Region Assumptions'!$G$13/1000</f>
        <v>0</v>
      </c>
      <c r="L70" s="434">
        <f>L61*365*'Region Assumptions'!$G$13/1000</f>
        <v>0</v>
      </c>
      <c r="M70" s="434">
        <f>M61*365*'Region Assumptions'!$G$13/1000</f>
        <v>0</v>
      </c>
      <c r="N70" s="434">
        <f>N61*365*'Region Assumptions'!$G$13/1000</f>
        <v>0</v>
      </c>
      <c r="O70" s="434">
        <f>O61*365*'Region Assumptions'!$G$13/1000</f>
        <v>0</v>
      </c>
      <c r="P70" s="434">
        <f>P61*365*'Region Assumptions'!$G$13/1000</f>
        <v>0</v>
      </c>
      <c r="Q70" s="434">
        <f>Q61*365*'Region Assumptions'!$G$13/1000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Assumptions'!$H$13/1000</f>
        <v>113.38724999999999</v>
      </c>
      <c r="I71" s="434">
        <f>I62*365*'Region Assumptions'!$H$13/1000</f>
        <v>113.38724999999999</v>
      </c>
      <c r="J71" s="434">
        <f>J62*365*'Region Assumptions'!$H$13/1000</f>
        <v>113.38724999999999</v>
      </c>
      <c r="K71" s="434">
        <f>K62*365*'Region Assumptions'!$H$13/1000</f>
        <v>113.38724999999999</v>
      </c>
      <c r="L71" s="434">
        <f>L62*365*'Region Assumptions'!$H$13/1000</f>
        <v>113.38724999999999</v>
      </c>
      <c r="M71" s="434">
        <f>M62*365*'Region Assumptions'!$H$13/1000</f>
        <v>113.38724999999999</v>
      </c>
      <c r="N71" s="434">
        <f>N62*365*'Region Assumptions'!$H$13/1000</f>
        <v>113.38724999999999</v>
      </c>
      <c r="O71" s="434">
        <f>O62*365*'Region Assumptions'!$H$13/1000</f>
        <v>113.38724999999999</v>
      </c>
      <c r="P71" s="434">
        <f>P62*365*'Region Assumptions'!$H$13/1000</f>
        <v>113.38724999999999</v>
      </c>
      <c r="Q71" s="434">
        <f>Q62*365*'Region Assumptions'!$H$13/1000</f>
        <v>113.38724999999999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Assumptions'!$I$13/1000</f>
        <v>0</v>
      </c>
      <c r="I72" s="434">
        <f>I63*365*'Region Assumptions'!$I$13/1000</f>
        <v>0</v>
      </c>
      <c r="J72" s="434">
        <f>J63*365*'Region Assumptions'!$I$13/1000</f>
        <v>0</v>
      </c>
      <c r="K72" s="434">
        <f>K63*365*'Region Assumptions'!$I$13/1000</f>
        <v>0</v>
      </c>
      <c r="L72" s="434">
        <f>L63*365*'Region Assumptions'!$I$13/1000</f>
        <v>0</v>
      </c>
      <c r="M72" s="434">
        <f>M63*365*'Region Assumptions'!$I$13/1000</f>
        <v>0</v>
      </c>
      <c r="N72" s="434">
        <f>N63*365*'Region Assumptions'!$I$13/1000</f>
        <v>0</v>
      </c>
      <c r="O72" s="434">
        <f>O63*365*'Region Assumptions'!$I$13/1000</f>
        <v>0</v>
      </c>
      <c r="P72" s="434">
        <f>P63*365*'Region Assumptions'!$I$13/1000</f>
        <v>0</v>
      </c>
      <c r="Q72" s="434">
        <f>Q63*365*'Region Assumptions'!$I$13/1000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Assumptions'!$AF$13/1000</f>
        <v>0</v>
      </c>
      <c r="I73" s="434">
        <f>(I28*(I29-I33))*'Region Assumptions'!$AF$13/1000</f>
        <v>0</v>
      </c>
      <c r="J73" s="434">
        <f>(J28*(J29-J33))*'Region Assumptions'!$AF$13/1000</f>
        <v>0</v>
      </c>
      <c r="K73" s="434">
        <f>(K28*(K29-K33))*'Region Assumptions'!$AF$13/1000</f>
        <v>0</v>
      </c>
      <c r="L73" s="434">
        <f>(L28*(L29-L33))*'Region Assumptions'!$AF$13/1000</f>
        <v>0</v>
      </c>
      <c r="M73" s="434">
        <f>(M28*(M29-M33))*'Region Assumptions'!$AF$13/1000</f>
        <v>0</v>
      </c>
      <c r="N73" s="434">
        <f>(N28*(N29-N33))*'Region Assumptions'!$AF$13/1000</f>
        <v>0</v>
      </c>
      <c r="O73" s="434">
        <f>(O28*(O29-O33))*'Region Assumptions'!$AF$13/1000</f>
        <v>0</v>
      </c>
      <c r="P73" s="434">
        <f>(P28*(P29-P33))*'Region Assumptions'!$AF$13/1000</f>
        <v>0</v>
      </c>
      <c r="Q73" s="434">
        <f>(Q28*(Q29-Q33))*'Region Assumptions'!$AF$13/1000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789.01654743822041</v>
      </c>
      <c r="I74" s="48">
        <f t="shared" ref="I74:Q74" si="43">SUM(I65:I73)</f>
        <v>789.01654743822041</v>
      </c>
      <c r="J74" s="48">
        <f t="shared" si="43"/>
        <v>789.01654743822041</v>
      </c>
      <c r="K74" s="48">
        <f t="shared" si="43"/>
        <v>789.01654743822041</v>
      </c>
      <c r="L74" s="48">
        <f t="shared" si="43"/>
        <v>789.01654743822041</v>
      </c>
      <c r="M74" s="48">
        <f t="shared" si="43"/>
        <v>789.01654743822041</v>
      </c>
      <c r="N74" s="48">
        <f t="shared" si="43"/>
        <v>789.01654743822041</v>
      </c>
      <c r="O74" s="48">
        <f t="shared" si="43"/>
        <v>789.01654743822041</v>
      </c>
      <c r="P74" s="48">
        <f t="shared" si="43"/>
        <v>789.01654743822041</v>
      </c>
      <c r="Q74" s="48">
        <f t="shared" si="43"/>
        <v>789.01654743822041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566.83556191203593</v>
      </c>
      <c r="I76" s="48">
        <f t="shared" ref="I76:Q76" si="44">+I45-I74</f>
        <v>566.83556191203593</v>
      </c>
      <c r="J76" s="48">
        <f t="shared" si="44"/>
        <v>566.83556191203593</v>
      </c>
      <c r="K76" s="48">
        <f t="shared" si="44"/>
        <v>566.83556191203593</v>
      </c>
      <c r="L76" s="48">
        <f t="shared" si="44"/>
        <v>566.83556191203593</v>
      </c>
      <c r="M76" s="48">
        <f t="shared" si="44"/>
        <v>566.83556191203593</v>
      </c>
      <c r="N76" s="48">
        <f t="shared" si="44"/>
        <v>566.83556191203593</v>
      </c>
      <c r="O76" s="48">
        <f t="shared" si="44"/>
        <v>566.83556191203593</v>
      </c>
      <c r="P76" s="48">
        <f t="shared" si="44"/>
        <v>566.83556191203593</v>
      </c>
      <c r="Q76" s="48">
        <f t="shared" si="44"/>
        <v>566.83556191203593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2.8111961476106075</v>
      </c>
      <c r="I77" s="37">
        <f t="shared" si="45"/>
        <v>2.8111961476106075</v>
      </c>
      <c r="J77" s="37">
        <f t="shared" si="45"/>
        <v>2.8111961476106075</v>
      </c>
      <c r="K77" s="37">
        <f t="shared" si="45"/>
        <v>2.8111961476106075</v>
      </c>
      <c r="L77" s="37">
        <f t="shared" si="45"/>
        <v>2.8111961476106075</v>
      </c>
      <c r="M77" s="37">
        <f t="shared" si="45"/>
        <v>2.8111961476106075</v>
      </c>
      <c r="N77" s="37">
        <f t="shared" si="45"/>
        <v>2.8111961476106075</v>
      </c>
      <c r="O77" s="37">
        <f t="shared" si="45"/>
        <v>2.8111961476106075</v>
      </c>
      <c r="P77" s="37">
        <f t="shared" si="45"/>
        <v>2.8111961476106075</v>
      </c>
      <c r="Q77" s="37">
        <f t="shared" si="45"/>
        <v>2.8111961476106075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2.3282970648047314</v>
      </c>
      <c r="I78" s="37">
        <f t="shared" si="46"/>
        <v>2.3282970648047314</v>
      </c>
      <c r="J78" s="37">
        <f t="shared" si="46"/>
        <v>2.3282970648047314</v>
      </c>
      <c r="K78" s="37">
        <f t="shared" si="46"/>
        <v>2.3282970648047314</v>
      </c>
      <c r="L78" s="37">
        <f t="shared" si="46"/>
        <v>2.3282970648047314</v>
      </c>
      <c r="M78" s="37">
        <f t="shared" si="46"/>
        <v>2.3282970648047314</v>
      </c>
      <c r="N78" s="37">
        <f t="shared" si="46"/>
        <v>2.3282970648047314</v>
      </c>
      <c r="O78" s="37">
        <f t="shared" si="46"/>
        <v>2.3282970648047314</v>
      </c>
      <c r="P78" s="37">
        <f t="shared" si="46"/>
        <v>2.3282970648047314</v>
      </c>
      <c r="Q78" s="37">
        <f t="shared" si="46"/>
        <v>2.3282970648047314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0.41806592179413404</v>
      </c>
      <c r="I79" s="57">
        <f t="shared" si="47"/>
        <v>0.41806592179413404</v>
      </c>
      <c r="J79" s="57">
        <f t="shared" si="47"/>
        <v>0.41806592179413404</v>
      </c>
      <c r="K79" s="57">
        <f t="shared" si="47"/>
        <v>0.41806592179413404</v>
      </c>
      <c r="L79" s="57">
        <f t="shared" si="47"/>
        <v>0.41806592179413404</v>
      </c>
      <c r="M79" s="57">
        <f t="shared" si="47"/>
        <v>0.41806592179413404</v>
      </c>
      <c r="N79" s="57">
        <f t="shared" si="47"/>
        <v>0.41806592179413404</v>
      </c>
      <c r="O79" s="57">
        <f t="shared" si="47"/>
        <v>0.41806592179413404</v>
      </c>
      <c r="P79" s="57">
        <f t="shared" si="47"/>
        <v>0.41806592179413404</v>
      </c>
      <c r="Q79" s="57">
        <f t="shared" si="47"/>
        <v>0.41806592179413404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Assumptions'!$F$13</f>
        <v>558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Assumptions'!$M$13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Assumptions'!$N$13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2232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Assumptions'!$X$13</f>
        <v>0.1</v>
      </c>
      <c r="G88" s="49">
        <f>F88*G87</f>
        <v>223.20000000000002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2455.1999999999998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Assumptions'!$T$13*MCCP!G83/1000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Assumptions'!$U$13*MCCP!G83/1000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Assumptions'!$S$13*MCCP!G83/1000</f>
        <v>55.8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Assumptions'!$V$13*MCCP!G83/1000</f>
        <v>125.55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67.792605467512814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Assumptions'!$W$13*'Region Assumptions'!$H$13/1000</f>
        <v>59.95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Assumptions'!$E$13*'Region Assumptions'!$C$4/1000</f>
        <v>17.088607594936708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292.00399787257606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2747.2039978725761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4.8465625350071093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-2679.4113924050635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Pending'!L12,MCCP!G86)/1000</f>
        <v>1395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566.83556191203593</v>
      </c>
      <c r="I108" s="22">
        <f t="shared" si="49"/>
        <v>566.83556191203593</v>
      </c>
      <c r="J108" s="22">
        <f t="shared" si="49"/>
        <v>566.83556191203593</v>
      </c>
      <c r="K108" s="22">
        <f t="shared" si="49"/>
        <v>566.83556191203593</v>
      </c>
      <c r="L108" s="22">
        <f t="shared" si="49"/>
        <v>566.83556191203593</v>
      </c>
      <c r="M108" s="22">
        <f t="shared" si="49"/>
        <v>566.83556191203593</v>
      </c>
      <c r="N108" s="22">
        <f t="shared" si="49"/>
        <v>566.83556191203593</v>
      </c>
      <c r="O108" s="22">
        <f t="shared" si="49"/>
        <v>566.83556191203593</v>
      </c>
      <c r="P108" s="22">
        <f t="shared" si="49"/>
        <v>566.83556191203593</v>
      </c>
      <c r="Q108" s="22">
        <f t="shared" si="49"/>
        <v>566.83556191203593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-522.32375738751011</v>
      </c>
      <c r="I109" s="72">
        <f>'Region Assumptions'!$C$4*($G$105+$G$94)/5</f>
        <v>-522.32375738751011</v>
      </c>
      <c r="J109" s="72">
        <f>'Region Assumptions'!$C$4*($G$105+$G$94)/5</f>
        <v>-522.32375738751011</v>
      </c>
      <c r="K109" s="72">
        <f>'Region Assumptions'!$C$4*($G$105+$G$94)/5</f>
        <v>-522.32375738751011</v>
      </c>
      <c r="L109" s="72">
        <f>'Region Assumptions'!$C$4*($G$105+$G$94)/5</f>
        <v>-522.32375738751011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44.511804524525814</v>
      </c>
      <c r="I110" s="73">
        <f t="shared" si="51"/>
        <v>44.511804524525814</v>
      </c>
      <c r="J110" s="73">
        <f t="shared" si="51"/>
        <v>44.511804524525814</v>
      </c>
      <c r="K110" s="73">
        <f t="shared" si="51"/>
        <v>44.511804524525814</v>
      </c>
      <c r="L110" s="73">
        <f t="shared" si="51"/>
        <v>44.511804524525814</v>
      </c>
      <c r="M110" s="73">
        <f t="shared" si="51"/>
        <v>566.83556191203593</v>
      </c>
      <c r="N110" s="73">
        <f t="shared" si="51"/>
        <v>566.83556191203593</v>
      </c>
      <c r="O110" s="73">
        <f t="shared" si="51"/>
        <v>566.83556191203593</v>
      </c>
      <c r="P110" s="73">
        <f t="shared" si="51"/>
        <v>566.83556191203593</v>
      </c>
      <c r="Q110" s="73">
        <f t="shared" si="51"/>
        <v>566.83556191203593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-17.804721809810328</v>
      </c>
      <c r="I111" s="72">
        <f t="shared" si="52"/>
        <v>-17.804721809810328</v>
      </c>
      <c r="J111" s="72">
        <f t="shared" si="52"/>
        <v>-17.804721809810328</v>
      </c>
      <c r="K111" s="72">
        <f t="shared" si="52"/>
        <v>-17.804721809810328</v>
      </c>
      <c r="L111" s="72">
        <f t="shared" si="52"/>
        <v>-17.804721809810328</v>
      </c>
      <c r="M111" s="72">
        <f t="shared" si="52"/>
        <v>-226.73422476481437</v>
      </c>
      <c r="N111" s="72">
        <f t="shared" si="52"/>
        <v>-226.73422476481437</v>
      </c>
      <c r="O111" s="72">
        <f t="shared" si="52"/>
        <v>-226.73422476481437</v>
      </c>
      <c r="P111" s="72">
        <f t="shared" si="52"/>
        <v>-226.73422476481437</v>
      </c>
      <c r="Q111" s="72">
        <f t="shared" si="52"/>
        <v>-226.73422476481437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549.03084010222562</v>
      </c>
      <c r="I112" s="72">
        <f t="shared" si="53"/>
        <v>549.03084010222562</v>
      </c>
      <c r="J112" s="72">
        <f t="shared" si="53"/>
        <v>549.03084010222562</v>
      </c>
      <c r="K112" s="72">
        <f t="shared" si="53"/>
        <v>549.03084010222562</v>
      </c>
      <c r="L112" s="72">
        <f t="shared" si="53"/>
        <v>549.03084010222562</v>
      </c>
      <c r="M112" s="72">
        <f t="shared" si="53"/>
        <v>340.10133714722156</v>
      </c>
      <c r="N112" s="72">
        <f t="shared" si="53"/>
        <v>340.10133714722156</v>
      </c>
      <c r="O112" s="72">
        <f t="shared" si="53"/>
        <v>340.10133714722156</v>
      </c>
      <c r="P112" s="72">
        <f t="shared" si="53"/>
        <v>340.10133714722156</v>
      </c>
      <c r="Q112" s="72">
        <f t="shared" si="53"/>
        <v>340.10133714722156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-67.792605467512814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481.2382346347128</v>
      </c>
      <c r="I115" s="75">
        <f t="shared" si="56"/>
        <v>549.03084010222562</v>
      </c>
      <c r="J115" s="75">
        <f t="shared" si="56"/>
        <v>549.03084010222562</v>
      </c>
      <c r="K115" s="75">
        <f t="shared" si="56"/>
        <v>549.03084010222562</v>
      </c>
      <c r="L115" s="75">
        <f t="shared" si="56"/>
        <v>549.03084010222562</v>
      </c>
      <c r="M115" s="75">
        <f t="shared" si="56"/>
        <v>340.10133714722156</v>
      </c>
      <c r="N115" s="75">
        <f t="shared" si="56"/>
        <v>340.10133714722156</v>
      </c>
      <c r="O115" s="75">
        <f t="shared" si="56"/>
        <v>340.10133714722156</v>
      </c>
      <c r="P115" s="75">
        <f t="shared" si="56"/>
        <v>340.10133714722156</v>
      </c>
      <c r="Q115" s="75">
        <f t="shared" si="56"/>
        <v>340.10133714722156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-2679.4113924050635</v>
      </c>
      <c r="H117" s="70">
        <f t="shared" si="57"/>
        <v>481.2382346347128</v>
      </c>
      <c r="I117" s="70">
        <f t="shared" si="57"/>
        <v>549.03084010222562</v>
      </c>
      <c r="J117" s="70">
        <f t="shared" si="57"/>
        <v>549.03084010222562</v>
      </c>
      <c r="K117" s="70">
        <f t="shared" si="57"/>
        <v>549.03084010222562</v>
      </c>
      <c r="L117" s="70">
        <f t="shared" si="57"/>
        <v>549.03084010222562</v>
      </c>
      <c r="M117" s="70">
        <f t="shared" si="57"/>
        <v>340.10133714722156</v>
      </c>
      <c r="N117" s="70">
        <f t="shared" si="57"/>
        <v>340.10133714722156</v>
      </c>
      <c r="O117" s="70">
        <f t="shared" si="57"/>
        <v>340.10133714722156</v>
      </c>
      <c r="P117" s="70">
        <f t="shared" si="57"/>
        <v>340.10133714722156</v>
      </c>
      <c r="Q117" s="70">
        <f t="shared" si="57"/>
        <v>1735.1013371472216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0.15123953429157111</v>
      </c>
      <c r="F119" s="70">
        <f>+NPV(0.12,G117:Q117)</f>
        <v>342.86131069367792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-2679.4113924050635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2834.1778095601794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566.83556191203593</v>
      </c>
      <c r="I125" s="22">
        <f t="shared" si="59"/>
        <v>566.83556191203593</v>
      </c>
      <c r="J125" s="22">
        <f t="shared" si="59"/>
        <v>566.83556191203593</v>
      </c>
      <c r="K125" s="22">
        <f t="shared" si="59"/>
        <v>566.83556191203593</v>
      </c>
      <c r="L125" s="22">
        <f t="shared" si="59"/>
        <v>566.83556191203593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-522.32375738751011</v>
      </c>
      <c r="I126" s="72">
        <f t="shared" si="59"/>
        <v>-522.32375738751011</v>
      </c>
      <c r="J126" s="72">
        <f t="shared" si="59"/>
        <v>-522.32375738751011</v>
      </c>
      <c r="K126" s="72">
        <f t="shared" si="59"/>
        <v>-522.32375738751011</v>
      </c>
      <c r="L126" s="72">
        <f t="shared" si="59"/>
        <v>-522.32375738751011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44.511804524525814</v>
      </c>
      <c r="I127" s="73">
        <f>SUM(I125:I126)</f>
        <v>44.511804524525814</v>
      </c>
      <c r="J127" s="73">
        <f>SUM(J125:J126)</f>
        <v>44.511804524525814</v>
      </c>
      <c r="K127" s="73">
        <f>SUM(K125:K126)</f>
        <v>44.511804524525814</v>
      </c>
      <c r="L127" s="73">
        <f>SUM(L125:L126)</f>
        <v>44.511804524525814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-17.804721809810328</v>
      </c>
      <c r="I128" s="72">
        <f t="shared" si="60"/>
        <v>-17.804721809810328</v>
      </c>
      <c r="J128" s="72">
        <f t="shared" si="60"/>
        <v>-17.804721809810328</v>
      </c>
      <c r="K128" s="72">
        <f t="shared" si="60"/>
        <v>-17.804721809810328</v>
      </c>
      <c r="L128" s="72">
        <f t="shared" si="60"/>
        <v>-17.804721809810328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549.03084010222562</v>
      </c>
      <c r="I129" s="72">
        <f>SUM(I125:I125,I128)</f>
        <v>549.03084010222562</v>
      </c>
      <c r="J129" s="72">
        <f>SUM(J125:J125,J128)</f>
        <v>549.03084010222562</v>
      </c>
      <c r="K129" s="72">
        <f>SUM(K125:K125,K128)</f>
        <v>549.03084010222562</v>
      </c>
      <c r="L129" s="72">
        <f>SUM(L125:L125,L128)</f>
        <v>549.03084010222562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-67.792605467512814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481.2382346347128</v>
      </c>
      <c r="I132" s="73">
        <f>SUM(I129:I131)</f>
        <v>549.03084010222562</v>
      </c>
      <c r="J132" s="73">
        <f>SUM(J129:J131)</f>
        <v>549.03084010222562</v>
      </c>
      <c r="K132" s="73">
        <f>SUM(K129:K131)</f>
        <v>549.03084010222562</v>
      </c>
      <c r="L132" s="73">
        <f>SUM(L129:L131)</f>
        <v>549.03084010222562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-2679.4113924050635</v>
      </c>
      <c r="H134" s="70">
        <f t="shared" si="62"/>
        <v>481.2382346347128</v>
      </c>
      <c r="I134" s="70">
        <f t="shared" si="62"/>
        <v>549.03084010222562</v>
      </c>
      <c r="J134" s="70">
        <f t="shared" si="62"/>
        <v>549.03084010222562</v>
      </c>
      <c r="K134" s="70">
        <f t="shared" si="62"/>
        <v>549.03084010222562</v>
      </c>
      <c r="L134" s="70">
        <f t="shared" si="62"/>
        <v>3383.2086496624052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0.20548302904583715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A152"/>
  <sheetViews>
    <sheetView showGridLines="0" tabSelected="1" topLeftCell="A42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455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149787.1246799714</v>
      </c>
      <c r="H7" s="184">
        <f t="shared" ref="H7:Q7" si="1">$G$9*H11*(1-$G$12)</f>
        <v>149787.1246799714</v>
      </c>
      <c r="I7" s="184">
        <f t="shared" si="1"/>
        <v>149787.1246799714</v>
      </c>
      <c r="J7" s="184">
        <f t="shared" si="1"/>
        <v>149787.1246799714</v>
      </c>
      <c r="K7" s="184">
        <f t="shared" si="1"/>
        <v>149787.1246799714</v>
      </c>
      <c r="L7" s="184">
        <f t="shared" si="1"/>
        <v>149787.1246799714</v>
      </c>
      <c r="M7" s="184">
        <f t="shared" si="1"/>
        <v>149787.1246799714</v>
      </c>
      <c r="N7" s="184">
        <f t="shared" si="1"/>
        <v>149787.1246799714</v>
      </c>
      <c r="O7" s="184">
        <f t="shared" si="1"/>
        <v>149787.1246799714</v>
      </c>
      <c r="P7" s="184">
        <f t="shared" si="1"/>
        <v>149787.1246799714</v>
      </c>
      <c r="Q7" s="184">
        <f t="shared" si="1"/>
        <v>149787.1246799714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20135.875524193543</v>
      </c>
      <c r="H8" s="184">
        <f t="shared" si="2"/>
        <v>20135.875524193543</v>
      </c>
      <c r="I8" s="184">
        <f t="shared" si="2"/>
        <v>20135.875524193543</v>
      </c>
      <c r="J8" s="184">
        <f t="shared" si="2"/>
        <v>20135.875524193543</v>
      </c>
      <c r="K8" s="184">
        <f t="shared" si="2"/>
        <v>20135.875524193543</v>
      </c>
      <c r="L8" s="184">
        <f t="shared" si="2"/>
        <v>20135.875524193543</v>
      </c>
      <c r="M8" s="184">
        <f t="shared" si="2"/>
        <v>20135.875524193543</v>
      </c>
      <c r="N8" s="184">
        <f t="shared" si="2"/>
        <v>20135.875524193543</v>
      </c>
      <c r="O8" s="184">
        <f t="shared" si="2"/>
        <v>20135.875524193543</v>
      </c>
      <c r="P8" s="184">
        <f t="shared" si="2"/>
        <v>20135.875524193543</v>
      </c>
      <c r="Q8" s="184">
        <f t="shared" si="2"/>
        <v>20135.875524193543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Assumptions'!$K$14*365</f>
        <v>169923.00020416494</v>
      </c>
      <c r="H9" s="268">
        <f t="shared" ref="H9:Q9" si="3">G9</f>
        <v>169923.00020416494</v>
      </c>
      <c r="I9" s="268">
        <f t="shared" si="3"/>
        <v>169923.00020416494</v>
      </c>
      <c r="J9" s="268">
        <f t="shared" si="3"/>
        <v>169923.00020416494</v>
      </c>
      <c r="K9" s="268">
        <f t="shared" si="3"/>
        <v>169923.00020416494</v>
      </c>
      <c r="L9" s="268">
        <f t="shared" si="3"/>
        <v>169923.00020416494</v>
      </c>
      <c r="M9" s="268">
        <f t="shared" si="3"/>
        <v>169923.00020416494</v>
      </c>
      <c r="N9" s="268">
        <f t="shared" si="3"/>
        <v>169923.00020416494</v>
      </c>
      <c r="O9" s="268">
        <f t="shared" si="3"/>
        <v>169923.00020416494</v>
      </c>
      <c r="P9" s="268">
        <f>O9</f>
        <v>169923.00020416494</v>
      </c>
      <c r="Q9" s="268">
        <f t="shared" si="3"/>
        <v>169923.00020416494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Assumptions'!$AE$14</f>
        <v>0</v>
      </c>
      <c r="I10" s="438">
        <f>H10+'Region Assumptions'!$AE$14</f>
        <v>0</v>
      </c>
      <c r="J10" s="438">
        <f>I10+'Region Assumptions'!$AE$14</f>
        <v>0</v>
      </c>
      <c r="K10" s="438">
        <f>J10+'Region Assumptions'!$AE$14</f>
        <v>0</v>
      </c>
      <c r="L10" s="438">
        <f>K10+'Region Assumptions'!$AE$14</f>
        <v>0</v>
      </c>
      <c r="M10" s="438">
        <f>L10+'Region Assumptions'!$AE$14</f>
        <v>0</v>
      </c>
      <c r="N10" s="438">
        <f>M10+'Region Assumptions'!$AE$14</f>
        <v>0</v>
      </c>
      <c r="O10" s="438">
        <f>N10+'Region Assumptions'!$AE$14</f>
        <v>0</v>
      </c>
      <c r="P10" s="438">
        <f>O10+'Region Assumptions'!$AE$14</f>
        <v>0</v>
      </c>
      <c r="Q10" s="438">
        <f>P10+'Region Assumptions'!$AE$14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Assumptions'!$Y$14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0.82396896692527555</v>
      </c>
      <c r="I13" s="269">
        <f t="shared" ref="I13:Q13" si="6">I9/I23/365</f>
        <v>0.82396896692527555</v>
      </c>
      <c r="J13" s="269">
        <f t="shared" si="6"/>
        <v>0.82396896692527555</v>
      </c>
      <c r="K13" s="269">
        <f t="shared" si="6"/>
        <v>0.82396896692527555</v>
      </c>
      <c r="L13" s="269">
        <f t="shared" si="6"/>
        <v>0.82396896692527555</v>
      </c>
      <c r="M13" s="269">
        <f t="shared" si="6"/>
        <v>0.82396896692527555</v>
      </c>
      <c r="N13" s="269">
        <f t="shared" si="6"/>
        <v>0.82396896692527555</v>
      </c>
      <c r="O13" s="269">
        <f t="shared" si="6"/>
        <v>0.82396896692527555</v>
      </c>
      <c r="P13" s="269">
        <f t="shared" si="6"/>
        <v>0.82396896692527555</v>
      </c>
      <c r="Q13" s="269">
        <f t="shared" si="6"/>
        <v>0.82396896692527555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668.86436736931694</v>
      </c>
      <c r="F17" s="203">
        <f>F18*$H$17/1000</f>
        <v>42.480750051041234</v>
      </c>
      <c r="G17" s="203">
        <f>G18*$H$17/1000</f>
        <v>0</v>
      </c>
      <c r="H17" s="204">
        <f>H40</f>
        <v>169923.00020416494</v>
      </c>
      <c r="I17" s="204">
        <f>H23*365</f>
        <v>206225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Assumptions'!$Z$14</f>
        <v>3.93627917683696</v>
      </c>
      <c r="F18" s="690">
        <f>'Region Assumptions'!$AB$14</f>
        <v>0.25</v>
      </c>
      <c r="G18" s="690">
        <f>'Region Assumptions'!$AA$14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3.2433718868678239</v>
      </c>
      <c r="F19" s="188">
        <f>F17/$I17*1000</f>
        <v>0.20599224173131886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Assumptions'!$F$14+'Region Assumptions'!$G$14+'Region Assumptions'!$H$14</f>
        <v>565</v>
      </c>
      <c r="I23" s="184">
        <f>H23</f>
        <v>565</v>
      </c>
      <c r="J23" s="184">
        <f t="shared" ref="J23:Q23" si="8">I23</f>
        <v>565</v>
      </c>
      <c r="K23" s="184">
        <f t="shared" si="8"/>
        <v>565</v>
      </c>
      <c r="L23" s="184">
        <f t="shared" si="8"/>
        <v>565</v>
      </c>
      <c r="M23" s="184">
        <f t="shared" si="8"/>
        <v>565</v>
      </c>
      <c r="N23" s="184">
        <f t="shared" si="8"/>
        <v>565</v>
      </c>
      <c r="O23" s="184">
        <f t="shared" si="8"/>
        <v>565</v>
      </c>
      <c r="P23" s="184">
        <f t="shared" si="8"/>
        <v>565</v>
      </c>
      <c r="Q23" s="184">
        <f t="shared" si="8"/>
        <v>565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439.02887124999995</v>
      </c>
      <c r="I25" s="28">
        <f t="shared" ref="I25:Q25" si="10">I32/365/I13*(1-I12)</f>
        <v>439.02887124999995</v>
      </c>
      <c r="J25" s="28">
        <f t="shared" si="10"/>
        <v>439.02887124999995</v>
      </c>
      <c r="K25" s="28">
        <f t="shared" si="10"/>
        <v>439.02887124999995</v>
      </c>
      <c r="L25" s="28">
        <f t="shared" si="10"/>
        <v>439.02887124999995</v>
      </c>
      <c r="M25" s="28">
        <f t="shared" si="10"/>
        <v>439.02887124999995</v>
      </c>
      <c r="N25" s="28">
        <f t="shared" si="10"/>
        <v>439.02887124999995</v>
      </c>
      <c r="O25" s="28">
        <f t="shared" si="10"/>
        <v>439.02887124999995</v>
      </c>
      <c r="P25" s="28">
        <f t="shared" si="10"/>
        <v>439.02887124999995</v>
      </c>
      <c r="Q25" s="28">
        <f t="shared" si="10"/>
        <v>439.02887124999995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55.166782258064501</v>
      </c>
      <c r="I26" s="28">
        <f t="shared" ref="I26:Q26" si="11">I36/365</f>
        <v>55.166782258064501</v>
      </c>
      <c r="J26" s="28">
        <f t="shared" si="11"/>
        <v>55.166782258064501</v>
      </c>
      <c r="K26" s="28">
        <f t="shared" si="11"/>
        <v>55.166782258064501</v>
      </c>
      <c r="L26" s="28">
        <f t="shared" si="11"/>
        <v>55.166782258064501</v>
      </c>
      <c r="M26" s="28">
        <f t="shared" si="11"/>
        <v>55.166782258064501</v>
      </c>
      <c r="N26" s="28">
        <f t="shared" si="11"/>
        <v>55.166782258064501</v>
      </c>
      <c r="O26" s="28">
        <f t="shared" si="11"/>
        <v>55.166782258064501</v>
      </c>
      <c r="P26" s="28">
        <f t="shared" si="11"/>
        <v>55.166782258064501</v>
      </c>
      <c r="Q26" s="28">
        <f t="shared" si="11"/>
        <v>55.166782258064501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Assumptions'!$AD$14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149787.1246799714</v>
      </c>
      <c r="I32" s="28">
        <f t="shared" si="15"/>
        <v>149787.1246799714</v>
      </c>
      <c r="J32" s="28">
        <f t="shared" si="15"/>
        <v>149787.1246799714</v>
      </c>
      <c r="K32" s="28">
        <f t="shared" si="15"/>
        <v>149787.1246799714</v>
      </c>
      <c r="L32" s="28">
        <f t="shared" si="15"/>
        <v>149787.1246799714</v>
      </c>
      <c r="M32" s="28">
        <f t="shared" si="15"/>
        <v>149787.1246799714</v>
      </c>
      <c r="N32" s="28">
        <f t="shared" si="15"/>
        <v>149787.1246799714</v>
      </c>
      <c r="O32" s="28">
        <f t="shared" si="15"/>
        <v>149787.1246799714</v>
      </c>
      <c r="P32" s="28">
        <f t="shared" si="15"/>
        <v>149787.1246799714</v>
      </c>
      <c r="Q32" s="28">
        <f t="shared" si="15"/>
        <v>149787.1246799714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9.232797410856227</v>
      </c>
      <c r="I33" s="37">
        <f t="shared" ref="I33:Q33" si="16">+H33*(1+$V34)</f>
        <v>9.232797410856227</v>
      </c>
      <c r="J33" s="37">
        <f t="shared" si="16"/>
        <v>9.232797410856227</v>
      </c>
      <c r="K33" s="37">
        <f t="shared" si="16"/>
        <v>9.232797410856227</v>
      </c>
      <c r="L33" s="37">
        <f t="shared" si="16"/>
        <v>9.232797410856227</v>
      </c>
      <c r="M33" s="37">
        <f t="shared" si="16"/>
        <v>9.232797410856227</v>
      </c>
      <c r="N33" s="37">
        <f t="shared" si="16"/>
        <v>9.232797410856227</v>
      </c>
      <c r="O33" s="37">
        <f t="shared" si="16"/>
        <v>9.232797410856227</v>
      </c>
      <c r="P33" s="37">
        <f t="shared" si="16"/>
        <v>9.232797410856227</v>
      </c>
      <c r="Q33" s="37">
        <f t="shared" si="16"/>
        <v>9.232797410856227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1382.9541769248387</v>
      </c>
      <c r="I34" s="49">
        <f t="shared" si="17"/>
        <v>1382.9541769248387</v>
      </c>
      <c r="J34" s="49">
        <f t="shared" si="17"/>
        <v>1382.9541769248387</v>
      </c>
      <c r="K34" s="49">
        <f t="shared" si="17"/>
        <v>1382.9541769248387</v>
      </c>
      <c r="L34" s="49">
        <f t="shared" si="17"/>
        <v>1382.9541769248387</v>
      </c>
      <c r="M34" s="49">
        <f t="shared" si="17"/>
        <v>1382.9541769248387</v>
      </c>
      <c r="N34" s="49">
        <f t="shared" si="17"/>
        <v>1382.9541769248387</v>
      </c>
      <c r="O34" s="49">
        <f t="shared" si="17"/>
        <v>1382.9541769248387</v>
      </c>
      <c r="P34" s="49">
        <f t="shared" si="17"/>
        <v>1382.9541769248387</v>
      </c>
      <c r="Q34" s="49">
        <f t="shared" si="17"/>
        <v>1382.9541769248387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20135.875524193543</v>
      </c>
      <c r="I36" s="28">
        <f t="shared" si="18"/>
        <v>20135.875524193543</v>
      </c>
      <c r="J36" s="28">
        <f t="shared" si="18"/>
        <v>20135.875524193543</v>
      </c>
      <c r="K36" s="28">
        <f t="shared" si="18"/>
        <v>20135.875524193543</v>
      </c>
      <c r="L36" s="28">
        <f t="shared" si="18"/>
        <v>20135.875524193543</v>
      </c>
      <c r="M36" s="28">
        <f t="shared" si="18"/>
        <v>20135.875524193543</v>
      </c>
      <c r="N36" s="28">
        <f t="shared" si="18"/>
        <v>20135.875524193543</v>
      </c>
      <c r="O36" s="28">
        <f t="shared" si="18"/>
        <v>20135.875524193543</v>
      </c>
      <c r="P36" s="28">
        <f t="shared" si="18"/>
        <v>20135.875524193543</v>
      </c>
      <c r="Q36" s="28">
        <f t="shared" si="18"/>
        <v>20135.875524193543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Assumptions'!$AC$14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169923.00020416494</v>
      </c>
      <c r="I40" s="28">
        <f t="shared" ref="I40:Q40" si="21">I28+I32+I36</f>
        <v>169923.00020416494</v>
      </c>
      <c r="J40" s="28">
        <f t="shared" si="21"/>
        <v>169923.00020416494</v>
      </c>
      <c r="K40" s="28">
        <f t="shared" si="21"/>
        <v>169923.00020416494</v>
      </c>
      <c r="L40" s="28">
        <f t="shared" si="21"/>
        <v>169923.00020416494</v>
      </c>
      <c r="M40" s="28">
        <f t="shared" si="21"/>
        <v>169923.00020416494</v>
      </c>
      <c r="N40" s="28">
        <f t="shared" si="21"/>
        <v>169923.00020416494</v>
      </c>
      <c r="O40" s="28">
        <f t="shared" si="21"/>
        <v>169923.00020416494</v>
      </c>
      <c r="P40" s="28">
        <f t="shared" si="21"/>
        <v>169923.00020416494</v>
      </c>
      <c r="Q40" s="28">
        <f t="shared" si="21"/>
        <v>169923.00020416494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206225</v>
      </c>
      <c r="I41" s="28">
        <f t="shared" si="22"/>
        <v>206225</v>
      </c>
      <c r="J41" s="28">
        <f t="shared" si="22"/>
        <v>206225</v>
      </c>
      <c r="K41" s="28">
        <f t="shared" si="22"/>
        <v>206225</v>
      </c>
      <c r="L41" s="28">
        <f t="shared" si="22"/>
        <v>206225</v>
      </c>
      <c r="M41" s="28">
        <f t="shared" si="22"/>
        <v>206225</v>
      </c>
      <c r="N41" s="28">
        <f t="shared" si="22"/>
        <v>206225</v>
      </c>
      <c r="O41" s="28">
        <f t="shared" si="22"/>
        <v>206225</v>
      </c>
      <c r="P41" s="28">
        <f t="shared" si="22"/>
        <v>206225</v>
      </c>
      <c r="Q41" s="28">
        <f t="shared" si="22"/>
        <v>206225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0.82396896692527555</v>
      </c>
      <c r="I42" s="34">
        <f t="shared" si="23"/>
        <v>0.82396896692527555</v>
      </c>
      <c r="J42" s="34">
        <f t="shared" si="23"/>
        <v>0.82396896692527555</v>
      </c>
      <c r="K42" s="34">
        <f t="shared" si="23"/>
        <v>0.82396896692527555</v>
      </c>
      <c r="L42" s="34">
        <f t="shared" si="23"/>
        <v>0.82396896692527555</v>
      </c>
      <c r="M42" s="34">
        <f t="shared" si="23"/>
        <v>0.82396896692527555</v>
      </c>
      <c r="N42" s="34">
        <f t="shared" si="23"/>
        <v>0.82396896692527555</v>
      </c>
      <c r="O42" s="34">
        <f t="shared" si="23"/>
        <v>0.82396896692527555</v>
      </c>
      <c r="P42" s="34">
        <f t="shared" si="23"/>
        <v>0.82396896692527555</v>
      </c>
      <c r="Q42" s="34">
        <f t="shared" si="23"/>
        <v>0.82396896692527555</v>
      </c>
      <c r="S42" s="34"/>
      <c r="V42" s="45"/>
    </row>
    <row r="43" spans="2:24">
      <c r="C43" s="24" t="s">
        <v>46</v>
      </c>
      <c r="G43" s="34"/>
      <c r="H43" s="34">
        <f>(H28+H32)/H41</f>
        <v>0.7263286443446304</v>
      </c>
      <c r="I43" s="34">
        <f t="shared" ref="I43:Q43" si="24">(I28+I32)/I41</f>
        <v>0.7263286443446304</v>
      </c>
      <c r="J43" s="34">
        <f t="shared" si="24"/>
        <v>0.7263286443446304</v>
      </c>
      <c r="K43" s="34">
        <f t="shared" si="24"/>
        <v>0.7263286443446304</v>
      </c>
      <c r="L43" s="34">
        <f t="shared" si="24"/>
        <v>0.7263286443446304</v>
      </c>
      <c r="M43" s="34">
        <f t="shared" si="24"/>
        <v>0.7263286443446304</v>
      </c>
      <c r="N43" s="34">
        <f t="shared" si="24"/>
        <v>0.7263286443446304</v>
      </c>
      <c r="O43" s="34">
        <f t="shared" si="24"/>
        <v>0.7263286443446304</v>
      </c>
      <c r="P43" s="34">
        <f t="shared" si="24"/>
        <v>0.7263286443446304</v>
      </c>
      <c r="Q43" s="34">
        <f t="shared" si="24"/>
        <v>0.7263286443446304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1382.9541769248387</v>
      </c>
      <c r="I45" s="48">
        <f t="shared" si="25"/>
        <v>1382.9541769248387</v>
      </c>
      <c r="J45" s="48">
        <f t="shared" si="25"/>
        <v>1382.9541769248387</v>
      </c>
      <c r="K45" s="48">
        <f t="shared" si="25"/>
        <v>1382.9541769248387</v>
      </c>
      <c r="L45" s="48">
        <f t="shared" si="25"/>
        <v>1382.9541769248387</v>
      </c>
      <c r="M45" s="48">
        <f t="shared" si="25"/>
        <v>1382.9541769248387</v>
      </c>
      <c r="N45" s="48">
        <f t="shared" si="25"/>
        <v>1382.9541769248387</v>
      </c>
      <c r="O45" s="48">
        <f t="shared" si="25"/>
        <v>1382.9541769248387</v>
      </c>
      <c r="P45" s="48">
        <f t="shared" si="25"/>
        <v>1382.9541769248387</v>
      </c>
      <c r="Q45" s="48">
        <f t="shared" si="25"/>
        <v>1382.9541769248387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8.1387109176697638</v>
      </c>
      <c r="I46" s="51">
        <f t="shared" si="26"/>
        <v>8.1387109176697638</v>
      </c>
      <c r="J46" s="51">
        <f t="shared" si="26"/>
        <v>8.1387109176697638</v>
      </c>
      <c r="K46" s="51">
        <f t="shared" si="26"/>
        <v>8.1387109176697638</v>
      </c>
      <c r="L46" s="51">
        <f t="shared" si="26"/>
        <v>8.1387109176697638</v>
      </c>
      <c r="M46" s="51">
        <f t="shared" si="26"/>
        <v>8.1387109176697638</v>
      </c>
      <c r="N46" s="51">
        <f t="shared" si="26"/>
        <v>8.1387109176697638</v>
      </c>
      <c r="O46" s="51">
        <f t="shared" si="26"/>
        <v>8.1387109176697638</v>
      </c>
      <c r="P46" s="51">
        <f t="shared" si="26"/>
        <v>8.1387109176697638</v>
      </c>
      <c r="Q46" s="51">
        <f t="shared" si="26"/>
        <v>8.1387109176697638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1382.9541769248387</v>
      </c>
      <c r="I48" s="49">
        <f t="shared" si="27"/>
        <v>1382.9541769248387</v>
      </c>
      <c r="J48" s="49">
        <f t="shared" si="27"/>
        <v>1382.9541769248387</v>
      </c>
      <c r="K48" s="49">
        <f t="shared" si="27"/>
        <v>1382.9541769248387</v>
      </c>
      <c r="L48" s="49">
        <f t="shared" si="27"/>
        <v>1382.9541769248387</v>
      </c>
      <c r="M48" s="49">
        <f t="shared" si="27"/>
        <v>1382.9541769248387</v>
      </c>
      <c r="N48" s="49">
        <f t="shared" si="27"/>
        <v>1382.9541769248387</v>
      </c>
      <c r="O48" s="49">
        <f t="shared" si="27"/>
        <v>1382.9541769248387</v>
      </c>
      <c r="P48" s="49">
        <f t="shared" si="27"/>
        <v>1382.9541769248387</v>
      </c>
      <c r="Q48" s="49">
        <f t="shared" si="27"/>
        <v>1382.9541769248387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149787.1246799714</v>
      </c>
      <c r="I50" s="28">
        <f t="shared" si="29"/>
        <v>149787.1246799714</v>
      </c>
      <c r="J50" s="28">
        <f t="shared" si="29"/>
        <v>149787.1246799714</v>
      </c>
      <c r="K50" s="28">
        <f t="shared" si="29"/>
        <v>149787.1246799714</v>
      </c>
      <c r="L50" s="28">
        <f t="shared" si="29"/>
        <v>149787.1246799714</v>
      </c>
      <c r="M50" s="28">
        <f t="shared" si="29"/>
        <v>149787.1246799714</v>
      </c>
      <c r="N50" s="28">
        <f t="shared" si="29"/>
        <v>149787.1246799714</v>
      </c>
      <c r="O50" s="28">
        <f t="shared" si="29"/>
        <v>149787.1246799714</v>
      </c>
      <c r="P50" s="28">
        <f t="shared" si="29"/>
        <v>149787.1246799714</v>
      </c>
      <c r="Q50" s="28">
        <f t="shared" si="29"/>
        <v>149787.1246799714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20135.875524193543</v>
      </c>
      <c r="I51" s="28">
        <f t="shared" si="30"/>
        <v>20135.875524193543</v>
      </c>
      <c r="J51" s="28">
        <f t="shared" si="30"/>
        <v>20135.875524193543</v>
      </c>
      <c r="K51" s="28">
        <f t="shared" si="30"/>
        <v>20135.875524193543</v>
      </c>
      <c r="L51" s="28">
        <f t="shared" si="30"/>
        <v>20135.875524193543</v>
      </c>
      <c r="M51" s="28">
        <f t="shared" si="30"/>
        <v>20135.875524193543</v>
      </c>
      <c r="N51" s="28">
        <f t="shared" si="30"/>
        <v>20135.875524193543</v>
      </c>
      <c r="O51" s="28">
        <f t="shared" si="30"/>
        <v>20135.875524193543</v>
      </c>
      <c r="P51" s="28">
        <f t="shared" si="30"/>
        <v>20135.875524193543</v>
      </c>
      <c r="Q51" s="28">
        <f t="shared" si="30"/>
        <v>20135.875524193543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8.1387109176697638</v>
      </c>
      <c r="I52" s="54">
        <f t="shared" si="31"/>
        <v>8.1387109176697638</v>
      </c>
      <c r="J52" s="54">
        <f t="shared" si="31"/>
        <v>8.1387109176697638</v>
      </c>
      <c r="K52" s="54">
        <f t="shared" si="31"/>
        <v>8.1387109176697638</v>
      </c>
      <c r="L52" s="54">
        <f t="shared" si="31"/>
        <v>8.1387109176697638</v>
      </c>
      <c r="M52" s="54">
        <f t="shared" si="31"/>
        <v>8.1387109176697638</v>
      </c>
      <c r="N52" s="54">
        <f t="shared" si="31"/>
        <v>8.1387109176697638</v>
      </c>
      <c r="O52" s="54">
        <f t="shared" si="31"/>
        <v>8.1387109176697638</v>
      </c>
      <c r="P52" s="54">
        <f t="shared" si="31"/>
        <v>8.1387109176697638</v>
      </c>
      <c r="Q52" s="54">
        <f t="shared" si="31"/>
        <v>8.1387109176697638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9.232797410856227</v>
      </c>
      <c r="I53" s="54">
        <f t="shared" si="32"/>
        <v>9.232797410856227</v>
      </c>
      <c r="J53" s="54">
        <f t="shared" si="32"/>
        <v>9.232797410856227</v>
      </c>
      <c r="K53" s="54">
        <f t="shared" si="32"/>
        <v>9.232797410856227</v>
      </c>
      <c r="L53" s="54">
        <f t="shared" si="32"/>
        <v>9.232797410856227</v>
      </c>
      <c r="M53" s="54">
        <f t="shared" si="32"/>
        <v>9.232797410856227</v>
      </c>
      <c r="N53" s="54">
        <f t="shared" si="32"/>
        <v>9.232797410856227</v>
      </c>
      <c r="O53" s="54">
        <f t="shared" si="32"/>
        <v>9.232797410856227</v>
      </c>
      <c r="P53" s="54">
        <f t="shared" si="32"/>
        <v>9.232797410856227</v>
      </c>
      <c r="Q53" s="54">
        <f t="shared" si="32"/>
        <v>9.232797410856227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3.93627917683696</v>
      </c>
      <c r="I57" s="188">
        <f>H57</f>
        <v>3.93627917683696</v>
      </c>
      <c r="J57" s="188">
        <f t="shared" ref="J57:Q57" si="34">I57</f>
        <v>3.93627917683696</v>
      </c>
      <c r="K57" s="188">
        <f t="shared" si="34"/>
        <v>3.93627917683696</v>
      </c>
      <c r="L57" s="188">
        <f t="shared" si="34"/>
        <v>3.93627917683696</v>
      </c>
      <c r="M57" s="188">
        <f t="shared" si="34"/>
        <v>3.93627917683696</v>
      </c>
      <c r="N57" s="188">
        <f t="shared" si="34"/>
        <v>3.93627917683696</v>
      </c>
      <c r="O57" s="188">
        <f t="shared" si="34"/>
        <v>3.93627917683696</v>
      </c>
      <c r="P57" s="188">
        <f t="shared" si="34"/>
        <v>3.93627917683696</v>
      </c>
      <c r="Q57" s="188">
        <f t="shared" si="34"/>
        <v>3.93627917683696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Assumptions'!$P$14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Assumptions'!$Q$14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Assumptions'!$R$14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668.86436736931694</v>
      </c>
      <c r="I65" s="55">
        <f t="shared" si="40"/>
        <v>668.86436736931694</v>
      </c>
      <c r="J65" s="55">
        <f t="shared" si="40"/>
        <v>668.86436736931694</v>
      </c>
      <c r="K65" s="55">
        <f t="shared" si="40"/>
        <v>668.86436736931694</v>
      </c>
      <c r="L65" s="55">
        <f t="shared" si="40"/>
        <v>668.86436736931694</v>
      </c>
      <c r="M65" s="55">
        <f t="shared" si="40"/>
        <v>668.86436736931694</v>
      </c>
      <c r="N65" s="55">
        <f t="shared" si="40"/>
        <v>668.86436736931694</v>
      </c>
      <c r="O65" s="55">
        <f t="shared" si="40"/>
        <v>668.86436736931694</v>
      </c>
      <c r="P65" s="55">
        <f t="shared" si="40"/>
        <v>668.86436736931694</v>
      </c>
      <c r="Q65" s="55">
        <f t="shared" si="40"/>
        <v>668.86436736931694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51.556249999999999</v>
      </c>
      <c r="I66" s="56">
        <f t="shared" ref="I66:Q66" si="41">+I$41*I58/1000</f>
        <v>51.556249999999999</v>
      </c>
      <c r="J66" s="56">
        <f t="shared" si="41"/>
        <v>51.556249999999999</v>
      </c>
      <c r="K66" s="56">
        <f t="shared" si="41"/>
        <v>51.556249999999999</v>
      </c>
      <c r="L66" s="56">
        <f t="shared" si="41"/>
        <v>51.556249999999999</v>
      </c>
      <c r="M66" s="56">
        <f t="shared" si="41"/>
        <v>51.556249999999999</v>
      </c>
      <c r="N66" s="56">
        <f t="shared" si="41"/>
        <v>51.556249999999999</v>
      </c>
      <c r="O66" s="56">
        <f t="shared" si="41"/>
        <v>51.556249999999999</v>
      </c>
      <c r="P66" s="56">
        <f t="shared" si="41"/>
        <v>51.556249999999999</v>
      </c>
      <c r="Q66" s="56">
        <f t="shared" si="41"/>
        <v>51.556249999999999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Assumptions'!$C$6*MWCP!H45</f>
        <v>0</v>
      </c>
      <c r="I69" s="703">
        <f>'Region Assumptions'!$C$6*MWCP!I45</f>
        <v>0</v>
      </c>
      <c r="J69" s="703">
        <f>'Region Assumptions'!$C$6*MWCP!J45</f>
        <v>0</v>
      </c>
      <c r="K69" s="703">
        <f>'Region Assumptions'!$C$6*MWCP!K45</f>
        <v>0</v>
      </c>
      <c r="L69" s="703">
        <f>'Region Assumptions'!$C$6*MWCP!L45</f>
        <v>0</v>
      </c>
      <c r="M69" s="703">
        <f>'Region Assumptions'!$C$6*MWCP!M45</f>
        <v>0</v>
      </c>
      <c r="N69" s="703">
        <f>'Region Assumptions'!$C$6*MWCP!N45</f>
        <v>0</v>
      </c>
      <c r="O69" s="703">
        <f>'Region Assumptions'!$C$6*MWCP!O45</f>
        <v>0</v>
      </c>
      <c r="P69" s="703">
        <f>'Region Assumptions'!$C$6*MWCP!P45</f>
        <v>0</v>
      </c>
      <c r="Q69" s="703">
        <f>'Region Assumptions'!$C$6*MWCP!Q45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Assumptions'!$G$14/1000</f>
        <v>0</v>
      </c>
      <c r="I70" s="434">
        <f>I61*365*'Region Assumptions'!$G$14/1000</f>
        <v>0</v>
      </c>
      <c r="J70" s="434">
        <f>J61*365*'Region Assumptions'!$G$14/1000</f>
        <v>0</v>
      </c>
      <c r="K70" s="434">
        <f>K61*365*'Region Assumptions'!$G$14/1000</f>
        <v>0</v>
      </c>
      <c r="L70" s="434">
        <f>L61*365*'Region Assumptions'!$G$14/1000</f>
        <v>0</v>
      </c>
      <c r="M70" s="434">
        <f>M61*365*'Region Assumptions'!$G$14/1000</f>
        <v>0</v>
      </c>
      <c r="N70" s="434">
        <f>N61*365*'Region Assumptions'!$G$14/1000</f>
        <v>0</v>
      </c>
      <c r="O70" s="434">
        <f>O61*365*'Region Assumptions'!$G$14/1000</f>
        <v>0</v>
      </c>
      <c r="P70" s="434">
        <f>P61*365*'Region Assumptions'!$G$14/1000</f>
        <v>0</v>
      </c>
      <c r="Q70" s="434">
        <f>Q61*365*'Region Assumptions'!$G$14/1000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Assumptions'!$H$14/1000</f>
        <v>0</v>
      </c>
      <c r="I71" s="434">
        <f>I62*365*'Region Assumptions'!$H$14/1000</f>
        <v>0</v>
      </c>
      <c r="J71" s="434">
        <f>J62*365*'Region Assumptions'!$H$14/1000</f>
        <v>0</v>
      </c>
      <c r="K71" s="434">
        <f>K62*365*'Region Assumptions'!$H$14/1000</f>
        <v>0</v>
      </c>
      <c r="L71" s="434">
        <f>L62*365*'Region Assumptions'!$H$14/1000</f>
        <v>0</v>
      </c>
      <c r="M71" s="434">
        <f>M62*365*'Region Assumptions'!$H$14/1000</f>
        <v>0</v>
      </c>
      <c r="N71" s="434">
        <f>N62*365*'Region Assumptions'!$H$14/1000</f>
        <v>0</v>
      </c>
      <c r="O71" s="434">
        <f>O62*365*'Region Assumptions'!$H$14/1000</f>
        <v>0</v>
      </c>
      <c r="P71" s="434">
        <f>P62*365*'Region Assumptions'!$H$14/1000</f>
        <v>0</v>
      </c>
      <c r="Q71" s="434">
        <f>Q62*365*'Region Assumptions'!$H$14/1000</f>
        <v>0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Assumptions'!$I$14/1000</f>
        <v>0</v>
      </c>
      <c r="I72" s="434">
        <f>I63*365*'Region Assumptions'!$I$14/1000</f>
        <v>0</v>
      </c>
      <c r="J72" s="434">
        <f>J63*365*'Region Assumptions'!$I$14/1000</f>
        <v>0</v>
      </c>
      <c r="K72" s="434">
        <f>K63*365*'Region Assumptions'!$I$14/1000</f>
        <v>0</v>
      </c>
      <c r="L72" s="434">
        <f>L63*365*'Region Assumptions'!$I$14/1000</f>
        <v>0</v>
      </c>
      <c r="M72" s="434">
        <f>M63*365*'Region Assumptions'!$I$14/1000</f>
        <v>0</v>
      </c>
      <c r="N72" s="434">
        <f>N63*365*'Region Assumptions'!$I$14/1000</f>
        <v>0</v>
      </c>
      <c r="O72" s="434">
        <f>O63*365*'Region Assumptions'!$I$14/1000</f>
        <v>0</v>
      </c>
      <c r="P72" s="434">
        <f>P63*365*'Region Assumptions'!$I$14/1000</f>
        <v>0</v>
      </c>
      <c r="Q72" s="434">
        <f>Q63*365*'Region Assumptions'!$I$14/1000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Assumptions'!$AF$14/1000</f>
        <v>0</v>
      </c>
      <c r="I73" s="434">
        <f>(I28*(I29-I33))*'Region Assumptions'!$AF$14/1000</f>
        <v>0</v>
      </c>
      <c r="J73" s="434">
        <f>(J28*(J29-J33))*'Region Assumptions'!$AF$14/1000</f>
        <v>0</v>
      </c>
      <c r="K73" s="434">
        <f>(K28*(K29-K33))*'Region Assumptions'!$AF$14/1000</f>
        <v>0</v>
      </c>
      <c r="L73" s="434">
        <f>(L28*(L29-L33))*'Region Assumptions'!$AF$14/1000</f>
        <v>0</v>
      </c>
      <c r="M73" s="434">
        <f>(M28*(M29-M33))*'Region Assumptions'!$AF$14/1000</f>
        <v>0</v>
      </c>
      <c r="N73" s="434">
        <f>(N28*(N29-N33))*'Region Assumptions'!$AF$14/1000</f>
        <v>0</v>
      </c>
      <c r="O73" s="434">
        <f>(O28*(O29-O33))*'Region Assumptions'!$AF$14/1000</f>
        <v>0</v>
      </c>
      <c r="P73" s="434">
        <f>(P28*(P29-P33))*'Region Assumptions'!$AF$14/1000</f>
        <v>0</v>
      </c>
      <c r="Q73" s="434">
        <f>(Q28*(Q29-Q33))*'Region Assumptions'!$AF$14/1000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720.42061736931691</v>
      </c>
      <c r="I74" s="48">
        <f t="shared" ref="I74:Q74" si="43">SUM(I65:I73)</f>
        <v>720.42061736931691</v>
      </c>
      <c r="J74" s="48">
        <f t="shared" si="43"/>
        <v>720.42061736931691</v>
      </c>
      <c r="K74" s="48">
        <f t="shared" si="43"/>
        <v>720.42061736931691</v>
      </c>
      <c r="L74" s="48">
        <f t="shared" si="43"/>
        <v>720.42061736931691</v>
      </c>
      <c r="M74" s="48">
        <f t="shared" si="43"/>
        <v>720.42061736931691</v>
      </c>
      <c r="N74" s="48">
        <f t="shared" si="43"/>
        <v>720.42061736931691</v>
      </c>
      <c r="O74" s="48">
        <f t="shared" si="43"/>
        <v>720.42061736931691</v>
      </c>
      <c r="P74" s="48">
        <f t="shared" si="43"/>
        <v>720.42061736931691</v>
      </c>
      <c r="Q74" s="48">
        <f t="shared" si="43"/>
        <v>720.42061736931691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662.53355955552183</v>
      </c>
      <c r="I76" s="48">
        <f t="shared" ref="I76:Q76" si="44">+I45-I74</f>
        <v>662.53355955552183</v>
      </c>
      <c r="J76" s="48">
        <f t="shared" si="44"/>
        <v>662.53355955552183</v>
      </c>
      <c r="K76" s="48">
        <f t="shared" si="44"/>
        <v>662.53355955552183</v>
      </c>
      <c r="L76" s="48">
        <f t="shared" si="44"/>
        <v>662.53355955552183</v>
      </c>
      <c r="M76" s="48">
        <f t="shared" si="44"/>
        <v>662.53355955552183</v>
      </c>
      <c r="N76" s="48">
        <f t="shared" si="44"/>
        <v>662.53355955552183</v>
      </c>
      <c r="O76" s="48">
        <f t="shared" si="44"/>
        <v>662.53355955552183</v>
      </c>
      <c r="P76" s="48">
        <f t="shared" si="44"/>
        <v>662.53355955552183</v>
      </c>
      <c r="Q76" s="48">
        <f t="shared" si="44"/>
        <v>662.53355955552183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3.8990222557245233</v>
      </c>
      <c r="I77" s="37">
        <f t="shared" si="45"/>
        <v>3.8990222557245233</v>
      </c>
      <c r="J77" s="37">
        <f t="shared" si="45"/>
        <v>3.8990222557245233</v>
      </c>
      <c r="K77" s="37">
        <f t="shared" si="45"/>
        <v>3.8990222557245233</v>
      </c>
      <c r="L77" s="37">
        <f t="shared" si="45"/>
        <v>3.8990222557245233</v>
      </c>
      <c r="M77" s="37">
        <f t="shared" si="45"/>
        <v>3.8990222557245233</v>
      </c>
      <c r="N77" s="37">
        <f t="shared" si="45"/>
        <v>3.8990222557245233</v>
      </c>
      <c r="O77" s="37">
        <f t="shared" si="45"/>
        <v>3.8990222557245233</v>
      </c>
      <c r="P77" s="37">
        <f t="shared" si="45"/>
        <v>3.8990222557245233</v>
      </c>
      <c r="Q77" s="37">
        <f t="shared" si="45"/>
        <v>3.8990222557245233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3.212673340067993</v>
      </c>
      <c r="I78" s="37">
        <f t="shared" si="46"/>
        <v>3.212673340067993</v>
      </c>
      <c r="J78" s="37">
        <f t="shared" si="46"/>
        <v>3.212673340067993</v>
      </c>
      <c r="K78" s="37">
        <f t="shared" si="46"/>
        <v>3.212673340067993</v>
      </c>
      <c r="L78" s="37">
        <f t="shared" si="46"/>
        <v>3.212673340067993</v>
      </c>
      <c r="M78" s="37">
        <f t="shared" si="46"/>
        <v>3.212673340067993</v>
      </c>
      <c r="N78" s="37">
        <f t="shared" si="46"/>
        <v>3.212673340067993</v>
      </c>
      <c r="O78" s="37">
        <f t="shared" si="46"/>
        <v>3.212673340067993</v>
      </c>
      <c r="P78" s="37">
        <f t="shared" si="46"/>
        <v>3.212673340067993</v>
      </c>
      <c r="Q78" s="37">
        <f t="shared" si="46"/>
        <v>3.212673340067993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0.47907123071043695</v>
      </c>
      <c r="I79" s="57">
        <f t="shared" si="47"/>
        <v>0.47907123071043695</v>
      </c>
      <c r="J79" s="57">
        <f t="shared" si="47"/>
        <v>0.47907123071043695</v>
      </c>
      <c r="K79" s="57">
        <f t="shared" si="47"/>
        <v>0.47907123071043695</v>
      </c>
      <c r="L79" s="57">
        <f t="shared" si="47"/>
        <v>0.47907123071043695</v>
      </c>
      <c r="M79" s="57">
        <f t="shared" si="47"/>
        <v>0.47907123071043695</v>
      </c>
      <c r="N79" s="57">
        <f t="shared" si="47"/>
        <v>0.47907123071043695</v>
      </c>
      <c r="O79" s="57">
        <f t="shared" si="47"/>
        <v>0.47907123071043695</v>
      </c>
      <c r="P79" s="57">
        <f t="shared" si="47"/>
        <v>0.47907123071043695</v>
      </c>
      <c r="Q79" s="57">
        <f t="shared" si="47"/>
        <v>0.47907123071043695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Assumptions'!$F$14</f>
        <v>565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Assumptions'!$M$14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Assumptions'!$N$14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2260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Assumptions'!$X$14</f>
        <v>0.1</v>
      </c>
      <c r="G88" s="49">
        <f>F88*G87</f>
        <v>226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2486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Assumptions'!$T$14*MWCP!G83/1000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Assumptions'!$U$14*MWCP!G83/1000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Assumptions'!$S$14*MWCP!G83/1000</f>
        <v>56.5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Assumptions'!$V$14*MWCP!G83/1000</f>
        <v>127.125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69.14770884624194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Assumptions'!$W$14*'Region Assumptions'!$H$14/1000</f>
        <v>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Assumptions'!$E$14*'Region Assumptions'!$C$4/1000</f>
        <v>17.302980808493263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235.46972803774867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2721.4697280377486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4.1076707568798758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-2652.3220191915066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Pending'!L12,MWCP!G86)/1000</f>
        <v>1412.5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662.53355955552183</v>
      </c>
      <c r="I108" s="22">
        <f t="shared" si="49"/>
        <v>662.53355955552183</v>
      </c>
      <c r="J108" s="22">
        <f t="shared" si="49"/>
        <v>662.53355955552183</v>
      </c>
      <c r="K108" s="22">
        <f t="shared" si="49"/>
        <v>662.53355955552183</v>
      </c>
      <c r="L108" s="22">
        <f t="shared" si="49"/>
        <v>662.53355955552183</v>
      </c>
      <c r="M108" s="22">
        <f t="shared" si="49"/>
        <v>662.53355955552183</v>
      </c>
      <c r="N108" s="22">
        <f t="shared" si="49"/>
        <v>662.53355955552183</v>
      </c>
      <c r="O108" s="22">
        <f t="shared" si="49"/>
        <v>662.53355955552183</v>
      </c>
      <c r="P108" s="22">
        <f t="shared" si="49"/>
        <v>662.53355955552183</v>
      </c>
      <c r="Q108" s="22">
        <f t="shared" si="49"/>
        <v>662.53355955552183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-516.63486206905293</v>
      </c>
      <c r="I109" s="72">
        <f>'Region Assumptions'!$C$4*($G$105+$G$94)/5</f>
        <v>-516.63486206905293</v>
      </c>
      <c r="J109" s="72">
        <f>'Region Assumptions'!$C$4*($G$105+$G$94)/5</f>
        <v>-516.63486206905293</v>
      </c>
      <c r="K109" s="72">
        <f>'Region Assumptions'!$C$4*($G$105+$G$94)/5</f>
        <v>-516.63486206905293</v>
      </c>
      <c r="L109" s="72">
        <f>'Region Assumptions'!$C$4*($G$105+$G$94)/5</f>
        <v>-516.63486206905293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145.8986974864689</v>
      </c>
      <c r="I110" s="73">
        <f t="shared" si="51"/>
        <v>145.8986974864689</v>
      </c>
      <c r="J110" s="73">
        <f t="shared" si="51"/>
        <v>145.8986974864689</v>
      </c>
      <c r="K110" s="73">
        <f t="shared" si="51"/>
        <v>145.8986974864689</v>
      </c>
      <c r="L110" s="73">
        <f t="shared" si="51"/>
        <v>145.8986974864689</v>
      </c>
      <c r="M110" s="73">
        <f t="shared" si="51"/>
        <v>662.53355955552183</v>
      </c>
      <c r="N110" s="73">
        <f t="shared" si="51"/>
        <v>662.53355955552183</v>
      </c>
      <c r="O110" s="73">
        <f t="shared" si="51"/>
        <v>662.53355955552183</v>
      </c>
      <c r="P110" s="73">
        <f t="shared" si="51"/>
        <v>662.53355955552183</v>
      </c>
      <c r="Q110" s="73">
        <f t="shared" si="51"/>
        <v>662.53355955552183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-58.359478994587562</v>
      </c>
      <c r="I111" s="72">
        <f t="shared" si="52"/>
        <v>-58.359478994587562</v>
      </c>
      <c r="J111" s="72">
        <f t="shared" si="52"/>
        <v>-58.359478994587562</v>
      </c>
      <c r="K111" s="72">
        <f t="shared" si="52"/>
        <v>-58.359478994587562</v>
      </c>
      <c r="L111" s="72">
        <f t="shared" si="52"/>
        <v>-58.359478994587562</v>
      </c>
      <c r="M111" s="72">
        <f t="shared" si="52"/>
        <v>-265.01342382220872</v>
      </c>
      <c r="N111" s="72">
        <f t="shared" si="52"/>
        <v>-265.01342382220872</v>
      </c>
      <c r="O111" s="72">
        <f t="shared" si="52"/>
        <v>-265.01342382220872</v>
      </c>
      <c r="P111" s="72">
        <f t="shared" si="52"/>
        <v>-265.01342382220872</v>
      </c>
      <c r="Q111" s="72">
        <f t="shared" si="52"/>
        <v>-265.01342382220872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604.17408056093427</v>
      </c>
      <c r="I112" s="72">
        <f t="shared" si="53"/>
        <v>604.17408056093427</v>
      </c>
      <c r="J112" s="72">
        <f t="shared" si="53"/>
        <v>604.17408056093427</v>
      </c>
      <c r="K112" s="72">
        <f t="shared" si="53"/>
        <v>604.17408056093427</v>
      </c>
      <c r="L112" s="72">
        <f t="shared" si="53"/>
        <v>604.17408056093427</v>
      </c>
      <c r="M112" s="72">
        <f t="shared" si="53"/>
        <v>397.52013573331311</v>
      </c>
      <c r="N112" s="72">
        <f t="shared" si="53"/>
        <v>397.52013573331311</v>
      </c>
      <c r="O112" s="72">
        <f t="shared" si="53"/>
        <v>397.52013573331311</v>
      </c>
      <c r="P112" s="72">
        <f t="shared" si="53"/>
        <v>397.52013573331311</v>
      </c>
      <c r="Q112" s="72">
        <f t="shared" si="53"/>
        <v>397.52013573331311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-69.14770884624194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535.02637171469235</v>
      </c>
      <c r="I115" s="75">
        <f t="shared" si="56"/>
        <v>604.17408056093427</v>
      </c>
      <c r="J115" s="75">
        <f t="shared" si="56"/>
        <v>604.17408056093427</v>
      </c>
      <c r="K115" s="75">
        <f t="shared" si="56"/>
        <v>604.17408056093427</v>
      </c>
      <c r="L115" s="75">
        <f t="shared" si="56"/>
        <v>604.17408056093427</v>
      </c>
      <c r="M115" s="75">
        <f t="shared" si="56"/>
        <v>397.52013573331311</v>
      </c>
      <c r="N115" s="75">
        <f t="shared" si="56"/>
        <v>397.52013573331311</v>
      </c>
      <c r="O115" s="75">
        <f t="shared" si="56"/>
        <v>397.52013573331311</v>
      </c>
      <c r="P115" s="75">
        <f t="shared" si="56"/>
        <v>397.52013573331311</v>
      </c>
      <c r="Q115" s="75">
        <f t="shared" si="56"/>
        <v>397.52013573331311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-2652.3220191915066</v>
      </c>
      <c r="H117" s="70">
        <f t="shared" si="57"/>
        <v>535.02637171469235</v>
      </c>
      <c r="I117" s="70">
        <f t="shared" si="57"/>
        <v>604.17408056093427</v>
      </c>
      <c r="J117" s="70">
        <f t="shared" si="57"/>
        <v>604.17408056093427</v>
      </c>
      <c r="K117" s="70">
        <f t="shared" si="57"/>
        <v>604.17408056093427</v>
      </c>
      <c r="L117" s="70">
        <f t="shared" si="57"/>
        <v>604.17408056093427</v>
      </c>
      <c r="M117" s="70">
        <f t="shared" si="57"/>
        <v>397.52013573331311</v>
      </c>
      <c r="N117" s="70">
        <f t="shared" si="57"/>
        <v>397.52013573331311</v>
      </c>
      <c r="O117" s="70">
        <f t="shared" si="57"/>
        <v>397.52013573331311</v>
      </c>
      <c r="P117" s="70">
        <f t="shared" si="57"/>
        <v>397.52013573331311</v>
      </c>
      <c r="Q117" s="70">
        <f t="shared" si="57"/>
        <v>1810.0201357333131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0.17917520874604653</v>
      </c>
      <c r="F119" s="70">
        <f>+NPV(0.12,G117:Q117)</f>
        <v>653.3435708481984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-2652.3220191915066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3312.6677977776089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662.53355955552183</v>
      </c>
      <c r="I125" s="22">
        <f t="shared" si="59"/>
        <v>662.53355955552183</v>
      </c>
      <c r="J125" s="22">
        <f t="shared" si="59"/>
        <v>662.53355955552183</v>
      </c>
      <c r="K125" s="22">
        <f t="shared" si="59"/>
        <v>662.53355955552183</v>
      </c>
      <c r="L125" s="22">
        <f t="shared" si="59"/>
        <v>662.53355955552183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-516.63486206905293</v>
      </c>
      <c r="I126" s="72">
        <f t="shared" si="59"/>
        <v>-516.63486206905293</v>
      </c>
      <c r="J126" s="72">
        <f t="shared" si="59"/>
        <v>-516.63486206905293</v>
      </c>
      <c r="K126" s="72">
        <f t="shared" si="59"/>
        <v>-516.63486206905293</v>
      </c>
      <c r="L126" s="72">
        <f t="shared" si="59"/>
        <v>-516.63486206905293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145.8986974864689</v>
      </c>
      <c r="I127" s="73">
        <f>SUM(I125:I126)</f>
        <v>145.8986974864689</v>
      </c>
      <c r="J127" s="73">
        <f>SUM(J125:J126)</f>
        <v>145.8986974864689</v>
      </c>
      <c r="K127" s="73">
        <f>SUM(K125:K126)</f>
        <v>145.8986974864689</v>
      </c>
      <c r="L127" s="73">
        <f>SUM(L125:L126)</f>
        <v>145.8986974864689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-58.359478994587562</v>
      </c>
      <c r="I128" s="72">
        <f t="shared" si="60"/>
        <v>-58.359478994587562</v>
      </c>
      <c r="J128" s="72">
        <f t="shared" si="60"/>
        <v>-58.359478994587562</v>
      </c>
      <c r="K128" s="72">
        <f t="shared" si="60"/>
        <v>-58.359478994587562</v>
      </c>
      <c r="L128" s="72">
        <f t="shared" si="60"/>
        <v>-58.359478994587562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604.17408056093427</v>
      </c>
      <c r="I129" s="72">
        <f>SUM(I125:I125,I128)</f>
        <v>604.17408056093427</v>
      </c>
      <c r="J129" s="72">
        <f>SUM(J125:J125,J128)</f>
        <v>604.17408056093427</v>
      </c>
      <c r="K129" s="72">
        <f>SUM(K125:K125,K128)</f>
        <v>604.17408056093427</v>
      </c>
      <c r="L129" s="72">
        <f>SUM(L125:L125,L128)</f>
        <v>604.17408056093427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-69.14770884624194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535.02637171469235</v>
      </c>
      <c r="I132" s="73">
        <f>SUM(I129:I131)</f>
        <v>604.17408056093427</v>
      </c>
      <c r="J132" s="73">
        <f>SUM(J129:J131)</f>
        <v>604.17408056093427</v>
      </c>
      <c r="K132" s="73">
        <f>SUM(K129:K131)</f>
        <v>604.17408056093427</v>
      </c>
      <c r="L132" s="73">
        <f>SUM(L129:L131)</f>
        <v>604.17408056093427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-2652.3220191915066</v>
      </c>
      <c r="H134" s="70">
        <f t="shared" si="62"/>
        <v>535.02637171469235</v>
      </c>
      <c r="I134" s="70">
        <f t="shared" si="62"/>
        <v>604.17408056093427</v>
      </c>
      <c r="J134" s="70">
        <f t="shared" si="62"/>
        <v>604.17408056093427</v>
      </c>
      <c r="K134" s="70">
        <f t="shared" si="62"/>
        <v>604.17408056093427</v>
      </c>
      <c r="L134" s="70">
        <f t="shared" si="62"/>
        <v>3916.8418783385432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0.25034734723441221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A152"/>
  <sheetViews>
    <sheetView showGridLines="0" tabSelected="1" topLeftCell="A42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457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657423.10637545935</v>
      </c>
      <c r="H7" s="184">
        <f t="shared" ref="H7:Q7" si="1">$G$9*H11*(1-$G$12)</f>
        <v>657423.10637545935</v>
      </c>
      <c r="I7" s="184">
        <f t="shared" si="1"/>
        <v>657423.10637545935</v>
      </c>
      <c r="J7" s="184">
        <f t="shared" si="1"/>
        <v>657423.10637545935</v>
      </c>
      <c r="K7" s="184">
        <f t="shared" si="1"/>
        <v>657423.10637545935</v>
      </c>
      <c r="L7" s="184">
        <f t="shared" si="1"/>
        <v>657423.10637545935</v>
      </c>
      <c r="M7" s="184">
        <f t="shared" si="1"/>
        <v>657423.10637545935</v>
      </c>
      <c r="N7" s="184">
        <f t="shared" si="1"/>
        <v>657423.10637545935</v>
      </c>
      <c r="O7" s="184">
        <f t="shared" si="1"/>
        <v>657423.10637545935</v>
      </c>
      <c r="P7" s="184">
        <f t="shared" si="1"/>
        <v>657423.10637545935</v>
      </c>
      <c r="Q7" s="184">
        <f t="shared" si="1"/>
        <v>657423.10637545935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88377.354629032256</v>
      </c>
      <c r="H8" s="184">
        <f t="shared" si="2"/>
        <v>88377.354629032256</v>
      </c>
      <c r="I8" s="184">
        <f t="shared" si="2"/>
        <v>88377.354629032256</v>
      </c>
      <c r="J8" s="184">
        <f t="shared" si="2"/>
        <v>88377.354629032256</v>
      </c>
      <c r="K8" s="184">
        <f t="shared" si="2"/>
        <v>88377.354629032256</v>
      </c>
      <c r="L8" s="184">
        <f t="shared" si="2"/>
        <v>88377.354629032256</v>
      </c>
      <c r="M8" s="184">
        <f t="shared" si="2"/>
        <v>88377.354629032256</v>
      </c>
      <c r="N8" s="184">
        <f t="shared" si="2"/>
        <v>88377.354629032256</v>
      </c>
      <c r="O8" s="184">
        <f t="shared" si="2"/>
        <v>88377.354629032256</v>
      </c>
      <c r="P8" s="184">
        <f t="shared" si="2"/>
        <v>88377.354629032256</v>
      </c>
      <c r="Q8" s="184">
        <f t="shared" si="2"/>
        <v>88377.354629032256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Assumptions'!$K$15*365</f>
        <v>745800.46100449166</v>
      </c>
      <c r="H9" s="268">
        <f t="shared" ref="H9:Q9" si="3">G9</f>
        <v>745800.46100449166</v>
      </c>
      <c r="I9" s="268">
        <f t="shared" si="3"/>
        <v>745800.46100449166</v>
      </c>
      <c r="J9" s="268">
        <f t="shared" si="3"/>
        <v>745800.46100449166</v>
      </c>
      <c r="K9" s="268">
        <f t="shared" si="3"/>
        <v>745800.46100449166</v>
      </c>
      <c r="L9" s="268">
        <f t="shared" si="3"/>
        <v>745800.46100449166</v>
      </c>
      <c r="M9" s="268">
        <f t="shared" si="3"/>
        <v>745800.46100449166</v>
      </c>
      <c r="N9" s="268">
        <f t="shared" si="3"/>
        <v>745800.46100449166</v>
      </c>
      <c r="O9" s="268">
        <f t="shared" si="3"/>
        <v>745800.46100449166</v>
      </c>
      <c r="P9" s="268">
        <f>O9</f>
        <v>745800.46100449166</v>
      </c>
      <c r="Q9" s="268">
        <f t="shared" si="3"/>
        <v>745800.46100449166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Assumptions'!$AE$15</f>
        <v>0</v>
      </c>
      <c r="I10" s="438">
        <f>H10+'Region Assumptions'!$AE$15</f>
        <v>0</v>
      </c>
      <c r="J10" s="438">
        <f>I10+'Region Assumptions'!$AE$15</f>
        <v>0</v>
      </c>
      <c r="K10" s="438">
        <f>J10+'Region Assumptions'!$AE$15</f>
        <v>0</v>
      </c>
      <c r="L10" s="438">
        <f>K10+'Region Assumptions'!$AE$15</f>
        <v>0</v>
      </c>
      <c r="M10" s="438">
        <f>L10+'Region Assumptions'!$AE$15</f>
        <v>0</v>
      </c>
      <c r="N10" s="438">
        <f>M10+'Region Assumptions'!$AE$15</f>
        <v>0</v>
      </c>
      <c r="O10" s="438">
        <f>N10+'Region Assumptions'!$AE$15</f>
        <v>0</v>
      </c>
      <c r="P10" s="438">
        <f>O10+'Region Assumptions'!$AE$15</f>
        <v>0</v>
      </c>
      <c r="Q10" s="438">
        <f>P10+'Region Assumptions'!$AE$15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Assumptions'!$Y$15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0.82590498555330694</v>
      </c>
      <c r="I13" s="269">
        <f t="shared" ref="I13:Q13" si="6">I9/I23/365</f>
        <v>0.82590498555330694</v>
      </c>
      <c r="J13" s="269">
        <f t="shared" si="6"/>
        <v>0.82590498555330694</v>
      </c>
      <c r="K13" s="269">
        <f t="shared" si="6"/>
        <v>0.82590498555330694</v>
      </c>
      <c r="L13" s="269">
        <f t="shared" si="6"/>
        <v>0.82590498555330694</v>
      </c>
      <c r="M13" s="269">
        <f t="shared" si="6"/>
        <v>0.82590498555330694</v>
      </c>
      <c r="N13" s="269">
        <f t="shared" si="6"/>
        <v>0.82590498555330694</v>
      </c>
      <c r="O13" s="269">
        <f t="shared" si="6"/>
        <v>0.82590498555330694</v>
      </c>
      <c r="P13" s="269">
        <f t="shared" si="6"/>
        <v>0.82590498555330694</v>
      </c>
      <c r="Q13" s="269">
        <f t="shared" si="6"/>
        <v>0.82590498555330694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2273.8731227301828</v>
      </c>
      <c r="F17" s="203">
        <f>F18*$H$17/1000</f>
        <v>186.45011525112292</v>
      </c>
      <c r="G17" s="203">
        <f>G18*$H$17/1000</f>
        <v>0</v>
      </c>
      <c r="H17" s="204">
        <f>H40</f>
        <v>745800.46100449166</v>
      </c>
      <c r="I17" s="204">
        <f>H23*365</f>
        <v>903010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Assumptions'!$Z$15</f>
        <v>3.0489028119767929</v>
      </c>
      <c r="F18" s="690">
        <f>'Region Assumptions'!$AB$15</f>
        <v>0.25</v>
      </c>
      <c r="G18" s="690">
        <f>'Region Assumptions'!$AA$15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2.5181040328791298</v>
      </c>
      <c r="F19" s="188">
        <f>F17/$I17*1000</f>
        <v>0.20647624638832673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Assumptions'!$F$15+'Region Assumptions'!$G$15+'Region Assumptions'!$H$15</f>
        <v>2474</v>
      </c>
      <c r="I23" s="184">
        <f>H23</f>
        <v>2474</v>
      </c>
      <c r="J23" s="184">
        <f t="shared" ref="J23:Q23" si="8">I23</f>
        <v>2474</v>
      </c>
      <c r="K23" s="184">
        <f t="shared" si="8"/>
        <v>2474</v>
      </c>
      <c r="L23" s="184">
        <f t="shared" si="8"/>
        <v>2474</v>
      </c>
      <c r="M23" s="184">
        <f t="shared" si="8"/>
        <v>2474</v>
      </c>
      <c r="N23" s="184">
        <f t="shared" si="8"/>
        <v>2474</v>
      </c>
      <c r="O23" s="184">
        <f t="shared" si="8"/>
        <v>2474</v>
      </c>
      <c r="P23" s="184">
        <f t="shared" si="8"/>
        <v>2474</v>
      </c>
      <c r="Q23" s="184">
        <f t="shared" si="8"/>
        <v>2474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1922.4025264999996</v>
      </c>
      <c r="I25" s="28">
        <f t="shared" ref="I25:Q25" si="10">I32/365/I13*(1-I12)</f>
        <v>1922.4025264999996</v>
      </c>
      <c r="J25" s="28">
        <f t="shared" si="10"/>
        <v>1922.4025264999996</v>
      </c>
      <c r="K25" s="28">
        <f t="shared" si="10"/>
        <v>1922.4025264999996</v>
      </c>
      <c r="L25" s="28">
        <f t="shared" si="10"/>
        <v>1922.4025264999996</v>
      </c>
      <c r="M25" s="28">
        <f t="shared" si="10"/>
        <v>1922.4025264999996</v>
      </c>
      <c r="N25" s="28">
        <f t="shared" si="10"/>
        <v>1922.4025264999996</v>
      </c>
      <c r="O25" s="28">
        <f t="shared" si="10"/>
        <v>1922.4025264999996</v>
      </c>
      <c r="P25" s="28">
        <f t="shared" si="10"/>
        <v>1922.4025264999996</v>
      </c>
      <c r="Q25" s="28">
        <f t="shared" si="10"/>
        <v>1922.4025264999996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242.12973870967741</v>
      </c>
      <c r="I26" s="28">
        <f t="shared" ref="I26:Q26" si="11">I36/365</f>
        <v>242.12973870967741</v>
      </c>
      <c r="J26" s="28">
        <f t="shared" si="11"/>
        <v>242.12973870967741</v>
      </c>
      <c r="K26" s="28">
        <f t="shared" si="11"/>
        <v>242.12973870967741</v>
      </c>
      <c r="L26" s="28">
        <f t="shared" si="11"/>
        <v>242.12973870967741</v>
      </c>
      <c r="M26" s="28">
        <f t="shared" si="11"/>
        <v>242.12973870967741</v>
      </c>
      <c r="N26" s="28">
        <f t="shared" si="11"/>
        <v>242.12973870967741</v>
      </c>
      <c r="O26" s="28">
        <f t="shared" si="11"/>
        <v>242.12973870967741</v>
      </c>
      <c r="P26" s="28">
        <f t="shared" si="11"/>
        <v>242.12973870967741</v>
      </c>
      <c r="Q26" s="28">
        <f t="shared" si="11"/>
        <v>242.12973870967741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Assumptions'!$AD$15</f>
        <v>17</v>
      </c>
      <c r="I29" s="37">
        <f t="shared" ref="I29:Q29" si="13">+H29*(1+$V33)</f>
        <v>17</v>
      </c>
      <c r="J29" s="37">
        <f t="shared" si="13"/>
        <v>17</v>
      </c>
      <c r="K29" s="37">
        <f t="shared" si="13"/>
        <v>17</v>
      </c>
      <c r="L29" s="37">
        <f t="shared" si="13"/>
        <v>17</v>
      </c>
      <c r="M29" s="37">
        <f t="shared" si="13"/>
        <v>17</v>
      </c>
      <c r="N29" s="37">
        <f t="shared" si="13"/>
        <v>17</v>
      </c>
      <c r="O29" s="37">
        <f t="shared" si="13"/>
        <v>17</v>
      </c>
      <c r="P29" s="37">
        <f t="shared" si="13"/>
        <v>17</v>
      </c>
      <c r="Q29" s="37">
        <f t="shared" si="13"/>
        <v>17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657423.10637545935</v>
      </c>
      <c r="I32" s="28">
        <f t="shared" si="15"/>
        <v>657423.10637545935</v>
      </c>
      <c r="J32" s="28">
        <f t="shared" si="15"/>
        <v>657423.10637545935</v>
      </c>
      <c r="K32" s="28">
        <f t="shared" si="15"/>
        <v>657423.10637545935</v>
      </c>
      <c r="L32" s="28">
        <f t="shared" si="15"/>
        <v>657423.10637545935</v>
      </c>
      <c r="M32" s="28">
        <f t="shared" si="15"/>
        <v>657423.10637545935</v>
      </c>
      <c r="N32" s="28">
        <f t="shared" si="15"/>
        <v>657423.10637545935</v>
      </c>
      <c r="O32" s="28">
        <f t="shared" si="15"/>
        <v>657423.10637545935</v>
      </c>
      <c r="P32" s="28">
        <f t="shared" si="15"/>
        <v>657423.10637545935</v>
      </c>
      <c r="Q32" s="28">
        <f t="shared" si="15"/>
        <v>657423.10637545935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7.527785254123339</v>
      </c>
      <c r="I33" s="37">
        <f t="shared" ref="I33:Q33" si="16">+H33*(1+$V34)</f>
        <v>7.527785254123339</v>
      </c>
      <c r="J33" s="37">
        <f t="shared" si="16"/>
        <v>7.527785254123339</v>
      </c>
      <c r="K33" s="37">
        <f t="shared" si="16"/>
        <v>7.527785254123339</v>
      </c>
      <c r="L33" s="37">
        <f t="shared" si="16"/>
        <v>7.527785254123339</v>
      </c>
      <c r="M33" s="37">
        <f t="shared" si="16"/>
        <v>7.527785254123339</v>
      </c>
      <c r="N33" s="37">
        <f t="shared" si="16"/>
        <v>7.527785254123339</v>
      </c>
      <c r="O33" s="37">
        <f t="shared" si="16"/>
        <v>7.527785254123339</v>
      </c>
      <c r="P33" s="37">
        <f t="shared" si="16"/>
        <v>7.527785254123339</v>
      </c>
      <c r="Q33" s="37">
        <f t="shared" si="16"/>
        <v>7.527785254123339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4948.9399658931416</v>
      </c>
      <c r="I34" s="49">
        <f t="shared" si="17"/>
        <v>4948.9399658931416</v>
      </c>
      <c r="J34" s="49">
        <f t="shared" si="17"/>
        <v>4948.9399658931416</v>
      </c>
      <c r="K34" s="49">
        <f t="shared" si="17"/>
        <v>4948.9399658931416</v>
      </c>
      <c r="L34" s="49">
        <f t="shared" si="17"/>
        <v>4948.9399658931416</v>
      </c>
      <c r="M34" s="49">
        <f t="shared" si="17"/>
        <v>4948.9399658931416</v>
      </c>
      <c r="N34" s="49">
        <f t="shared" si="17"/>
        <v>4948.9399658931416</v>
      </c>
      <c r="O34" s="49">
        <f t="shared" si="17"/>
        <v>4948.9399658931416</v>
      </c>
      <c r="P34" s="49">
        <f t="shared" si="17"/>
        <v>4948.9399658931416</v>
      </c>
      <c r="Q34" s="49">
        <f t="shared" si="17"/>
        <v>4948.9399658931416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88377.354629032256</v>
      </c>
      <c r="I36" s="28">
        <f t="shared" si="18"/>
        <v>88377.354629032256</v>
      </c>
      <c r="J36" s="28">
        <f t="shared" si="18"/>
        <v>88377.354629032256</v>
      </c>
      <c r="K36" s="28">
        <f t="shared" si="18"/>
        <v>88377.354629032256</v>
      </c>
      <c r="L36" s="28">
        <f t="shared" si="18"/>
        <v>88377.354629032256</v>
      </c>
      <c r="M36" s="28">
        <f t="shared" si="18"/>
        <v>88377.354629032256</v>
      </c>
      <c r="N36" s="28">
        <f t="shared" si="18"/>
        <v>88377.354629032256</v>
      </c>
      <c r="O36" s="28">
        <f t="shared" si="18"/>
        <v>88377.354629032256</v>
      </c>
      <c r="P36" s="28">
        <f t="shared" si="18"/>
        <v>88377.354629032256</v>
      </c>
      <c r="Q36" s="28">
        <f t="shared" si="18"/>
        <v>88377.354629032256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Assumptions'!$AC$15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745800.46100449166</v>
      </c>
      <c r="I40" s="28">
        <f t="shared" ref="I40:Q40" si="21">I28+I32+I36</f>
        <v>745800.46100449166</v>
      </c>
      <c r="J40" s="28">
        <f t="shared" si="21"/>
        <v>745800.46100449166</v>
      </c>
      <c r="K40" s="28">
        <f t="shared" si="21"/>
        <v>745800.46100449166</v>
      </c>
      <c r="L40" s="28">
        <f t="shared" si="21"/>
        <v>745800.46100449166</v>
      </c>
      <c r="M40" s="28">
        <f t="shared" si="21"/>
        <v>745800.46100449166</v>
      </c>
      <c r="N40" s="28">
        <f t="shared" si="21"/>
        <v>745800.46100449166</v>
      </c>
      <c r="O40" s="28">
        <f t="shared" si="21"/>
        <v>745800.46100449166</v>
      </c>
      <c r="P40" s="28">
        <f t="shared" si="21"/>
        <v>745800.46100449166</v>
      </c>
      <c r="Q40" s="28">
        <f t="shared" si="21"/>
        <v>745800.46100449166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903010</v>
      </c>
      <c r="I41" s="28">
        <f t="shared" si="22"/>
        <v>903010</v>
      </c>
      <c r="J41" s="28">
        <f t="shared" si="22"/>
        <v>903010</v>
      </c>
      <c r="K41" s="28">
        <f t="shared" si="22"/>
        <v>903010</v>
      </c>
      <c r="L41" s="28">
        <f t="shared" si="22"/>
        <v>903010</v>
      </c>
      <c r="M41" s="28">
        <f t="shared" si="22"/>
        <v>903010</v>
      </c>
      <c r="N41" s="28">
        <f t="shared" si="22"/>
        <v>903010</v>
      </c>
      <c r="O41" s="28">
        <f t="shared" si="22"/>
        <v>903010</v>
      </c>
      <c r="P41" s="28">
        <f t="shared" si="22"/>
        <v>903010</v>
      </c>
      <c r="Q41" s="28">
        <f t="shared" si="22"/>
        <v>903010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0.82590498555330694</v>
      </c>
      <c r="I42" s="34">
        <f t="shared" si="23"/>
        <v>0.82590498555330694</v>
      </c>
      <c r="J42" s="34">
        <f t="shared" si="23"/>
        <v>0.82590498555330694</v>
      </c>
      <c r="K42" s="34">
        <f t="shared" si="23"/>
        <v>0.82590498555330694</v>
      </c>
      <c r="L42" s="34">
        <f t="shared" si="23"/>
        <v>0.82590498555330694</v>
      </c>
      <c r="M42" s="34">
        <f t="shared" si="23"/>
        <v>0.82590498555330694</v>
      </c>
      <c r="N42" s="34">
        <f t="shared" si="23"/>
        <v>0.82590498555330694</v>
      </c>
      <c r="O42" s="34">
        <f t="shared" si="23"/>
        <v>0.82590498555330694</v>
      </c>
      <c r="P42" s="34">
        <f t="shared" si="23"/>
        <v>0.82590498555330694</v>
      </c>
      <c r="Q42" s="34">
        <f t="shared" si="23"/>
        <v>0.82590498555330694</v>
      </c>
      <c r="S42" s="34"/>
      <c r="V42" s="45"/>
    </row>
    <row r="43" spans="2:24">
      <c r="C43" s="24" t="s">
        <v>46</v>
      </c>
      <c r="G43" s="34"/>
      <c r="H43" s="34">
        <f>(H28+H32)/H41</f>
        <v>0.72803524476523995</v>
      </c>
      <c r="I43" s="34">
        <f t="shared" ref="I43:Q43" si="24">(I28+I32)/I41</f>
        <v>0.72803524476523995</v>
      </c>
      <c r="J43" s="34">
        <f t="shared" si="24"/>
        <v>0.72803524476523995</v>
      </c>
      <c r="K43" s="34">
        <f t="shared" si="24"/>
        <v>0.72803524476523995</v>
      </c>
      <c r="L43" s="34">
        <f t="shared" si="24"/>
        <v>0.72803524476523995</v>
      </c>
      <c r="M43" s="34">
        <f t="shared" si="24"/>
        <v>0.72803524476523995</v>
      </c>
      <c r="N43" s="34">
        <f t="shared" si="24"/>
        <v>0.72803524476523995</v>
      </c>
      <c r="O43" s="34">
        <f t="shared" si="24"/>
        <v>0.72803524476523995</v>
      </c>
      <c r="P43" s="34">
        <f t="shared" si="24"/>
        <v>0.72803524476523995</v>
      </c>
      <c r="Q43" s="34">
        <f t="shared" si="24"/>
        <v>0.72803524476523995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4948.9399658931416</v>
      </c>
      <c r="I45" s="48">
        <f t="shared" si="25"/>
        <v>4948.9399658931416</v>
      </c>
      <c r="J45" s="48">
        <f t="shared" si="25"/>
        <v>4948.9399658931416</v>
      </c>
      <c r="K45" s="48">
        <f t="shared" si="25"/>
        <v>4948.9399658931416</v>
      </c>
      <c r="L45" s="48">
        <f t="shared" si="25"/>
        <v>4948.9399658931416</v>
      </c>
      <c r="M45" s="48">
        <f t="shared" si="25"/>
        <v>4948.9399658931416</v>
      </c>
      <c r="N45" s="48">
        <f t="shared" si="25"/>
        <v>4948.9399658931416</v>
      </c>
      <c r="O45" s="48">
        <f t="shared" si="25"/>
        <v>4948.9399658931416</v>
      </c>
      <c r="P45" s="48">
        <f t="shared" si="25"/>
        <v>4948.9399658931416</v>
      </c>
      <c r="Q45" s="48">
        <f t="shared" si="25"/>
        <v>4948.9399658931416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6.6357427015097228</v>
      </c>
      <c r="I46" s="51">
        <f t="shared" si="26"/>
        <v>6.6357427015097228</v>
      </c>
      <c r="J46" s="51">
        <f t="shared" si="26"/>
        <v>6.6357427015097228</v>
      </c>
      <c r="K46" s="51">
        <f t="shared" si="26"/>
        <v>6.6357427015097228</v>
      </c>
      <c r="L46" s="51">
        <f t="shared" si="26"/>
        <v>6.6357427015097228</v>
      </c>
      <c r="M46" s="51">
        <f t="shared" si="26"/>
        <v>6.6357427015097228</v>
      </c>
      <c r="N46" s="51">
        <f t="shared" si="26"/>
        <v>6.6357427015097228</v>
      </c>
      <c r="O46" s="51">
        <f t="shared" si="26"/>
        <v>6.6357427015097228</v>
      </c>
      <c r="P46" s="51">
        <f t="shared" si="26"/>
        <v>6.6357427015097228</v>
      </c>
      <c r="Q46" s="51">
        <f t="shared" si="26"/>
        <v>6.6357427015097228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4948.9399658931416</v>
      </c>
      <c r="I48" s="49">
        <f t="shared" si="27"/>
        <v>4948.9399658931416</v>
      </c>
      <c r="J48" s="49">
        <f t="shared" si="27"/>
        <v>4948.9399658931416</v>
      </c>
      <c r="K48" s="49">
        <f t="shared" si="27"/>
        <v>4948.9399658931416</v>
      </c>
      <c r="L48" s="49">
        <f t="shared" si="27"/>
        <v>4948.9399658931416</v>
      </c>
      <c r="M48" s="49">
        <f t="shared" si="27"/>
        <v>4948.9399658931416</v>
      </c>
      <c r="N48" s="49">
        <f t="shared" si="27"/>
        <v>4948.9399658931416</v>
      </c>
      <c r="O48" s="49">
        <f t="shared" si="27"/>
        <v>4948.9399658931416</v>
      </c>
      <c r="P48" s="49">
        <f t="shared" si="27"/>
        <v>4948.9399658931416</v>
      </c>
      <c r="Q48" s="49">
        <f t="shared" si="27"/>
        <v>4948.9399658931416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657423.10637545935</v>
      </c>
      <c r="I50" s="28">
        <f t="shared" si="29"/>
        <v>657423.10637545935</v>
      </c>
      <c r="J50" s="28">
        <f t="shared" si="29"/>
        <v>657423.10637545935</v>
      </c>
      <c r="K50" s="28">
        <f t="shared" si="29"/>
        <v>657423.10637545935</v>
      </c>
      <c r="L50" s="28">
        <f t="shared" si="29"/>
        <v>657423.10637545935</v>
      </c>
      <c r="M50" s="28">
        <f t="shared" si="29"/>
        <v>657423.10637545935</v>
      </c>
      <c r="N50" s="28">
        <f t="shared" si="29"/>
        <v>657423.10637545935</v>
      </c>
      <c r="O50" s="28">
        <f t="shared" si="29"/>
        <v>657423.10637545935</v>
      </c>
      <c r="P50" s="28">
        <f t="shared" si="29"/>
        <v>657423.10637545935</v>
      </c>
      <c r="Q50" s="28">
        <f t="shared" si="29"/>
        <v>657423.10637545935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88377.354629032256</v>
      </c>
      <c r="I51" s="28">
        <f t="shared" si="30"/>
        <v>88377.354629032256</v>
      </c>
      <c r="J51" s="28">
        <f t="shared" si="30"/>
        <v>88377.354629032256</v>
      </c>
      <c r="K51" s="28">
        <f t="shared" si="30"/>
        <v>88377.354629032256</v>
      </c>
      <c r="L51" s="28">
        <f t="shared" si="30"/>
        <v>88377.354629032256</v>
      </c>
      <c r="M51" s="28">
        <f t="shared" si="30"/>
        <v>88377.354629032256</v>
      </c>
      <c r="N51" s="28">
        <f t="shared" si="30"/>
        <v>88377.354629032256</v>
      </c>
      <c r="O51" s="28">
        <f t="shared" si="30"/>
        <v>88377.354629032256</v>
      </c>
      <c r="P51" s="28">
        <f t="shared" si="30"/>
        <v>88377.354629032256</v>
      </c>
      <c r="Q51" s="28">
        <f t="shared" si="30"/>
        <v>88377.354629032256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6.6357427015097228</v>
      </c>
      <c r="I52" s="54">
        <f t="shared" si="31"/>
        <v>6.6357427015097228</v>
      </c>
      <c r="J52" s="54">
        <f t="shared" si="31"/>
        <v>6.6357427015097228</v>
      </c>
      <c r="K52" s="54">
        <f t="shared" si="31"/>
        <v>6.6357427015097228</v>
      </c>
      <c r="L52" s="54">
        <f t="shared" si="31"/>
        <v>6.6357427015097228</v>
      </c>
      <c r="M52" s="54">
        <f t="shared" si="31"/>
        <v>6.6357427015097228</v>
      </c>
      <c r="N52" s="54">
        <f t="shared" si="31"/>
        <v>6.6357427015097228</v>
      </c>
      <c r="O52" s="54">
        <f t="shared" si="31"/>
        <v>6.6357427015097228</v>
      </c>
      <c r="P52" s="54">
        <f t="shared" si="31"/>
        <v>6.6357427015097228</v>
      </c>
      <c r="Q52" s="54">
        <f t="shared" si="31"/>
        <v>6.6357427015097228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7.527785254123339</v>
      </c>
      <c r="I53" s="54">
        <f t="shared" si="32"/>
        <v>7.527785254123339</v>
      </c>
      <c r="J53" s="54">
        <f t="shared" si="32"/>
        <v>7.527785254123339</v>
      </c>
      <c r="K53" s="54">
        <f t="shared" si="32"/>
        <v>7.527785254123339</v>
      </c>
      <c r="L53" s="54">
        <f t="shared" si="32"/>
        <v>7.527785254123339</v>
      </c>
      <c r="M53" s="54">
        <f t="shared" si="32"/>
        <v>7.527785254123339</v>
      </c>
      <c r="N53" s="54">
        <f t="shared" si="32"/>
        <v>7.527785254123339</v>
      </c>
      <c r="O53" s="54">
        <f t="shared" si="32"/>
        <v>7.527785254123339</v>
      </c>
      <c r="P53" s="54">
        <f t="shared" si="32"/>
        <v>7.527785254123339</v>
      </c>
      <c r="Q53" s="54">
        <f t="shared" si="32"/>
        <v>7.527785254123339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3.0489028119767929</v>
      </c>
      <c r="I57" s="188">
        <f>H57</f>
        <v>3.0489028119767929</v>
      </c>
      <c r="J57" s="188">
        <f t="shared" ref="J57:Q57" si="34">I57</f>
        <v>3.0489028119767929</v>
      </c>
      <c r="K57" s="188">
        <f t="shared" si="34"/>
        <v>3.0489028119767929</v>
      </c>
      <c r="L57" s="188">
        <f t="shared" si="34"/>
        <v>3.0489028119767929</v>
      </c>
      <c r="M57" s="188">
        <f t="shared" si="34"/>
        <v>3.0489028119767929</v>
      </c>
      <c r="N57" s="188">
        <f t="shared" si="34"/>
        <v>3.0489028119767929</v>
      </c>
      <c r="O57" s="188">
        <f t="shared" si="34"/>
        <v>3.0489028119767929</v>
      </c>
      <c r="P57" s="188">
        <f t="shared" si="34"/>
        <v>3.0489028119767929</v>
      </c>
      <c r="Q57" s="188">
        <f t="shared" si="34"/>
        <v>3.0489028119767929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Assumptions'!$P$15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Assumptions'!$Q$15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Assumptions'!$R$15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2273.8731227301828</v>
      </c>
      <c r="I65" s="55">
        <f t="shared" si="40"/>
        <v>2273.8731227301828</v>
      </c>
      <c r="J65" s="55">
        <f t="shared" si="40"/>
        <v>2273.8731227301828</v>
      </c>
      <c r="K65" s="55">
        <f t="shared" si="40"/>
        <v>2273.8731227301828</v>
      </c>
      <c r="L65" s="55">
        <f t="shared" si="40"/>
        <v>2273.8731227301828</v>
      </c>
      <c r="M65" s="55">
        <f t="shared" si="40"/>
        <v>2273.8731227301828</v>
      </c>
      <c r="N65" s="55">
        <f t="shared" si="40"/>
        <v>2273.8731227301828</v>
      </c>
      <c r="O65" s="55">
        <f t="shared" si="40"/>
        <v>2273.8731227301828</v>
      </c>
      <c r="P65" s="55">
        <f t="shared" si="40"/>
        <v>2273.8731227301828</v>
      </c>
      <c r="Q65" s="55">
        <f t="shared" si="40"/>
        <v>2273.8731227301828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225.7525</v>
      </c>
      <c r="I66" s="56">
        <f t="shared" ref="I66:Q66" si="41">+I$41*I58/1000</f>
        <v>225.7525</v>
      </c>
      <c r="J66" s="56">
        <f t="shared" si="41"/>
        <v>225.7525</v>
      </c>
      <c r="K66" s="56">
        <f t="shared" si="41"/>
        <v>225.7525</v>
      </c>
      <c r="L66" s="56">
        <f t="shared" si="41"/>
        <v>225.7525</v>
      </c>
      <c r="M66" s="56">
        <f t="shared" si="41"/>
        <v>225.7525</v>
      </c>
      <c r="N66" s="56">
        <f t="shared" si="41"/>
        <v>225.7525</v>
      </c>
      <c r="O66" s="56">
        <f t="shared" si="41"/>
        <v>225.7525</v>
      </c>
      <c r="P66" s="56">
        <f t="shared" si="41"/>
        <v>225.7525</v>
      </c>
      <c r="Q66" s="56">
        <f t="shared" si="41"/>
        <v>225.7525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Assumptions'!$C$6*SACP!H45</f>
        <v>0</v>
      </c>
      <c r="I69" s="703">
        <f>'Region Assumptions'!$C$6*SACP!I45</f>
        <v>0</v>
      </c>
      <c r="J69" s="703">
        <f>'Region Assumptions'!$C$6*SACP!J45</f>
        <v>0</v>
      </c>
      <c r="K69" s="703">
        <f>'Region Assumptions'!$C$6*SACP!K45</f>
        <v>0</v>
      </c>
      <c r="L69" s="703">
        <f>'Region Assumptions'!$C$6*SACP!L45</f>
        <v>0</v>
      </c>
      <c r="M69" s="703">
        <f>'Region Assumptions'!$C$6*SACP!M45</f>
        <v>0</v>
      </c>
      <c r="N69" s="703">
        <f>'Region Assumptions'!$C$6*SACP!N45</f>
        <v>0</v>
      </c>
      <c r="O69" s="703">
        <f>'Region Assumptions'!$C$6*SACP!O45</f>
        <v>0</v>
      </c>
      <c r="P69" s="703">
        <f>'Region Assumptions'!$C$6*SACP!P45</f>
        <v>0</v>
      </c>
      <c r="Q69" s="703">
        <f>'Region Assumptions'!$C$6*SACP!Q45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Assumptions'!$G$15/1000</f>
        <v>0</v>
      </c>
      <c r="I70" s="434">
        <f>I61*365*'Region Assumptions'!$G$15/1000</f>
        <v>0</v>
      </c>
      <c r="J70" s="434">
        <f>J61*365*'Region Assumptions'!$G$15/1000</f>
        <v>0</v>
      </c>
      <c r="K70" s="434">
        <f>K61*365*'Region Assumptions'!$G$15/1000</f>
        <v>0</v>
      </c>
      <c r="L70" s="434">
        <f>L61*365*'Region Assumptions'!$G$15/1000</f>
        <v>0</v>
      </c>
      <c r="M70" s="434">
        <f>M61*365*'Region Assumptions'!$G$15/1000</f>
        <v>0</v>
      </c>
      <c r="N70" s="434">
        <f>N61*365*'Region Assumptions'!$G$15/1000</f>
        <v>0</v>
      </c>
      <c r="O70" s="434">
        <f>O61*365*'Region Assumptions'!$G$15/1000</f>
        <v>0</v>
      </c>
      <c r="P70" s="434">
        <f>P61*365*'Region Assumptions'!$G$15/1000</f>
        <v>0</v>
      </c>
      <c r="Q70" s="434">
        <f>Q61*365*'Region Assumptions'!$G$15/1000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Assumptions'!$H$15/1000</f>
        <v>191.40600000000001</v>
      </c>
      <c r="I71" s="434">
        <f>I62*365*'Region Assumptions'!$H$15/1000</f>
        <v>191.40600000000001</v>
      </c>
      <c r="J71" s="434">
        <f>J62*365*'Region Assumptions'!$H$15/1000</f>
        <v>191.40600000000001</v>
      </c>
      <c r="K71" s="434">
        <f>K62*365*'Region Assumptions'!$H$15/1000</f>
        <v>191.40600000000001</v>
      </c>
      <c r="L71" s="434">
        <f>L62*365*'Region Assumptions'!$H$15/1000</f>
        <v>191.40600000000001</v>
      </c>
      <c r="M71" s="434">
        <f>M62*365*'Region Assumptions'!$H$15/1000</f>
        <v>191.40600000000001</v>
      </c>
      <c r="N71" s="434">
        <f>N62*365*'Region Assumptions'!$H$15/1000</f>
        <v>191.40600000000001</v>
      </c>
      <c r="O71" s="434">
        <f>O62*365*'Region Assumptions'!$H$15/1000</f>
        <v>191.40600000000001</v>
      </c>
      <c r="P71" s="434">
        <f>P62*365*'Region Assumptions'!$H$15/1000</f>
        <v>191.40600000000001</v>
      </c>
      <c r="Q71" s="434">
        <f>Q62*365*'Region Assumptions'!$H$15/1000</f>
        <v>191.40600000000001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Assumptions'!$I$15/1000</f>
        <v>0</v>
      </c>
      <c r="I72" s="434">
        <f>I63*365*'Region Assumptions'!$I$15/1000</f>
        <v>0</v>
      </c>
      <c r="J72" s="434">
        <f>J63*365*'Region Assumptions'!$I$15/1000</f>
        <v>0</v>
      </c>
      <c r="K72" s="434">
        <f>K63*365*'Region Assumptions'!$I$15/1000</f>
        <v>0</v>
      </c>
      <c r="L72" s="434">
        <f>L63*365*'Region Assumptions'!$I$15/1000</f>
        <v>0</v>
      </c>
      <c r="M72" s="434">
        <f>M63*365*'Region Assumptions'!$I$15/1000</f>
        <v>0</v>
      </c>
      <c r="N72" s="434">
        <f>N63*365*'Region Assumptions'!$I$15/1000</f>
        <v>0</v>
      </c>
      <c r="O72" s="434">
        <f>O63*365*'Region Assumptions'!$I$15/1000</f>
        <v>0</v>
      </c>
      <c r="P72" s="434">
        <f>P63*365*'Region Assumptions'!$I$15/1000</f>
        <v>0</v>
      </c>
      <c r="Q72" s="434">
        <f>Q63*365*'Region Assumptions'!$I$15/1000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Assumptions'!$AF$15/1000</f>
        <v>0</v>
      </c>
      <c r="I73" s="434">
        <f>(I28*(I29-I33))*'Region Assumptions'!$AF$15/1000</f>
        <v>0</v>
      </c>
      <c r="J73" s="434">
        <f>(J28*(J29-J33))*'Region Assumptions'!$AF$15/1000</f>
        <v>0</v>
      </c>
      <c r="K73" s="434">
        <f>(K28*(K29-K33))*'Region Assumptions'!$AF$15/1000</f>
        <v>0</v>
      </c>
      <c r="L73" s="434">
        <f>(L28*(L29-L33))*'Region Assumptions'!$AF$15/1000</f>
        <v>0</v>
      </c>
      <c r="M73" s="434">
        <f>(M28*(M29-M33))*'Region Assumptions'!$AF$15/1000</f>
        <v>0</v>
      </c>
      <c r="N73" s="434">
        <f>(N28*(N29-N33))*'Region Assumptions'!$AF$15/1000</f>
        <v>0</v>
      </c>
      <c r="O73" s="434">
        <f>(O28*(O29-O33))*'Region Assumptions'!$AF$15/1000</f>
        <v>0</v>
      </c>
      <c r="P73" s="434">
        <f>(P28*(P29-P33))*'Region Assumptions'!$AF$15/1000</f>
        <v>0</v>
      </c>
      <c r="Q73" s="434">
        <f>(Q28*(Q29-Q33))*'Region Assumptions'!$AF$15/1000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2691.0316227301828</v>
      </c>
      <c r="I74" s="48">
        <f t="shared" ref="I74:Q74" si="43">SUM(I65:I73)</f>
        <v>2691.0316227301828</v>
      </c>
      <c r="J74" s="48">
        <f t="shared" si="43"/>
        <v>2691.0316227301828</v>
      </c>
      <c r="K74" s="48">
        <f t="shared" si="43"/>
        <v>2691.0316227301828</v>
      </c>
      <c r="L74" s="48">
        <f t="shared" si="43"/>
        <v>2691.0316227301828</v>
      </c>
      <c r="M74" s="48">
        <f t="shared" si="43"/>
        <v>2691.0316227301828</v>
      </c>
      <c r="N74" s="48">
        <f t="shared" si="43"/>
        <v>2691.0316227301828</v>
      </c>
      <c r="O74" s="48">
        <f t="shared" si="43"/>
        <v>2691.0316227301828</v>
      </c>
      <c r="P74" s="48">
        <f t="shared" si="43"/>
        <v>2691.0316227301828</v>
      </c>
      <c r="Q74" s="48">
        <f t="shared" si="43"/>
        <v>2691.0316227301828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2257.9083431629588</v>
      </c>
      <c r="I76" s="48">
        <f t="shared" ref="I76:Q76" si="44">+I45-I74</f>
        <v>2257.9083431629588</v>
      </c>
      <c r="J76" s="48">
        <f t="shared" si="44"/>
        <v>2257.9083431629588</v>
      </c>
      <c r="K76" s="48">
        <f t="shared" si="44"/>
        <v>2257.9083431629588</v>
      </c>
      <c r="L76" s="48">
        <f t="shared" si="44"/>
        <v>2257.9083431629588</v>
      </c>
      <c r="M76" s="48">
        <f t="shared" si="44"/>
        <v>2257.9083431629588</v>
      </c>
      <c r="N76" s="48">
        <f t="shared" si="44"/>
        <v>2257.9083431629588</v>
      </c>
      <c r="O76" s="48">
        <f t="shared" si="44"/>
        <v>2257.9083431629588</v>
      </c>
      <c r="P76" s="48">
        <f t="shared" si="44"/>
        <v>2257.9083431629588</v>
      </c>
      <c r="Q76" s="48">
        <f t="shared" si="44"/>
        <v>2257.9083431629588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3.0274965774650555</v>
      </c>
      <c r="I77" s="37">
        <f t="shared" si="45"/>
        <v>3.0274965774650555</v>
      </c>
      <c r="J77" s="37">
        <f t="shared" si="45"/>
        <v>3.0274965774650555</v>
      </c>
      <c r="K77" s="37">
        <f t="shared" si="45"/>
        <v>3.0274965774650555</v>
      </c>
      <c r="L77" s="37">
        <f t="shared" si="45"/>
        <v>3.0274965774650555</v>
      </c>
      <c r="M77" s="37">
        <f t="shared" si="45"/>
        <v>3.0274965774650555</v>
      </c>
      <c r="N77" s="37">
        <f t="shared" si="45"/>
        <v>3.0274965774650555</v>
      </c>
      <c r="O77" s="37">
        <f t="shared" si="45"/>
        <v>3.0274965774650555</v>
      </c>
      <c r="P77" s="37">
        <f t="shared" si="45"/>
        <v>3.0274965774650555</v>
      </c>
      <c r="Q77" s="37">
        <f t="shared" si="45"/>
        <v>3.0274965774650555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2.5004245170739625</v>
      </c>
      <c r="I78" s="37">
        <f t="shared" si="46"/>
        <v>2.5004245170739625</v>
      </c>
      <c r="J78" s="37">
        <f t="shared" si="46"/>
        <v>2.5004245170739625</v>
      </c>
      <c r="K78" s="37">
        <f t="shared" si="46"/>
        <v>2.5004245170739625</v>
      </c>
      <c r="L78" s="37">
        <f t="shared" si="46"/>
        <v>2.5004245170739625</v>
      </c>
      <c r="M78" s="37">
        <f t="shared" si="46"/>
        <v>2.5004245170739625</v>
      </c>
      <c r="N78" s="37">
        <f t="shared" si="46"/>
        <v>2.5004245170739625</v>
      </c>
      <c r="O78" s="37">
        <f t="shared" si="46"/>
        <v>2.5004245170739625</v>
      </c>
      <c r="P78" s="37">
        <f t="shared" si="46"/>
        <v>2.5004245170739625</v>
      </c>
      <c r="Q78" s="37">
        <f t="shared" si="46"/>
        <v>2.5004245170739625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0.4562408028232105</v>
      </c>
      <c r="I79" s="57">
        <f t="shared" si="47"/>
        <v>0.4562408028232105</v>
      </c>
      <c r="J79" s="57">
        <f t="shared" si="47"/>
        <v>0.4562408028232105</v>
      </c>
      <c r="K79" s="57">
        <f t="shared" si="47"/>
        <v>0.4562408028232105</v>
      </c>
      <c r="L79" s="57">
        <f t="shared" si="47"/>
        <v>0.4562408028232105</v>
      </c>
      <c r="M79" s="57">
        <f t="shared" si="47"/>
        <v>0.4562408028232105</v>
      </c>
      <c r="N79" s="57">
        <f t="shared" si="47"/>
        <v>0.4562408028232105</v>
      </c>
      <c r="O79" s="57">
        <f t="shared" si="47"/>
        <v>0.4562408028232105</v>
      </c>
      <c r="P79" s="57">
        <f t="shared" si="47"/>
        <v>0.4562408028232105</v>
      </c>
      <c r="Q79" s="57">
        <f t="shared" si="47"/>
        <v>0.4562408028232105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Assumptions'!$F$15</f>
        <v>2290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Assumptions'!$M$15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Assumptions'!$N$15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9160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Assumptions'!$X$15</f>
        <v>0.1</v>
      </c>
      <c r="G88" s="49">
        <f>F88*G87</f>
        <v>916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10076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Assumptions'!$T$15*SACP!G83/1000</f>
        <v>0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Assumptions'!$U$15*SACP!G83/1000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Assumptions'!$S$15*SACP!G83/1000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Assumptions'!$V$15*SACP!G83/1000</f>
        <v>515.25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247.44699829465708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Assumptions'!$W$15*'Region Assumptions'!$H$15/1000</f>
        <v>101.2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Assumptions'!$E$15*'Region Assumptions'!$C$4/1000</f>
        <v>70.130665577786843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793.76633271687024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10869.76633271687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4.8140866149996651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-10622.319334422213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Pending'!L12,SACP!G86)/1000</f>
        <v>5725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2257.9083431629588</v>
      </c>
      <c r="I108" s="22">
        <f t="shared" si="49"/>
        <v>2257.9083431629588</v>
      </c>
      <c r="J108" s="22">
        <f t="shared" si="49"/>
        <v>2257.9083431629588</v>
      </c>
      <c r="K108" s="22">
        <f t="shared" si="49"/>
        <v>2257.9083431629588</v>
      </c>
      <c r="L108" s="22">
        <f t="shared" si="49"/>
        <v>2257.9083431629588</v>
      </c>
      <c r="M108" s="22">
        <f t="shared" si="49"/>
        <v>2257.9083431629588</v>
      </c>
      <c r="N108" s="22">
        <f t="shared" si="49"/>
        <v>2257.9083431629588</v>
      </c>
      <c r="O108" s="22">
        <f t="shared" si="49"/>
        <v>2257.9083431629588</v>
      </c>
      <c r="P108" s="22">
        <f t="shared" si="49"/>
        <v>2257.9083431629588</v>
      </c>
      <c r="Q108" s="22">
        <f t="shared" si="49"/>
        <v>2257.9083431629588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-2074.974467225511</v>
      </c>
      <c r="I109" s="72">
        <f>'Region Assumptions'!$C$4*($G$105+$G$94)/5</f>
        <v>-2074.974467225511</v>
      </c>
      <c r="J109" s="72">
        <f>'Region Assumptions'!$C$4*($G$105+$G$94)/5</f>
        <v>-2074.974467225511</v>
      </c>
      <c r="K109" s="72">
        <f>'Region Assumptions'!$C$4*($G$105+$G$94)/5</f>
        <v>-2074.974467225511</v>
      </c>
      <c r="L109" s="72">
        <f>'Region Assumptions'!$C$4*($G$105+$G$94)/5</f>
        <v>-2074.974467225511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182.93387593744774</v>
      </c>
      <c r="I110" s="73">
        <f t="shared" si="51"/>
        <v>182.93387593744774</v>
      </c>
      <c r="J110" s="73">
        <f t="shared" si="51"/>
        <v>182.93387593744774</v>
      </c>
      <c r="K110" s="73">
        <f t="shared" si="51"/>
        <v>182.93387593744774</v>
      </c>
      <c r="L110" s="73">
        <f t="shared" si="51"/>
        <v>182.93387593744774</v>
      </c>
      <c r="M110" s="73">
        <f t="shared" si="51"/>
        <v>2257.9083431629588</v>
      </c>
      <c r="N110" s="73">
        <f t="shared" si="51"/>
        <v>2257.9083431629588</v>
      </c>
      <c r="O110" s="73">
        <f t="shared" si="51"/>
        <v>2257.9083431629588</v>
      </c>
      <c r="P110" s="73">
        <f t="shared" si="51"/>
        <v>2257.9083431629588</v>
      </c>
      <c r="Q110" s="73">
        <f t="shared" si="51"/>
        <v>2257.9083431629588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-73.173550374979101</v>
      </c>
      <c r="I111" s="72">
        <f t="shared" si="52"/>
        <v>-73.173550374979101</v>
      </c>
      <c r="J111" s="72">
        <f t="shared" si="52"/>
        <v>-73.173550374979101</v>
      </c>
      <c r="K111" s="72">
        <f t="shared" si="52"/>
        <v>-73.173550374979101</v>
      </c>
      <c r="L111" s="72">
        <f t="shared" si="52"/>
        <v>-73.173550374979101</v>
      </c>
      <c r="M111" s="72">
        <f t="shared" si="52"/>
        <v>-903.1633372651836</v>
      </c>
      <c r="N111" s="72">
        <f t="shared" si="52"/>
        <v>-903.1633372651836</v>
      </c>
      <c r="O111" s="72">
        <f t="shared" si="52"/>
        <v>-903.1633372651836</v>
      </c>
      <c r="P111" s="72">
        <f t="shared" si="52"/>
        <v>-903.1633372651836</v>
      </c>
      <c r="Q111" s="72">
        <f t="shared" si="52"/>
        <v>-903.1633372651836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2184.7347927879796</v>
      </c>
      <c r="I112" s="72">
        <f t="shared" si="53"/>
        <v>2184.7347927879796</v>
      </c>
      <c r="J112" s="72">
        <f t="shared" si="53"/>
        <v>2184.7347927879796</v>
      </c>
      <c r="K112" s="72">
        <f t="shared" si="53"/>
        <v>2184.7347927879796</v>
      </c>
      <c r="L112" s="72">
        <f t="shared" si="53"/>
        <v>2184.7347927879796</v>
      </c>
      <c r="M112" s="72">
        <f t="shared" si="53"/>
        <v>1354.7450058977752</v>
      </c>
      <c r="N112" s="72">
        <f t="shared" si="53"/>
        <v>1354.7450058977752</v>
      </c>
      <c r="O112" s="72">
        <f t="shared" si="53"/>
        <v>1354.7450058977752</v>
      </c>
      <c r="P112" s="72">
        <f t="shared" si="53"/>
        <v>1354.7450058977752</v>
      </c>
      <c r="Q112" s="72">
        <f t="shared" si="53"/>
        <v>1354.7450058977752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-247.44699829465708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1937.2877944933225</v>
      </c>
      <c r="I115" s="75">
        <f t="shared" si="56"/>
        <v>2184.7347927879796</v>
      </c>
      <c r="J115" s="75">
        <f t="shared" si="56"/>
        <v>2184.7347927879796</v>
      </c>
      <c r="K115" s="75">
        <f t="shared" si="56"/>
        <v>2184.7347927879796</v>
      </c>
      <c r="L115" s="75">
        <f t="shared" si="56"/>
        <v>2184.7347927879796</v>
      </c>
      <c r="M115" s="75">
        <f t="shared" si="56"/>
        <v>1354.7450058977752</v>
      </c>
      <c r="N115" s="75">
        <f t="shared" si="56"/>
        <v>1354.7450058977752</v>
      </c>
      <c r="O115" s="75">
        <f t="shared" si="56"/>
        <v>1354.7450058977752</v>
      </c>
      <c r="P115" s="75">
        <f t="shared" si="56"/>
        <v>1354.7450058977752</v>
      </c>
      <c r="Q115" s="75">
        <f t="shared" si="56"/>
        <v>1354.7450058977752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-10622.319334422213</v>
      </c>
      <c r="H117" s="70">
        <f t="shared" si="57"/>
        <v>1937.2877944933225</v>
      </c>
      <c r="I117" s="70">
        <f t="shared" si="57"/>
        <v>2184.7347927879796</v>
      </c>
      <c r="J117" s="70">
        <f t="shared" si="57"/>
        <v>2184.7347927879796</v>
      </c>
      <c r="K117" s="70">
        <f t="shared" si="57"/>
        <v>2184.7347927879796</v>
      </c>
      <c r="L117" s="70">
        <f t="shared" si="57"/>
        <v>2184.7347927879796</v>
      </c>
      <c r="M117" s="70">
        <f t="shared" si="57"/>
        <v>1354.7450058977752</v>
      </c>
      <c r="N117" s="70">
        <f t="shared" si="57"/>
        <v>1354.7450058977752</v>
      </c>
      <c r="O117" s="70">
        <f t="shared" si="57"/>
        <v>1354.7450058977752</v>
      </c>
      <c r="P117" s="70">
        <f t="shared" si="57"/>
        <v>1354.7450058977752</v>
      </c>
      <c r="Q117" s="70">
        <f t="shared" si="57"/>
        <v>7079.7450058977756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0.15360814664513667</v>
      </c>
      <c r="F119" s="70">
        <f>+NPV(0.12,G117:Q117)</f>
        <v>1470.1620420294703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-10622.319334422213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11289.541715814794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2257.9083431629588</v>
      </c>
      <c r="I125" s="22">
        <f t="shared" si="59"/>
        <v>2257.9083431629588</v>
      </c>
      <c r="J125" s="22">
        <f t="shared" si="59"/>
        <v>2257.9083431629588</v>
      </c>
      <c r="K125" s="22">
        <f t="shared" si="59"/>
        <v>2257.9083431629588</v>
      </c>
      <c r="L125" s="22">
        <f t="shared" si="59"/>
        <v>2257.9083431629588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-2074.974467225511</v>
      </c>
      <c r="I126" s="72">
        <f t="shared" si="59"/>
        <v>-2074.974467225511</v>
      </c>
      <c r="J126" s="72">
        <f t="shared" si="59"/>
        <v>-2074.974467225511</v>
      </c>
      <c r="K126" s="72">
        <f t="shared" si="59"/>
        <v>-2074.974467225511</v>
      </c>
      <c r="L126" s="72">
        <f t="shared" si="59"/>
        <v>-2074.974467225511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182.93387593744774</v>
      </c>
      <c r="I127" s="73">
        <f>SUM(I125:I126)</f>
        <v>182.93387593744774</v>
      </c>
      <c r="J127" s="73">
        <f>SUM(J125:J126)</f>
        <v>182.93387593744774</v>
      </c>
      <c r="K127" s="73">
        <f>SUM(K125:K126)</f>
        <v>182.93387593744774</v>
      </c>
      <c r="L127" s="73">
        <f>SUM(L125:L126)</f>
        <v>182.93387593744774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-73.173550374979101</v>
      </c>
      <c r="I128" s="72">
        <f t="shared" si="60"/>
        <v>-73.173550374979101</v>
      </c>
      <c r="J128" s="72">
        <f t="shared" si="60"/>
        <v>-73.173550374979101</v>
      </c>
      <c r="K128" s="72">
        <f t="shared" si="60"/>
        <v>-73.173550374979101</v>
      </c>
      <c r="L128" s="72">
        <f t="shared" si="60"/>
        <v>-73.173550374979101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2184.7347927879796</v>
      </c>
      <c r="I129" s="72">
        <f>SUM(I125:I125,I128)</f>
        <v>2184.7347927879796</v>
      </c>
      <c r="J129" s="72">
        <f>SUM(J125:J125,J128)</f>
        <v>2184.7347927879796</v>
      </c>
      <c r="K129" s="72">
        <f>SUM(K125:K125,K128)</f>
        <v>2184.7347927879796</v>
      </c>
      <c r="L129" s="72">
        <f>SUM(L125:L125,L128)</f>
        <v>2184.7347927879796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-247.44699829465708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1937.2877944933225</v>
      </c>
      <c r="I132" s="73">
        <f>SUM(I129:I131)</f>
        <v>2184.7347927879796</v>
      </c>
      <c r="J132" s="73">
        <f>SUM(J129:J131)</f>
        <v>2184.7347927879796</v>
      </c>
      <c r="K132" s="73">
        <f>SUM(K129:K131)</f>
        <v>2184.7347927879796</v>
      </c>
      <c r="L132" s="73">
        <f>SUM(L129:L131)</f>
        <v>2184.7347927879796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-10622.319334422213</v>
      </c>
      <c r="H134" s="70">
        <f t="shared" si="62"/>
        <v>1937.2877944933225</v>
      </c>
      <c r="I134" s="70">
        <f t="shared" si="62"/>
        <v>2184.7347927879796</v>
      </c>
      <c r="J134" s="70">
        <f t="shared" si="62"/>
        <v>2184.7347927879796</v>
      </c>
      <c r="K134" s="70">
        <f t="shared" si="62"/>
        <v>2184.7347927879796</v>
      </c>
      <c r="L134" s="70">
        <f t="shared" si="62"/>
        <v>13474.276508602774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0.20743536099155824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>
    <tabColor rgb="FF92D050"/>
  </sheetPr>
  <dimension ref="A1:AA152"/>
  <sheetViews>
    <sheetView showGridLines="0" tabSelected="1" topLeftCell="A7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405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1845479.3104999999</v>
      </c>
      <c r="H7" s="184">
        <f t="shared" ref="H7:Q7" si="1">$G$9*H11*(1-$G$12)</f>
        <v>1845479.3104999999</v>
      </c>
      <c r="I7" s="184">
        <f t="shared" si="1"/>
        <v>1845479.3104999999</v>
      </c>
      <c r="J7" s="184">
        <f t="shared" si="1"/>
        <v>1845479.3104999999</v>
      </c>
      <c r="K7" s="184">
        <f t="shared" si="1"/>
        <v>1845479.3104999999</v>
      </c>
      <c r="L7" s="184">
        <f t="shared" si="1"/>
        <v>1845479.3104999999</v>
      </c>
      <c r="M7" s="184">
        <f t="shared" si="1"/>
        <v>1845479.3104999999</v>
      </c>
      <c r="N7" s="184">
        <f t="shared" si="1"/>
        <v>1845479.3104999999</v>
      </c>
      <c r="O7" s="184">
        <f t="shared" si="1"/>
        <v>1845479.3104999999</v>
      </c>
      <c r="P7" s="184">
        <f t="shared" si="1"/>
        <v>1845479.3104999999</v>
      </c>
      <c r="Q7" s="184">
        <f t="shared" si="1"/>
        <v>1845479.3104999999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248087.68949999998</v>
      </c>
      <c r="H8" s="184">
        <f t="shared" si="2"/>
        <v>248087.68949999998</v>
      </c>
      <c r="I8" s="184">
        <f t="shared" si="2"/>
        <v>248087.68949999998</v>
      </c>
      <c r="J8" s="184">
        <f t="shared" si="2"/>
        <v>248087.68949999998</v>
      </c>
      <c r="K8" s="184">
        <f t="shared" si="2"/>
        <v>248087.68949999998</v>
      </c>
      <c r="L8" s="184">
        <f t="shared" si="2"/>
        <v>248087.68949999998</v>
      </c>
      <c r="M8" s="184">
        <f t="shared" si="2"/>
        <v>248087.68949999998</v>
      </c>
      <c r="N8" s="184">
        <f t="shared" si="2"/>
        <v>248087.68949999998</v>
      </c>
      <c r="O8" s="184">
        <f t="shared" si="2"/>
        <v>248087.68949999998</v>
      </c>
      <c r="P8" s="184">
        <f t="shared" si="2"/>
        <v>248087.68949999998</v>
      </c>
      <c r="Q8" s="184">
        <f t="shared" si="2"/>
        <v>248087.68949999998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Assumptions'!$K$16*365</f>
        <v>2093567</v>
      </c>
      <c r="H9" s="268">
        <f t="shared" ref="H9:Q9" si="3">G9</f>
        <v>2093567</v>
      </c>
      <c r="I9" s="268">
        <f t="shared" si="3"/>
        <v>2093567</v>
      </c>
      <c r="J9" s="268">
        <f t="shared" si="3"/>
        <v>2093567</v>
      </c>
      <c r="K9" s="268">
        <f t="shared" si="3"/>
        <v>2093567</v>
      </c>
      <c r="L9" s="268">
        <f t="shared" si="3"/>
        <v>2093567</v>
      </c>
      <c r="M9" s="268">
        <f t="shared" si="3"/>
        <v>2093567</v>
      </c>
      <c r="N9" s="268">
        <f t="shared" si="3"/>
        <v>2093567</v>
      </c>
      <c r="O9" s="268">
        <f t="shared" si="3"/>
        <v>2093567</v>
      </c>
      <c r="P9" s="268">
        <f>O9</f>
        <v>2093567</v>
      </c>
      <c r="Q9" s="268">
        <f t="shared" si="3"/>
        <v>2093567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Assumptions'!$AE$16</f>
        <v>0</v>
      </c>
      <c r="I10" s="438">
        <f>H10+'Region Assumptions'!$AE$16</f>
        <v>0</v>
      </c>
      <c r="J10" s="438">
        <f>I10+'Region Assumptions'!$AE$16</f>
        <v>0</v>
      </c>
      <c r="K10" s="438">
        <f>J10+'Region Assumptions'!$AE$16</f>
        <v>0</v>
      </c>
      <c r="L10" s="438">
        <f>K10+'Region Assumptions'!$AE$16</f>
        <v>0</v>
      </c>
      <c r="M10" s="438">
        <f>L10+'Region Assumptions'!$AE$16</f>
        <v>0</v>
      </c>
      <c r="N10" s="438">
        <f>M10+'Region Assumptions'!$AE$16</f>
        <v>0</v>
      </c>
      <c r="O10" s="438">
        <f>N10+'Region Assumptions'!$AE$16</f>
        <v>0</v>
      </c>
      <c r="P10" s="438">
        <f>O10+'Region Assumptions'!$AE$16</f>
        <v>0</v>
      </c>
      <c r="Q10" s="438">
        <f>P10+'Region Assumptions'!$AE$16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Assumptions'!$Y$16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0.8315163815598724</v>
      </c>
      <c r="I13" s="269">
        <f t="shared" ref="I13:Q13" si="6">I9/I23/365</f>
        <v>0.8315163815598724</v>
      </c>
      <c r="J13" s="269">
        <f t="shared" si="6"/>
        <v>0.8315163815598724</v>
      </c>
      <c r="K13" s="269">
        <f t="shared" si="6"/>
        <v>0.8315163815598724</v>
      </c>
      <c r="L13" s="269">
        <f t="shared" si="6"/>
        <v>0.8315163815598724</v>
      </c>
      <c r="M13" s="269">
        <f t="shared" si="6"/>
        <v>0.8315163815598724</v>
      </c>
      <c r="N13" s="269">
        <f t="shared" si="6"/>
        <v>0.8315163815598724</v>
      </c>
      <c r="O13" s="269">
        <f t="shared" si="6"/>
        <v>0.8315163815598724</v>
      </c>
      <c r="P13" s="269">
        <f t="shared" si="6"/>
        <v>0.8315163815598724</v>
      </c>
      <c r="Q13" s="269">
        <f t="shared" si="6"/>
        <v>0.8315163815598724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14850.693031848074</v>
      </c>
      <c r="F17" s="203">
        <f>F18*$H$17/1000</f>
        <v>523.39175</v>
      </c>
      <c r="G17" s="203">
        <f>G18*$H$17/1000</f>
        <v>0</v>
      </c>
      <c r="H17" s="204">
        <f>H40</f>
        <v>2093567</v>
      </c>
      <c r="I17" s="204">
        <f>H23*365</f>
        <v>2517770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Assumptions'!$Z$16</f>
        <v>7.0934883057709985</v>
      </c>
      <c r="F18" s="690">
        <f>'Region Assumptions'!$AB$16</f>
        <v>0.25</v>
      </c>
      <c r="G18" s="690">
        <f>'Region Assumptions'!$AA$16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5.8983517286519707</v>
      </c>
      <c r="F19" s="188">
        <f>F17/$I17*1000</f>
        <v>0.20787909538996813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Assumptions'!F16+'Region Assumptions'!$G$16+'Region Assumptions'!$H$16</f>
        <v>6898</v>
      </c>
      <c r="I23" s="184">
        <f>H23</f>
        <v>6898</v>
      </c>
      <c r="J23" s="184">
        <f t="shared" ref="J23:Q23" si="8">I23</f>
        <v>6898</v>
      </c>
      <c r="K23" s="184">
        <f t="shared" si="8"/>
        <v>6898</v>
      </c>
      <c r="L23" s="184">
        <f t="shared" si="8"/>
        <v>6898</v>
      </c>
      <c r="M23" s="184">
        <f t="shared" si="8"/>
        <v>6898</v>
      </c>
      <c r="N23" s="184">
        <f t="shared" si="8"/>
        <v>6898</v>
      </c>
      <c r="O23" s="184">
        <f t="shared" si="8"/>
        <v>6898</v>
      </c>
      <c r="P23" s="184">
        <f t="shared" si="8"/>
        <v>6898</v>
      </c>
      <c r="Q23" s="184">
        <f t="shared" si="8"/>
        <v>6898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5360.0374404999993</v>
      </c>
      <c r="I25" s="28">
        <f t="shared" ref="I25:Q25" si="10">I32/365/I13*(1-I12)</f>
        <v>5360.0374404999993</v>
      </c>
      <c r="J25" s="28">
        <f t="shared" si="10"/>
        <v>5360.0374404999993</v>
      </c>
      <c r="K25" s="28">
        <f t="shared" si="10"/>
        <v>5360.0374404999993</v>
      </c>
      <c r="L25" s="28">
        <f t="shared" si="10"/>
        <v>5360.0374404999993</v>
      </c>
      <c r="M25" s="28">
        <f t="shared" si="10"/>
        <v>5360.0374404999993</v>
      </c>
      <c r="N25" s="28">
        <f t="shared" si="10"/>
        <v>5360.0374404999993</v>
      </c>
      <c r="O25" s="28">
        <f t="shared" si="10"/>
        <v>5360.0374404999993</v>
      </c>
      <c r="P25" s="28">
        <f t="shared" si="10"/>
        <v>5360.0374404999993</v>
      </c>
      <c r="Q25" s="28">
        <f t="shared" si="10"/>
        <v>5360.0374404999993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679.69229999999993</v>
      </c>
      <c r="I26" s="28">
        <f t="shared" ref="I26:Q26" si="11">I36/365</f>
        <v>679.69229999999993</v>
      </c>
      <c r="J26" s="28">
        <f t="shared" si="11"/>
        <v>679.69229999999993</v>
      </c>
      <c r="K26" s="28">
        <f t="shared" si="11"/>
        <v>679.69229999999993</v>
      </c>
      <c r="L26" s="28">
        <f t="shared" si="11"/>
        <v>679.69229999999993</v>
      </c>
      <c r="M26" s="28">
        <f t="shared" si="11"/>
        <v>679.69229999999993</v>
      </c>
      <c r="N26" s="28">
        <f t="shared" si="11"/>
        <v>679.69229999999993</v>
      </c>
      <c r="O26" s="28">
        <f t="shared" si="11"/>
        <v>679.69229999999993</v>
      </c>
      <c r="P26" s="28">
        <f t="shared" si="11"/>
        <v>679.69229999999993</v>
      </c>
      <c r="Q26" s="28">
        <f t="shared" si="11"/>
        <v>679.69229999999993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Assumptions'!$AD$16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1845479.3104999999</v>
      </c>
      <c r="I32" s="28">
        <f t="shared" si="15"/>
        <v>1845479.3104999999</v>
      </c>
      <c r="J32" s="28">
        <f t="shared" si="15"/>
        <v>1845479.3104999999</v>
      </c>
      <c r="K32" s="28">
        <f t="shared" si="15"/>
        <v>1845479.3104999999</v>
      </c>
      <c r="L32" s="28">
        <f t="shared" si="15"/>
        <v>1845479.3104999999</v>
      </c>
      <c r="M32" s="28">
        <f t="shared" si="15"/>
        <v>1845479.3104999999</v>
      </c>
      <c r="N32" s="28">
        <f t="shared" si="15"/>
        <v>1845479.3104999999</v>
      </c>
      <c r="O32" s="28">
        <f t="shared" si="15"/>
        <v>1845479.3104999999</v>
      </c>
      <c r="P32" s="28">
        <f t="shared" si="15"/>
        <v>1845479.3104999999</v>
      </c>
      <c r="Q32" s="28">
        <f t="shared" si="15"/>
        <v>1845479.3104999999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12.525133673171682</v>
      </c>
      <c r="I33" s="37">
        <f t="shared" ref="I33:Q33" si="16">+H33*(1+$V34)</f>
        <v>12.525133673171682</v>
      </c>
      <c r="J33" s="37">
        <f t="shared" si="16"/>
        <v>12.525133673171682</v>
      </c>
      <c r="K33" s="37">
        <f t="shared" si="16"/>
        <v>12.525133673171682</v>
      </c>
      <c r="L33" s="37">
        <f t="shared" si="16"/>
        <v>12.525133673171682</v>
      </c>
      <c r="M33" s="37">
        <f t="shared" si="16"/>
        <v>12.525133673171682</v>
      </c>
      <c r="N33" s="37">
        <f t="shared" si="16"/>
        <v>12.525133673171682</v>
      </c>
      <c r="O33" s="37">
        <f t="shared" si="16"/>
        <v>12.525133673171682</v>
      </c>
      <c r="P33" s="37">
        <f t="shared" si="16"/>
        <v>12.525133673171682</v>
      </c>
      <c r="Q33" s="37">
        <f t="shared" si="16"/>
        <v>12.525133673171682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23114.875055085209</v>
      </c>
      <c r="I34" s="49">
        <f t="shared" si="17"/>
        <v>23114.875055085209</v>
      </c>
      <c r="J34" s="49">
        <f t="shared" si="17"/>
        <v>23114.875055085209</v>
      </c>
      <c r="K34" s="49">
        <f t="shared" si="17"/>
        <v>23114.875055085209</v>
      </c>
      <c r="L34" s="49">
        <f t="shared" si="17"/>
        <v>23114.875055085209</v>
      </c>
      <c r="M34" s="49">
        <f t="shared" si="17"/>
        <v>23114.875055085209</v>
      </c>
      <c r="N34" s="49">
        <f t="shared" si="17"/>
        <v>23114.875055085209</v>
      </c>
      <c r="O34" s="49">
        <f t="shared" si="17"/>
        <v>23114.875055085209</v>
      </c>
      <c r="P34" s="49">
        <f t="shared" si="17"/>
        <v>23114.875055085209</v>
      </c>
      <c r="Q34" s="49">
        <f t="shared" si="17"/>
        <v>23114.875055085209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248087.68949999998</v>
      </c>
      <c r="I36" s="28">
        <f t="shared" si="18"/>
        <v>248087.68949999998</v>
      </c>
      <c r="J36" s="28">
        <f t="shared" si="18"/>
        <v>248087.68949999998</v>
      </c>
      <c r="K36" s="28">
        <f t="shared" si="18"/>
        <v>248087.68949999998</v>
      </c>
      <c r="L36" s="28">
        <f t="shared" si="18"/>
        <v>248087.68949999998</v>
      </c>
      <c r="M36" s="28">
        <f t="shared" si="18"/>
        <v>248087.68949999998</v>
      </c>
      <c r="N36" s="28">
        <f t="shared" si="18"/>
        <v>248087.68949999998</v>
      </c>
      <c r="O36" s="28">
        <f t="shared" si="18"/>
        <v>248087.68949999998</v>
      </c>
      <c r="P36" s="28">
        <f t="shared" si="18"/>
        <v>248087.68949999998</v>
      </c>
      <c r="Q36" s="28">
        <f t="shared" si="18"/>
        <v>248087.68949999998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Assumptions'!$AC$16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2093567</v>
      </c>
      <c r="I40" s="28">
        <f t="shared" ref="I40:Q40" si="21">I28+I32+I36</f>
        <v>2093567</v>
      </c>
      <c r="J40" s="28">
        <f t="shared" si="21"/>
        <v>2093567</v>
      </c>
      <c r="K40" s="28">
        <f t="shared" si="21"/>
        <v>2093567</v>
      </c>
      <c r="L40" s="28">
        <f t="shared" si="21"/>
        <v>2093567</v>
      </c>
      <c r="M40" s="28">
        <f t="shared" si="21"/>
        <v>2093567</v>
      </c>
      <c r="N40" s="28">
        <f t="shared" si="21"/>
        <v>2093567</v>
      </c>
      <c r="O40" s="28">
        <f t="shared" si="21"/>
        <v>2093567</v>
      </c>
      <c r="P40" s="28">
        <f t="shared" si="21"/>
        <v>2093567</v>
      </c>
      <c r="Q40" s="28">
        <f t="shared" si="21"/>
        <v>2093567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2517770</v>
      </c>
      <c r="I41" s="28">
        <f t="shared" si="22"/>
        <v>2517770</v>
      </c>
      <c r="J41" s="28">
        <f t="shared" si="22"/>
        <v>2517770</v>
      </c>
      <c r="K41" s="28">
        <f t="shared" si="22"/>
        <v>2517770</v>
      </c>
      <c r="L41" s="28">
        <f t="shared" si="22"/>
        <v>2517770</v>
      </c>
      <c r="M41" s="28">
        <f t="shared" si="22"/>
        <v>2517770</v>
      </c>
      <c r="N41" s="28">
        <f t="shared" si="22"/>
        <v>2517770</v>
      </c>
      <c r="O41" s="28">
        <f t="shared" si="22"/>
        <v>2517770</v>
      </c>
      <c r="P41" s="28">
        <f t="shared" si="22"/>
        <v>2517770</v>
      </c>
      <c r="Q41" s="28">
        <f t="shared" si="22"/>
        <v>2517770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0.8315163815598724</v>
      </c>
      <c r="I42" s="34">
        <f t="shared" si="23"/>
        <v>0.8315163815598724</v>
      </c>
      <c r="J42" s="34">
        <f t="shared" si="23"/>
        <v>0.8315163815598724</v>
      </c>
      <c r="K42" s="34">
        <f t="shared" si="23"/>
        <v>0.8315163815598724</v>
      </c>
      <c r="L42" s="34">
        <f t="shared" si="23"/>
        <v>0.8315163815598724</v>
      </c>
      <c r="M42" s="34">
        <f t="shared" si="23"/>
        <v>0.8315163815598724</v>
      </c>
      <c r="N42" s="34">
        <f t="shared" si="23"/>
        <v>0.8315163815598724</v>
      </c>
      <c r="O42" s="34">
        <f t="shared" si="23"/>
        <v>0.8315163815598724</v>
      </c>
      <c r="P42" s="34">
        <f t="shared" si="23"/>
        <v>0.8315163815598724</v>
      </c>
      <c r="Q42" s="34">
        <f t="shared" si="23"/>
        <v>0.8315163815598724</v>
      </c>
      <c r="S42" s="34"/>
      <c r="V42" s="45"/>
    </row>
    <row r="43" spans="2:24">
      <c r="C43" s="24" t="s">
        <v>46</v>
      </c>
      <c r="G43" s="34"/>
      <c r="H43" s="34">
        <f>(H28+H32)/H41</f>
        <v>0.73298169034502747</v>
      </c>
      <c r="I43" s="34">
        <f t="shared" ref="I43:Q43" si="24">(I28+I32)/I41</f>
        <v>0.73298169034502747</v>
      </c>
      <c r="J43" s="34">
        <f t="shared" si="24"/>
        <v>0.73298169034502747</v>
      </c>
      <c r="K43" s="34">
        <f t="shared" si="24"/>
        <v>0.73298169034502747</v>
      </c>
      <c r="L43" s="34">
        <f t="shared" si="24"/>
        <v>0.73298169034502747</v>
      </c>
      <c r="M43" s="34">
        <f t="shared" si="24"/>
        <v>0.73298169034502747</v>
      </c>
      <c r="N43" s="34">
        <f t="shared" si="24"/>
        <v>0.73298169034502747</v>
      </c>
      <c r="O43" s="34">
        <f t="shared" si="24"/>
        <v>0.73298169034502747</v>
      </c>
      <c r="P43" s="34">
        <f t="shared" si="24"/>
        <v>0.73298169034502747</v>
      </c>
      <c r="Q43" s="34">
        <f t="shared" si="24"/>
        <v>0.73298169034502747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23114.875055085209</v>
      </c>
      <c r="I45" s="48">
        <f t="shared" si="25"/>
        <v>23114.875055085209</v>
      </c>
      <c r="J45" s="48">
        <f t="shared" si="25"/>
        <v>23114.875055085209</v>
      </c>
      <c r="K45" s="48">
        <f t="shared" si="25"/>
        <v>23114.875055085209</v>
      </c>
      <c r="L45" s="48">
        <f t="shared" si="25"/>
        <v>23114.875055085209</v>
      </c>
      <c r="M45" s="48">
        <f t="shared" si="25"/>
        <v>23114.875055085209</v>
      </c>
      <c r="N45" s="48">
        <f t="shared" si="25"/>
        <v>23114.875055085209</v>
      </c>
      <c r="O45" s="48">
        <f t="shared" si="25"/>
        <v>23114.875055085209</v>
      </c>
      <c r="P45" s="48">
        <f t="shared" si="25"/>
        <v>23114.875055085209</v>
      </c>
      <c r="Q45" s="48">
        <f t="shared" si="25"/>
        <v>23114.875055085209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11.040905332900838</v>
      </c>
      <c r="I46" s="51">
        <f t="shared" si="26"/>
        <v>11.040905332900838</v>
      </c>
      <c r="J46" s="51">
        <f t="shared" si="26"/>
        <v>11.040905332900838</v>
      </c>
      <c r="K46" s="51">
        <f t="shared" si="26"/>
        <v>11.040905332900838</v>
      </c>
      <c r="L46" s="51">
        <f t="shared" si="26"/>
        <v>11.040905332900838</v>
      </c>
      <c r="M46" s="51">
        <f t="shared" si="26"/>
        <v>11.040905332900838</v>
      </c>
      <c r="N46" s="51">
        <f t="shared" si="26"/>
        <v>11.040905332900838</v>
      </c>
      <c r="O46" s="51">
        <f t="shared" si="26"/>
        <v>11.040905332900838</v>
      </c>
      <c r="P46" s="51">
        <f t="shared" si="26"/>
        <v>11.040905332900838</v>
      </c>
      <c r="Q46" s="51">
        <f t="shared" si="26"/>
        <v>11.040905332900838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23114.875055085209</v>
      </c>
      <c r="I48" s="49">
        <f t="shared" si="27"/>
        <v>23114.875055085209</v>
      </c>
      <c r="J48" s="49">
        <f t="shared" si="27"/>
        <v>23114.875055085209</v>
      </c>
      <c r="K48" s="49">
        <f t="shared" si="27"/>
        <v>23114.875055085209</v>
      </c>
      <c r="L48" s="49">
        <f t="shared" si="27"/>
        <v>23114.875055085209</v>
      </c>
      <c r="M48" s="49">
        <f t="shared" si="27"/>
        <v>23114.875055085209</v>
      </c>
      <c r="N48" s="49">
        <f t="shared" si="27"/>
        <v>23114.875055085209</v>
      </c>
      <c r="O48" s="49">
        <f t="shared" si="27"/>
        <v>23114.875055085209</v>
      </c>
      <c r="P48" s="49">
        <f t="shared" si="27"/>
        <v>23114.875055085209</v>
      </c>
      <c r="Q48" s="49">
        <f t="shared" si="27"/>
        <v>23114.875055085209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1845479.3104999999</v>
      </c>
      <c r="I50" s="28">
        <f t="shared" si="29"/>
        <v>1845479.3104999999</v>
      </c>
      <c r="J50" s="28">
        <f t="shared" si="29"/>
        <v>1845479.3104999999</v>
      </c>
      <c r="K50" s="28">
        <f t="shared" si="29"/>
        <v>1845479.3104999999</v>
      </c>
      <c r="L50" s="28">
        <f t="shared" si="29"/>
        <v>1845479.3104999999</v>
      </c>
      <c r="M50" s="28">
        <f t="shared" si="29"/>
        <v>1845479.3104999999</v>
      </c>
      <c r="N50" s="28">
        <f t="shared" si="29"/>
        <v>1845479.3104999999</v>
      </c>
      <c r="O50" s="28">
        <f t="shared" si="29"/>
        <v>1845479.3104999999</v>
      </c>
      <c r="P50" s="28">
        <f t="shared" si="29"/>
        <v>1845479.3104999999</v>
      </c>
      <c r="Q50" s="28">
        <f t="shared" si="29"/>
        <v>1845479.3104999999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248087.68949999998</v>
      </c>
      <c r="I51" s="28">
        <f t="shared" si="30"/>
        <v>248087.68949999998</v>
      </c>
      <c r="J51" s="28">
        <f t="shared" si="30"/>
        <v>248087.68949999998</v>
      </c>
      <c r="K51" s="28">
        <f t="shared" si="30"/>
        <v>248087.68949999998</v>
      </c>
      <c r="L51" s="28">
        <f t="shared" si="30"/>
        <v>248087.68949999998</v>
      </c>
      <c r="M51" s="28">
        <f t="shared" si="30"/>
        <v>248087.68949999998</v>
      </c>
      <c r="N51" s="28">
        <f t="shared" si="30"/>
        <v>248087.68949999998</v>
      </c>
      <c r="O51" s="28">
        <f t="shared" si="30"/>
        <v>248087.68949999998</v>
      </c>
      <c r="P51" s="28">
        <f t="shared" si="30"/>
        <v>248087.68949999998</v>
      </c>
      <c r="Q51" s="28">
        <f t="shared" si="30"/>
        <v>248087.68949999998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11.040905332900838</v>
      </c>
      <c r="I52" s="54">
        <f t="shared" si="31"/>
        <v>11.040905332900838</v>
      </c>
      <c r="J52" s="54">
        <f t="shared" si="31"/>
        <v>11.040905332900838</v>
      </c>
      <c r="K52" s="54">
        <f t="shared" si="31"/>
        <v>11.040905332900838</v>
      </c>
      <c r="L52" s="54">
        <f t="shared" si="31"/>
        <v>11.040905332900838</v>
      </c>
      <c r="M52" s="54">
        <f t="shared" si="31"/>
        <v>11.040905332900838</v>
      </c>
      <c r="N52" s="54">
        <f t="shared" si="31"/>
        <v>11.040905332900838</v>
      </c>
      <c r="O52" s="54">
        <f t="shared" si="31"/>
        <v>11.040905332900838</v>
      </c>
      <c r="P52" s="54">
        <f t="shared" si="31"/>
        <v>11.040905332900838</v>
      </c>
      <c r="Q52" s="54">
        <f t="shared" si="31"/>
        <v>11.040905332900838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12.525133673171682</v>
      </c>
      <c r="I53" s="54">
        <f t="shared" si="32"/>
        <v>12.525133673171682</v>
      </c>
      <c r="J53" s="54">
        <f t="shared" si="32"/>
        <v>12.525133673171682</v>
      </c>
      <c r="K53" s="54">
        <f t="shared" si="32"/>
        <v>12.525133673171682</v>
      </c>
      <c r="L53" s="54">
        <f t="shared" si="32"/>
        <v>12.525133673171682</v>
      </c>
      <c r="M53" s="54">
        <f t="shared" si="32"/>
        <v>12.525133673171682</v>
      </c>
      <c r="N53" s="54">
        <f t="shared" si="32"/>
        <v>12.525133673171682</v>
      </c>
      <c r="O53" s="54">
        <f t="shared" si="32"/>
        <v>12.525133673171682</v>
      </c>
      <c r="P53" s="54">
        <f t="shared" si="32"/>
        <v>12.525133673171682</v>
      </c>
      <c r="Q53" s="54">
        <f t="shared" si="32"/>
        <v>12.525133673171682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474">
        <f>E18+((700*(H23/2))/(SUM($H$40:$L$40)))</f>
        <v>7.324128165875786</v>
      </c>
      <c r="I57" s="474">
        <f>H57</f>
        <v>7.324128165875786</v>
      </c>
      <c r="J57" s="474">
        <f t="shared" ref="J57:L57" si="34">I57</f>
        <v>7.324128165875786</v>
      </c>
      <c r="K57" s="474">
        <f t="shared" si="34"/>
        <v>7.324128165875786</v>
      </c>
      <c r="L57" s="474">
        <f t="shared" si="34"/>
        <v>7.324128165875786</v>
      </c>
      <c r="M57" s="474">
        <f>E18</f>
        <v>7.0934883057709985</v>
      </c>
      <c r="N57" s="37">
        <f t="shared" ref="N57:Q57" si="35">+M57*(1+$V37)</f>
        <v>7.0934883057709985</v>
      </c>
      <c r="O57" s="37">
        <f t="shared" si="35"/>
        <v>7.0934883057709985</v>
      </c>
      <c r="P57" s="37">
        <f t="shared" si="35"/>
        <v>7.0934883057709985</v>
      </c>
      <c r="Q57" s="37">
        <f t="shared" si="35"/>
        <v>7.0934883057709985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6">+I58*(1+$V38)</f>
        <v>0.25</v>
      </c>
      <c r="K58" s="37">
        <f t="shared" si="36"/>
        <v>0.25</v>
      </c>
      <c r="L58" s="37">
        <f t="shared" si="36"/>
        <v>0.25</v>
      </c>
      <c r="M58" s="37">
        <f t="shared" si="36"/>
        <v>0.25</v>
      </c>
      <c r="N58" s="37">
        <f t="shared" si="36"/>
        <v>0.25</v>
      </c>
      <c r="O58" s="37">
        <f t="shared" si="36"/>
        <v>0.25</v>
      </c>
      <c r="P58" s="37">
        <f t="shared" si="36"/>
        <v>0.25</v>
      </c>
      <c r="Q58" s="37">
        <f t="shared" si="36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59" si="37">+I59*(1+$V40)</f>
        <v>0</v>
      </c>
      <c r="K59" s="37">
        <f t="shared" si="37"/>
        <v>0</v>
      </c>
      <c r="L59" s="37">
        <f t="shared" si="37"/>
        <v>0</v>
      </c>
      <c r="M59" s="37">
        <f t="shared" si="37"/>
        <v>0</v>
      </c>
      <c r="N59" s="37">
        <f t="shared" si="37"/>
        <v>0</v>
      </c>
      <c r="O59" s="37">
        <f t="shared" si="37"/>
        <v>0</v>
      </c>
      <c r="P59" s="37">
        <f t="shared" si="37"/>
        <v>0</v>
      </c>
      <c r="Q59" s="37">
        <f t="shared" si="37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ref="J60:Q60" si="38">+I60*(1+$V41)</f>
        <v>0</v>
      </c>
      <c r="K60" s="37">
        <f t="shared" si="38"/>
        <v>0</v>
      </c>
      <c r="L60" s="37">
        <f t="shared" si="38"/>
        <v>0</v>
      </c>
      <c r="M60" s="37">
        <f t="shared" si="38"/>
        <v>0</v>
      </c>
      <c r="N60" s="37">
        <f t="shared" si="38"/>
        <v>0</v>
      </c>
      <c r="O60" s="37">
        <f t="shared" si="38"/>
        <v>0</v>
      </c>
      <c r="P60" s="37">
        <f t="shared" si="38"/>
        <v>0</v>
      </c>
      <c r="Q60" s="37">
        <f t="shared" si="38"/>
        <v>0</v>
      </c>
      <c r="S60" s="37"/>
    </row>
    <row r="61" spans="2:24" ht="12.75" customHeight="1">
      <c r="C61" s="24" t="s">
        <v>337</v>
      </c>
      <c r="G61" s="37"/>
      <c r="H61" s="690">
        <f>'Region Assumptions'!$P$16</f>
        <v>2</v>
      </c>
      <c r="I61" s="188">
        <f t="shared" ref="I61:Q61" si="39">+H61*(1+$V41)</f>
        <v>2</v>
      </c>
      <c r="J61" s="188">
        <f t="shared" si="39"/>
        <v>2</v>
      </c>
      <c r="K61" s="188">
        <f t="shared" si="39"/>
        <v>2</v>
      </c>
      <c r="L61" s="188">
        <f t="shared" si="39"/>
        <v>2</v>
      </c>
      <c r="M61" s="188">
        <f t="shared" si="39"/>
        <v>2</v>
      </c>
      <c r="N61" s="188">
        <f t="shared" si="39"/>
        <v>2</v>
      </c>
      <c r="O61" s="188">
        <f t="shared" si="39"/>
        <v>2</v>
      </c>
      <c r="P61" s="188">
        <f t="shared" si="39"/>
        <v>2</v>
      </c>
      <c r="Q61" s="188">
        <f t="shared" si="39"/>
        <v>2</v>
      </c>
      <c r="S61" s="37"/>
    </row>
    <row r="62" spans="2:24" ht="12.75" customHeight="1">
      <c r="C62" s="24" t="s">
        <v>349</v>
      </c>
      <c r="G62" s="37"/>
      <c r="H62" s="690">
        <f>'Region Assumptions'!$Q$16</f>
        <v>2.85</v>
      </c>
      <c r="I62" s="188">
        <f>+H62*(1+$V41)</f>
        <v>2.85</v>
      </c>
      <c r="J62" s="188">
        <f t="shared" ref="J62:Q62" si="40">+I62*(1+$V41)</f>
        <v>2.85</v>
      </c>
      <c r="K62" s="188">
        <f t="shared" si="40"/>
        <v>2.85</v>
      </c>
      <c r="L62" s="188">
        <f t="shared" si="40"/>
        <v>2.85</v>
      </c>
      <c r="M62" s="188">
        <f t="shared" si="40"/>
        <v>2.85</v>
      </c>
      <c r="N62" s="188">
        <f t="shared" si="40"/>
        <v>2.85</v>
      </c>
      <c r="O62" s="188">
        <f t="shared" si="40"/>
        <v>2.85</v>
      </c>
      <c r="P62" s="188">
        <f t="shared" si="40"/>
        <v>2.85</v>
      </c>
      <c r="Q62" s="188">
        <f t="shared" si="40"/>
        <v>2.85</v>
      </c>
      <c r="S62" s="37"/>
    </row>
    <row r="63" spans="2:24" ht="12.75" customHeight="1">
      <c r="C63" s="24" t="s">
        <v>369</v>
      </c>
      <c r="G63" s="37"/>
      <c r="H63" s="690">
        <f>'Region Assumptions'!$R$16</f>
        <v>2.85</v>
      </c>
      <c r="I63" s="188">
        <f>+H63*(1+$V41)</f>
        <v>2.85</v>
      </c>
      <c r="J63" s="188">
        <f t="shared" ref="J63:Q63" si="41">+I63*(1+$V41)</f>
        <v>2.85</v>
      </c>
      <c r="K63" s="188">
        <f t="shared" si="41"/>
        <v>2.85</v>
      </c>
      <c r="L63" s="188">
        <f t="shared" si="41"/>
        <v>2.85</v>
      </c>
      <c r="M63" s="188">
        <f t="shared" si="41"/>
        <v>2.85</v>
      </c>
      <c r="N63" s="188">
        <f t="shared" si="41"/>
        <v>2.85</v>
      </c>
      <c r="O63" s="188">
        <f t="shared" si="41"/>
        <v>2.85</v>
      </c>
      <c r="P63" s="188">
        <f t="shared" si="41"/>
        <v>2.85</v>
      </c>
      <c r="Q63" s="188">
        <f t="shared" si="41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2">+H$40*H57/1000</f>
        <v>15333.553031848071</v>
      </c>
      <c r="I65" s="55">
        <f t="shared" si="42"/>
        <v>15333.553031848071</v>
      </c>
      <c r="J65" s="55">
        <f t="shared" si="42"/>
        <v>15333.553031848071</v>
      </c>
      <c r="K65" s="55">
        <f t="shared" si="42"/>
        <v>15333.553031848071</v>
      </c>
      <c r="L65" s="55">
        <f t="shared" si="42"/>
        <v>15333.553031848071</v>
      </c>
      <c r="M65" s="55">
        <f t="shared" si="42"/>
        <v>14850.693031848074</v>
      </c>
      <c r="N65" s="55">
        <f t="shared" si="42"/>
        <v>14850.693031848074</v>
      </c>
      <c r="O65" s="55">
        <f t="shared" si="42"/>
        <v>14850.693031848074</v>
      </c>
      <c r="P65" s="55">
        <f t="shared" si="42"/>
        <v>14850.693031848074</v>
      </c>
      <c r="Q65" s="55">
        <f t="shared" si="42"/>
        <v>14850.693031848074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629.4425</v>
      </c>
      <c r="I66" s="56">
        <f t="shared" ref="I66:Q66" si="43">+I$41*I58/1000</f>
        <v>629.4425</v>
      </c>
      <c r="J66" s="56">
        <f t="shared" si="43"/>
        <v>629.4425</v>
      </c>
      <c r="K66" s="56">
        <f t="shared" si="43"/>
        <v>629.4425</v>
      </c>
      <c r="L66" s="56">
        <f t="shared" si="43"/>
        <v>629.4425</v>
      </c>
      <c r="M66" s="56">
        <f t="shared" si="43"/>
        <v>629.4425</v>
      </c>
      <c r="N66" s="56">
        <f t="shared" si="43"/>
        <v>629.4425</v>
      </c>
      <c r="O66" s="56">
        <f t="shared" si="43"/>
        <v>629.4425</v>
      </c>
      <c r="P66" s="56">
        <f t="shared" si="43"/>
        <v>629.4425</v>
      </c>
      <c r="Q66" s="56">
        <f t="shared" si="43"/>
        <v>629.4425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7" si="44">+H$40*H59/1000</f>
        <v>0</v>
      </c>
      <c r="I67" s="56">
        <f t="shared" si="44"/>
        <v>0</v>
      </c>
      <c r="J67" s="56">
        <f t="shared" si="44"/>
        <v>0</v>
      </c>
      <c r="K67" s="56">
        <f t="shared" si="44"/>
        <v>0</v>
      </c>
      <c r="L67" s="56">
        <f t="shared" si="44"/>
        <v>0</v>
      </c>
      <c r="M67" s="56">
        <f t="shared" si="44"/>
        <v>0</v>
      </c>
      <c r="N67" s="56">
        <f t="shared" si="44"/>
        <v>0</v>
      </c>
      <c r="O67" s="56">
        <f t="shared" si="44"/>
        <v>0</v>
      </c>
      <c r="P67" s="56">
        <f t="shared" si="44"/>
        <v>0</v>
      </c>
      <c r="Q67" s="56">
        <f t="shared" si="44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ref="H68:Q68" si="45">+H$40*H60/1000</f>
        <v>0</v>
      </c>
      <c r="I68" s="56">
        <f t="shared" si="45"/>
        <v>0</v>
      </c>
      <c r="J68" s="56">
        <f t="shared" si="45"/>
        <v>0</v>
      </c>
      <c r="K68" s="56">
        <f t="shared" si="45"/>
        <v>0</v>
      </c>
      <c r="L68" s="56">
        <f t="shared" si="45"/>
        <v>0</v>
      </c>
      <c r="M68" s="56">
        <f t="shared" si="45"/>
        <v>0</v>
      </c>
      <c r="N68" s="56">
        <f t="shared" si="45"/>
        <v>0</v>
      </c>
      <c r="O68" s="56">
        <f t="shared" si="45"/>
        <v>0</v>
      </c>
      <c r="P68" s="56">
        <f t="shared" si="45"/>
        <v>0</v>
      </c>
      <c r="Q68" s="56">
        <f t="shared" si="45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Assumptions'!$C$6*PSW!H45</f>
        <v>0</v>
      </c>
      <c r="I69" s="703">
        <f>'Region Assumptions'!$C$6*PSW!I45</f>
        <v>0</v>
      </c>
      <c r="J69" s="703">
        <f>'Region Assumptions'!$C$6*PSW!J45</f>
        <v>0</v>
      </c>
      <c r="K69" s="703">
        <f>'Region Assumptions'!$C$6*PSW!K45</f>
        <v>0</v>
      </c>
      <c r="L69" s="703">
        <f>'Region Assumptions'!$C$6*PSW!L45</f>
        <v>0</v>
      </c>
      <c r="M69" s="703">
        <f>'Region Assumptions'!$C$6*PSW!M45</f>
        <v>0</v>
      </c>
      <c r="N69" s="703">
        <f>'Region Assumptions'!$C$6*PSW!N45</f>
        <v>0</v>
      </c>
      <c r="O69" s="703">
        <f>'Region Assumptions'!$C$6*PSW!O45</f>
        <v>0</v>
      </c>
      <c r="P69" s="703">
        <f>'Region Assumptions'!$C$6*PSW!P45</f>
        <v>0</v>
      </c>
      <c r="Q69" s="703">
        <f>'Region Assumptions'!$C$6*PSW!Q45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Assumptions'!$G$16/1000</f>
        <v>0</v>
      </c>
      <c r="I70" s="434">
        <f>I61*365*'Region Assumptions'!$G$16/1000</f>
        <v>0</v>
      </c>
      <c r="J70" s="434">
        <f>J61*365*'Region Assumptions'!$G$16/1000</f>
        <v>0</v>
      </c>
      <c r="K70" s="434">
        <f>K61*365*'Region Assumptions'!$G$16/1000</f>
        <v>0</v>
      </c>
      <c r="L70" s="434">
        <f>L61*365*'Region Assumptions'!$G$16/1000</f>
        <v>0</v>
      </c>
      <c r="M70" s="434">
        <f>M61*365*'Region Assumptions'!$G$16/1000</f>
        <v>0</v>
      </c>
      <c r="N70" s="434">
        <f>N61*365*'Region Assumptions'!$G$16/1000</f>
        <v>0</v>
      </c>
      <c r="O70" s="434">
        <f>O61*365*'Region Assumptions'!$G$16/1000</f>
        <v>0</v>
      </c>
      <c r="P70" s="434">
        <f>P61*365*'Region Assumptions'!$G$16/1000</f>
        <v>0</v>
      </c>
      <c r="Q70" s="434">
        <f>Q61*365*'Region Assumptions'!$G$16/1000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Assumptions'!$H$16/1000</f>
        <v>2080.5</v>
      </c>
      <c r="I71" s="434">
        <f>I62*365*'Region Assumptions'!$H$16/1000</f>
        <v>2080.5</v>
      </c>
      <c r="J71" s="434">
        <f>J62*365*'Region Assumptions'!$H$16/1000</f>
        <v>2080.5</v>
      </c>
      <c r="K71" s="434">
        <f>K62*365*'Region Assumptions'!$H$16/1000</f>
        <v>2080.5</v>
      </c>
      <c r="L71" s="434">
        <f>L62*365*'Region Assumptions'!$H$16/1000</f>
        <v>2080.5</v>
      </c>
      <c r="M71" s="434">
        <f>M62*365*'Region Assumptions'!$H$16/1000</f>
        <v>2080.5</v>
      </c>
      <c r="N71" s="434">
        <f>N62*365*'Region Assumptions'!$H$16/1000</f>
        <v>2080.5</v>
      </c>
      <c r="O71" s="434">
        <f>O62*365*'Region Assumptions'!$H$16/1000</f>
        <v>2080.5</v>
      </c>
      <c r="P71" s="434">
        <f>P62*365*'Region Assumptions'!$H$16/1000</f>
        <v>2080.5</v>
      </c>
      <c r="Q71" s="434">
        <f>Q62*365*'Region Assumptions'!$H$16/1000</f>
        <v>2080.5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Assumptions'!$I$16/1000</f>
        <v>0</v>
      </c>
      <c r="I72" s="434">
        <f>I63*365*'Region Assumptions'!$I$16/1000</f>
        <v>0</v>
      </c>
      <c r="J72" s="434">
        <f>J63*365*'Region Assumptions'!$I$16/1000</f>
        <v>0</v>
      </c>
      <c r="K72" s="434">
        <f>K63*365*'Region Assumptions'!$I$16/1000</f>
        <v>0</v>
      </c>
      <c r="L72" s="434">
        <f>L63*365*'Region Assumptions'!$I$16/1000</f>
        <v>0</v>
      </c>
      <c r="M72" s="434">
        <f>M63*365*'Region Assumptions'!$I$16/1000</f>
        <v>0</v>
      </c>
      <c r="N72" s="434">
        <f>N63*365*'Region Assumptions'!$I$16/1000</f>
        <v>0</v>
      </c>
      <c r="O72" s="434">
        <f>O63*365*'Region Assumptions'!$I$16/1000</f>
        <v>0</v>
      </c>
      <c r="P72" s="434">
        <f>P63*365*'Region Assumptions'!$I$16/1000</f>
        <v>0</v>
      </c>
      <c r="Q72" s="434">
        <f>Q63*365*'Region Assumptions'!$I$16/1000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Assumptions'!$AF$16/1000</f>
        <v>0</v>
      </c>
      <c r="I73" s="434">
        <f>(I28*(I29-I33))*'Region Assumptions'!$AF$16/1000</f>
        <v>0</v>
      </c>
      <c r="J73" s="434">
        <f>(J28*(J29-J33))*'Region Assumptions'!$AF$16/1000</f>
        <v>0</v>
      </c>
      <c r="K73" s="434">
        <f>(K28*(K29-K33))*'Region Assumptions'!$AF$16/1000</f>
        <v>0</v>
      </c>
      <c r="L73" s="434">
        <f>(L28*(L29-L33))*'Region Assumptions'!$AF$16/1000</f>
        <v>0</v>
      </c>
      <c r="M73" s="434">
        <f>(M28*(M29-M33))*'Region Assumptions'!$AF$16/1000</f>
        <v>0</v>
      </c>
      <c r="N73" s="434">
        <f>(N28*(N29-N33))*'Region Assumptions'!$AF$16/1000</f>
        <v>0</v>
      </c>
      <c r="O73" s="434">
        <f>(O28*(O29-O33))*'Region Assumptions'!$AF$16/1000</f>
        <v>0</v>
      </c>
      <c r="P73" s="434">
        <f>(P28*(P29-P33))*'Region Assumptions'!$AF$16/1000</f>
        <v>0</v>
      </c>
      <c r="Q73" s="434">
        <f>(Q28*(Q29-Q33))*'Region Assumptions'!$AF$16/1000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18043.495531848072</v>
      </c>
      <c r="I74" s="48">
        <f t="shared" ref="I74:Q74" si="46">SUM(I65:I73)</f>
        <v>18043.495531848072</v>
      </c>
      <c r="J74" s="48">
        <f t="shared" si="46"/>
        <v>18043.495531848072</v>
      </c>
      <c r="K74" s="48">
        <f t="shared" si="46"/>
        <v>18043.495531848072</v>
      </c>
      <c r="L74" s="48">
        <f t="shared" si="46"/>
        <v>18043.495531848072</v>
      </c>
      <c r="M74" s="48">
        <f t="shared" si="46"/>
        <v>17560.635531848071</v>
      </c>
      <c r="N74" s="48">
        <f t="shared" si="46"/>
        <v>17560.635531848071</v>
      </c>
      <c r="O74" s="48">
        <f t="shared" si="46"/>
        <v>17560.635531848071</v>
      </c>
      <c r="P74" s="48">
        <f t="shared" si="46"/>
        <v>17560.635531848071</v>
      </c>
      <c r="Q74" s="48">
        <f t="shared" si="46"/>
        <v>17560.635531848071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5071.3795232371376</v>
      </c>
      <c r="I76" s="48">
        <f t="shared" ref="I76:Q76" si="47">+I45-I74</f>
        <v>5071.3795232371376</v>
      </c>
      <c r="J76" s="48">
        <f t="shared" si="47"/>
        <v>5071.3795232371376</v>
      </c>
      <c r="K76" s="48">
        <f t="shared" si="47"/>
        <v>5071.3795232371376</v>
      </c>
      <c r="L76" s="48">
        <f t="shared" si="47"/>
        <v>5071.3795232371376</v>
      </c>
      <c r="M76" s="48">
        <f t="shared" si="47"/>
        <v>5554.2395232371382</v>
      </c>
      <c r="N76" s="48">
        <f t="shared" si="47"/>
        <v>5554.2395232371382</v>
      </c>
      <c r="O76" s="48">
        <f t="shared" si="47"/>
        <v>5554.2395232371382</v>
      </c>
      <c r="P76" s="48">
        <f t="shared" si="47"/>
        <v>5554.2395232371382</v>
      </c>
      <c r="Q76" s="48">
        <f t="shared" si="47"/>
        <v>5554.2395232371382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8">H76*1000/H40</f>
        <v>2.4223631358524176</v>
      </c>
      <c r="I77" s="37">
        <f t="shared" si="48"/>
        <v>2.4223631358524176</v>
      </c>
      <c r="J77" s="37">
        <f t="shared" si="48"/>
        <v>2.4223631358524176</v>
      </c>
      <c r="K77" s="37">
        <f t="shared" si="48"/>
        <v>2.4223631358524176</v>
      </c>
      <c r="L77" s="37">
        <f t="shared" si="48"/>
        <v>2.4223631358524176</v>
      </c>
      <c r="M77" s="37">
        <f t="shared" si="48"/>
        <v>2.653002995957205</v>
      </c>
      <c r="N77" s="37">
        <f t="shared" si="48"/>
        <v>2.653002995957205</v>
      </c>
      <c r="O77" s="37">
        <f t="shared" si="48"/>
        <v>2.653002995957205</v>
      </c>
      <c r="P77" s="37">
        <f t="shared" si="48"/>
        <v>2.653002995957205</v>
      </c>
      <c r="Q77" s="37">
        <f t="shared" si="48"/>
        <v>2.653002995957205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9">H76*1000/H41</f>
        <v>2.014234629548028</v>
      </c>
      <c r="I78" s="37">
        <f t="shared" si="49"/>
        <v>2.014234629548028</v>
      </c>
      <c r="J78" s="37">
        <f t="shared" si="49"/>
        <v>2.014234629548028</v>
      </c>
      <c r="K78" s="37">
        <f t="shared" si="49"/>
        <v>2.014234629548028</v>
      </c>
      <c r="L78" s="37">
        <f t="shared" si="49"/>
        <v>2.014234629548028</v>
      </c>
      <c r="M78" s="37">
        <f t="shared" si="49"/>
        <v>2.2060154514658361</v>
      </c>
      <c r="N78" s="37">
        <f t="shared" si="49"/>
        <v>2.2060154514658361</v>
      </c>
      <c r="O78" s="37">
        <f t="shared" si="49"/>
        <v>2.2060154514658361</v>
      </c>
      <c r="P78" s="37">
        <f t="shared" si="49"/>
        <v>2.2060154514658361</v>
      </c>
      <c r="Q78" s="37">
        <f t="shared" si="49"/>
        <v>2.2060154514658361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50">+H76/H45</f>
        <v>0.21939895894533282</v>
      </c>
      <c r="I79" s="57">
        <f t="shared" si="50"/>
        <v>0.21939895894533282</v>
      </c>
      <c r="J79" s="57">
        <f t="shared" si="50"/>
        <v>0.21939895894533282</v>
      </c>
      <c r="K79" s="57">
        <f t="shared" si="50"/>
        <v>0.21939895894533282</v>
      </c>
      <c r="L79" s="57">
        <f t="shared" si="50"/>
        <v>0.21939895894533282</v>
      </c>
      <c r="M79" s="57">
        <f t="shared" si="50"/>
        <v>0.24028853757594595</v>
      </c>
      <c r="N79" s="57">
        <f t="shared" si="50"/>
        <v>0.24028853757594595</v>
      </c>
      <c r="O79" s="57">
        <f t="shared" si="50"/>
        <v>0.24028853757594595</v>
      </c>
      <c r="P79" s="57">
        <f t="shared" si="50"/>
        <v>0.24028853757594595</v>
      </c>
      <c r="Q79" s="57">
        <f t="shared" si="50"/>
        <v>0.24028853757594595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Assumptions'!$F$16</f>
        <v>4898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Assumptions'!$M$16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Assumptions'!$N$16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19592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Assumptions'!$X$16</f>
        <v>0.1</v>
      </c>
      <c r="G88" s="49">
        <f>F88*G87</f>
        <v>1959.2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21551.200000000001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5">
        <f>'Region Assumptions'!$T$16*PSW!G83/1000</f>
        <v>1346.95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Assumptions'!$U$16*PSW!G83/1000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Assumptions'!$S$16*PSW!G83/1000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Assumptions'!$V$16*PSW!G83/1000</f>
        <v>1102.05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1155.7437527542604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Assumptions'!$W$16*'Region Assumptions'!$H$16/1000</f>
        <v>1100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Assumptions'!$E$16*'Region Assumptions'!$C$4/1000</f>
        <v>150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4554.7437527542606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26105.943752754261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5.1477006666798317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51">G21</f>
        <v>0</v>
      </c>
      <c r="H104" s="201">
        <f t="shared" si="51"/>
        <v>1</v>
      </c>
      <c r="I104" s="201">
        <f t="shared" si="51"/>
        <v>2</v>
      </c>
      <c r="J104" s="201">
        <f t="shared" si="51"/>
        <v>3</v>
      </c>
      <c r="K104" s="201">
        <f t="shared" si="51"/>
        <v>4</v>
      </c>
      <c r="L104" s="201">
        <f t="shared" si="51"/>
        <v>5</v>
      </c>
      <c r="M104" s="201">
        <f t="shared" si="51"/>
        <v>6</v>
      </c>
      <c r="N104" s="201">
        <f t="shared" si="51"/>
        <v>7</v>
      </c>
      <c r="O104" s="201">
        <f t="shared" si="51"/>
        <v>8</v>
      </c>
      <c r="P104" s="201">
        <f t="shared" si="51"/>
        <v>9</v>
      </c>
      <c r="Q104" s="201">
        <f t="shared" si="51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-24950.2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Pending'!L12,PSW!G86)/1000</f>
        <v>12245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52">H76</f>
        <v>5071.3795232371376</v>
      </c>
      <c r="I108" s="22">
        <f t="shared" si="52"/>
        <v>5071.3795232371376</v>
      </c>
      <c r="J108" s="22">
        <f t="shared" si="52"/>
        <v>5071.3795232371376</v>
      </c>
      <c r="K108" s="22">
        <f t="shared" si="52"/>
        <v>5071.3795232371376</v>
      </c>
      <c r="L108" s="22">
        <f t="shared" si="52"/>
        <v>5071.3795232371376</v>
      </c>
      <c r="M108" s="22">
        <f t="shared" si="52"/>
        <v>5554.2395232371382</v>
      </c>
      <c r="N108" s="22">
        <f t="shared" si="52"/>
        <v>5554.2395232371382</v>
      </c>
      <c r="O108" s="22">
        <f t="shared" si="52"/>
        <v>5554.2395232371382</v>
      </c>
      <c r="P108" s="22">
        <f t="shared" si="52"/>
        <v>5554.2395232371382</v>
      </c>
      <c r="Q108" s="22">
        <f t="shared" si="52"/>
        <v>5554.2395232371382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-4758.8912494491478</v>
      </c>
      <c r="I109" s="72">
        <f>'Region Assumptions'!$C$4*($G$105+$G$94)/5</f>
        <v>-4758.8912494491478</v>
      </c>
      <c r="J109" s="72">
        <f>'Region Assumptions'!$C$4*($G$105+$G$94)/5</f>
        <v>-4758.8912494491478</v>
      </c>
      <c r="K109" s="72">
        <f>'Region Assumptions'!$C$4*($G$105+$G$94)/5</f>
        <v>-4758.8912494491478</v>
      </c>
      <c r="L109" s="72">
        <f>'Region Assumptions'!$C$4*($G$105+$G$94)/5</f>
        <v>-4758.8912494491478</v>
      </c>
      <c r="M109" s="72">
        <f t="shared" ref="M109:Q109" si="53">IF($H$109=0,IF(M104&lt;7,$H$105/5,0),IF(M104&lt;6,L109,0))</f>
        <v>0</v>
      </c>
      <c r="N109" s="72">
        <f t="shared" si="53"/>
        <v>0</v>
      </c>
      <c r="O109" s="72">
        <f t="shared" si="53"/>
        <v>0</v>
      </c>
      <c r="P109" s="72">
        <f t="shared" si="53"/>
        <v>0</v>
      </c>
      <c r="Q109" s="72">
        <f t="shared" si="53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4">SUM(H108:H109)</f>
        <v>312.48827378798978</v>
      </c>
      <c r="I110" s="73">
        <f t="shared" si="54"/>
        <v>312.48827378798978</v>
      </c>
      <c r="J110" s="73">
        <f t="shared" si="54"/>
        <v>312.48827378798978</v>
      </c>
      <c r="K110" s="73">
        <f t="shared" si="54"/>
        <v>312.48827378798978</v>
      </c>
      <c r="L110" s="73">
        <f t="shared" si="54"/>
        <v>312.48827378798978</v>
      </c>
      <c r="M110" s="73">
        <f t="shared" si="54"/>
        <v>5554.2395232371382</v>
      </c>
      <c r="N110" s="73">
        <f t="shared" si="54"/>
        <v>5554.2395232371382</v>
      </c>
      <c r="O110" s="73">
        <f t="shared" si="54"/>
        <v>5554.2395232371382</v>
      </c>
      <c r="P110" s="73">
        <f t="shared" si="54"/>
        <v>5554.2395232371382</v>
      </c>
      <c r="Q110" s="73">
        <f t="shared" si="54"/>
        <v>5554.2395232371382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5">MIN(-H110*$E111,0)</f>
        <v>-124.99530951519591</v>
      </c>
      <c r="I111" s="72">
        <f t="shared" si="55"/>
        <v>-124.99530951519591</v>
      </c>
      <c r="J111" s="72">
        <f t="shared" si="55"/>
        <v>-124.99530951519591</v>
      </c>
      <c r="K111" s="72">
        <f t="shared" si="55"/>
        <v>-124.99530951519591</v>
      </c>
      <c r="L111" s="72">
        <f t="shared" si="55"/>
        <v>-124.99530951519591</v>
      </c>
      <c r="M111" s="72">
        <f t="shared" si="55"/>
        <v>-2221.6958092948553</v>
      </c>
      <c r="N111" s="72">
        <f t="shared" si="55"/>
        <v>-2221.6958092948553</v>
      </c>
      <c r="O111" s="72">
        <f t="shared" si="55"/>
        <v>-2221.6958092948553</v>
      </c>
      <c r="P111" s="72">
        <f t="shared" si="55"/>
        <v>-2221.6958092948553</v>
      </c>
      <c r="Q111" s="72">
        <f t="shared" si="55"/>
        <v>-2221.6958092948553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6">SUM(H108:H108,H111)</f>
        <v>4946.3842137219417</v>
      </c>
      <c r="I112" s="72">
        <f t="shared" si="56"/>
        <v>4946.3842137219417</v>
      </c>
      <c r="J112" s="72">
        <f t="shared" si="56"/>
        <v>4946.3842137219417</v>
      </c>
      <c r="K112" s="72">
        <f t="shared" si="56"/>
        <v>4946.3842137219417</v>
      </c>
      <c r="L112" s="72">
        <f t="shared" si="56"/>
        <v>4946.3842137219417</v>
      </c>
      <c r="M112" s="72">
        <f t="shared" si="56"/>
        <v>3332.5437139422829</v>
      </c>
      <c r="N112" s="72">
        <f t="shared" si="56"/>
        <v>3332.5437139422829</v>
      </c>
      <c r="O112" s="72">
        <f t="shared" si="56"/>
        <v>3332.5437139422829</v>
      </c>
      <c r="P112" s="72">
        <f t="shared" si="56"/>
        <v>3332.5437139422829</v>
      </c>
      <c r="Q112" s="72">
        <f t="shared" si="56"/>
        <v>3332.5437139422829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-1155.7437527542604</v>
      </c>
      <c r="I113" s="72">
        <f t="shared" ref="I113:Q113" si="57">$E113*(H45-I45)</f>
        <v>0</v>
      </c>
      <c r="J113" s="72">
        <f t="shared" si="57"/>
        <v>0</v>
      </c>
      <c r="K113" s="72">
        <f t="shared" si="57"/>
        <v>0</v>
      </c>
      <c r="L113" s="72">
        <f t="shared" si="57"/>
        <v>0</v>
      </c>
      <c r="M113" s="72">
        <f t="shared" si="57"/>
        <v>0</v>
      </c>
      <c r="N113" s="72">
        <f t="shared" si="57"/>
        <v>0</v>
      </c>
      <c r="O113" s="72">
        <f t="shared" si="57"/>
        <v>0</v>
      </c>
      <c r="P113" s="72">
        <f t="shared" si="57"/>
        <v>0</v>
      </c>
      <c r="Q113" s="72">
        <f t="shared" si="57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8">+H114</f>
        <v>0</v>
      </c>
      <c r="J114" s="72">
        <f t="shared" si="58"/>
        <v>0</v>
      </c>
      <c r="K114" s="72">
        <f t="shared" si="58"/>
        <v>0</v>
      </c>
      <c r="L114" s="72">
        <f t="shared" si="58"/>
        <v>0</v>
      </c>
      <c r="M114" s="72">
        <f t="shared" si="58"/>
        <v>0</v>
      </c>
      <c r="N114" s="72">
        <f t="shared" si="58"/>
        <v>0</v>
      </c>
      <c r="O114" s="72">
        <f t="shared" si="58"/>
        <v>0</v>
      </c>
      <c r="P114" s="72">
        <f t="shared" si="58"/>
        <v>0</v>
      </c>
      <c r="Q114" s="72">
        <f t="shared" si="58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9">SUM(H112:H114)</f>
        <v>3790.6404609676811</v>
      </c>
      <c r="I115" s="75">
        <f t="shared" si="59"/>
        <v>4946.3842137219417</v>
      </c>
      <c r="J115" s="75">
        <f t="shared" si="59"/>
        <v>4946.3842137219417</v>
      </c>
      <c r="K115" s="75">
        <f t="shared" si="59"/>
        <v>4946.3842137219417</v>
      </c>
      <c r="L115" s="75">
        <f t="shared" si="59"/>
        <v>4946.3842137219417</v>
      </c>
      <c r="M115" s="75">
        <f t="shared" si="59"/>
        <v>3332.5437139422829</v>
      </c>
      <c r="N115" s="75">
        <f t="shared" si="59"/>
        <v>3332.5437139422829</v>
      </c>
      <c r="O115" s="75">
        <f t="shared" si="59"/>
        <v>3332.5437139422829</v>
      </c>
      <c r="P115" s="75">
        <f t="shared" si="59"/>
        <v>3332.5437139422829</v>
      </c>
      <c r="Q115" s="75">
        <f t="shared" si="59"/>
        <v>3332.5437139422829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60">+G105+G106+G115</f>
        <v>-24950.2</v>
      </c>
      <c r="H117" s="70">
        <f t="shared" si="60"/>
        <v>3790.6404609676811</v>
      </c>
      <c r="I117" s="70">
        <f t="shared" si="60"/>
        <v>4946.3842137219417</v>
      </c>
      <c r="J117" s="70">
        <f t="shared" si="60"/>
        <v>4946.3842137219417</v>
      </c>
      <c r="K117" s="70">
        <f t="shared" si="60"/>
        <v>4946.3842137219417</v>
      </c>
      <c r="L117" s="70">
        <f t="shared" si="60"/>
        <v>4946.3842137219417</v>
      </c>
      <c r="M117" s="70">
        <f t="shared" si="60"/>
        <v>3332.5437139422829</v>
      </c>
      <c r="N117" s="70">
        <f t="shared" si="60"/>
        <v>3332.5437139422829</v>
      </c>
      <c r="O117" s="70">
        <f t="shared" si="60"/>
        <v>3332.5437139422829</v>
      </c>
      <c r="P117" s="70">
        <f t="shared" si="60"/>
        <v>3332.5437139422829</v>
      </c>
      <c r="Q117" s="70">
        <f t="shared" si="60"/>
        <v>15577.543713942283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0.14242202463588627</v>
      </c>
      <c r="F119" s="70">
        <f>+NPV(0.12,G117:Q117)</f>
        <v>2328.2118578417321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61">G104</f>
        <v>0</v>
      </c>
      <c r="H121" s="201">
        <f t="shared" si="61"/>
        <v>1</v>
      </c>
      <c r="I121" s="201">
        <f t="shared" si="61"/>
        <v>2</v>
      </c>
      <c r="J121" s="201">
        <f t="shared" si="61"/>
        <v>3</v>
      </c>
      <c r="K121" s="201">
        <f t="shared" si="61"/>
        <v>4</v>
      </c>
      <c r="L121" s="201">
        <f t="shared" si="61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61"/>
        <v>-24950.2</v>
      </c>
      <c r="H122" s="70">
        <f t="shared" si="61"/>
        <v>0</v>
      </c>
      <c r="I122" s="70">
        <f t="shared" si="61"/>
        <v>0</v>
      </c>
      <c r="J122" s="70">
        <f t="shared" si="61"/>
        <v>0</v>
      </c>
      <c r="K122" s="70">
        <f t="shared" si="61"/>
        <v>0</v>
      </c>
      <c r="L122" s="70">
        <f t="shared" si="61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25356.897616185688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62">H108</f>
        <v>5071.3795232371376</v>
      </c>
      <c r="I125" s="22">
        <f t="shared" si="62"/>
        <v>5071.3795232371376</v>
      </c>
      <c r="J125" s="22">
        <f t="shared" si="62"/>
        <v>5071.3795232371376</v>
      </c>
      <c r="K125" s="22">
        <f t="shared" si="62"/>
        <v>5071.3795232371376</v>
      </c>
      <c r="L125" s="22">
        <f t="shared" si="62"/>
        <v>5071.3795232371376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62"/>
        <v>-4758.8912494491478</v>
      </c>
      <c r="I126" s="72">
        <f t="shared" si="62"/>
        <v>-4758.8912494491478</v>
      </c>
      <c r="J126" s="72">
        <f t="shared" si="62"/>
        <v>-4758.8912494491478</v>
      </c>
      <c r="K126" s="72">
        <f t="shared" si="62"/>
        <v>-4758.8912494491478</v>
      </c>
      <c r="L126" s="72">
        <f t="shared" si="62"/>
        <v>-4758.8912494491478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312.48827378798978</v>
      </c>
      <c r="I127" s="73">
        <f>SUM(I125:I126)</f>
        <v>312.48827378798978</v>
      </c>
      <c r="J127" s="73">
        <f>SUM(J125:J126)</f>
        <v>312.48827378798978</v>
      </c>
      <c r="K127" s="73">
        <f>SUM(K125:K126)</f>
        <v>312.48827378798978</v>
      </c>
      <c r="L127" s="73">
        <f>SUM(L125:L126)</f>
        <v>312.48827378798978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3">MIN(-H127*$E128,0)</f>
        <v>-124.99530951519591</v>
      </c>
      <c r="I128" s="72">
        <f t="shared" si="63"/>
        <v>-124.99530951519591</v>
      </c>
      <c r="J128" s="72">
        <f t="shared" si="63"/>
        <v>-124.99530951519591</v>
      </c>
      <c r="K128" s="72">
        <f t="shared" si="63"/>
        <v>-124.99530951519591</v>
      </c>
      <c r="L128" s="72">
        <f t="shared" si="63"/>
        <v>-124.99530951519591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4946.3842137219417</v>
      </c>
      <c r="I129" s="72">
        <f>SUM(I125:I125,I128)</f>
        <v>4946.3842137219417</v>
      </c>
      <c r="J129" s="72">
        <f>SUM(J125:J125,J128)</f>
        <v>4946.3842137219417</v>
      </c>
      <c r="K129" s="72">
        <f>SUM(K125:K125,K128)</f>
        <v>4946.3842137219417</v>
      </c>
      <c r="L129" s="72">
        <f>SUM(L125:L125,L128)</f>
        <v>4946.3842137219417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4">H113</f>
        <v>-1155.7437527542604</v>
      </c>
      <c r="I130" s="72">
        <f t="shared" si="64"/>
        <v>0</v>
      </c>
      <c r="J130" s="72">
        <f t="shared" si="64"/>
        <v>0</v>
      </c>
      <c r="K130" s="72">
        <f t="shared" si="64"/>
        <v>0</v>
      </c>
      <c r="L130" s="72">
        <f t="shared" si="64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4"/>
        <v>0</v>
      </c>
      <c r="I131" s="72">
        <f t="shared" si="64"/>
        <v>0</v>
      </c>
      <c r="J131" s="72">
        <f t="shared" si="64"/>
        <v>0</v>
      </c>
      <c r="K131" s="72">
        <f t="shared" si="64"/>
        <v>0</v>
      </c>
      <c r="L131" s="72">
        <f t="shared" si="64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3790.6404609676811</v>
      </c>
      <c r="I132" s="73">
        <f>SUM(I129:I131)</f>
        <v>4946.3842137219417</v>
      </c>
      <c r="J132" s="73">
        <f>SUM(J129:J131)</f>
        <v>4946.3842137219417</v>
      </c>
      <c r="K132" s="73">
        <f>SUM(K129:K131)</f>
        <v>4946.3842137219417</v>
      </c>
      <c r="L132" s="73">
        <f>SUM(L129:L131)</f>
        <v>4946.3842137219417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5">+G122+G123+G132</f>
        <v>-24950.2</v>
      </c>
      <c r="H134" s="70">
        <f t="shared" si="65"/>
        <v>3790.6404609676811</v>
      </c>
      <c r="I134" s="70">
        <f t="shared" si="65"/>
        <v>4946.3842137219417</v>
      </c>
      <c r="J134" s="70">
        <f t="shared" si="65"/>
        <v>4946.3842137219417</v>
      </c>
      <c r="K134" s="70">
        <f t="shared" si="65"/>
        <v>4946.3842137219417</v>
      </c>
      <c r="L134" s="70">
        <f t="shared" si="65"/>
        <v>30303.281829907632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0.18780213526497835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  <ignoredErrors>
    <ignoredError sqref="H11:Q11 H66:Q66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/>
  </sheetPr>
  <dimension ref="A1:G33"/>
  <sheetViews>
    <sheetView zoomScale="90" zoomScaleNormal="90" zoomScaleSheetLayoutView="90" workbookViewId="0"/>
  </sheetViews>
  <sheetFormatPr defaultColWidth="9.33203125" defaultRowHeight="15" customHeight="1"/>
  <cols>
    <col min="1" max="1" width="5.83203125" style="376" customWidth="1"/>
    <col min="2" max="2" width="3.83203125" style="376" customWidth="1"/>
    <col min="3" max="7" width="20.83203125" style="376" customWidth="1"/>
    <col min="8" max="16384" width="9.33203125" style="376"/>
  </cols>
  <sheetData>
    <row r="1" spans="1:7" ht="15" customHeight="1">
      <c r="A1" s="377" t="s">
        <v>279</v>
      </c>
      <c r="B1" s="377"/>
    </row>
    <row r="2" spans="1:7" ht="15" customHeight="1">
      <c r="A2" s="376" t="s">
        <v>280</v>
      </c>
      <c r="B2" s="378"/>
    </row>
    <row r="3" spans="1:7" ht="15" customHeight="1">
      <c r="A3" s="378" t="s">
        <v>282</v>
      </c>
      <c r="B3" s="378"/>
    </row>
    <row r="5" spans="1:7" ht="15" customHeight="1">
      <c r="C5" s="421" t="s">
        <v>284</v>
      </c>
      <c r="D5" s="422"/>
      <c r="E5" s="422"/>
      <c r="F5" s="422"/>
      <c r="G5" s="423"/>
    </row>
    <row r="6" spans="1:7" ht="15" customHeight="1">
      <c r="C6" s="379" t="s">
        <v>285</v>
      </c>
      <c r="G6" s="380"/>
    </row>
    <row r="7" spans="1:7" ht="15" customHeight="1">
      <c r="C7" s="379" t="s">
        <v>288</v>
      </c>
      <c r="G7" s="380"/>
    </row>
    <row r="8" spans="1:7" ht="15" customHeight="1">
      <c r="C8" s="379" t="s">
        <v>286</v>
      </c>
      <c r="G8" s="380"/>
    </row>
    <row r="9" spans="1:7" ht="15" customHeight="1">
      <c r="C9" s="379" t="s">
        <v>287</v>
      </c>
      <c r="G9" s="380"/>
    </row>
    <row r="10" spans="1:7" ht="15" customHeight="1">
      <c r="C10" s="381" t="s">
        <v>289</v>
      </c>
      <c r="D10" s="382"/>
      <c r="E10" s="382"/>
      <c r="F10" s="382"/>
      <c r="G10" s="383"/>
    </row>
    <row r="11" spans="1:7" ht="9.9499999999999993" customHeight="1"/>
    <row r="12" spans="1:7" ht="9.9499999999999993" customHeight="1"/>
    <row r="13" spans="1:7" ht="30">
      <c r="C13" s="403" t="s">
        <v>281</v>
      </c>
      <c r="D13" s="404" t="s">
        <v>283</v>
      </c>
      <c r="E13" s="404" t="s">
        <v>185</v>
      </c>
      <c r="F13" s="404" t="s">
        <v>106</v>
      </c>
      <c r="G13" s="405" t="s">
        <v>41</v>
      </c>
    </row>
    <row r="14" spans="1:7" ht="15" customHeight="1">
      <c r="B14" s="376">
        <v>1</v>
      </c>
      <c r="C14" s="400">
        <v>3719.9827278141752</v>
      </c>
      <c r="D14" s="401">
        <v>18599913.639070876</v>
      </c>
      <c r="E14" s="402">
        <v>0</v>
      </c>
      <c r="F14" s="398">
        <v>12.75</v>
      </c>
      <c r="G14" s="399">
        <v>7.1000000000000005</v>
      </c>
    </row>
    <row r="15" spans="1:7" ht="15" customHeight="1">
      <c r="B15" s="376">
        <f>B14+1</f>
        <v>2</v>
      </c>
      <c r="C15" s="406">
        <v>3719.9827278141752</v>
      </c>
      <c r="D15" s="407">
        <v>18599913.639070876</v>
      </c>
      <c r="E15" s="408">
        <v>0.05</v>
      </c>
      <c r="F15" s="409">
        <v>12.5</v>
      </c>
      <c r="G15" s="410">
        <v>6.5</v>
      </c>
    </row>
    <row r="16" spans="1:7" ht="15" customHeight="1">
      <c r="B16" s="376">
        <f t="shared" ref="B16:B33" si="0">B15+1</f>
        <v>3</v>
      </c>
      <c r="C16" s="400">
        <v>3719.9827278141752</v>
      </c>
      <c r="D16" s="401">
        <v>18599913.639070876</v>
      </c>
      <c r="E16" s="402">
        <v>0.1</v>
      </c>
      <c r="F16" s="398">
        <v>12.25</v>
      </c>
      <c r="G16" s="399">
        <v>5.8000000000000007</v>
      </c>
    </row>
    <row r="17" spans="2:7" ht="15" customHeight="1">
      <c r="B17" s="376">
        <f t="shared" si="0"/>
        <v>4</v>
      </c>
      <c r="C17" s="406">
        <v>3719.9827278141752</v>
      </c>
      <c r="D17" s="407">
        <v>18599913.639070876</v>
      </c>
      <c r="E17" s="408">
        <v>0.15</v>
      </c>
      <c r="F17" s="409">
        <v>12</v>
      </c>
      <c r="G17" s="410">
        <v>5</v>
      </c>
    </row>
    <row r="18" spans="2:7" ht="15" customHeight="1">
      <c r="B18" s="376">
        <f t="shared" si="0"/>
        <v>5</v>
      </c>
      <c r="C18" s="416">
        <v>3915.7712924359739</v>
      </c>
      <c r="D18" s="417">
        <v>19578856.462179869</v>
      </c>
      <c r="E18" s="418">
        <v>0</v>
      </c>
      <c r="F18" s="419">
        <v>13.25</v>
      </c>
      <c r="G18" s="420">
        <v>5.8500000000000005</v>
      </c>
    </row>
    <row r="19" spans="2:7" ht="15" customHeight="1">
      <c r="B19" s="376">
        <f t="shared" si="0"/>
        <v>6</v>
      </c>
      <c r="C19" s="406">
        <v>3915.7712924359739</v>
      </c>
      <c r="D19" s="407">
        <v>19578856.462179869</v>
      </c>
      <c r="E19" s="408">
        <v>0.05</v>
      </c>
      <c r="F19" s="409">
        <v>13</v>
      </c>
      <c r="G19" s="410">
        <v>5.3500000000000005</v>
      </c>
    </row>
    <row r="20" spans="2:7" ht="15" customHeight="1">
      <c r="B20" s="376">
        <f t="shared" si="0"/>
        <v>7</v>
      </c>
      <c r="C20" s="400">
        <v>3915.7712924359739</v>
      </c>
      <c r="D20" s="401">
        <v>19578856.462179869</v>
      </c>
      <c r="E20" s="402">
        <v>0.1</v>
      </c>
      <c r="F20" s="398">
        <v>12.75</v>
      </c>
      <c r="G20" s="399">
        <v>4.75</v>
      </c>
    </row>
    <row r="21" spans="2:7" ht="15" customHeight="1">
      <c r="B21" s="376">
        <f t="shared" si="0"/>
        <v>8</v>
      </c>
      <c r="C21" s="406">
        <v>3915.7712924359739</v>
      </c>
      <c r="D21" s="407">
        <v>19578856.462179869</v>
      </c>
      <c r="E21" s="408">
        <v>0.15</v>
      </c>
      <c r="F21" s="409">
        <v>12.5</v>
      </c>
      <c r="G21" s="410">
        <v>4.05</v>
      </c>
    </row>
    <row r="22" spans="2:7" ht="15" customHeight="1">
      <c r="B22" s="376">
        <f t="shared" si="0"/>
        <v>9</v>
      </c>
      <c r="C22" s="416">
        <v>4111.5598570577731</v>
      </c>
      <c r="D22" s="417">
        <v>20557799.285288867</v>
      </c>
      <c r="E22" s="418">
        <v>0</v>
      </c>
      <c r="F22" s="419">
        <v>13.5</v>
      </c>
      <c r="G22" s="420">
        <v>5.7</v>
      </c>
    </row>
    <row r="23" spans="2:7" ht="15" customHeight="1">
      <c r="B23" s="376">
        <f t="shared" si="0"/>
        <v>10</v>
      </c>
      <c r="C23" s="406">
        <v>4111.5598570577731</v>
      </c>
      <c r="D23" s="407">
        <v>20557799.285288867</v>
      </c>
      <c r="E23" s="408">
        <v>0.05</v>
      </c>
      <c r="F23" s="409">
        <v>13.25</v>
      </c>
      <c r="G23" s="410">
        <v>5.25</v>
      </c>
    </row>
    <row r="24" spans="2:7" ht="15" customHeight="1">
      <c r="B24" s="376">
        <f t="shared" si="0"/>
        <v>11</v>
      </c>
      <c r="C24" s="400">
        <v>4111.5598570577731</v>
      </c>
      <c r="D24" s="401">
        <v>20557799.285288867</v>
      </c>
      <c r="E24" s="402">
        <v>0.1</v>
      </c>
      <c r="F24" s="398">
        <v>13</v>
      </c>
      <c r="G24" s="399">
        <v>4.7</v>
      </c>
    </row>
    <row r="25" spans="2:7" ht="15" customHeight="1">
      <c r="B25" s="376">
        <f t="shared" si="0"/>
        <v>12</v>
      </c>
      <c r="C25" s="406">
        <v>4111.5598570577731</v>
      </c>
      <c r="D25" s="407">
        <v>20557799.285288867</v>
      </c>
      <c r="E25" s="408">
        <v>0.15</v>
      </c>
      <c r="F25" s="409">
        <v>12.75</v>
      </c>
      <c r="G25" s="410">
        <v>4.05</v>
      </c>
    </row>
    <row r="26" spans="2:7" ht="15" customHeight="1">
      <c r="B26" s="376">
        <f t="shared" si="0"/>
        <v>13</v>
      </c>
      <c r="C26" s="416">
        <v>4307.3484216795714</v>
      </c>
      <c r="D26" s="417">
        <v>21536742.108397856</v>
      </c>
      <c r="E26" s="418">
        <v>0</v>
      </c>
      <c r="F26" s="419">
        <v>13.75</v>
      </c>
      <c r="G26" s="420">
        <v>5.5500000000000007</v>
      </c>
    </row>
    <row r="27" spans="2:7" ht="15" customHeight="1">
      <c r="B27" s="376">
        <f t="shared" si="0"/>
        <v>14</v>
      </c>
      <c r="C27" s="406">
        <v>4307.3484216795714</v>
      </c>
      <c r="D27" s="407">
        <v>21536742.108397856</v>
      </c>
      <c r="E27" s="408">
        <v>0.05</v>
      </c>
      <c r="F27" s="409">
        <v>13.5</v>
      </c>
      <c r="G27" s="410">
        <v>5.15</v>
      </c>
    </row>
    <row r="28" spans="2:7" ht="15" customHeight="1">
      <c r="B28" s="376">
        <f t="shared" si="0"/>
        <v>15</v>
      </c>
      <c r="C28" s="400">
        <v>4307.3484216795714</v>
      </c>
      <c r="D28" s="401">
        <v>21536742.108397856</v>
      </c>
      <c r="E28" s="402">
        <v>0.1</v>
      </c>
      <c r="F28" s="398">
        <v>13.25</v>
      </c>
      <c r="G28" s="399">
        <v>4.6500000000000004</v>
      </c>
    </row>
    <row r="29" spans="2:7" ht="15" customHeight="1">
      <c r="B29" s="376">
        <f t="shared" si="0"/>
        <v>16</v>
      </c>
      <c r="C29" s="406">
        <v>4307.3484216795714</v>
      </c>
      <c r="D29" s="407">
        <v>21536742.108397856</v>
      </c>
      <c r="E29" s="408">
        <v>0.15</v>
      </c>
      <c r="F29" s="409">
        <v>13</v>
      </c>
      <c r="G29" s="410">
        <v>4.05</v>
      </c>
    </row>
    <row r="30" spans="2:7" ht="15" customHeight="1">
      <c r="B30" s="376">
        <f t="shared" si="0"/>
        <v>17</v>
      </c>
      <c r="C30" s="416">
        <v>4503.1369863013697</v>
      </c>
      <c r="D30" s="417">
        <v>22515684.93150685</v>
      </c>
      <c r="E30" s="418">
        <v>0</v>
      </c>
      <c r="F30" s="419">
        <v>14</v>
      </c>
      <c r="G30" s="420">
        <v>5.3500000000000005</v>
      </c>
    </row>
    <row r="31" spans="2:7" ht="15" customHeight="1">
      <c r="B31" s="376">
        <f t="shared" si="0"/>
        <v>18</v>
      </c>
      <c r="C31" s="406">
        <v>4503.1369863013697</v>
      </c>
      <c r="D31" s="407">
        <v>22515684.93150685</v>
      </c>
      <c r="E31" s="408">
        <v>0.05</v>
      </c>
      <c r="F31" s="409">
        <v>13.75</v>
      </c>
      <c r="G31" s="410">
        <v>5.0500000000000007</v>
      </c>
    </row>
    <row r="32" spans="2:7" ht="15" customHeight="1">
      <c r="B32" s="376">
        <f t="shared" si="0"/>
        <v>19</v>
      </c>
      <c r="C32" s="400">
        <v>4503.1369863013697</v>
      </c>
      <c r="D32" s="401">
        <v>22515684.93150685</v>
      </c>
      <c r="E32" s="402">
        <v>0.1</v>
      </c>
      <c r="F32" s="398">
        <v>13.5</v>
      </c>
      <c r="G32" s="399">
        <v>4.6000000000000005</v>
      </c>
    </row>
    <row r="33" spans="2:7" ht="15" customHeight="1">
      <c r="B33" s="376">
        <f t="shared" si="0"/>
        <v>20</v>
      </c>
      <c r="C33" s="411">
        <v>4503.1369863013697</v>
      </c>
      <c r="D33" s="412">
        <v>22515684.93150685</v>
      </c>
      <c r="E33" s="413">
        <v>0.15</v>
      </c>
      <c r="F33" s="414">
        <v>13.25</v>
      </c>
      <c r="G33" s="415">
        <v>4.05</v>
      </c>
    </row>
  </sheetData>
  <pageMargins left="0.7" right="0.7" top="0.75" bottom="0.75" header="0.3" footer="0.3"/>
  <pageSetup scale="8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1:G33"/>
  <sheetViews>
    <sheetView zoomScale="90" zoomScaleNormal="90" workbookViewId="0"/>
  </sheetViews>
  <sheetFormatPr defaultColWidth="9.33203125" defaultRowHeight="15" customHeight="1"/>
  <cols>
    <col min="1" max="1" width="9.33203125" style="376"/>
    <col min="2" max="2" width="3.83203125" style="376" customWidth="1"/>
    <col min="3" max="7" width="20.83203125" style="376" customWidth="1"/>
    <col min="8" max="16384" width="9.33203125" style="376"/>
  </cols>
  <sheetData>
    <row r="1" spans="1:7" ht="15" customHeight="1">
      <c r="A1" s="377" t="s">
        <v>279</v>
      </c>
      <c r="B1" s="377"/>
    </row>
    <row r="2" spans="1:7" ht="15" customHeight="1">
      <c r="A2" s="376" t="s">
        <v>280</v>
      </c>
      <c r="B2" s="378"/>
    </row>
    <row r="3" spans="1:7" ht="15" customHeight="1">
      <c r="A3" s="378" t="s">
        <v>278</v>
      </c>
      <c r="B3" s="378"/>
    </row>
    <row r="4" spans="1:7" ht="15" customHeight="1">
      <c r="A4" s="378"/>
      <c r="B4" s="378"/>
    </row>
    <row r="5" spans="1:7" ht="15" customHeight="1">
      <c r="C5" s="421" t="s">
        <v>284</v>
      </c>
      <c r="D5" s="422"/>
      <c r="E5" s="422"/>
      <c r="F5" s="422"/>
      <c r="G5" s="423"/>
    </row>
    <row r="6" spans="1:7" ht="15" customHeight="1">
      <c r="C6" s="379" t="s">
        <v>285</v>
      </c>
      <c r="G6" s="380"/>
    </row>
    <row r="7" spans="1:7" ht="15" customHeight="1">
      <c r="C7" s="379" t="s">
        <v>288</v>
      </c>
      <c r="G7" s="380"/>
    </row>
    <row r="8" spans="1:7" ht="15" customHeight="1">
      <c r="C8" s="379" t="s">
        <v>286</v>
      </c>
      <c r="G8" s="380"/>
    </row>
    <row r="9" spans="1:7" ht="15" customHeight="1">
      <c r="C9" s="379" t="s">
        <v>287</v>
      </c>
      <c r="G9" s="380"/>
    </row>
    <row r="10" spans="1:7" ht="15" customHeight="1">
      <c r="C10" s="381" t="s">
        <v>289</v>
      </c>
      <c r="D10" s="382"/>
      <c r="E10" s="382"/>
      <c r="F10" s="382"/>
      <c r="G10" s="383"/>
    </row>
    <row r="11" spans="1:7" ht="9.9499999999999993" customHeight="1"/>
    <row r="12" spans="1:7" ht="9.9499999999999993" customHeight="1"/>
    <row r="13" spans="1:7" ht="30">
      <c r="C13" s="403" t="s">
        <v>281</v>
      </c>
      <c r="D13" s="404" t="s">
        <v>283</v>
      </c>
      <c r="E13" s="404" t="s">
        <v>185</v>
      </c>
      <c r="F13" s="404" t="s">
        <v>106</v>
      </c>
      <c r="G13" s="405" t="s">
        <v>41</v>
      </c>
    </row>
    <row r="14" spans="1:7" ht="15" customHeight="1">
      <c r="B14" s="376">
        <v>1</v>
      </c>
      <c r="C14" s="400" t="e">
        <f>Assumptions!$C$17*(1+'Deal Summary'!#REF!)</f>
        <v>#REF!</v>
      </c>
      <c r="D14" s="401" t="e">
        <f>C14*Assumptions!$C$6</f>
        <v>#REF!</v>
      </c>
      <c r="E14" s="402" t="e">
        <f>'Deal Summary'!#REF!</f>
        <v>#REF!</v>
      </c>
      <c r="F14" s="398" t="e">
        <f>ROUND('Deal Summary'!#REF!,2)</f>
        <v>#REF!</v>
      </c>
      <c r="G14" s="399" t="e">
        <f>CEILING('Deal Summary'!#REF!,0.05)</f>
        <v>#REF!</v>
      </c>
    </row>
    <row r="15" spans="1:7" ht="15" customHeight="1">
      <c r="B15" s="376">
        <f>B14+1</f>
        <v>2</v>
      </c>
      <c r="C15" s="406" t="e">
        <f>Assumptions!$C$17*(1+'Deal Summary'!#REF!)</f>
        <v>#REF!</v>
      </c>
      <c r="D15" s="407" t="e">
        <f>C15*Assumptions!$C$6</f>
        <v>#REF!</v>
      </c>
      <c r="E15" s="408" t="e">
        <f>'Deal Summary'!#REF!</f>
        <v>#REF!</v>
      </c>
      <c r="F15" s="409" t="e">
        <f>ROUND('Deal Summary'!#REF!,2)</f>
        <v>#REF!</v>
      </c>
      <c r="G15" s="410" t="e">
        <f>CEILING('Deal Summary'!#REF!,0.05)</f>
        <v>#REF!</v>
      </c>
    </row>
    <row r="16" spans="1:7" ht="15" customHeight="1">
      <c r="B16" s="376">
        <f t="shared" ref="B16:B33" si="0">B15+1</f>
        <v>3</v>
      </c>
      <c r="C16" s="400" t="e">
        <f>Assumptions!$C$17*(1+'Deal Summary'!#REF!)</f>
        <v>#REF!</v>
      </c>
      <c r="D16" s="401" t="e">
        <f>C16*Assumptions!$C$6</f>
        <v>#REF!</v>
      </c>
      <c r="E16" s="402" t="e">
        <f>'Deal Summary'!#REF!</f>
        <v>#REF!</v>
      </c>
      <c r="F16" s="398" t="e">
        <f>ROUND('Deal Summary'!#REF!,2)</f>
        <v>#REF!</v>
      </c>
      <c r="G16" s="399" t="e">
        <f>CEILING('Deal Summary'!#REF!,0.05)</f>
        <v>#REF!</v>
      </c>
    </row>
    <row r="17" spans="2:7" ht="15" customHeight="1">
      <c r="B17" s="376">
        <f t="shared" si="0"/>
        <v>4</v>
      </c>
      <c r="C17" s="406" t="e">
        <f>Assumptions!$C$17*(1+'Deal Summary'!#REF!)</f>
        <v>#REF!</v>
      </c>
      <c r="D17" s="407" t="e">
        <f>C17*Assumptions!$C$6</f>
        <v>#REF!</v>
      </c>
      <c r="E17" s="408" t="e">
        <f>'Deal Summary'!#REF!</f>
        <v>#REF!</v>
      </c>
      <c r="F17" s="409" t="e">
        <f>ROUND('Deal Summary'!#REF!,2)</f>
        <v>#REF!</v>
      </c>
      <c r="G17" s="410" t="e">
        <f>CEILING('Deal Summary'!#REF!,0.05)</f>
        <v>#REF!</v>
      </c>
    </row>
    <row r="18" spans="2:7" ht="15" customHeight="1">
      <c r="B18" s="376">
        <f t="shared" si="0"/>
        <v>5</v>
      </c>
      <c r="C18" s="416" t="e">
        <f>Assumptions!$C$17*(1+'Deal Summary'!#REF!)</f>
        <v>#REF!</v>
      </c>
      <c r="D18" s="417" t="e">
        <f>C18*Assumptions!$C$6</f>
        <v>#REF!</v>
      </c>
      <c r="E18" s="418" t="e">
        <f>'Deal Summary'!#REF!</f>
        <v>#REF!</v>
      </c>
      <c r="F18" s="419" t="e">
        <f>ROUND('Deal Summary'!#REF!,2)</f>
        <v>#REF!</v>
      </c>
      <c r="G18" s="420" t="e">
        <f>CEILING('Deal Summary'!#REF!,0.05)</f>
        <v>#REF!</v>
      </c>
    </row>
    <row r="19" spans="2:7" ht="15" customHeight="1">
      <c r="B19" s="376">
        <f t="shared" si="0"/>
        <v>6</v>
      </c>
      <c r="C19" s="406" t="e">
        <f>Assumptions!$C$17*(1+'Deal Summary'!#REF!)</f>
        <v>#REF!</v>
      </c>
      <c r="D19" s="407" t="e">
        <f>C19*Assumptions!$C$6</f>
        <v>#REF!</v>
      </c>
      <c r="E19" s="408" t="e">
        <f>'Deal Summary'!#REF!</f>
        <v>#REF!</v>
      </c>
      <c r="F19" s="409" t="e">
        <f>ROUND('Deal Summary'!#REF!,2)</f>
        <v>#REF!</v>
      </c>
      <c r="G19" s="410" t="e">
        <f>CEILING('Deal Summary'!#REF!,0.05)</f>
        <v>#REF!</v>
      </c>
    </row>
    <row r="20" spans="2:7" ht="15" customHeight="1">
      <c r="B20" s="376">
        <f t="shared" si="0"/>
        <v>7</v>
      </c>
      <c r="C20" s="400" t="e">
        <f>Assumptions!$C$17*(1+'Deal Summary'!#REF!)</f>
        <v>#REF!</v>
      </c>
      <c r="D20" s="401" t="e">
        <f>C20*Assumptions!$C$6</f>
        <v>#REF!</v>
      </c>
      <c r="E20" s="402" t="e">
        <f>'Deal Summary'!#REF!</f>
        <v>#REF!</v>
      </c>
      <c r="F20" s="398" t="e">
        <f>ROUND('Deal Summary'!#REF!,2)</f>
        <v>#REF!</v>
      </c>
      <c r="G20" s="399" t="e">
        <f>CEILING('Deal Summary'!#REF!,0.05)</f>
        <v>#REF!</v>
      </c>
    </row>
    <row r="21" spans="2:7" ht="15" customHeight="1">
      <c r="B21" s="376">
        <f t="shared" si="0"/>
        <v>8</v>
      </c>
      <c r="C21" s="406" t="e">
        <f>Assumptions!$C$17*(1+'Deal Summary'!#REF!)</f>
        <v>#REF!</v>
      </c>
      <c r="D21" s="407" t="e">
        <f>C21*Assumptions!$C$6</f>
        <v>#REF!</v>
      </c>
      <c r="E21" s="408" t="e">
        <f>'Deal Summary'!#REF!</f>
        <v>#REF!</v>
      </c>
      <c r="F21" s="409" t="e">
        <f>ROUND('Deal Summary'!#REF!,2)</f>
        <v>#REF!</v>
      </c>
      <c r="G21" s="410" t="e">
        <f>CEILING('Deal Summary'!#REF!,0.05)</f>
        <v>#REF!</v>
      </c>
    </row>
    <row r="22" spans="2:7" ht="15" customHeight="1">
      <c r="B22" s="376">
        <f t="shared" si="0"/>
        <v>9</v>
      </c>
      <c r="C22" s="416" t="e">
        <f>Assumptions!$C$17*(1+'Deal Summary'!#REF!)</f>
        <v>#REF!</v>
      </c>
      <c r="D22" s="417" t="e">
        <f>C22*Assumptions!$C$6</f>
        <v>#REF!</v>
      </c>
      <c r="E22" s="418" t="e">
        <f>'Deal Summary'!#REF!</f>
        <v>#REF!</v>
      </c>
      <c r="F22" s="419" t="e">
        <f>ROUND('Deal Summary'!#REF!,2)</f>
        <v>#REF!</v>
      </c>
      <c r="G22" s="420" t="e">
        <f>CEILING('Deal Summary'!#REF!,0.05)</f>
        <v>#REF!</v>
      </c>
    </row>
    <row r="23" spans="2:7" ht="15" customHeight="1">
      <c r="B23" s="376">
        <f t="shared" si="0"/>
        <v>10</v>
      </c>
      <c r="C23" s="406" t="e">
        <f>Assumptions!$C$17*(1+'Deal Summary'!#REF!)</f>
        <v>#REF!</v>
      </c>
      <c r="D23" s="407" t="e">
        <f>C23*Assumptions!$C$6</f>
        <v>#REF!</v>
      </c>
      <c r="E23" s="408" t="e">
        <f>'Deal Summary'!#REF!</f>
        <v>#REF!</v>
      </c>
      <c r="F23" s="409" t="e">
        <f>ROUND('Deal Summary'!#REF!,2)</f>
        <v>#REF!</v>
      </c>
      <c r="G23" s="410" t="e">
        <f>CEILING('Deal Summary'!#REF!,0.05)</f>
        <v>#REF!</v>
      </c>
    </row>
    <row r="24" spans="2:7" ht="15" customHeight="1">
      <c r="B24" s="376">
        <f t="shared" si="0"/>
        <v>11</v>
      </c>
      <c r="C24" s="400" t="e">
        <f>Assumptions!$C$17*(1+'Deal Summary'!#REF!)</f>
        <v>#REF!</v>
      </c>
      <c r="D24" s="401" t="e">
        <f>C24*Assumptions!$C$6</f>
        <v>#REF!</v>
      </c>
      <c r="E24" s="402" t="e">
        <f>'Deal Summary'!#REF!</f>
        <v>#REF!</v>
      </c>
      <c r="F24" s="398" t="e">
        <f>ROUND('Deal Summary'!#REF!,2)</f>
        <v>#REF!</v>
      </c>
      <c r="G24" s="399" t="e">
        <f>CEILING('Deal Summary'!#REF!,0.05)</f>
        <v>#REF!</v>
      </c>
    </row>
    <row r="25" spans="2:7" ht="15" customHeight="1">
      <c r="B25" s="376">
        <f t="shared" si="0"/>
        <v>12</v>
      </c>
      <c r="C25" s="406" t="e">
        <f>Assumptions!$C$17*(1+'Deal Summary'!#REF!)</f>
        <v>#REF!</v>
      </c>
      <c r="D25" s="407" t="e">
        <f>C25*Assumptions!$C$6</f>
        <v>#REF!</v>
      </c>
      <c r="E25" s="408" t="e">
        <f>'Deal Summary'!#REF!</f>
        <v>#REF!</v>
      </c>
      <c r="F25" s="409" t="e">
        <f>ROUND('Deal Summary'!#REF!,2)</f>
        <v>#REF!</v>
      </c>
      <c r="G25" s="410" t="e">
        <f>CEILING('Deal Summary'!#REF!,0.05)</f>
        <v>#REF!</v>
      </c>
    </row>
    <row r="26" spans="2:7" ht="15" customHeight="1">
      <c r="B26" s="376">
        <f t="shared" si="0"/>
        <v>13</v>
      </c>
      <c r="C26" s="416" t="e">
        <f>Assumptions!$C$17*(1+'Deal Summary'!#REF!)</f>
        <v>#REF!</v>
      </c>
      <c r="D26" s="417" t="e">
        <f>C26*Assumptions!$C$6</f>
        <v>#REF!</v>
      </c>
      <c r="E26" s="418" t="e">
        <f>'Deal Summary'!#REF!</f>
        <v>#REF!</v>
      </c>
      <c r="F26" s="419" t="e">
        <f>ROUND('Deal Summary'!#REF!,2)</f>
        <v>#REF!</v>
      </c>
      <c r="G26" s="420" t="e">
        <f>CEILING('Deal Summary'!#REF!,0.05)</f>
        <v>#REF!</v>
      </c>
    </row>
    <row r="27" spans="2:7" ht="15" customHeight="1">
      <c r="B27" s="376">
        <f t="shared" si="0"/>
        <v>14</v>
      </c>
      <c r="C27" s="406" t="e">
        <f>Assumptions!$C$17*(1+'Deal Summary'!#REF!)</f>
        <v>#REF!</v>
      </c>
      <c r="D27" s="407" t="e">
        <f>C27*Assumptions!$C$6</f>
        <v>#REF!</v>
      </c>
      <c r="E27" s="408" t="e">
        <f>'Deal Summary'!#REF!</f>
        <v>#REF!</v>
      </c>
      <c r="F27" s="409" t="e">
        <f>ROUND('Deal Summary'!#REF!,2)</f>
        <v>#REF!</v>
      </c>
      <c r="G27" s="410" t="e">
        <f>CEILING('Deal Summary'!#REF!,0.05)</f>
        <v>#REF!</v>
      </c>
    </row>
    <row r="28" spans="2:7" ht="15" customHeight="1">
      <c r="B28" s="376">
        <f t="shared" si="0"/>
        <v>15</v>
      </c>
      <c r="C28" s="400" t="e">
        <f>Assumptions!$C$17*(1+'Deal Summary'!#REF!)</f>
        <v>#REF!</v>
      </c>
      <c r="D28" s="401" t="e">
        <f>C28*Assumptions!$C$6</f>
        <v>#REF!</v>
      </c>
      <c r="E28" s="402" t="e">
        <f>'Deal Summary'!#REF!</f>
        <v>#REF!</v>
      </c>
      <c r="F28" s="398" t="e">
        <f>ROUND('Deal Summary'!#REF!,2)</f>
        <v>#REF!</v>
      </c>
      <c r="G28" s="399" t="e">
        <f>CEILING('Deal Summary'!#REF!,0.05)</f>
        <v>#REF!</v>
      </c>
    </row>
    <row r="29" spans="2:7" ht="15" customHeight="1">
      <c r="B29" s="376">
        <f t="shared" si="0"/>
        <v>16</v>
      </c>
      <c r="C29" s="406" t="e">
        <f>Assumptions!$C$17*(1+'Deal Summary'!#REF!)</f>
        <v>#REF!</v>
      </c>
      <c r="D29" s="407" t="e">
        <f>C29*Assumptions!$C$6</f>
        <v>#REF!</v>
      </c>
      <c r="E29" s="408" t="e">
        <f>'Deal Summary'!#REF!</f>
        <v>#REF!</v>
      </c>
      <c r="F29" s="409" t="e">
        <f>ROUND('Deal Summary'!#REF!,2)</f>
        <v>#REF!</v>
      </c>
      <c r="G29" s="410" t="e">
        <f>CEILING('Deal Summary'!#REF!,0.05)</f>
        <v>#REF!</v>
      </c>
    </row>
    <row r="30" spans="2:7" ht="15" customHeight="1">
      <c r="B30" s="376">
        <f t="shared" si="0"/>
        <v>17</v>
      </c>
      <c r="C30" s="416" t="e">
        <f>Assumptions!$C$17*(1+'Deal Summary'!#REF!)</f>
        <v>#REF!</v>
      </c>
      <c r="D30" s="417" t="e">
        <f>C30*Assumptions!$C$6</f>
        <v>#REF!</v>
      </c>
      <c r="E30" s="418" t="e">
        <f>'Deal Summary'!#REF!</f>
        <v>#REF!</v>
      </c>
      <c r="F30" s="419" t="e">
        <f>ROUND('Deal Summary'!#REF!,2)</f>
        <v>#REF!</v>
      </c>
      <c r="G30" s="420" t="e">
        <f>CEILING('Deal Summary'!#REF!,0.05)</f>
        <v>#REF!</v>
      </c>
    </row>
    <row r="31" spans="2:7" ht="15" customHeight="1">
      <c r="B31" s="376">
        <f t="shared" si="0"/>
        <v>18</v>
      </c>
      <c r="C31" s="406" t="e">
        <f>Assumptions!$C$17*(1+'Deal Summary'!#REF!)</f>
        <v>#REF!</v>
      </c>
      <c r="D31" s="407" t="e">
        <f>C31*Assumptions!$C$6</f>
        <v>#REF!</v>
      </c>
      <c r="E31" s="408" t="e">
        <f>'Deal Summary'!#REF!</f>
        <v>#REF!</v>
      </c>
      <c r="F31" s="409" t="e">
        <f>ROUND('Deal Summary'!#REF!,2)</f>
        <v>#REF!</v>
      </c>
      <c r="G31" s="410" t="e">
        <f>CEILING('Deal Summary'!#REF!,0.05)</f>
        <v>#REF!</v>
      </c>
    </row>
    <row r="32" spans="2:7" ht="15" customHeight="1">
      <c r="B32" s="376">
        <f t="shared" si="0"/>
        <v>19</v>
      </c>
      <c r="C32" s="400" t="e">
        <f>Assumptions!$C$17*(1+'Deal Summary'!#REF!)</f>
        <v>#REF!</v>
      </c>
      <c r="D32" s="401" t="e">
        <f>C32*Assumptions!$C$6</f>
        <v>#REF!</v>
      </c>
      <c r="E32" s="402" t="e">
        <f>'Deal Summary'!#REF!</f>
        <v>#REF!</v>
      </c>
      <c r="F32" s="398" t="e">
        <f>ROUND('Deal Summary'!#REF!,2)</f>
        <v>#REF!</v>
      </c>
      <c r="G32" s="399" t="e">
        <f>CEILING('Deal Summary'!#REF!,0.05)</f>
        <v>#REF!</v>
      </c>
    </row>
    <row r="33" spans="2:7" ht="15" customHeight="1">
      <c r="B33" s="376">
        <f t="shared" si="0"/>
        <v>20</v>
      </c>
      <c r="C33" s="411" t="e">
        <f>Assumptions!$C$17*(1+'Deal Summary'!#REF!)</f>
        <v>#REF!</v>
      </c>
      <c r="D33" s="412" t="e">
        <f>C33*Assumptions!$C$6</f>
        <v>#REF!</v>
      </c>
      <c r="E33" s="413" t="e">
        <f>'Deal Summary'!#REF!</f>
        <v>#REF!</v>
      </c>
      <c r="F33" s="414" t="e">
        <f>ROUND('Deal Summary'!#REF!,2)</f>
        <v>#REF!</v>
      </c>
      <c r="G33" s="415" t="e">
        <f>CEILING('Deal Summary'!#REF!,0.05)</f>
        <v>#REF!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AA152"/>
  <sheetViews>
    <sheetView showGridLines="0" tabSelected="1" topLeftCell="A42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438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354066.85244421189</v>
      </c>
      <c r="H7" s="184">
        <f t="shared" ref="H7:Q7" si="1">$G$9*H11*(1-$G$12)</f>
        <v>354066.85244421189</v>
      </c>
      <c r="I7" s="184">
        <f t="shared" si="1"/>
        <v>354066.85244421189</v>
      </c>
      <c r="J7" s="184">
        <f t="shared" si="1"/>
        <v>354066.85244421189</v>
      </c>
      <c r="K7" s="184">
        <f t="shared" si="1"/>
        <v>354066.85244421189</v>
      </c>
      <c r="L7" s="184">
        <f t="shared" si="1"/>
        <v>354066.85244421189</v>
      </c>
      <c r="M7" s="184">
        <f t="shared" si="1"/>
        <v>354066.85244421189</v>
      </c>
      <c r="N7" s="184">
        <f t="shared" si="1"/>
        <v>354066.85244421189</v>
      </c>
      <c r="O7" s="184">
        <f t="shared" si="1"/>
        <v>354066.85244421189</v>
      </c>
      <c r="P7" s="184">
        <f t="shared" si="1"/>
        <v>354066.85244421189</v>
      </c>
      <c r="Q7" s="184">
        <f t="shared" si="1"/>
        <v>354066.85244421189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47597.188899193541</v>
      </c>
      <c r="H8" s="184">
        <f t="shared" si="2"/>
        <v>47597.188899193541</v>
      </c>
      <c r="I8" s="184">
        <f t="shared" si="2"/>
        <v>47597.188899193541</v>
      </c>
      <c r="J8" s="184">
        <f t="shared" si="2"/>
        <v>47597.188899193541</v>
      </c>
      <c r="K8" s="184">
        <f t="shared" si="2"/>
        <v>47597.188899193541</v>
      </c>
      <c r="L8" s="184">
        <f t="shared" si="2"/>
        <v>47597.188899193541</v>
      </c>
      <c r="M8" s="184">
        <f t="shared" si="2"/>
        <v>47597.188899193541</v>
      </c>
      <c r="N8" s="184">
        <f t="shared" si="2"/>
        <v>47597.188899193541</v>
      </c>
      <c r="O8" s="184">
        <f t="shared" si="2"/>
        <v>47597.188899193541</v>
      </c>
      <c r="P8" s="184">
        <f t="shared" si="2"/>
        <v>47597.188899193541</v>
      </c>
      <c r="Q8" s="184">
        <f t="shared" si="2"/>
        <v>47597.188899193541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Assumptions'!$K$17*365</f>
        <v>401664.04134340544</v>
      </c>
      <c r="H9" s="268">
        <f t="shared" ref="H9:Q9" si="3">G9</f>
        <v>401664.04134340544</v>
      </c>
      <c r="I9" s="268">
        <f t="shared" si="3"/>
        <v>401664.04134340544</v>
      </c>
      <c r="J9" s="268">
        <f t="shared" si="3"/>
        <v>401664.04134340544</v>
      </c>
      <c r="K9" s="268">
        <f t="shared" si="3"/>
        <v>401664.04134340544</v>
      </c>
      <c r="L9" s="268">
        <f t="shared" si="3"/>
        <v>401664.04134340544</v>
      </c>
      <c r="M9" s="268">
        <f t="shared" si="3"/>
        <v>401664.04134340544</v>
      </c>
      <c r="N9" s="268">
        <f t="shared" si="3"/>
        <v>401664.04134340544</v>
      </c>
      <c r="O9" s="268">
        <f t="shared" si="3"/>
        <v>401664.04134340544</v>
      </c>
      <c r="P9" s="268">
        <f>O9</f>
        <v>401664.04134340544</v>
      </c>
      <c r="Q9" s="268">
        <f t="shared" si="3"/>
        <v>401664.04134340544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Assumptions'!$AE$17</f>
        <v>0</v>
      </c>
      <c r="I10" s="438">
        <f>H10+'Region Assumptions'!$AE$17</f>
        <v>0</v>
      </c>
      <c r="J10" s="438">
        <f>I10+'Region Assumptions'!$AE$17</f>
        <v>0</v>
      </c>
      <c r="K10" s="438">
        <f>J10+'Region Assumptions'!$AE$17</f>
        <v>0</v>
      </c>
      <c r="L10" s="438">
        <f>K10+'Region Assumptions'!$AE$17</f>
        <v>0</v>
      </c>
      <c r="M10" s="438">
        <f>L10+'Region Assumptions'!$AE$17</f>
        <v>0</v>
      </c>
      <c r="N10" s="438">
        <f>M10+'Region Assumptions'!$AE$17</f>
        <v>0</v>
      </c>
      <c r="O10" s="438">
        <f>N10+'Region Assumptions'!$AE$17</f>
        <v>0</v>
      </c>
      <c r="P10" s="438">
        <f>O10+'Region Assumptions'!$AE$17</f>
        <v>0</v>
      </c>
      <c r="Q10" s="438">
        <f>P10+'Region Assumptions'!$AE$17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Assumptions'!$Y$17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0.83939697050960882</v>
      </c>
      <c r="I13" s="269">
        <f t="shared" ref="I13:Q13" si="6">I9/I23/365</f>
        <v>0.83939697050960882</v>
      </c>
      <c r="J13" s="269">
        <f t="shared" si="6"/>
        <v>0.83939697050960882</v>
      </c>
      <c r="K13" s="269">
        <f t="shared" si="6"/>
        <v>0.83939697050960882</v>
      </c>
      <c r="L13" s="269">
        <f t="shared" si="6"/>
        <v>0.83939697050960882</v>
      </c>
      <c r="M13" s="269">
        <f t="shared" si="6"/>
        <v>0.83939697050960882</v>
      </c>
      <c r="N13" s="269">
        <f t="shared" si="6"/>
        <v>0.83939697050960882</v>
      </c>
      <c r="O13" s="269">
        <f t="shared" si="6"/>
        <v>0.83939697050960882</v>
      </c>
      <c r="P13" s="269">
        <f t="shared" si="6"/>
        <v>0.83939697050960882</v>
      </c>
      <c r="Q13" s="269">
        <f t="shared" si="6"/>
        <v>0.83939697050960882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713.15392299518612</v>
      </c>
      <c r="F17" s="203">
        <f>F18*$H$17/1000</f>
        <v>100.41601033585135</v>
      </c>
      <c r="G17" s="203">
        <f>G18*$H$17/1000</f>
        <v>0</v>
      </c>
      <c r="H17" s="204">
        <f>H40</f>
        <v>401664.04134340544</v>
      </c>
      <c r="I17" s="204">
        <f>H23*365</f>
        <v>478515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Assumptions'!$Z$17</f>
        <v>1.7754985500070453</v>
      </c>
      <c r="F18" s="690">
        <f>'Region Assumptions'!$AB$17</f>
        <v>0.25</v>
      </c>
      <c r="G18" s="690">
        <f>'Region Assumptions'!$AA$17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1.4903481040201165</v>
      </c>
      <c r="F19" s="188">
        <f>F17/$I17*1000</f>
        <v>0.20984924262740218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Assumptions'!$F$17+'Region Assumptions'!$G$17+'Region Assumptions'!$H$17</f>
        <v>1311</v>
      </c>
      <c r="I23" s="184">
        <f>H23</f>
        <v>1311</v>
      </c>
      <c r="J23" s="184">
        <f t="shared" ref="J23:Q23" si="8">I23</f>
        <v>1311</v>
      </c>
      <c r="K23" s="184">
        <f t="shared" si="8"/>
        <v>1311</v>
      </c>
      <c r="L23" s="184">
        <f t="shared" si="8"/>
        <v>1311</v>
      </c>
      <c r="M23" s="184">
        <f t="shared" si="8"/>
        <v>1311</v>
      </c>
      <c r="N23" s="184">
        <f t="shared" si="8"/>
        <v>1311</v>
      </c>
      <c r="O23" s="184">
        <f t="shared" si="8"/>
        <v>1311</v>
      </c>
      <c r="P23" s="184">
        <f t="shared" si="8"/>
        <v>1311</v>
      </c>
      <c r="Q23" s="184">
        <f t="shared" si="8"/>
        <v>1311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1018.7023897499998</v>
      </c>
      <c r="I25" s="28">
        <f t="shared" ref="I25:Q25" si="10">I32/365/I13*(1-I12)</f>
        <v>1018.7023897499998</v>
      </c>
      <c r="J25" s="28">
        <f t="shared" si="10"/>
        <v>1018.7023897499998</v>
      </c>
      <c r="K25" s="28">
        <f t="shared" si="10"/>
        <v>1018.7023897499998</v>
      </c>
      <c r="L25" s="28">
        <f t="shared" si="10"/>
        <v>1018.7023897499998</v>
      </c>
      <c r="M25" s="28">
        <f t="shared" si="10"/>
        <v>1018.7023897499998</v>
      </c>
      <c r="N25" s="28">
        <f t="shared" si="10"/>
        <v>1018.7023897499998</v>
      </c>
      <c r="O25" s="28">
        <f t="shared" si="10"/>
        <v>1018.7023897499998</v>
      </c>
      <c r="P25" s="28">
        <f t="shared" si="10"/>
        <v>1018.7023897499998</v>
      </c>
      <c r="Q25" s="28">
        <f t="shared" si="10"/>
        <v>1018.7023897499998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130.40325725806449</v>
      </c>
      <c r="I26" s="28">
        <f t="shared" ref="I26:Q26" si="11">I36/365</f>
        <v>130.40325725806449</v>
      </c>
      <c r="J26" s="28">
        <f t="shared" si="11"/>
        <v>130.40325725806449</v>
      </c>
      <c r="K26" s="28">
        <f t="shared" si="11"/>
        <v>130.40325725806449</v>
      </c>
      <c r="L26" s="28">
        <f t="shared" si="11"/>
        <v>130.40325725806449</v>
      </c>
      <c r="M26" s="28">
        <f t="shared" si="11"/>
        <v>130.40325725806449</v>
      </c>
      <c r="N26" s="28">
        <f t="shared" si="11"/>
        <v>130.40325725806449</v>
      </c>
      <c r="O26" s="28">
        <f t="shared" si="11"/>
        <v>130.40325725806449</v>
      </c>
      <c r="P26" s="28">
        <f t="shared" si="11"/>
        <v>130.40325725806449</v>
      </c>
      <c r="Q26" s="28">
        <f t="shared" si="11"/>
        <v>130.40325725806449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Assumptions'!$AD$17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354066.85244421189</v>
      </c>
      <c r="I32" s="28">
        <f t="shared" si="15"/>
        <v>354066.85244421189</v>
      </c>
      <c r="J32" s="28">
        <f t="shared" si="15"/>
        <v>354066.85244421189</v>
      </c>
      <c r="K32" s="28">
        <f t="shared" si="15"/>
        <v>354066.85244421189</v>
      </c>
      <c r="L32" s="28">
        <f t="shared" si="15"/>
        <v>354066.85244421189</v>
      </c>
      <c r="M32" s="28">
        <f t="shared" si="15"/>
        <v>354066.85244421189</v>
      </c>
      <c r="N32" s="28">
        <f t="shared" si="15"/>
        <v>354066.85244421189</v>
      </c>
      <c r="O32" s="28">
        <f t="shared" si="15"/>
        <v>354066.85244421189</v>
      </c>
      <c r="P32" s="28">
        <f t="shared" si="15"/>
        <v>354066.85244421189</v>
      </c>
      <c r="Q32" s="28">
        <f t="shared" si="15"/>
        <v>354066.85244421189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6.1249281846442312</v>
      </c>
      <c r="I33" s="37">
        <f t="shared" ref="I33:Q33" si="16">+H33*(1+$V34)</f>
        <v>6.1249281846442312</v>
      </c>
      <c r="J33" s="37">
        <f t="shared" si="16"/>
        <v>6.1249281846442312</v>
      </c>
      <c r="K33" s="37">
        <f t="shared" si="16"/>
        <v>6.1249281846442312</v>
      </c>
      <c r="L33" s="37">
        <f t="shared" si="16"/>
        <v>6.1249281846442312</v>
      </c>
      <c r="M33" s="37">
        <f t="shared" si="16"/>
        <v>6.1249281846442312</v>
      </c>
      <c r="N33" s="37">
        <f t="shared" si="16"/>
        <v>6.1249281846442312</v>
      </c>
      <c r="O33" s="37">
        <f t="shared" si="16"/>
        <v>6.1249281846442312</v>
      </c>
      <c r="P33" s="37">
        <f t="shared" si="16"/>
        <v>6.1249281846442312</v>
      </c>
      <c r="Q33" s="37">
        <f t="shared" si="16"/>
        <v>6.1249281846442312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2168.6340437838235</v>
      </c>
      <c r="I34" s="49">
        <f t="shared" si="17"/>
        <v>2168.6340437838235</v>
      </c>
      <c r="J34" s="49">
        <f t="shared" si="17"/>
        <v>2168.6340437838235</v>
      </c>
      <c r="K34" s="49">
        <f t="shared" si="17"/>
        <v>2168.6340437838235</v>
      </c>
      <c r="L34" s="49">
        <f t="shared" si="17"/>
        <v>2168.6340437838235</v>
      </c>
      <c r="M34" s="49">
        <f t="shared" si="17"/>
        <v>2168.6340437838235</v>
      </c>
      <c r="N34" s="49">
        <f t="shared" si="17"/>
        <v>2168.6340437838235</v>
      </c>
      <c r="O34" s="49">
        <f t="shared" si="17"/>
        <v>2168.6340437838235</v>
      </c>
      <c r="P34" s="49">
        <f t="shared" si="17"/>
        <v>2168.6340437838235</v>
      </c>
      <c r="Q34" s="49">
        <f t="shared" si="17"/>
        <v>2168.6340437838235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47597.188899193541</v>
      </c>
      <c r="I36" s="28">
        <f t="shared" si="18"/>
        <v>47597.188899193541</v>
      </c>
      <c r="J36" s="28">
        <f t="shared" si="18"/>
        <v>47597.188899193541</v>
      </c>
      <c r="K36" s="28">
        <f t="shared" si="18"/>
        <v>47597.188899193541</v>
      </c>
      <c r="L36" s="28">
        <f t="shared" si="18"/>
        <v>47597.188899193541</v>
      </c>
      <c r="M36" s="28">
        <f t="shared" si="18"/>
        <v>47597.188899193541</v>
      </c>
      <c r="N36" s="28">
        <f t="shared" si="18"/>
        <v>47597.188899193541</v>
      </c>
      <c r="O36" s="28">
        <f t="shared" si="18"/>
        <v>47597.188899193541</v>
      </c>
      <c r="P36" s="28">
        <f t="shared" si="18"/>
        <v>47597.188899193541</v>
      </c>
      <c r="Q36" s="28">
        <f t="shared" si="18"/>
        <v>47597.188899193541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Assumptions'!$AC$17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401664.04134340544</v>
      </c>
      <c r="I40" s="28">
        <f t="shared" ref="I40:Q40" si="21">I28+I32+I36</f>
        <v>401664.04134340544</v>
      </c>
      <c r="J40" s="28">
        <f t="shared" si="21"/>
        <v>401664.04134340544</v>
      </c>
      <c r="K40" s="28">
        <f t="shared" si="21"/>
        <v>401664.04134340544</v>
      </c>
      <c r="L40" s="28">
        <f t="shared" si="21"/>
        <v>401664.04134340544</v>
      </c>
      <c r="M40" s="28">
        <f t="shared" si="21"/>
        <v>401664.04134340544</v>
      </c>
      <c r="N40" s="28">
        <f t="shared" si="21"/>
        <v>401664.04134340544</v>
      </c>
      <c r="O40" s="28">
        <f t="shared" si="21"/>
        <v>401664.04134340544</v>
      </c>
      <c r="P40" s="28">
        <f t="shared" si="21"/>
        <v>401664.04134340544</v>
      </c>
      <c r="Q40" s="28">
        <f t="shared" si="21"/>
        <v>401664.04134340544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478515</v>
      </c>
      <c r="I41" s="28">
        <f t="shared" si="22"/>
        <v>478515</v>
      </c>
      <c r="J41" s="28">
        <f t="shared" si="22"/>
        <v>478515</v>
      </c>
      <c r="K41" s="28">
        <f t="shared" si="22"/>
        <v>478515</v>
      </c>
      <c r="L41" s="28">
        <f t="shared" si="22"/>
        <v>478515</v>
      </c>
      <c r="M41" s="28">
        <f t="shared" si="22"/>
        <v>478515</v>
      </c>
      <c r="N41" s="28">
        <f t="shared" si="22"/>
        <v>478515</v>
      </c>
      <c r="O41" s="28">
        <f t="shared" si="22"/>
        <v>478515</v>
      </c>
      <c r="P41" s="28">
        <f t="shared" si="22"/>
        <v>478515</v>
      </c>
      <c r="Q41" s="28">
        <f t="shared" si="22"/>
        <v>478515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0.83939697050960871</v>
      </c>
      <c r="I42" s="34">
        <f t="shared" si="23"/>
        <v>0.83939697050960871</v>
      </c>
      <c r="J42" s="34">
        <f t="shared" si="23"/>
        <v>0.83939697050960871</v>
      </c>
      <c r="K42" s="34">
        <f t="shared" si="23"/>
        <v>0.83939697050960871</v>
      </c>
      <c r="L42" s="34">
        <f t="shared" si="23"/>
        <v>0.83939697050960871</v>
      </c>
      <c r="M42" s="34">
        <f t="shared" si="23"/>
        <v>0.83939697050960871</v>
      </c>
      <c r="N42" s="34">
        <f t="shared" si="23"/>
        <v>0.83939697050960871</v>
      </c>
      <c r="O42" s="34">
        <f t="shared" si="23"/>
        <v>0.83939697050960871</v>
      </c>
      <c r="P42" s="34">
        <f t="shared" si="23"/>
        <v>0.83939697050960871</v>
      </c>
      <c r="Q42" s="34">
        <f t="shared" si="23"/>
        <v>0.83939697050960871</v>
      </c>
      <c r="S42" s="34"/>
      <c r="V42" s="45"/>
    </row>
    <row r="43" spans="2:24">
      <c r="C43" s="24" t="s">
        <v>46</v>
      </c>
      <c r="G43" s="34"/>
      <c r="H43" s="34">
        <f>(H28+H32)/H41</f>
        <v>0.73992842950422011</v>
      </c>
      <c r="I43" s="34">
        <f t="shared" ref="I43:Q43" si="24">(I28+I32)/I41</f>
        <v>0.73992842950422011</v>
      </c>
      <c r="J43" s="34">
        <f t="shared" si="24"/>
        <v>0.73992842950422011</v>
      </c>
      <c r="K43" s="34">
        <f t="shared" si="24"/>
        <v>0.73992842950422011</v>
      </c>
      <c r="L43" s="34">
        <f t="shared" si="24"/>
        <v>0.73992842950422011</v>
      </c>
      <c r="M43" s="34">
        <f t="shared" si="24"/>
        <v>0.73992842950422011</v>
      </c>
      <c r="N43" s="34">
        <f t="shared" si="24"/>
        <v>0.73992842950422011</v>
      </c>
      <c r="O43" s="34">
        <f t="shared" si="24"/>
        <v>0.73992842950422011</v>
      </c>
      <c r="P43" s="34">
        <f t="shared" si="24"/>
        <v>0.73992842950422011</v>
      </c>
      <c r="Q43" s="34">
        <f t="shared" si="24"/>
        <v>0.73992842950422011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2168.6340437838235</v>
      </c>
      <c r="I45" s="48">
        <f t="shared" si="25"/>
        <v>2168.6340437838235</v>
      </c>
      <c r="J45" s="48">
        <f t="shared" si="25"/>
        <v>2168.6340437838235</v>
      </c>
      <c r="K45" s="48">
        <f t="shared" si="25"/>
        <v>2168.6340437838235</v>
      </c>
      <c r="L45" s="48">
        <f t="shared" si="25"/>
        <v>2168.6340437838235</v>
      </c>
      <c r="M45" s="48">
        <f t="shared" si="25"/>
        <v>2168.6340437838235</v>
      </c>
      <c r="N45" s="48">
        <f t="shared" si="25"/>
        <v>2168.6340437838235</v>
      </c>
      <c r="O45" s="48">
        <f t="shared" si="25"/>
        <v>2168.6340437838235</v>
      </c>
      <c r="P45" s="48">
        <f t="shared" si="25"/>
        <v>2168.6340437838235</v>
      </c>
      <c r="Q45" s="48">
        <f t="shared" si="25"/>
        <v>2168.6340437838235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5.3991241947638899</v>
      </c>
      <c r="I46" s="51">
        <f t="shared" si="26"/>
        <v>5.3991241947638899</v>
      </c>
      <c r="J46" s="51">
        <f t="shared" si="26"/>
        <v>5.3991241947638899</v>
      </c>
      <c r="K46" s="51">
        <f t="shared" si="26"/>
        <v>5.3991241947638899</v>
      </c>
      <c r="L46" s="51">
        <f t="shared" si="26"/>
        <v>5.3991241947638899</v>
      </c>
      <c r="M46" s="51">
        <f t="shared" si="26"/>
        <v>5.3991241947638899</v>
      </c>
      <c r="N46" s="51">
        <f t="shared" si="26"/>
        <v>5.3991241947638899</v>
      </c>
      <c r="O46" s="51">
        <f t="shared" si="26"/>
        <v>5.3991241947638899</v>
      </c>
      <c r="P46" s="51">
        <f t="shared" si="26"/>
        <v>5.3991241947638899</v>
      </c>
      <c r="Q46" s="51">
        <f t="shared" si="26"/>
        <v>5.3991241947638899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2168.6340437838235</v>
      </c>
      <c r="I48" s="49">
        <f t="shared" si="27"/>
        <v>2168.6340437838235</v>
      </c>
      <c r="J48" s="49">
        <f t="shared" si="27"/>
        <v>2168.6340437838235</v>
      </c>
      <c r="K48" s="49">
        <f t="shared" si="27"/>
        <v>2168.6340437838235</v>
      </c>
      <c r="L48" s="49">
        <f t="shared" si="27"/>
        <v>2168.6340437838235</v>
      </c>
      <c r="M48" s="49">
        <f t="shared" si="27"/>
        <v>2168.6340437838235</v>
      </c>
      <c r="N48" s="49">
        <f t="shared" si="27"/>
        <v>2168.6340437838235</v>
      </c>
      <c r="O48" s="49">
        <f t="shared" si="27"/>
        <v>2168.6340437838235</v>
      </c>
      <c r="P48" s="49">
        <f t="shared" si="27"/>
        <v>2168.6340437838235</v>
      </c>
      <c r="Q48" s="49">
        <f t="shared" si="27"/>
        <v>2168.6340437838235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354066.85244421189</v>
      </c>
      <c r="I50" s="28">
        <f t="shared" si="29"/>
        <v>354066.85244421189</v>
      </c>
      <c r="J50" s="28">
        <f t="shared" si="29"/>
        <v>354066.85244421189</v>
      </c>
      <c r="K50" s="28">
        <f t="shared" si="29"/>
        <v>354066.85244421189</v>
      </c>
      <c r="L50" s="28">
        <f t="shared" si="29"/>
        <v>354066.85244421189</v>
      </c>
      <c r="M50" s="28">
        <f t="shared" si="29"/>
        <v>354066.85244421189</v>
      </c>
      <c r="N50" s="28">
        <f t="shared" si="29"/>
        <v>354066.85244421189</v>
      </c>
      <c r="O50" s="28">
        <f t="shared" si="29"/>
        <v>354066.85244421189</v>
      </c>
      <c r="P50" s="28">
        <f t="shared" si="29"/>
        <v>354066.85244421189</v>
      </c>
      <c r="Q50" s="28">
        <f t="shared" si="29"/>
        <v>354066.85244421189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47597.188899193541</v>
      </c>
      <c r="I51" s="28">
        <f t="shared" si="30"/>
        <v>47597.188899193541</v>
      </c>
      <c r="J51" s="28">
        <f t="shared" si="30"/>
        <v>47597.188899193541</v>
      </c>
      <c r="K51" s="28">
        <f t="shared" si="30"/>
        <v>47597.188899193541</v>
      </c>
      <c r="L51" s="28">
        <f t="shared" si="30"/>
        <v>47597.188899193541</v>
      </c>
      <c r="M51" s="28">
        <f t="shared" si="30"/>
        <v>47597.188899193541</v>
      </c>
      <c r="N51" s="28">
        <f t="shared" si="30"/>
        <v>47597.188899193541</v>
      </c>
      <c r="O51" s="28">
        <f t="shared" si="30"/>
        <v>47597.188899193541</v>
      </c>
      <c r="P51" s="28">
        <f t="shared" si="30"/>
        <v>47597.188899193541</v>
      </c>
      <c r="Q51" s="28">
        <f t="shared" si="30"/>
        <v>47597.188899193541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5.3991241947638899</v>
      </c>
      <c r="I52" s="54">
        <f t="shared" si="31"/>
        <v>5.3991241947638899</v>
      </c>
      <c r="J52" s="54">
        <f t="shared" si="31"/>
        <v>5.3991241947638899</v>
      </c>
      <c r="K52" s="54">
        <f t="shared" si="31"/>
        <v>5.3991241947638899</v>
      </c>
      <c r="L52" s="54">
        <f t="shared" si="31"/>
        <v>5.3991241947638899</v>
      </c>
      <c r="M52" s="54">
        <f t="shared" si="31"/>
        <v>5.3991241947638899</v>
      </c>
      <c r="N52" s="54">
        <f t="shared" si="31"/>
        <v>5.3991241947638899</v>
      </c>
      <c r="O52" s="54">
        <f t="shared" si="31"/>
        <v>5.3991241947638899</v>
      </c>
      <c r="P52" s="54">
        <f t="shared" si="31"/>
        <v>5.3991241947638899</v>
      </c>
      <c r="Q52" s="54">
        <f t="shared" si="31"/>
        <v>5.3991241947638899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6.1249281846442312</v>
      </c>
      <c r="I53" s="54">
        <f t="shared" si="32"/>
        <v>6.1249281846442312</v>
      </c>
      <c r="J53" s="54">
        <f t="shared" si="32"/>
        <v>6.1249281846442312</v>
      </c>
      <c r="K53" s="54">
        <f t="shared" si="32"/>
        <v>6.1249281846442312</v>
      </c>
      <c r="L53" s="54">
        <f t="shared" si="32"/>
        <v>6.1249281846442312</v>
      </c>
      <c r="M53" s="54">
        <f t="shared" si="32"/>
        <v>6.1249281846442312</v>
      </c>
      <c r="N53" s="54">
        <f t="shared" si="32"/>
        <v>6.1249281846442312</v>
      </c>
      <c r="O53" s="54">
        <f t="shared" si="32"/>
        <v>6.1249281846442312</v>
      </c>
      <c r="P53" s="54">
        <f t="shared" si="32"/>
        <v>6.1249281846442312</v>
      </c>
      <c r="Q53" s="54">
        <f t="shared" si="32"/>
        <v>6.1249281846442312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1.7754985500070453</v>
      </c>
      <c r="I57" s="188">
        <f>H57</f>
        <v>1.7754985500070453</v>
      </c>
      <c r="J57" s="188">
        <f t="shared" ref="J57:Q57" si="34">I57</f>
        <v>1.7754985500070453</v>
      </c>
      <c r="K57" s="188">
        <f t="shared" si="34"/>
        <v>1.7754985500070453</v>
      </c>
      <c r="L57" s="188">
        <f t="shared" si="34"/>
        <v>1.7754985500070453</v>
      </c>
      <c r="M57" s="188">
        <f t="shared" si="34"/>
        <v>1.7754985500070453</v>
      </c>
      <c r="N57" s="188">
        <f t="shared" si="34"/>
        <v>1.7754985500070453</v>
      </c>
      <c r="O57" s="188">
        <f t="shared" si="34"/>
        <v>1.7754985500070453</v>
      </c>
      <c r="P57" s="188">
        <f t="shared" si="34"/>
        <v>1.7754985500070453</v>
      </c>
      <c r="Q57" s="188">
        <f t="shared" si="34"/>
        <v>1.7754985500070453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Assumptions'!$P$17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Assumptions'!$Q$17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Assumptions'!$R$17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713.15392299518612</v>
      </c>
      <c r="I65" s="55">
        <f t="shared" si="40"/>
        <v>713.15392299518612</v>
      </c>
      <c r="J65" s="55">
        <f t="shared" si="40"/>
        <v>713.15392299518612</v>
      </c>
      <c r="K65" s="55">
        <f t="shared" si="40"/>
        <v>713.15392299518612</v>
      </c>
      <c r="L65" s="55">
        <f t="shared" si="40"/>
        <v>713.15392299518612</v>
      </c>
      <c r="M65" s="55">
        <f t="shared" si="40"/>
        <v>713.15392299518612</v>
      </c>
      <c r="N65" s="55">
        <f t="shared" si="40"/>
        <v>713.15392299518612</v>
      </c>
      <c r="O65" s="55">
        <f t="shared" si="40"/>
        <v>713.15392299518612</v>
      </c>
      <c r="P65" s="55">
        <f t="shared" si="40"/>
        <v>713.15392299518612</v>
      </c>
      <c r="Q65" s="55">
        <f t="shared" si="40"/>
        <v>713.15392299518612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119.62875</v>
      </c>
      <c r="I66" s="56">
        <f t="shared" ref="I66:Q66" si="41">+I$41*I58/1000</f>
        <v>119.62875</v>
      </c>
      <c r="J66" s="56">
        <f t="shared" si="41"/>
        <v>119.62875</v>
      </c>
      <c r="K66" s="56">
        <f t="shared" si="41"/>
        <v>119.62875</v>
      </c>
      <c r="L66" s="56">
        <f t="shared" si="41"/>
        <v>119.62875</v>
      </c>
      <c r="M66" s="56">
        <f t="shared" si="41"/>
        <v>119.62875</v>
      </c>
      <c r="N66" s="56">
        <f t="shared" si="41"/>
        <v>119.62875</v>
      </c>
      <c r="O66" s="56">
        <f t="shared" si="41"/>
        <v>119.62875</v>
      </c>
      <c r="P66" s="56">
        <f t="shared" si="41"/>
        <v>119.62875</v>
      </c>
      <c r="Q66" s="56">
        <f t="shared" si="41"/>
        <v>119.62875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Assumptions'!$C$6*PNW!H45</f>
        <v>0</v>
      </c>
      <c r="I69" s="703">
        <f>'Region Assumptions'!$C$6*PNW!I45</f>
        <v>0</v>
      </c>
      <c r="J69" s="703">
        <f>'Region Assumptions'!$C$6*PNW!J45</f>
        <v>0</v>
      </c>
      <c r="K69" s="703">
        <f>'Region Assumptions'!$C$6*PNW!K45</f>
        <v>0</v>
      </c>
      <c r="L69" s="703">
        <f>'Region Assumptions'!$C$6*PNW!L45</f>
        <v>0</v>
      </c>
      <c r="M69" s="703">
        <f>'Region Assumptions'!$C$6*PNW!M45</f>
        <v>0</v>
      </c>
      <c r="N69" s="703">
        <f>'Region Assumptions'!$C$6*PNW!N45</f>
        <v>0</v>
      </c>
      <c r="O69" s="703">
        <f>'Region Assumptions'!$C$6*PNW!O45</f>
        <v>0</v>
      </c>
      <c r="P69" s="703">
        <f>'Region Assumptions'!$C$6*PNW!P45</f>
        <v>0</v>
      </c>
      <c r="Q69" s="703">
        <f>'Region Assumptions'!$C$6*PNW!Q45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Assumptions'!$G$17/1000</f>
        <v>0</v>
      </c>
      <c r="I70" s="434">
        <f>I61*365*'Region Assumptions'!$G$17/1000</f>
        <v>0</v>
      </c>
      <c r="J70" s="434">
        <f>J61*365*'Region Assumptions'!$G$17/1000</f>
        <v>0</v>
      </c>
      <c r="K70" s="434">
        <f>K61*365*'Region Assumptions'!$G$17/1000</f>
        <v>0</v>
      </c>
      <c r="L70" s="434">
        <f>L61*365*'Region Assumptions'!$G$17/1000</f>
        <v>0</v>
      </c>
      <c r="M70" s="434">
        <f>M61*365*'Region Assumptions'!$G$17/1000</f>
        <v>0</v>
      </c>
      <c r="N70" s="434">
        <f>N61*365*'Region Assumptions'!$G$17/1000</f>
        <v>0</v>
      </c>
      <c r="O70" s="434">
        <f>O61*365*'Region Assumptions'!$G$17/1000</f>
        <v>0</v>
      </c>
      <c r="P70" s="434">
        <f>P61*365*'Region Assumptions'!$G$17/1000</f>
        <v>0</v>
      </c>
      <c r="Q70" s="434">
        <f>Q61*365*'Region Assumptions'!$G$17/1000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Assumptions'!$H$17/1000</f>
        <v>808.27425000000005</v>
      </c>
      <c r="I71" s="434">
        <f>I62*365*'Region Assumptions'!$H$17/1000</f>
        <v>808.27425000000005</v>
      </c>
      <c r="J71" s="434">
        <f>J62*365*'Region Assumptions'!$H$17/1000</f>
        <v>808.27425000000005</v>
      </c>
      <c r="K71" s="434">
        <f>K62*365*'Region Assumptions'!$H$17/1000</f>
        <v>808.27425000000005</v>
      </c>
      <c r="L71" s="434">
        <f>L62*365*'Region Assumptions'!$H$17/1000</f>
        <v>808.27425000000005</v>
      </c>
      <c r="M71" s="434">
        <f>M62*365*'Region Assumptions'!$H$17/1000</f>
        <v>808.27425000000005</v>
      </c>
      <c r="N71" s="434">
        <f>N62*365*'Region Assumptions'!$H$17/1000</f>
        <v>808.27425000000005</v>
      </c>
      <c r="O71" s="434">
        <f>O62*365*'Region Assumptions'!$H$17/1000</f>
        <v>808.27425000000005</v>
      </c>
      <c r="P71" s="434">
        <f>P62*365*'Region Assumptions'!$H$17/1000</f>
        <v>808.27425000000005</v>
      </c>
      <c r="Q71" s="434">
        <f>Q62*365*'Region Assumptions'!$H$17/1000</f>
        <v>808.27425000000005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Assumptions'!$I$17/1000</f>
        <v>0</v>
      </c>
      <c r="I72" s="434">
        <f>I63*365*'Region Assumptions'!$I$17/1000</f>
        <v>0</v>
      </c>
      <c r="J72" s="434">
        <f>J63*365*'Region Assumptions'!$I$17/1000</f>
        <v>0</v>
      </c>
      <c r="K72" s="434">
        <f>K63*365*'Region Assumptions'!$I$17/1000</f>
        <v>0</v>
      </c>
      <c r="L72" s="434">
        <f>L63*365*'Region Assumptions'!$I$17/1000</f>
        <v>0</v>
      </c>
      <c r="M72" s="434">
        <f>M63*365*'Region Assumptions'!$I$17/1000</f>
        <v>0</v>
      </c>
      <c r="N72" s="434">
        <f>N63*365*'Region Assumptions'!$I$17/1000</f>
        <v>0</v>
      </c>
      <c r="O72" s="434">
        <f>O63*365*'Region Assumptions'!$I$17/1000</f>
        <v>0</v>
      </c>
      <c r="P72" s="434">
        <f>P63*365*'Region Assumptions'!$I$17/1000</f>
        <v>0</v>
      </c>
      <c r="Q72" s="434">
        <f>Q63*365*'Region Assumptions'!$I$17/1000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Assumptions'!$AF$17/1000</f>
        <v>0</v>
      </c>
      <c r="I73" s="434">
        <f>(I28*(I29-I33))*'Region Assumptions'!$AF$17/1000</f>
        <v>0</v>
      </c>
      <c r="J73" s="434">
        <f>(J28*(J29-J33))*'Region Assumptions'!$AF$17/1000</f>
        <v>0</v>
      </c>
      <c r="K73" s="434">
        <f>(K28*(K29-K33))*'Region Assumptions'!$AF$17/1000</f>
        <v>0</v>
      </c>
      <c r="L73" s="434">
        <f>(L28*(L29-L33))*'Region Assumptions'!$AF$17/1000</f>
        <v>0</v>
      </c>
      <c r="M73" s="434">
        <f>(M28*(M29-M33))*'Region Assumptions'!$AF$17/1000</f>
        <v>0</v>
      </c>
      <c r="N73" s="434">
        <f>(N28*(N29-N33))*'Region Assumptions'!$AF$17/1000</f>
        <v>0</v>
      </c>
      <c r="O73" s="434">
        <f>(O28*(O29-O33))*'Region Assumptions'!$AF$17/1000</f>
        <v>0</v>
      </c>
      <c r="P73" s="434">
        <f>(P28*(P29-P33))*'Region Assumptions'!$AF$17/1000</f>
        <v>0</v>
      </c>
      <c r="Q73" s="434">
        <f>(Q28*(Q29-Q33))*'Region Assumptions'!$AF$17/1000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1641.0569229951861</v>
      </c>
      <c r="I74" s="48">
        <f t="shared" ref="I74:Q74" si="43">SUM(I65:I73)</f>
        <v>1641.0569229951861</v>
      </c>
      <c r="J74" s="48">
        <f t="shared" si="43"/>
        <v>1641.0569229951861</v>
      </c>
      <c r="K74" s="48">
        <f t="shared" si="43"/>
        <v>1641.0569229951861</v>
      </c>
      <c r="L74" s="48">
        <f t="shared" si="43"/>
        <v>1641.0569229951861</v>
      </c>
      <c r="M74" s="48">
        <f t="shared" si="43"/>
        <v>1641.0569229951861</v>
      </c>
      <c r="N74" s="48">
        <f t="shared" si="43"/>
        <v>1641.0569229951861</v>
      </c>
      <c r="O74" s="48">
        <f t="shared" si="43"/>
        <v>1641.0569229951861</v>
      </c>
      <c r="P74" s="48">
        <f t="shared" si="43"/>
        <v>1641.0569229951861</v>
      </c>
      <c r="Q74" s="48">
        <f t="shared" si="43"/>
        <v>1641.0569229951861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527.57712078863733</v>
      </c>
      <c r="I76" s="48">
        <f t="shared" ref="I76:Q76" si="44">+I45-I74</f>
        <v>527.57712078863733</v>
      </c>
      <c r="J76" s="48">
        <f t="shared" si="44"/>
        <v>527.57712078863733</v>
      </c>
      <c r="K76" s="48">
        <f t="shared" si="44"/>
        <v>527.57712078863733</v>
      </c>
      <c r="L76" s="48">
        <f t="shared" si="44"/>
        <v>527.57712078863733</v>
      </c>
      <c r="M76" s="48">
        <f t="shared" si="44"/>
        <v>527.57712078863733</v>
      </c>
      <c r="N76" s="48">
        <f t="shared" si="44"/>
        <v>527.57712078863733</v>
      </c>
      <c r="O76" s="48">
        <f t="shared" si="44"/>
        <v>527.57712078863733</v>
      </c>
      <c r="P76" s="48">
        <f t="shared" si="44"/>
        <v>527.57712078863733</v>
      </c>
      <c r="Q76" s="48">
        <f t="shared" si="44"/>
        <v>527.57712078863733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1.3134785952561325</v>
      </c>
      <c r="I77" s="37">
        <f t="shared" si="45"/>
        <v>1.3134785952561325</v>
      </c>
      <c r="J77" s="37">
        <f t="shared" si="45"/>
        <v>1.3134785952561325</v>
      </c>
      <c r="K77" s="37">
        <f t="shared" si="45"/>
        <v>1.3134785952561325</v>
      </c>
      <c r="L77" s="37">
        <f t="shared" si="45"/>
        <v>1.3134785952561325</v>
      </c>
      <c r="M77" s="37">
        <f t="shared" si="45"/>
        <v>1.3134785952561325</v>
      </c>
      <c r="N77" s="37">
        <f t="shared" si="45"/>
        <v>1.3134785952561325</v>
      </c>
      <c r="O77" s="37">
        <f t="shared" si="45"/>
        <v>1.3134785952561325</v>
      </c>
      <c r="P77" s="37">
        <f t="shared" si="45"/>
        <v>1.3134785952561325</v>
      </c>
      <c r="Q77" s="37">
        <f t="shared" si="45"/>
        <v>1.3134785952561325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1.1025299536872142</v>
      </c>
      <c r="I78" s="37">
        <f t="shared" si="46"/>
        <v>1.1025299536872142</v>
      </c>
      <c r="J78" s="37">
        <f t="shared" si="46"/>
        <v>1.1025299536872142</v>
      </c>
      <c r="K78" s="37">
        <f t="shared" si="46"/>
        <v>1.1025299536872142</v>
      </c>
      <c r="L78" s="37">
        <f t="shared" si="46"/>
        <v>1.1025299536872142</v>
      </c>
      <c r="M78" s="37">
        <f t="shared" si="46"/>
        <v>1.1025299536872142</v>
      </c>
      <c r="N78" s="37">
        <f t="shared" si="46"/>
        <v>1.1025299536872142</v>
      </c>
      <c r="O78" s="37">
        <f t="shared" si="46"/>
        <v>1.1025299536872142</v>
      </c>
      <c r="P78" s="37">
        <f t="shared" si="46"/>
        <v>1.1025299536872142</v>
      </c>
      <c r="Q78" s="37">
        <f t="shared" si="46"/>
        <v>1.1025299536872142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0.24327623293606654</v>
      </c>
      <c r="I79" s="57">
        <f t="shared" si="47"/>
        <v>0.24327623293606654</v>
      </c>
      <c r="J79" s="57">
        <f t="shared" si="47"/>
        <v>0.24327623293606654</v>
      </c>
      <c r="K79" s="57">
        <f t="shared" si="47"/>
        <v>0.24327623293606654</v>
      </c>
      <c r="L79" s="57">
        <f t="shared" si="47"/>
        <v>0.24327623293606654</v>
      </c>
      <c r="M79" s="57">
        <f t="shared" si="47"/>
        <v>0.24327623293606654</v>
      </c>
      <c r="N79" s="57">
        <f t="shared" si="47"/>
        <v>0.24327623293606654</v>
      </c>
      <c r="O79" s="57">
        <f t="shared" si="47"/>
        <v>0.24327623293606654</v>
      </c>
      <c r="P79" s="57">
        <f t="shared" si="47"/>
        <v>0.24327623293606654</v>
      </c>
      <c r="Q79" s="57">
        <f t="shared" si="47"/>
        <v>0.24327623293606654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Assumptions'!$F$17</f>
        <v>534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Assumptions'!$M$17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Assumptions'!$N$17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2136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Assumptions'!$X$17</f>
        <v>0.1</v>
      </c>
      <c r="G88" s="49">
        <f>F88*G87</f>
        <v>213.60000000000002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2349.6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Assumptions'!$T$17*PNW!G83/1000</f>
        <v>146.85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Assumptions'!$U$17*PNW!G83/1000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Assumptions'!$S$17*PNW!G83/1000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Assumptions'!$V$17*PNW!G83/1000</f>
        <v>120.15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108.43170218919118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Assumptions'!$W$17*'Region Assumptions'!$H$17/1000</f>
        <v>427.35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Assumptions'!$E$17*'Region Assumptions'!$C$4/1000</f>
        <v>16.353613719885669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786.42808846930564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3136.0280884693057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5.9442078985181945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-3027.5963862801145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Pending'!L12,PNW!G86)/1000</f>
        <v>1335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527.57712078863733</v>
      </c>
      <c r="I108" s="22">
        <f t="shared" si="49"/>
        <v>527.57712078863733</v>
      </c>
      <c r="J108" s="22">
        <f t="shared" si="49"/>
        <v>527.57712078863733</v>
      </c>
      <c r="K108" s="22">
        <f t="shared" si="49"/>
        <v>527.57712078863733</v>
      </c>
      <c r="L108" s="22">
        <f t="shared" si="49"/>
        <v>527.57712078863733</v>
      </c>
      <c r="M108" s="22">
        <f t="shared" si="49"/>
        <v>527.57712078863733</v>
      </c>
      <c r="N108" s="22">
        <f t="shared" si="49"/>
        <v>527.57712078863733</v>
      </c>
      <c r="O108" s="22">
        <f t="shared" si="49"/>
        <v>527.57712078863733</v>
      </c>
      <c r="P108" s="22">
        <f t="shared" si="49"/>
        <v>527.57712078863733</v>
      </c>
      <c r="Q108" s="22">
        <f t="shared" si="49"/>
        <v>527.57712078863733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-583.83293681818463</v>
      </c>
      <c r="I109" s="72">
        <f>'Region Assumptions'!$C$4*($G$105+$G$94)/5</f>
        <v>-583.83293681818463</v>
      </c>
      <c r="J109" s="72">
        <f>'Region Assumptions'!$C$4*($G$105+$G$94)/5</f>
        <v>-583.83293681818463</v>
      </c>
      <c r="K109" s="72">
        <f>'Region Assumptions'!$C$4*($G$105+$G$94)/5</f>
        <v>-583.83293681818463</v>
      </c>
      <c r="L109" s="72">
        <f>'Region Assumptions'!$C$4*($G$105+$G$94)/5</f>
        <v>-583.83293681818463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-56.255816029547304</v>
      </c>
      <c r="I110" s="73">
        <f t="shared" si="51"/>
        <v>-56.255816029547304</v>
      </c>
      <c r="J110" s="73">
        <f t="shared" si="51"/>
        <v>-56.255816029547304</v>
      </c>
      <c r="K110" s="73">
        <f t="shared" si="51"/>
        <v>-56.255816029547304</v>
      </c>
      <c r="L110" s="73">
        <f t="shared" si="51"/>
        <v>-56.255816029547304</v>
      </c>
      <c r="M110" s="73">
        <f t="shared" si="51"/>
        <v>527.57712078863733</v>
      </c>
      <c r="N110" s="73">
        <f t="shared" si="51"/>
        <v>527.57712078863733</v>
      </c>
      <c r="O110" s="73">
        <f t="shared" si="51"/>
        <v>527.57712078863733</v>
      </c>
      <c r="P110" s="73">
        <f t="shared" si="51"/>
        <v>527.57712078863733</v>
      </c>
      <c r="Q110" s="73">
        <f t="shared" si="51"/>
        <v>527.57712078863733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0</v>
      </c>
      <c r="I111" s="72">
        <f t="shared" si="52"/>
        <v>0</v>
      </c>
      <c r="J111" s="72">
        <f t="shared" si="52"/>
        <v>0</v>
      </c>
      <c r="K111" s="72">
        <f t="shared" si="52"/>
        <v>0</v>
      </c>
      <c r="L111" s="72">
        <f t="shared" si="52"/>
        <v>0</v>
      </c>
      <c r="M111" s="72">
        <f t="shared" si="52"/>
        <v>-211.03084831545493</v>
      </c>
      <c r="N111" s="72">
        <f t="shared" si="52"/>
        <v>-211.03084831545493</v>
      </c>
      <c r="O111" s="72">
        <f t="shared" si="52"/>
        <v>-211.03084831545493</v>
      </c>
      <c r="P111" s="72">
        <f t="shared" si="52"/>
        <v>-211.03084831545493</v>
      </c>
      <c r="Q111" s="72">
        <f t="shared" si="52"/>
        <v>-211.03084831545493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527.57712078863733</v>
      </c>
      <c r="I112" s="72">
        <f t="shared" si="53"/>
        <v>527.57712078863733</v>
      </c>
      <c r="J112" s="72">
        <f t="shared" si="53"/>
        <v>527.57712078863733</v>
      </c>
      <c r="K112" s="72">
        <f t="shared" si="53"/>
        <v>527.57712078863733</v>
      </c>
      <c r="L112" s="72">
        <f t="shared" si="53"/>
        <v>527.57712078863733</v>
      </c>
      <c r="M112" s="72">
        <f t="shared" si="53"/>
        <v>316.5462724731824</v>
      </c>
      <c r="N112" s="72">
        <f t="shared" si="53"/>
        <v>316.5462724731824</v>
      </c>
      <c r="O112" s="72">
        <f t="shared" si="53"/>
        <v>316.5462724731824</v>
      </c>
      <c r="P112" s="72">
        <f t="shared" si="53"/>
        <v>316.5462724731824</v>
      </c>
      <c r="Q112" s="72">
        <f t="shared" si="53"/>
        <v>316.5462724731824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-108.43170218919118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419.14541859944615</v>
      </c>
      <c r="I115" s="75">
        <f t="shared" si="56"/>
        <v>527.57712078863733</v>
      </c>
      <c r="J115" s="75">
        <f t="shared" si="56"/>
        <v>527.57712078863733</v>
      </c>
      <c r="K115" s="75">
        <f t="shared" si="56"/>
        <v>527.57712078863733</v>
      </c>
      <c r="L115" s="75">
        <f t="shared" si="56"/>
        <v>527.57712078863733</v>
      </c>
      <c r="M115" s="75">
        <f t="shared" si="56"/>
        <v>316.5462724731824</v>
      </c>
      <c r="N115" s="75">
        <f t="shared" si="56"/>
        <v>316.5462724731824</v>
      </c>
      <c r="O115" s="75">
        <f t="shared" si="56"/>
        <v>316.5462724731824</v>
      </c>
      <c r="P115" s="75">
        <f t="shared" si="56"/>
        <v>316.5462724731824</v>
      </c>
      <c r="Q115" s="75">
        <f t="shared" si="56"/>
        <v>316.5462724731824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-3027.5963862801145</v>
      </c>
      <c r="H117" s="70">
        <f t="shared" si="57"/>
        <v>419.14541859944615</v>
      </c>
      <c r="I117" s="70">
        <f t="shared" si="57"/>
        <v>527.57712078863733</v>
      </c>
      <c r="J117" s="70">
        <f t="shared" si="57"/>
        <v>527.57712078863733</v>
      </c>
      <c r="K117" s="70">
        <f t="shared" si="57"/>
        <v>527.57712078863733</v>
      </c>
      <c r="L117" s="70">
        <f t="shared" si="57"/>
        <v>527.57712078863733</v>
      </c>
      <c r="M117" s="70">
        <f t="shared" si="57"/>
        <v>316.5462724731824</v>
      </c>
      <c r="N117" s="70">
        <f t="shared" si="57"/>
        <v>316.5462724731824</v>
      </c>
      <c r="O117" s="70">
        <f t="shared" si="57"/>
        <v>316.5462724731824</v>
      </c>
      <c r="P117" s="70">
        <f t="shared" si="57"/>
        <v>316.5462724731824</v>
      </c>
      <c r="Q117" s="70">
        <f t="shared" si="57"/>
        <v>1651.5462724731824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0.10921572605347829</v>
      </c>
      <c r="F119" s="70">
        <f>+NPV(0.12,G117:Q117)</f>
        <v>-129.73224731204289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-3027.5963862801145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2637.8856039431867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527.57712078863733</v>
      </c>
      <c r="I125" s="22">
        <f t="shared" si="59"/>
        <v>527.57712078863733</v>
      </c>
      <c r="J125" s="22">
        <f t="shared" si="59"/>
        <v>527.57712078863733</v>
      </c>
      <c r="K125" s="22">
        <f t="shared" si="59"/>
        <v>527.57712078863733</v>
      </c>
      <c r="L125" s="22">
        <f t="shared" si="59"/>
        <v>527.57712078863733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-583.83293681818463</v>
      </c>
      <c r="I126" s="72">
        <f t="shared" si="59"/>
        <v>-583.83293681818463</v>
      </c>
      <c r="J126" s="72">
        <f t="shared" si="59"/>
        <v>-583.83293681818463</v>
      </c>
      <c r="K126" s="72">
        <f t="shared" si="59"/>
        <v>-583.83293681818463</v>
      </c>
      <c r="L126" s="72">
        <f t="shared" si="59"/>
        <v>-583.83293681818463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-56.255816029547304</v>
      </c>
      <c r="I127" s="73">
        <f>SUM(I125:I126)</f>
        <v>-56.255816029547304</v>
      </c>
      <c r="J127" s="73">
        <f>SUM(J125:J126)</f>
        <v>-56.255816029547304</v>
      </c>
      <c r="K127" s="73">
        <f>SUM(K125:K126)</f>
        <v>-56.255816029547304</v>
      </c>
      <c r="L127" s="73">
        <f>SUM(L125:L126)</f>
        <v>-56.255816029547304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0</v>
      </c>
      <c r="I128" s="72">
        <f t="shared" si="60"/>
        <v>0</v>
      </c>
      <c r="J128" s="72">
        <f t="shared" si="60"/>
        <v>0</v>
      </c>
      <c r="K128" s="72">
        <f t="shared" si="60"/>
        <v>0</v>
      </c>
      <c r="L128" s="72">
        <f t="shared" si="60"/>
        <v>0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527.57712078863733</v>
      </c>
      <c r="I129" s="72">
        <f>SUM(I125:I125,I128)</f>
        <v>527.57712078863733</v>
      </c>
      <c r="J129" s="72">
        <f>SUM(J125:J125,J128)</f>
        <v>527.57712078863733</v>
      </c>
      <c r="K129" s="72">
        <f>SUM(K125:K125,K128)</f>
        <v>527.57712078863733</v>
      </c>
      <c r="L129" s="72">
        <f>SUM(L125:L125,L128)</f>
        <v>527.57712078863733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-108.43170218919118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419.14541859944615</v>
      </c>
      <c r="I132" s="73">
        <f>SUM(I129:I131)</f>
        <v>527.57712078863733</v>
      </c>
      <c r="J132" s="73">
        <f>SUM(J129:J131)</f>
        <v>527.57712078863733</v>
      </c>
      <c r="K132" s="73">
        <f>SUM(K129:K131)</f>
        <v>527.57712078863733</v>
      </c>
      <c r="L132" s="73">
        <f>SUM(L129:L131)</f>
        <v>527.57712078863733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-3027.5963862801145</v>
      </c>
      <c r="H134" s="70">
        <f t="shared" si="62"/>
        <v>419.14541859944615</v>
      </c>
      <c r="I134" s="70">
        <f t="shared" si="62"/>
        <v>527.57712078863733</v>
      </c>
      <c r="J134" s="70">
        <f t="shared" si="62"/>
        <v>527.57712078863733</v>
      </c>
      <c r="K134" s="70">
        <f t="shared" si="62"/>
        <v>527.57712078863733</v>
      </c>
      <c r="L134" s="70">
        <f t="shared" si="62"/>
        <v>3165.462724731824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0.14577290957595079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AA152"/>
  <sheetViews>
    <sheetView showGridLines="0" tabSelected="1" topLeftCell="A42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458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846748.46622529591</v>
      </c>
      <c r="H7" s="184">
        <f t="shared" ref="H7:Q7" si="1">$G$9*H11*(1-$G$12)</f>
        <v>846748.46622529591</v>
      </c>
      <c r="I7" s="184">
        <f t="shared" si="1"/>
        <v>846748.46622529591</v>
      </c>
      <c r="J7" s="184">
        <f t="shared" si="1"/>
        <v>846748.46622529591</v>
      </c>
      <c r="K7" s="184">
        <f t="shared" si="1"/>
        <v>846748.46622529591</v>
      </c>
      <c r="L7" s="184">
        <f t="shared" si="1"/>
        <v>846748.46622529591</v>
      </c>
      <c r="M7" s="184">
        <f t="shared" si="1"/>
        <v>846748.46622529591</v>
      </c>
      <c r="N7" s="184">
        <f t="shared" si="1"/>
        <v>846748.46622529591</v>
      </c>
      <c r="O7" s="184">
        <f t="shared" si="1"/>
        <v>846748.46622529591</v>
      </c>
      <c r="P7" s="184">
        <f t="shared" si="1"/>
        <v>846748.46622529591</v>
      </c>
      <c r="Q7" s="184">
        <f t="shared" si="1"/>
        <v>846748.46622529591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113828.35308870967</v>
      </c>
      <c r="H8" s="184">
        <f t="shared" si="2"/>
        <v>113828.35308870967</v>
      </c>
      <c r="I8" s="184">
        <f t="shared" si="2"/>
        <v>113828.35308870967</v>
      </c>
      <c r="J8" s="184">
        <f t="shared" si="2"/>
        <v>113828.35308870967</v>
      </c>
      <c r="K8" s="184">
        <f t="shared" si="2"/>
        <v>113828.35308870967</v>
      </c>
      <c r="L8" s="184">
        <f t="shared" si="2"/>
        <v>113828.35308870967</v>
      </c>
      <c r="M8" s="184">
        <f t="shared" si="2"/>
        <v>113828.35308870967</v>
      </c>
      <c r="N8" s="184">
        <f t="shared" si="2"/>
        <v>113828.35308870967</v>
      </c>
      <c r="O8" s="184">
        <f t="shared" si="2"/>
        <v>113828.35308870967</v>
      </c>
      <c r="P8" s="184">
        <f t="shared" si="2"/>
        <v>113828.35308870967</v>
      </c>
      <c r="Q8" s="184">
        <f t="shared" si="2"/>
        <v>113828.35308870967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Assumptions'!$K$18*365</f>
        <v>960576.81931400567</v>
      </c>
      <c r="H9" s="268">
        <f t="shared" ref="H9:Q9" si="3">G9</f>
        <v>960576.81931400567</v>
      </c>
      <c r="I9" s="268">
        <f t="shared" si="3"/>
        <v>960576.81931400567</v>
      </c>
      <c r="J9" s="268">
        <f t="shared" si="3"/>
        <v>960576.81931400567</v>
      </c>
      <c r="K9" s="268">
        <f t="shared" si="3"/>
        <v>960576.81931400567</v>
      </c>
      <c r="L9" s="268">
        <f t="shared" si="3"/>
        <v>960576.81931400567</v>
      </c>
      <c r="M9" s="268">
        <f t="shared" si="3"/>
        <v>960576.81931400567</v>
      </c>
      <c r="N9" s="268">
        <f t="shared" si="3"/>
        <v>960576.81931400567</v>
      </c>
      <c r="O9" s="268">
        <f t="shared" si="3"/>
        <v>960576.81931400567</v>
      </c>
      <c r="P9" s="268">
        <f>O9</f>
        <v>960576.81931400567</v>
      </c>
      <c r="Q9" s="268">
        <f t="shared" si="3"/>
        <v>960576.81931400567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Assumptions'!$AE$18</f>
        <v>0</v>
      </c>
      <c r="I10" s="438">
        <f>H10+'Region Assumptions'!$AE$18</f>
        <v>0</v>
      </c>
      <c r="J10" s="438">
        <f>I10+'Region Assumptions'!$AE$18</f>
        <v>0</v>
      </c>
      <c r="K10" s="438">
        <f>J10+'Region Assumptions'!$AE$18</f>
        <v>0</v>
      </c>
      <c r="L10" s="438">
        <f>K10+'Region Assumptions'!$AE$18</f>
        <v>0</v>
      </c>
      <c r="M10" s="438">
        <f>L10+'Region Assumptions'!$AE$18</f>
        <v>0</v>
      </c>
      <c r="N10" s="438">
        <f>M10+'Region Assumptions'!$AE$18</f>
        <v>0</v>
      </c>
      <c r="O10" s="438">
        <f>N10+'Region Assumptions'!$AE$18</f>
        <v>0</v>
      </c>
      <c r="P10" s="438">
        <f>O10+'Region Assumptions'!$AE$18</f>
        <v>0</v>
      </c>
      <c r="Q10" s="438">
        <f>P10+'Region Assumptions'!$AE$18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Assumptions'!$Y$18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0.83334937086417249</v>
      </c>
      <c r="I13" s="269">
        <f t="shared" ref="I13:Q13" si="6">I9/I23/365</f>
        <v>0.83334937086417249</v>
      </c>
      <c r="J13" s="269">
        <f t="shared" si="6"/>
        <v>0.83334937086417249</v>
      </c>
      <c r="K13" s="269">
        <f t="shared" si="6"/>
        <v>0.83334937086417249</v>
      </c>
      <c r="L13" s="269">
        <f t="shared" si="6"/>
        <v>0.83334937086417249</v>
      </c>
      <c r="M13" s="269">
        <f t="shared" si="6"/>
        <v>0.83334937086417249</v>
      </c>
      <c r="N13" s="269">
        <f t="shared" si="6"/>
        <v>0.83334937086417249</v>
      </c>
      <c r="O13" s="269">
        <f t="shared" si="6"/>
        <v>0.83334937086417249</v>
      </c>
      <c r="P13" s="269">
        <f t="shared" si="6"/>
        <v>0.83334937086417249</v>
      </c>
      <c r="Q13" s="269">
        <f t="shared" si="6"/>
        <v>0.83334937086417249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3802.1284200962018</v>
      </c>
      <c r="F17" s="203">
        <f>F18*$H$17/1000</f>
        <v>240.14420482850139</v>
      </c>
      <c r="G17" s="203">
        <f>G18*$H$17/1000</f>
        <v>0</v>
      </c>
      <c r="H17" s="204">
        <f>H40</f>
        <v>960576.81931400555</v>
      </c>
      <c r="I17" s="204">
        <f>H23*365</f>
        <v>1152670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Assumptions'!$Z$18</f>
        <v>3.9581721561961967</v>
      </c>
      <c r="F18" s="690">
        <f>'Region Assumptions'!$AB$18</f>
        <v>0.25</v>
      </c>
      <c r="G18" s="690">
        <f>'Region Assumptions'!$AA$18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3.2985402761381852</v>
      </c>
      <c r="F19" s="188">
        <f>F17/$I17*1000</f>
        <v>0.20833734271604307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Assumptions'!$F$18+'Region Assumptions'!$G$18+'Region Assumptions'!$H$18</f>
        <v>3158</v>
      </c>
      <c r="I23" s="184">
        <f>H23</f>
        <v>3158</v>
      </c>
      <c r="J23" s="184">
        <f t="shared" ref="J23:Q23" si="8">I23</f>
        <v>3158</v>
      </c>
      <c r="K23" s="184">
        <f t="shared" si="8"/>
        <v>3158</v>
      </c>
      <c r="L23" s="184">
        <f t="shared" si="8"/>
        <v>3158</v>
      </c>
      <c r="M23" s="184">
        <f t="shared" si="8"/>
        <v>3158</v>
      </c>
      <c r="N23" s="184">
        <f t="shared" si="8"/>
        <v>3158</v>
      </c>
      <c r="O23" s="184">
        <f t="shared" si="8"/>
        <v>3158</v>
      </c>
      <c r="P23" s="184">
        <f t="shared" si="8"/>
        <v>3158</v>
      </c>
      <c r="Q23" s="184">
        <f t="shared" si="8"/>
        <v>3158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2453.8994254999993</v>
      </c>
      <c r="I25" s="28">
        <f t="shared" ref="I25:Q25" si="10">I32/365/I13*(1-I12)</f>
        <v>2453.8994254999993</v>
      </c>
      <c r="J25" s="28">
        <f t="shared" si="10"/>
        <v>2453.8994254999993</v>
      </c>
      <c r="K25" s="28">
        <f t="shared" si="10"/>
        <v>2453.8994254999993</v>
      </c>
      <c r="L25" s="28">
        <f t="shared" si="10"/>
        <v>2453.8994254999993</v>
      </c>
      <c r="M25" s="28">
        <f t="shared" si="10"/>
        <v>2453.8994254999993</v>
      </c>
      <c r="N25" s="28">
        <f t="shared" si="10"/>
        <v>2453.8994254999993</v>
      </c>
      <c r="O25" s="28">
        <f t="shared" si="10"/>
        <v>2453.8994254999993</v>
      </c>
      <c r="P25" s="28">
        <f t="shared" si="10"/>
        <v>2453.8994254999993</v>
      </c>
      <c r="Q25" s="28">
        <f t="shared" si="10"/>
        <v>2453.8994254999993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311.85850161290318</v>
      </c>
      <c r="I26" s="28">
        <f t="shared" ref="I26:Q26" si="11">I36/365</f>
        <v>311.85850161290318</v>
      </c>
      <c r="J26" s="28">
        <f t="shared" si="11"/>
        <v>311.85850161290318</v>
      </c>
      <c r="K26" s="28">
        <f t="shared" si="11"/>
        <v>311.85850161290318</v>
      </c>
      <c r="L26" s="28">
        <f t="shared" si="11"/>
        <v>311.85850161290318</v>
      </c>
      <c r="M26" s="28">
        <f t="shared" si="11"/>
        <v>311.85850161290318</v>
      </c>
      <c r="N26" s="28">
        <f t="shared" si="11"/>
        <v>311.85850161290318</v>
      </c>
      <c r="O26" s="28">
        <f t="shared" si="11"/>
        <v>311.85850161290318</v>
      </c>
      <c r="P26" s="28">
        <f t="shared" si="11"/>
        <v>311.85850161290318</v>
      </c>
      <c r="Q26" s="28">
        <f t="shared" si="11"/>
        <v>311.85850161290318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Assumptions'!$AD$18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846748.46622529591</v>
      </c>
      <c r="I32" s="28">
        <f t="shared" si="15"/>
        <v>846748.46622529591</v>
      </c>
      <c r="J32" s="28">
        <f t="shared" si="15"/>
        <v>846748.46622529591</v>
      </c>
      <c r="K32" s="28">
        <f t="shared" si="15"/>
        <v>846748.46622529591</v>
      </c>
      <c r="L32" s="28">
        <f t="shared" si="15"/>
        <v>846748.46622529591</v>
      </c>
      <c r="M32" s="28">
        <f t="shared" si="15"/>
        <v>846748.46622529591</v>
      </c>
      <c r="N32" s="28">
        <f t="shared" si="15"/>
        <v>846748.46622529591</v>
      </c>
      <c r="O32" s="28">
        <f t="shared" si="15"/>
        <v>846748.46622529591</v>
      </c>
      <c r="P32" s="28">
        <f t="shared" si="15"/>
        <v>846748.46622529591</v>
      </c>
      <c r="Q32" s="28">
        <f t="shared" si="15"/>
        <v>846748.46622529591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8.8181885520461822</v>
      </c>
      <c r="I33" s="37">
        <f t="shared" ref="I33:Q33" si="16">+H33*(1+$V34)</f>
        <v>8.8181885520461822</v>
      </c>
      <c r="J33" s="37">
        <f t="shared" si="16"/>
        <v>8.8181885520461822</v>
      </c>
      <c r="K33" s="37">
        <f t="shared" si="16"/>
        <v>8.8181885520461822</v>
      </c>
      <c r="L33" s="37">
        <f t="shared" si="16"/>
        <v>8.8181885520461822</v>
      </c>
      <c r="M33" s="37">
        <f t="shared" si="16"/>
        <v>8.8181885520461822</v>
      </c>
      <c r="N33" s="37">
        <f t="shared" si="16"/>
        <v>8.8181885520461822</v>
      </c>
      <c r="O33" s="37">
        <f t="shared" si="16"/>
        <v>8.8181885520461822</v>
      </c>
      <c r="P33" s="37">
        <f t="shared" si="16"/>
        <v>8.8181885520461822</v>
      </c>
      <c r="Q33" s="37">
        <f t="shared" si="16"/>
        <v>8.8181885520461822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7466.7876313305678</v>
      </c>
      <c r="I34" s="49">
        <f t="shared" si="17"/>
        <v>7466.7876313305678</v>
      </c>
      <c r="J34" s="49">
        <f t="shared" si="17"/>
        <v>7466.7876313305678</v>
      </c>
      <c r="K34" s="49">
        <f t="shared" si="17"/>
        <v>7466.7876313305678</v>
      </c>
      <c r="L34" s="49">
        <f t="shared" si="17"/>
        <v>7466.7876313305678</v>
      </c>
      <c r="M34" s="49">
        <f t="shared" si="17"/>
        <v>7466.7876313305678</v>
      </c>
      <c r="N34" s="49">
        <f t="shared" si="17"/>
        <v>7466.7876313305678</v>
      </c>
      <c r="O34" s="49">
        <f t="shared" si="17"/>
        <v>7466.7876313305678</v>
      </c>
      <c r="P34" s="49">
        <f t="shared" si="17"/>
        <v>7466.7876313305678</v>
      </c>
      <c r="Q34" s="49">
        <f t="shared" si="17"/>
        <v>7466.7876313305678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113828.35308870967</v>
      </c>
      <c r="I36" s="28">
        <f t="shared" si="18"/>
        <v>113828.35308870967</v>
      </c>
      <c r="J36" s="28">
        <f t="shared" si="18"/>
        <v>113828.35308870967</v>
      </c>
      <c r="K36" s="28">
        <f t="shared" si="18"/>
        <v>113828.35308870967</v>
      </c>
      <c r="L36" s="28">
        <f t="shared" si="18"/>
        <v>113828.35308870967</v>
      </c>
      <c r="M36" s="28">
        <f t="shared" si="18"/>
        <v>113828.35308870967</v>
      </c>
      <c r="N36" s="28">
        <f t="shared" si="18"/>
        <v>113828.35308870967</v>
      </c>
      <c r="O36" s="28">
        <f t="shared" si="18"/>
        <v>113828.35308870967</v>
      </c>
      <c r="P36" s="28">
        <f t="shared" si="18"/>
        <v>113828.35308870967</v>
      </c>
      <c r="Q36" s="28">
        <f t="shared" si="18"/>
        <v>113828.35308870967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Assumptions'!$AC$18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960576.81931400555</v>
      </c>
      <c r="I40" s="28">
        <f t="shared" ref="I40:Q40" si="21">I28+I32+I36</f>
        <v>960576.81931400555</v>
      </c>
      <c r="J40" s="28">
        <f t="shared" si="21"/>
        <v>960576.81931400555</v>
      </c>
      <c r="K40" s="28">
        <f t="shared" si="21"/>
        <v>960576.81931400555</v>
      </c>
      <c r="L40" s="28">
        <f t="shared" si="21"/>
        <v>960576.81931400555</v>
      </c>
      <c r="M40" s="28">
        <f t="shared" si="21"/>
        <v>960576.81931400555</v>
      </c>
      <c r="N40" s="28">
        <f t="shared" si="21"/>
        <v>960576.81931400555</v>
      </c>
      <c r="O40" s="28">
        <f t="shared" si="21"/>
        <v>960576.81931400555</v>
      </c>
      <c r="P40" s="28">
        <f t="shared" si="21"/>
        <v>960576.81931400555</v>
      </c>
      <c r="Q40" s="28">
        <f t="shared" si="21"/>
        <v>960576.81931400555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1152670</v>
      </c>
      <c r="I41" s="28">
        <f t="shared" si="22"/>
        <v>1152670</v>
      </c>
      <c r="J41" s="28">
        <f t="shared" si="22"/>
        <v>1152670</v>
      </c>
      <c r="K41" s="28">
        <f t="shared" si="22"/>
        <v>1152670</v>
      </c>
      <c r="L41" s="28">
        <f t="shared" si="22"/>
        <v>1152670</v>
      </c>
      <c r="M41" s="28">
        <f t="shared" si="22"/>
        <v>1152670</v>
      </c>
      <c r="N41" s="28">
        <f t="shared" si="22"/>
        <v>1152670</v>
      </c>
      <c r="O41" s="28">
        <f t="shared" si="22"/>
        <v>1152670</v>
      </c>
      <c r="P41" s="28">
        <f t="shared" si="22"/>
        <v>1152670</v>
      </c>
      <c r="Q41" s="28">
        <f t="shared" si="22"/>
        <v>1152670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0.83334937086417238</v>
      </c>
      <c r="I42" s="34">
        <f t="shared" si="23"/>
        <v>0.83334937086417238</v>
      </c>
      <c r="J42" s="34">
        <f t="shared" si="23"/>
        <v>0.83334937086417238</v>
      </c>
      <c r="K42" s="34">
        <f t="shared" si="23"/>
        <v>0.83334937086417238</v>
      </c>
      <c r="L42" s="34">
        <f t="shared" si="23"/>
        <v>0.83334937086417238</v>
      </c>
      <c r="M42" s="34">
        <f t="shared" si="23"/>
        <v>0.83334937086417238</v>
      </c>
      <c r="N42" s="34">
        <f t="shared" si="23"/>
        <v>0.83334937086417238</v>
      </c>
      <c r="O42" s="34">
        <f t="shared" si="23"/>
        <v>0.83334937086417238</v>
      </c>
      <c r="P42" s="34">
        <f t="shared" si="23"/>
        <v>0.83334937086417238</v>
      </c>
      <c r="Q42" s="34">
        <f t="shared" si="23"/>
        <v>0.83334937086417238</v>
      </c>
      <c r="S42" s="34"/>
      <c r="V42" s="45"/>
    </row>
    <row r="43" spans="2:24">
      <c r="C43" s="24" t="s">
        <v>46</v>
      </c>
      <c r="G43" s="34"/>
      <c r="H43" s="34">
        <f>(H28+H32)/H41</f>
        <v>0.73459747041676793</v>
      </c>
      <c r="I43" s="34">
        <f t="shared" ref="I43:Q43" si="24">(I28+I32)/I41</f>
        <v>0.73459747041676793</v>
      </c>
      <c r="J43" s="34">
        <f t="shared" si="24"/>
        <v>0.73459747041676793</v>
      </c>
      <c r="K43" s="34">
        <f t="shared" si="24"/>
        <v>0.73459747041676793</v>
      </c>
      <c r="L43" s="34">
        <f t="shared" si="24"/>
        <v>0.73459747041676793</v>
      </c>
      <c r="M43" s="34">
        <f t="shared" si="24"/>
        <v>0.73459747041676793</v>
      </c>
      <c r="N43" s="34">
        <f t="shared" si="24"/>
        <v>0.73459747041676793</v>
      </c>
      <c r="O43" s="34">
        <f t="shared" si="24"/>
        <v>0.73459747041676793</v>
      </c>
      <c r="P43" s="34">
        <f t="shared" si="24"/>
        <v>0.73459747041676793</v>
      </c>
      <c r="Q43" s="34">
        <f t="shared" si="24"/>
        <v>0.73459747041676793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7466.7876313305678</v>
      </c>
      <c r="I45" s="48">
        <f t="shared" si="25"/>
        <v>7466.7876313305678</v>
      </c>
      <c r="J45" s="48">
        <f t="shared" si="25"/>
        <v>7466.7876313305678</v>
      </c>
      <c r="K45" s="48">
        <f t="shared" si="25"/>
        <v>7466.7876313305678</v>
      </c>
      <c r="L45" s="48">
        <f t="shared" si="25"/>
        <v>7466.7876313305678</v>
      </c>
      <c r="M45" s="48">
        <f t="shared" si="25"/>
        <v>7466.7876313305678</v>
      </c>
      <c r="N45" s="48">
        <f t="shared" si="25"/>
        <v>7466.7876313305678</v>
      </c>
      <c r="O45" s="48">
        <f t="shared" si="25"/>
        <v>7466.7876313305678</v>
      </c>
      <c r="P45" s="48">
        <f t="shared" si="25"/>
        <v>7466.7876313305678</v>
      </c>
      <c r="Q45" s="48">
        <f t="shared" si="25"/>
        <v>7466.7876313305678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7.7732332086287093</v>
      </c>
      <c r="I46" s="51">
        <f t="shared" si="26"/>
        <v>7.7732332086287093</v>
      </c>
      <c r="J46" s="51">
        <f t="shared" si="26"/>
        <v>7.7732332086287093</v>
      </c>
      <c r="K46" s="51">
        <f t="shared" si="26"/>
        <v>7.7732332086287093</v>
      </c>
      <c r="L46" s="51">
        <f t="shared" si="26"/>
        <v>7.7732332086287093</v>
      </c>
      <c r="M46" s="51">
        <f t="shared" si="26"/>
        <v>7.7732332086287093</v>
      </c>
      <c r="N46" s="51">
        <f t="shared" si="26"/>
        <v>7.7732332086287093</v>
      </c>
      <c r="O46" s="51">
        <f t="shared" si="26"/>
        <v>7.7732332086287093</v>
      </c>
      <c r="P46" s="51">
        <f t="shared" si="26"/>
        <v>7.7732332086287093</v>
      </c>
      <c r="Q46" s="51">
        <f t="shared" si="26"/>
        <v>7.7732332086287093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7466.7876313305678</v>
      </c>
      <c r="I48" s="49">
        <f t="shared" si="27"/>
        <v>7466.7876313305678</v>
      </c>
      <c r="J48" s="49">
        <f t="shared" si="27"/>
        <v>7466.7876313305678</v>
      </c>
      <c r="K48" s="49">
        <f t="shared" si="27"/>
        <v>7466.7876313305678</v>
      </c>
      <c r="L48" s="49">
        <f t="shared" si="27"/>
        <v>7466.7876313305678</v>
      </c>
      <c r="M48" s="49">
        <f t="shared" si="27"/>
        <v>7466.7876313305678</v>
      </c>
      <c r="N48" s="49">
        <f t="shared" si="27"/>
        <v>7466.7876313305678</v>
      </c>
      <c r="O48" s="49">
        <f t="shared" si="27"/>
        <v>7466.7876313305678</v>
      </c>
      <c r="P48" s="49">
        <f t="shared" si="27"/>
        <v>7466.7876313305678</v>
      </c>
      <c r="Q48" s="49">
        <f t="shared" si="27"/>
        <v>7466.7876313305678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846748.46622529591</v>
      </c>
      <c r="I50" s="28">
        <f t="shared" si="29"/>
        <v>846748.46622529591</v>
      </c>
      <c r="J50" s="28">
        <f t="shared" si="29"/>
        <v>846748.46622529591</v>
      </c>
      <c r="K50" s="28">
        <f t="shared" si="29"/>
        <v>846748.46622529591</v>
      </c>
      <c r="L50" s="28">
        <f t="shared" si="29"/>
        <v>846748.46622529591</v>
      </c>
      <c r="M50" s="28">
        <f t="shared" si="29"/>
        <v>846748.46622529591</v>
      </c>
      <c r="N50" s="28">
        <f t="shared" si="29"/>
        <v>846748.46622529591</v>
      </c>
      <c r="O50" s="28">
        <f t="shared" si="29"/>
        <v>846748.46622529591</v>
      </c>
      <c r="P50" s="28">
        <f t="shared" si="29"/>
        <v>846748.46622529591</v>
      </c>
      <c r="Q50" s="28">
        <f t="shared" si="29"/>
        <v>846748.46622529591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113828.35308870967</v>
      </c>
      <c r="I51" s="28">
        <f t="shared" si="30"/>
        <v>113828.35308870967</v>
      </c>
      <c r="J51" s="28">
        <f t="shared" si="30"/>
        <v>113828.35308870967</v>
      </c>
      <c r="K51" s="28">
        <f t="shared" si="30"/>
        <v>113828.35308870967</v>
      </c>
      <c r="L51" s="28">
        <f t="shared" si="30"/>
        <v>113828.35308870967</v>
      </c>
      <c r="M51" s="28">
        <f t="shared" si="30"/>
        <v>113828.35308870967</v>
      </c>
      <c r="N51" s="28">
        <f t="shared" si="30"/>
        <v>113828.35308870967</v>
      </c>
      <c r="O51" s="28">
        <f t="shared" si="30"/>
        <v>113828.35308870967</v>
      </c>
      <c r="P51" s="28">
        <f t="shared" si="30"/>
        <v>113828.35308870967</v>
      </c>
      <c r="Q51" s="28">
        <f t="shared" si="30"/>
        <v>113828.35308870967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7.7732332086287093</v>
      </c>
      <c r="I52" s="54">
        <f t="shared" si="31"/>
        <v>7.7732332086287093</v>
      </c>
      <c r="J52" s="54">
        <f t="shared" si="31"/>
        <v>7.7732332086287093</v>
      </c>
      <c r="K52" s="54">
        <f t="shared" si="31"/>
        <v>7.7732332086287093</v>
      </c>
      <c r="L52" s="54">
        <f t="shared" si="31"/>
        <v>7.7732332086287093</v>
      </c>
      <c r="M52" s="54">
        <f t="shared" si="31"/>
        <v>7.7732332086287093</v>
      </c>
      <c r="N52" s="54">
        <f t="shared" si="31"/>
        <v>7.7732332086287093</v>
      </c>
      <c r="O52" s="54">
        <f t="shared" si="31"/>
        <v>7.7732332086287093</v>
      </c>
      <c r="P52" s="54">
        <f t="shared" si="31"/>
        <v>7.7732332086287093</v>
      </c>
      <c r="Q52" s="54">
        <f t="shared" si="31"/>
        <v>7.7732332086287093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8.8181885520461822</v>
      </c>
      <c r="I53" s="54">
        <f t="shared" si="32"/>
        <v>8.8181885520461822</v>
      </c>
      <c r="J53" s="54">
        <f t="shared" si="32"/>
        <v>8.8181885520461822</v>
      </c>
      <c r="K53" s="54">
        <f t="shared" si="32"/>
        <v>8.8181885520461822</v>
      </c>
      <c r="L53" s="54">
        <f t="shared" si="32"/>
        <v>8.8181885520461822</v>
      </c>
      <c r="M53" s="54">
        <f t="shared" si="32"/>
        <v>8.8181885520461822</v>
      </c>
      <c r="N53" s="54">
        <f t="shared" si="32"/>
        <v>8.8181885520461822</v>
      </c>
      <c r="O53" s="54">
        <f t="shared" si="32"/>
        <v>8.8181885520461822</v>
      </c>
      <c r="P53" s="54">
        <f t="shared" si="32"/>
        <v>8.8181885520461822</v>
      </c>
      <c r="Q53" s="54">
        <f t="shared" si="32"/>
        <v>8.8181885520461822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3.9581721561961967</v>
      </c>
      <c r="I57" s="188">
        <f>H57</f>
        <v>3.9581721561961967</v>
      </c>
      <c r="J57" s="188">
        <f t="shared" ref="J57:Q57" si="34">I57</f>
        <v>3.9581721561961967</v>
      </c>
      <c r="K57" s="188">
        <f t="shared" si="34"/>
        <v>3.9581721561961967</v>
      </c>
      <c r="L57" s="188">
        <f t="shared" si="34"/>
        <v>3.9581721561961967</v>
      </c>
      <c r="M57" s="188">
        <f t="shared" si="34"/>
        <v>3.9581721561961967</v>
      </c>
      <c r="N57" s="188">
        <f t="shared" si="34"/>
        <v>3.9581721561961967</v>
      </c>
      <c r="O57" s="188">
        <f t="shared" si="34"/>
        <v>3.9581721561961967</v>
      </c>
      <c r="P57" s="188">
        <f t="shared" si="34"/>
        <v>3.9581721561961967</v>
      </c>
      <c r="Q57" s="188">
        <f t="shared" si="34"/>
        <v>3.9581721561961967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Assumptions'!$P$18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Assumptions'!$Q$18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Assumptions'!$R$18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3802.1284200962018</v>
      </c>
      <c r="I65" s="55">
        <f t="shared" si="40"/>
        <v>3802.1284200962018</v>
      </c>
      <c r="J65" s="55">
        <f t="shared" si="40"/>
        <v>3802.1284200962018</v>
      </c>
      <c r="K65" s="55">
        <f t="shared" si="40"/>
        <v>3802.1284200962018</v>
      </c>
      <c r="L65" s="55">
        <f t="shared" si="40"/>
        <v>3802.1284200962018</v>
      </c>
      <c r="M65" s="55">
        <f t="shared" si="40"/>
        <v>3802.1284200962018</v>
      </c>
      <c r="N65" s="55">
        <f t="shared" si="40"/>
        <v>3802.1284200962018</v>
      </c>
      <c r="O65" s="55">
        <f t="shared" si="40"/>
        <v>3802.1284200962018</v>
      </c>
      <c r="P65" s="55">
        <f t="shared" si="40"/>
        <v>3802.1284200962018</v>
      </c>
      <c r="Q65" s="55">
        <f t="shared" si="40"/>
        <v>3802.1284200962018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288.16750000000002</v>
      </c>
      <c r="I66" s="56">
        <f t="shared" ref="I66:Q66" si="41">+I$41*I58/1000</f>
        <v>288.16750000000002</v>
      </c>
      <c r="J66" s="56">
        <f t="shared" si="41"/>
        <v>288.16750000000002</v>
      </c>
      <c r="K66" s="56">
        <f t="shared" si="41"/>
        <v>288.16750000000002</v>
      </c>
      <c r="L66" s="56">
        <f t="shared" si="41"/>
        <v>288.16750000000002</v>
      </c>
      <c r="M66" s="56">
        <f t="shared" si="41"/>
        <v>288.16750000000002</v>
      </c>
      <c r="N66" s="56">
        <f t="shared" si="41"/>
        <v>288.16750000000002</v>
      </c>
      <c r="O66" s="56">
        <f t="shared" si="41"/>
        <v>288.16750000000002</v>
      </c>
      <c r="P66" s="56">
        <f t="shared" si="41"/>
        <v>288.16750000000002</v>
      </c>
      <c r="Q66" s="56">
        <f t="shared" si="41"/>
        <v>288.16750000000002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Assumptions'!$C$6*Oakland!H45</f>
        <v>0</v>
      </c>
      <c r="I69" s="703">
        <f>'Region Assumptions'!$C$6*Oakland!I45</f>
        <v>0</v>
      </c>
      <c r="J69" s="703">
        <f>'Region Assumptions'!$C$6*Oakland!J45</f>
        <v>0</v>
      </c>
      <c r="K69" s="703">
        <f>'Region Assumptions'!$C$6*Oakland!K45</f>
        <v>0</v>
      </c>
      <c r="L69" s="703">
        <f>'Region Assumptions'!$C$6*Oakland!L45</f>
        <v>0</v>
      </c>
      <c r="M69" s="703">
        <f>'Region Assumptions'!$C$6*Oakland!M45</f>
        <v>0</v>
      </c>
      <c r="N69" s="703">
        <f>'Region Assumptions'!$C$6*Oakland!N45</f>
        <v>0</v>
      </c>
      <c r="O69" s="703">
        <f>'Region Assumptions'!$C$6*Oakland!O45</f>
        <v>0</v>
      </c>
      <c r="P69" s="703">
        <f>'Region Assumptions'!$C$6*Oakland!P45</f>
        <v>0</v>
      </c>
      <c r="Q69" s="703">
        <f>'Region Assumptions'!$C$6*Oakland!Q45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Assumptions'!$G$18/1000</f>
        <v>0</v>
      </c>
      <c r="I70" s="434">
        <f>I61*365*'Region Assumptions'!$G$18/1000</f>
        <v>0</v>
      </c>
      <c r="J70" s="434">
        <f>J61*365*'Region Assumptions'!$G$18/1000</f>
        <v>0</v>
      </c>
      <c r="K70" s="434">
        <f>K61*365*'Region Assumptions'!$G$18/1000</f>
        <v>0</v>
      </c>
      <c r="L70" s="434">
        <f>L61*365*'Region Assumptions'!$G$18/1000</f>
        <v>0</v>
      </c>
      <c r="M70" s="434">
        <f>M61*365*'Region Assumptions'!$G$18/1000</f>
        <v>0</v>
      </c>
      <c r="N70" s="434">
        <f>N61*365*'Region Assumptions'!$G$18/1000</f>
        <v>0</v>
      </c>
      <c r="O70" s="434">
        <f>O61*365*'Region Assumptions'!$G$18/1000</f>
        <v>0</v>
      </c>
      <c r="P70" s="434">
        <f>P61*365*'Region Assumptions'!$G$18/1000</f>
        <v>0</v>
      </c>
      <c r="Q70" s="434">
        <f>Q61*365*'Region Assumptions'!$G$18/1000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Assumptions'!$H$18/1000</f>
        <v>1183.8045</v>
      </c>
      <c r="I71" s="434">
        <f>I62*365*'Region Assumptions'!$H$18/1000</f>
        <v>1183.8045</v>
      </c>
      <c r="J71" s="434">
        <f>J62*365*'Region Assumptions'!$H$18/1000</f>
        <v>1183.8045</v>
      </c>
      <c r="K71" s="434">
        <f>K62*365*'Region Assumptions'!$H$18/1000</f>
        <v>1183.8045</v>
      </c>
      <c r="L71" s="434">
        <f>L62*365*'Region Assumptions'!$H$18/1000</f>
        <v>1183.8045</v>
      </c>
      <c r="M71" s="434">
        <f>M62*365*'Region Assumptions'!$H$18/1000</f>
        <v>1183.8045</v>
      </c>
      <c r="N71" s="434">
        <f>N62*365*'Region Assumptions'!$H$18/1000</f>
        <v>1183.8045</v>
      </c>
      <c r="O71" s="434">
        <f>O62*365*'Region Assumptions'!$H$18/1000</f>
        <v>1183.8045</v>
      </c>
      <c r="P71" s="434">
        <f>P62*365*'Region Assumptions'!$H$18/1000</f>
        <v>1183.8045</v>
      </c>
      <c r="Q71" s="434">
        <f>Q62*365*'Region Assumptions'!$H$18/1000</f>
        <v>1183.8045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Assumptions'!$I$18/1000</f>
        <v>0</v>
      </c>
      <c r="I72" s="434">
        <f>I63*365*'Region Assumptions'!$I$18/1000</f>
        <v>0</v>
      </c>
      <c r="J72" s="434">
        <f>J63*365*'Region Assumptions'!$I$18/1000</f>
        <v>0</v>
      </c>
      <c r="K72" s="434">
        <f>K63*365*'Region Assumptions'!$I$18/1000</f>
        <v>0</v>
      </c>
      <c r="L72" s="434">
        <f>L63*365*'Region Assumptions'!$I$18/1000</f>
        <v>0</v>
      </c>
      <c r="M72" s="434">
        <f>M63*365*'Region Assumptions'!$I$18/1000</f>
        <v>0</v>
      </c>
      <c r="N72" s="434">
        <f>N63*365*'Region Assumptions'!$I$18/1000</f>
        <v>0</v>
      </c>
      <c r="O72" s="434">
        <f>O63*365*'Region Assumptions'!$I$18/1000</f>
        <v>0</v>
      </c>
      <c r="P72" s="434">
        <f>P63*365*'Region Assumptions'!$I$18/1000</f>
        <v>0</v>
      </c>
      <c r="Q72" s="434">
        <f>Q63*365*'Region Assumptions'!$I$18/1000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Assumptions'!$AF$18/1000</f>
        <v>0</v>
      </c>
      <c r="I73" s="434">
        <f>(I28*(I29-I33))*'Region Assumptions'!$AF$18/1000</f>
        <v>0</v>
      </c>
      <c r="J73" s="434">
        <f>(J28*(J29-J33))*'Region Assumptions'!$AF$18/1000</f>
        <v>0</v>
      </c>
      <c r="K73" s="434">
        <f>(K28*(K29-K33))*'Region Assumptions'!$AF$18/1000</f>
        <v>0</v>
      </c>
      <c r="L73" s="434">
        <f>(L28*(L29-L33))*'Region Assumptions'!$AF$18/1000</f>
        <v>0</v>
      </c>
      <c r="M73" s="434">
        <f>(M28*(M29-M33))*'Region Assumptions'!$AF$18/1000</f>
        <v>0</v>
      </c>
      <c r="N73" s="434">
        <f>(N28*(N29-N33))*'Region Assumptions'!$AF$18/1000</f>
        <v>0</v>
      </c>
      <c r="O73" s="434">
        <f>(O28*(O29-O33))*'Region Assumptions'!$AF$18/1000</f>
        <v>0</v>
      </c>
      <c r="P73" s="434">
        <f>(P28*(P29-P33))*'Region Assumptions'!$AF$18/1000</f>
        <v>0</v>
      </c>
      <c r="Q73" s="434">
        <f>(Q28*(Q29-Q33))*'Region Assumptions'!$AF$18/1000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5274.1004200962016</v>
      </c>
      <c r="I74" s="48">
        <f t="shared" ref="I74:Q74" si="43">SUM(I65:I73)</f>
        <v>5274.1004200962016</v>
      </c>
      <c r="J74" s="48">
        <f t="shared" si="43"/>
        <v>5274.1004200962016</v>
      </c>
      <c r="K74" s="48">
        <f t="shared" si="43"/>
        <v>5274.1004200962016</v>
      </c>
      <c r="L74" s="48">
        <f t="shared" si="43"/>
        <v>5274.1004200962016</v>
      </c>
      <c r="M74" s="48">
        <f t="shared" si="43"/>
        <v>5274.1004200962016</v>
      </c>
      <c r="N74" s="48">
        <f t="shared" si="43"/>
        <v>5274.1004200962016</v>
      </c>
      <c r="O74" s="48">
        <f t="shared" si="43"/>
        <v>5274.1004200962016</v>
      </c>
      <c r="P74" s="48">
        <f t="shared" si="43"/>
        <v>5274.1004200962016</v>
      </c>
      <c r="Q74" s="48">
        <f t="shared" si="43"/>
        <v>5274.1004200962016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2192.6872112343663</v>
      </c>
      <c r="I76" s="48">
        <f t="shared" ref="I76:Q76" si="44">+I45-I74</f>
        <v>2192.6872112343663</v>
      </c>
      <c r="J76" s="48">
        <f t="shared" si="44"/>
        <v>2192.6872112343663</v>
      </c>
      <c r="K76" s="48">
        <f t="shared" si="44"/>
        <v>2192.6872112343663</v>
      </c>
      <c r="L76" s="48">
        <f t="shared" si="44"/>
        <v>2192.6872112343663</v>
      </c>
      <c r="M76" s="48">
        <f t="shared" si="44"/>
        <v>2192.6872112343663</v>
      </c>
      <c r="N76" s="48">
        <f t="shared" si="44"/>
        <v>2192.6872112343663</v>
      </c>
      <c r="O76" s="48">
        <f t="shared" si="44"/>
        <v>2192.6872112343663</v>
      </c>
      <c r="P76" s="48">
        <f t="shared" si="44"/>
        <v>2192.6872112343663</v>
      </c>
      <c r="Q76" s="48">
        <f t="shared" si="44"/>
        <v>2192.6872112343663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2.2826776236389614</v>
      </c>
      <c r="I77" s="37">
        <f t="shared" si="45"/>
        <v>2.2826776236389614</v>
      </c>
      <c r="J77" s="37">
        <f t="shared" si="45"/>
        <v>2.2826776236389614</v>
      </c>
      <c r="K77" s="37">
        <f t="shared" si="45"/>
        <v>2.2826776236389614</v>
      </c>
      <c r="L77" s="37">
        <f t="shared" si="45"/>
        <v>2.2826776236389614</v>
      </c>
      <c r="M77" s="37">
        <f t="shared" si="45"/>
        <v>2.2826776236389614</v>
      </c>
      <c r="N77" s="37">
        <f t="shared" si="45"/>
        <v>2.2826776236389614</v>
      </c>
      <c r="O77" s="37">
        <f t="shared" si="45"/>
        <v>2.2826776236389614</v>
      </c>
      <c r="P77" s="37">
        <f t="shared" si="45"/>
        <v>2.2826776236389614</v>
      </c>
      <c r="Q77" s="37">
        <f t="shared" si="45"/>
        <v>2.2826776236389614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1.9022679615452525</v>
      </c>
      <c r="I78" s="37">
        <f t="shared" si="46"/>
        <v>1.9022679615452525</v>
      </c>
      <c r="J78" s="37">
        <f t="shared" si="46"/>
        <v>1.9022679615452525</v>
      </c>
      <c r="K78" s="37">
        <f t="shared" si="46"/>
        <v>1.9022679615452525</v>
      </c>
      <c r="L78" s="37">
        <f t="shared" si="46"/>
        <v>1.9022679615452525</v>
      </c>
      <c r="M78" s="37">
        <f t="shared" si="46"/>
        <v>1.9022679615452525</v>
      </c>
      <c r="N78" s="37">
        <f t="shared" si="46"/>
        <v>1.9022679615452525</v>
      </c>
      <c r="O78" s="37">
        <f t="shared" si="46"/>
        <v>1.9022679615452525</v>
      </c>
      <c r="P78" s="37">
        <f t="shared" si="46"/>
        <v>1.9022679615452525</v>
      </c>
      <c r="Q78" s="37">
        <f t="shared" si="46"/>
        <v>1.9022679615452525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0.29365870833581392</v>
      </c>
      <c r="I79" s="57">
        <f t="shared" si="47"/>
        <v>0.29365870833581392</v>
      </c>
      <c r="J79" s="57">
        <f t="shared" si="47"/>
        <v>0.29365870833581392</v>
      </c>
      <c r="K79" s="57">
        <f t="shared" si="47"/>
        <v>0.29365870833581392</v>
      </c>
      <c r="L79" s="57">
        <f t="shared" si="47"/>
        <v>0.29365870833581392</v>
      </c>
      <c r="M79" s="57">
        <f t="shared" si="47"/>
        <v>0.29365870833581392</v>
      </c>
      <c r="N79" s="57">
        <f t="shared" si="47"/>
        <v>0.29365870833581392</v>
      </c>
      <c r="O79" s="57">
        <f t="shared" si="47"/>
        <v>0.29365870833581392</v>
      </c>
      <c r="P79" s="57">
        <f t="shared" si="47"/>
        <v>0.29365870833581392</v>
      </c>
      <c r="Q79" s="57">
        <f t="shared" si="47"/>
        <v>0.29365870833581392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Assumptions'!$F$18</f>
        <v>2020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Assumptions'!$M$18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Assumptions'!$N$18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8080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Assumptions'!$X$18</f>
        <v>0.1</v>
      </c>
      <c r="G88" s="49">
        <f>F88*G87</f>
        <v>808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8888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Assumptions'!$T$18*Oakland!G83/1000</f>
        <v>555.5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Assumptions'!$U$18*Oakland!G83/1000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Assumptions'!$S$18*Oakland!G83/1000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Assumptions'!$V$18*Oakland!G83/1000</f>
        <v>454.5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373.3393815665284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Assumptions'!$W$18*'Region Assumptions'!$H$18/1000</f>
        <v>625.9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Assumptions'!$E$18*'Region Assumptions'!$C$4/1000</f>
        <v>61.861984483462635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1947.3773970830655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10835.377397083066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4.9415973886140039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-10462.038015516539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Pending'!L12,Oakland!G86)/1000</f>
        <v>5050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2192.6872112343663</v>
      </c>
      <c r="I108" s="22">
        <f t="shared" si="49"/>
        <v>2192.6872112343663</v>
      </c>
      <c r="J108" s="22">
        <f t="shared" si="49"/>
        <v>2192.6872112343663</v>
      </c>
      <c r="K108" s="22">
        <f t="shared" si="49"/>
        <v>2192.6872112343663</v>
      </c>
      <c r="L108" s="22">
        <f t="shared" si="49"/>
        <v>2192.6872112343663</v>
      </c>
      <c r="M108" s="22">
        <f t="shared" si="49"/>
        <v>2192.6872112343663</v>
      </c>
      <c r="N108" s="22">
        <f t="shared" si="49"/>
        <v>2192.6872112343663</v>
      </c>
      <c r="O108" s="22">
        <f t="shared" si="49"/>
        <v>2192.6872112343663</v>
      </c>
      <c r="P108" s="22">
        <f t="shared" si="49"/>
        <v>2192.6872112343663</v>
      </c>
      <c r="Q108" s="22">
        <f t="shared" si="49"/>
        <v>2192.6872112343663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-2017.7397267900021</v>
      </c>
      <c r="I109" s="72">
        <f>'Region Assumptions'!$C$4*($G$105+$G$94)/5</f>
        <v>-2017.7397267900021</v>
      </c>
      <c r="J109" s="72">
        <f>'Region Assumptions'!$C$4*($G$105+$G$94)/5</f>
        <v>-2017.7397267900021</v>
      </c>
      <c r="K109" s="72">
        <f>'Region Assumptions'!$C$4*($G$105+$G$94)/5</f>
        <v>-2017.7397267900021</v>
      </c>
      <c r="L109" s="72">
        <f>'Region Assumptions'!$C$4*($G$105+$G$94)/5</f>
        <v>-2017.7397267900021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174.94748444436414</v>
      </c>
      <c r="I110" s="73">
        <f t="shared" si="51"/>
        <v>174.94748444436414</v>
      </c>
      <c r="J110" s="73">
        <f t="shared" si="51"/>
        <v>174.94748444436414</v>
      </c>
      <c r="K110" s="73">
        <f t="shared" si="51"/>
        <v>174.94748444436414</v>
      </c>
      <c r="L110" s="73">
        <f t="shared" si="51"/>
        <v>174.94748444436414</v>
      </c>
      <c r="M110" s="73">
        <f t="shared" si="51"/>
        <v>2192.6872112343663</v>
      </c>
      <c r="N110" s="73">
        <f t="shared" si="51"/>
        <v>2192.6872112343663</v>
      </c>
      <c r="O110" s="73">
        <f t="shared" si="51"/>
        <v>2192.6872112343663</v>
      </c>
      <c r="P110" s="73">
        <f t="shared" si="51"/>
        <v>2192.6872112343663</v>
      </c>
      <c r="Q110" s="73">
        <f t="shared" si="51"/>
        <v>2192.6872112343663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-69.978993777745657</v>
      </c>
      <c r="I111" s="72">
        <f t="shared" si="52"/>
        <v>-69.978993777745657</v>
      </c>
      <c r="J111" s="72">
        <f t="shared" si="52"/>
        <v>-69.978993777745657</v>
      </c>
      <c r="K111" s="72">
        <f t="shared" si="52"/>
        <v>-69.978993777745657</v>
      </c>
      <c r="L111" s="72">
        <f t="shared" si="52"/>
        <v>-69.978993777745657</v>
      </c>
      <c r="M111" s="72">
        <f t="shared" si="52"/>
        <v>-877.07488449374659</v>
      </c>
      <c r="N111" s="72">
        <f t="shared" si="52"/>
        <v>-877.07488449374659</v>
      </c>
      <c r="O111" s="72">
        <f t="shared" si="52"/>
        <v>-877.07488449374659</v>
      </c>
      <c r="P111" s="72">
        <f t="shared" si="52"/>
        <v>-877.07488449374659</v>
      </c>
      <c r="Q111" s="72">
        <f t="shared" si="52"/>
        <v>-877.07488449374659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2122.7082174566208</v>
      </c>
      <c r="I112" s="72">
        <f t="shared" si="53"/>
        <v>2122.7082174566208</v>
      </c>
      <c r="J112" s="72">
        <f t="shared" si="53"/>
        <v>2122.7082174566208</v>
      </c>
      <c r="K112" s="72">
        <f t="shared" si="53"/>
        <v>2122.7082174566208</v>
      </c>
      <c r="L112" s="72">
        <f t="shared" si="53"/>
        <v>2122.7082174566208</v>
      </c>
      <c r="M112" s="72">
        <f t="shared" si="53"/>
        <v>1315.6123267406197</v>
      </c>
      <c r="N112" s="72">
        <f t="shared" si="53"/>
        <v>1315.6123267406197</v>
      </c>
      <c r="O112" s="72">
        <f t="shared" si="53"/>
        <v>1315.6123267406197</v>
      </c>
      <c r="P112" s="72">
        <f t="shared" si="53"/>
        <v>1315.6123267406197</v>
      </c>
      <c r="Q112" s="72">
        <f t="shared" si="53"/>
        <v>1315.6123267406197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-373.3393815665284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1749.3688358900924</v>
      </c>
      <c r="I115" s="75">
        <f t="shared" si="56"/>
        <v>2122.7082174566208</v>
      </c>
      <c r="J115" s="75">
        <f t="shared" si="56"/>
        <v>2122.7082174566208</v>
      </c>
      <c r="K115" s="75">
        <f t="shared" si="56"/>
        <v>2122.7082174566208</v>
      </c>
      <c r="L115" s="75">
        <f t="shared" si="56"/>
        <v>2122.7082174566208</v>
      </c>
      <c r="M115" s="75">
        <f t="shared" si="56"/>
        <v>1315.6123267406197</v>
      </c>
      <c r="N115" s="75">
        <f t="shared" si="56"/>
        <v>1315.6123267406197</v>
      </c>
      <c r="O115" s="75">
        <f t="shared" si="56"/>
        <v>1315.6123267406197</v>
      </c>
      <c r="P115" s="75">
        <f t="shared" si="56"/>
        <v>1315.6123267406197</v>
      </c>
      <c r="Q115" s="75">
        <f t="shared" si="56"/>
        <v>1315.6123267406197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-10462.038015516539</v>
      </c>
      <c r="H117" s="70">
        <f t="shared" si="57"/>
        <v>1749.3688358900924</v>
      </c>
      <c r="I117" s="70">
        <f t="shared" si="57"/>
        <v>2122.7082174566208</v>
      </c>
      <c r="J117" s="70">
        <f t="shared" si="57"/>
        <v>2122.7082174566208</v>
      </c>
      <c r="K117" s="70">
        <f t="shared" si="57"/>
        <v>2122.7082174566208</v>
      </c>
      <c r="L117" s="70">
        <f t="shared" si="57"/>
        <v>2122.7082174566208</v>
      </c>
      <c r="M117" s="70">
        <f t="shared" si="57"/>
        <v>1315.6123267406197</v>
      </c>
      <c r="N117" s="70">
        <f t="shared" si="57"/>
        <v>1315.6123267406197</v>
      </c>
      <c r="O117" s="70">
        <f t="shared" si="57"/>
        <v>1315.6123267406197</v>
      </c>
      <c r="P117" s="70">
        <f t="shared" si="57"/>
        <v>1315.6123267406197</v>
      </c>
      <c r="Q117" s="70">
        <f t="shared" si="57"/>
        <v>6365.6123267406201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0.14463753657259004</v>
      </c>
      <c r="F119" s="70">
        <f>+NPV(0.12,G117:Q117)</f>
        <v>1047.760018392378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-10462.038015516539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10963.436056171831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2192.6872112343663</v>
      </c>
      <c r="I125" s="22">
        <f t="shared" si="59"/>
        <v>2192.6872112343663</v>
      </c>
      <c r="J125" s="22">
        <f t="shared" si="59"/>
        <v>2192.6872112343663</v>
      </c>
      <c r="K125" s="22">
        <f t="shared" si="59"/>
        <v>2192.6872112343663</v>
      </c>
      <c r="L125" s="22">
        <f t="shared" si="59"/>
        <v>2192.6872112343663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-2017.7397267900021</v>
      </c>
      <c r="I126" s="72">
        <f t="shared" si="59"/>
        <v>-2017.7397267900021</v>
      </c>
      <c r="J126" s="72">
        <f t="shared" si="59"/>
        <v>-2017.7397267900021</v>
      </c>
      <c r="K126" s="72">
        <f t="shared" si="59"/>
        <v>-2017.7397267900021</v>
      </c>
      <c r="L126" s="72">
        <f t="shared" si="59"/>
        <v>-2017.7397267900021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174.94748444436414</v>
      </c>
      <c r="I127" s="73">
        <f>SUM(I125:I126)</f>
        <v>174.94748444436414</v>
      </c>
      <c r="J127" s="73">
        <f>SUM(J125:J126)</f>
        <v>174.94748444436414</v>
      </c>
      <c r="K127" s="73">
        <f>SUM(K125:K126)</f>
        <v>174.94748444436414</v>
      </c>
      <c r="L127" s="73">
        <f>SUM(L125:L126)</f>
        <v>174.94748444436414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-69.978993777745657</v>
      </c>
      <c r="I128" s="72">
        <f t="shared" si="60"/>
        <v>-69.978993777745657</v>
      </c>
      <c r="J128" s="72">
        <f t="shared" si="60"/>
        <v>-69.978993777745657</v>
      </c>
      <c r="K128" s="72">
        <f t="shared" si="60"/>
        <v>-69.978993777745657</v>
      </c>
      <c r="L128" s="72">
        <f t="shared" si="60"/>
        <v>-69.978993777745657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2122.7082174566208</v>
      </c>
      <c r="I129" s="72">
        <f>SUM(I125:I125,I128)</f>
        <v>2122.7082174566208</v>
      </c>
      <c r="J129" s="72">
        <f>SUM(J125:J125,J128)</f>
        <v>2122.7082174566208</v>
      </c>
      <c r="K129" s="72">
        <f>SUM(K125:K125,K128)</f>
        <v>2122.7082174566208</v>
      </c>
      <c r="L129" s="72">
        <f>SUM(L125:L125,L128)</f>
        <v>2122.7082174566208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-373.3393815665284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1749.3688358900924</v>
      </c>
      <c r="I132" s="73">
        <f>SUM(I129:I131)</f>
        <v>2122.7082174566208</v>
      </c>
      <c r="J132" s="73">
        <f>SUM(J129:J131)</f>
        <v>2122.7082174566208</v>
      </c>
      <c r="K132" s="73">
        <f>SUM(K129:K131)</f>
        <v>2122.7082174566208</v>
      </c>
      <c r="L132" s="73">
        <f>SUM(L129:L131)</f>
        <v>2122.7082174566208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-10462.038015516539</v>
      </c>
      <c r="H134" s="70">
        <f t="shared" si="62"/>
        <v>1749.3688358900924</v>
      </c>
      <c r="I134" s="70">
        <f t="shared" si="62"/>
        <v>2122.7082174566208</v>
      </c>
      <c r="J134" s="70">
        <f t="shared" si="62"/>
        <v>2122.7082174566208</v>
      </c>
      <c r="K134" s="70">
        <f t="shared" si="62"/>
        <v>2122.7082174566208</v>
      </c>
      <c r="L134" s="70">
        <f t="shared" si="62"/>
        <v>13086.144273628452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0.19940833691559878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AA152"/>
  <sheetViews>
    <sheetView showGridLines="0" tabSelected="1" topLeftCell="A42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467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253</v>
      </c>
      <c r="G7" s="184">
        <f>$G$9*G11*(1-$G$12)</f>
        <v>493294.58283922001</v>
      </c>
      <c r="H7" s="184">
        <f t="shared" ref="H7:Q7" si="1">$G$9*H11*(1-$G$12)</f>
        <v>493294.58283922001</v>
      </c>
      <c r="I7" s="184">
        <f t="shared" si="1"/>
        <v>493294.58283922001</v>
      </c>
      <c r="J7" s="184">
        <f t="shared" si="1"/>
        <v>493294.58283922001</v>
      </c>
      <c r="K7" s="184">
        <f t="shared" si="1"/>
        <v>493294.58283922001</v>
      </c>
      <c r="L7" s="184">
        <f t="shared" si="1"/>
        <v>493294.58283922001</v>
      </c>
      <c r="M7" s="184">
        <f t="shared" si="1"/>
        <v>493294.58283922001</v>
      </c>
      <c r="N7" s="184">
        <f t="shared" si="1"/>
        <v>493294.58283922001</v>
      </c>
      <c r="O7" s="184">
        <f t="shared" si="1"/>
        <v>493294.58283922001</v>
      </c>
      <c r="P7" s="184">
        <f t="shared" si="1"/>
        <v>493294.58283922001</v>
      </c>
      <c r="Q7" s="184">
        <f t="shared" si="1"/>
        <v>493294.58283922001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66313.565588709665</v>
      </c>
      <c r="H8" s="184">
        <f t="shared" si="2"/>
        <v>66313.565588709665</v>
      </c>
      <c r="I8" s="184">
        <f t="shared" si="2"/>
        <v>66313.565588709665</v>
      </c>
      <c r="J8" s="184">
        <f t="shared" si="2"/>
        <v>66313.565588709665</v>
      </c>
      <c r="K8" s="184">
        <f t="shared" si="2"/>
        <v>66313.565588709665</v>
      </c>
      <c r="L8" s="184">
        <f t="shared" si="2"/>
        <v>66313.565588709665</v>
      </c>
      <c r="M8" s="184">
        <f t="shared" si="2"/>
        <v>66313.565588709665</v>
      </c>
      <c r="N8" s="184">
        <f t="shared" si="2"/>
        <v>66313.565588709665</v>
      </c>
      <c r="O8" s="184">
        <f t="shared" si="2"/>
        <v>66313.565588709665</v>
      </c>
      <c r="P8" s="184">
        <f t="shared" si="2"/>
        <v>66313.565588709665</v>
      </c>
      <c r="Q8" s="184">
        <f t="shared" si="2"/>
        <v>66313.565588709665</v>
      </c>
      <c r="S8" s="28"/>
      <c r="U8" s="28"/>
      <c r="V8" s="29"/>
      <c r="X8" s="25"/>
    </row>
    <row r="9" spans="1:24" outlineLevel="1">
      <c r="C9" s="23" t="s">
        <v>25</v>
      </c>
      <c r="G9" s="460">
        <f>'Region Assumptions'!$K$19*365</f>
        <v>559608.14842792973</v>
      </c>
      <c r="H9" s="268">
        <f t="shared" ref="H9:Q9" si="3">G9</f>
        <v>559608.14842792973</v>
      </c>
      <c r="I9" s="268">
        <f t="shared" si="3"/>
        <v>559608.14842792973</v>
      </c>
      <c r="J9" s="268">
        <f t="shared" si="3"/>
        <v>559608.14842792973</v>
      </c>
      <c r="K9" s="268">
        <f t="shared" si="3"/>
        <v>559608.14842792973</v>
      </c>
      <c r="L9" s="268">
        <f t="shared" si="3"/>
        <v>559608.14842792973</v>
      </c>
      <c r="M9" s="268">
        <f t="shared" si="3"/>
        <v>559608.14842792973</v>
      </c>
      <c r="N9" s="268">
        <f t="shared" si="3"/>
        <v>559608.14842792973</v>
      </c>
      <c r="O9" s="268">
        <f t="shared" si="3"/>
        <v>559608.14842792973</v>
      </c>
      <c r="P9" s="268">
        <f>O9</f>
        <v>559608.14842792973</v>
      </c>
      <c r="Q9" s="268">
        <f t="shared" si="3"/>
        <v>559608.14842792973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Assumptions'!$AE$19</f>
        <v>0</v>
      </c>
      <c r="I10" s="438">
        <f>H10+'Region Assumptions'!$AE$19</f>
        <v>0</v>
      </c>
      <c r="J10" s="438">
        <f>I10+'Region Assumptions'!$AE$19</f>
        <v>0</v>
      </c>
      <c r="K10" s="438">
        <f>J10+'Region Assumptions'!$AE$19</f>
        <v>0</v>
      </c>
      <c r="L10" s="438">
        <f>K10+'Region Assumptions'!$AE$19</f>
        <v>0</v>
      </c>
      <c r="M10" s="438">
        <f>L10+'Region Assumptions'!$AE$19</f>
        <v>0</v>
      </c>
      <c r="N10" s="438">
        <f>M10+'Region Assumptions'!$AE$19</f>
        <v>0</v>
      </c>
      <c r="O10" s="438">
        <f>N10+'Region Assumptions'!$AE$19</f>
        <v>0</v>
      </c>
      <c r="P10" s="438">
        <f>O10+'Region Assumptions'!$AE$19</f>
        <v>0</v>
      </c>
      <c r="Q10" s="438">
        <f>P10+'Region Assumptions'!$AE$19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Assumptions'!$Y$19</f>
        <v>0.11849999999999999</v>
      </c>
      <c r="H12" s="269">
        <f>G12</f>
        <v>0.11849999999999999</v>
      </c>
      <c r="I12" s="269">
        <f t="shared" ref="I12:Q12" si="5">H12</f>
        <v>0.11849999999999999</v>
      </c>
      <c r="J12" s="269">
        <f t="shared" si="5"/>
        <v>0.11849999999999999</v>
      </c>
      <c r="K12" s="269">
        <f t="shared" si="5"/>
        <v>0.11849999999999999</v>
      </c>
      <c r="L12" s="269">
        <f t="shared" si="5"/>
        <v>0.11849999999999999</v>
      </c>
      <c r="M12" s="269">
        <f t="shared" si="5"/>
        <v>0.11849999999999999</v>
      </c>
      <c r="N12" s="269">
        <f t="shared" si="5"/>
        <v>0.11849999999999999</v>
      </c>
      <c r="O12" s="269">
        <f t="shared" si="5"/>
        <v>0.11849999999999999</v>
      </c>
      <c r="P12" s="269">
        <f t="shared" si="5"/>
        <v>0.11849999999999999</v>
      </c>
      <c r="Q12" s="269">
        <f t="shared" si="5"/>
        <v>0.11849999999999999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0.82517384789644155</v>
      </c>
      <c r="I13" s="269">
        <f t="shared" ref="I13:Q13" si="6">I9/I23/365</f>
        <v>0.82517384789644155</v>
      </c>
      <c r="J13" s="269">
        <f t="shared" si="6"/>
        <v>0.82517384789644155</v>
      </c>
      <c r="K13" s="269">
        <f t="shared" si="6"/>
        <v>0.82517384789644155</v>
      </c>
      <c r="L13" s="269">
        <f t="shared" si="6"/>
        <v>0.82517384789644155</v>
      </c>
      <c r="M13" s="269">
        <f t="shared" si="6"/>
        <v>0.82517384789644155</v>
      </c>
      <c r="N13" s="269">
        <f t="shared" si="6"/>
        <v>0.82517384789644155</v>
      </c>
      <c r="O13" s="269">
        <f t="shared" si="6"/>
        <v>0.82517384789644155</v>
      </c>
      <c r="P13" s="269">
        <f t="shared" si="6"/>
        <v>0.82517384789644155</v>
      </c>
      <c r="Q13" s="269">
        <f t="shared" si="6"/>
        <v>0.82517384789644155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4886.3929927777772</v>
      </c>
      <c r="F17" s="203">
        <f>F18*$H$17/1000</f>
        <v>139.90203710698242</v>
      </c>
      <c r="G17" s="203">
        <f>G18*$H$17/1000</f>
        <v>0</v>
      </c>
      <c r="H17" s="204">
        <f>H40</f>
        <v>559608.14842792973</v>
      </c>
      <c r="I17" s="204">
        <f>H23*365</f>
        <v>678170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Assumptions'!$Z$19</f>
        <v>8.7318117266605189</v>
      </c>
      <c r="F18" s="690">
        <f>'Region Assumptions'!$AB$19</f>
        <v>0.25</v>
      </c>
      <c r="G18" s="690">
        <f>'Region Assumptions'!$AA$19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7.2052626815957321</v>
      </c>
      <c r="F19" s="188">
        <f>F17/$I17*1000</f>
        <v>0.20629346197411036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Assumptions'!$F$19+'Region Assumptions'!$G$19+'Region Assumptions'!$H$19</f>
        <v>1858</v>
      </c>
      <c r="I23" s="184">
        <f>H23</f>
        <v>1858</v>
      </c>
      <c r="J23" s="184">
        <f t="shared" ref="J23:Q23" si="8">I23</f>
        <v>1858</v>
      </c>
      <c r="K23" s="184">
        <f t="shared" si="8"/>
        <v>1858</v>
      </c>
      <c r="L23" s="184">
        <f t="shared" si="8"/>
        <v>1858</v>
      </c>
      <c r="M23" s="184">
        <f t="shared" si="8"/>
        <v>1858</v>
      </c>
      <c r="N23" s="184">
        <f t="shared" si="8"/>
        <v>1858</v>
      </c>
      <c r="O23" s="184">
        <f t="shared" si="8"/>
        <v>1858</v>
      </c>
      <c r="P23" s="184">
        <f t="shared" si="8"/>
        <v>1858</v>
      </c>
      <c r="Q23" s="184">
        <f t="shared" si="8"/>
        <v>1858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1443.7445004999995</v>
      </c>
      <c r="I25" s="28">
        <f t="shared" ref="I25:Q25" si="10">I32/365/I13*(1-I12)</f>
        <v>1443.7445004999995</v>
      </c>
      <c r="J25" s="28">
        <f t="shared" si="10"/>
        <v>1443.7445004999995</v>
      </c>
      <c r="K25" s="28">
        <f t="shared" si="10"/>
        <v>1443.7445004999995</v>
      </c>
      <c r="L25" s="28">
        <f t="shared" si="10"/>
        <v>1443.7445004999995</v>
      </c>
      <c r="M25" s="28">
        <f t="shared" si="10"/>
        <v>1443.7445004999995</v>
      </c>
      <c r="N25" s="28">
        <f t="shared" si="10"/>
        <v>1443.7445004999995</v>
      </c>
      <c r="O25" s="28">
        <f t="shared" si="10"/>
        <v>1443.7445004999995</v>
      </c>
      <c r="P25" s="28">
        <f t="shared" si="10"/>
        <v>1443.7445004999995</v>
      </c>
      <c r="Q25" s="28">
        <f t="shared" si="10"/>
        <v>1443.7445004999995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181.6810016129032</v>
      </c>
      <c r="I26" s="28">
        <f t="shared" ref="I26:Q26" si="11">I36/365</f>
        <v>181.6810016129032</v>
      </c>
      <c r="J26" s="28">
        <f t="shared" si="11"/>
        <v>181.6810016129032</v>
      </c>
      <c r="K26" s="28">
        <f t="shared" si="11"/>
        <v>181.6810016129032</v>
      </c>
      <c r="L26" s="28">
        <f t="shared" si="11"/>
        <v>181.6810016129032</v>
      </c>
      <c r="M26" s="28">
        <f t="shared" si="11"/>
        <v>181.6810016129032</v>
      </c>
      <c r="N26" s="28">
        <f t="shared" si="11"/>
        <v>181.6810016129032</v>
      </c>
      <c r="O26" s="28">
        <f t="shared" si="11"/>
        <v>181.6810016129032</v>
      </c>
      <c r="P26" s="28">
        <f t="shared" si="11"/>
        <v>181.6810016129032</v>
      </c>
      <c r="Q26" s="28">
        <f t="shared" si="11"/>
        <v>181.6810016129032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Assumptions'!$AD$19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256</v>
      </c>
      <c r="F32" s="42"/>
      <c r="G32" s="28"/>
      <c r="H32" s="28">
        <f t="shared" ref="H32:Q32" si="15">H7</f>
        <v>493294.58283922001</v>
      </c>
      <c r="I32" s="28">
        <f t="shared" si="15"/>
        <v>493294.58283922001</v>
      </c>
      <c r="J32" s="28">
        <f t="shared" si="15"/>
        <v>493294.58283922001</v>
      </c>
      <c r="K32" s="28">
        <f t="shared" si="15"/>
        <v>493294.58283922001</v>
      </c>
      <c r="L32" s="28">
        <f t="shared" si="15"/>
        <v>493294.58283922001</v>
      </c>
      <c r="M32" s="28">
        <f t="shared" si="15"/>
        <v>493294.58283922001</v>
      </c>
      <c r="N32" s="28">
        <f t="shared" si="15"/>
        <v>493294.58283922001</v>
      </c>
      <c r="O32" s="28">
        <f t="shared" si="15"/>
        <v>493294.58283922001</v>
      </c>
      <c r="P32" s="28">
        <f t="shared" si="15"/>
        <v>493294.58283922001</v>
      </c>
      <c r="Q32" s="28">
        <f t="shared" si="15"/>
        <v>493294.58283922001</v>
      </c>
      <c r="S32" s="43"/>
      <c r="U32" s="27" t="s">
        <v>38</v>
      </c>
      <c r="V32" s="41"/>
      <c r="W32" s="41"/>
    </row>
    <row r="33" spans="2:24">
      <c r="C33" s="39" t="s">
        <v>257</v>
      </c>
      <c r="G33" s="87"/>
      <c r="H33" s="702">
        <v>14.008181437186995</v>
      </c>
      <c r="I33" s="37">
        <f t="shared" ref="I33:Q33" si="16">+H33*(1+$V34)</f>
        <v>14.008181437186995</v>
      </c>
      <c r="J33" s="37">
        <f t="shared" si="16"/>
        <v>14.008181437186995</v>
      </c>
      <c r="K33" s="37">
        <f t="shared" si="16"/>
        <v>14.008181437186995</v>
      </c>
      <c r="L33" s="37">
        <f t="shared" si="16"/>
        <v>14.008181437186995</v>
      </c>
      <c r="M33" s="37">
        <f t="shared" si="16"/>
        <v>14.008181437186995</v>
      </c>
      <c r="N33" s="37">
        <f t="shared" si="16"/>
        <v>14.008181437186995</v>
      </c>
      <c r="O33" s="37">
        <f t="shared" si="16"/>
        <v>14.008181437186995</v>
      </c>
      <c r="P33" s="37">
        <f t="shared" si="16"/>
        <v>14.008181437186995</v>
      </c>
      <c r="Q33" s="37">
        <f t="shared" si="16"/>
        <v>14.008181437186995</v>
      </c>
      <c r="S33" s="37"/>
      <c r="U33" s="24" t="s">
        <v>39</v>
      </c>
      <c r="V33" s="45">
        <v>0</v>
      </c>
      <c r="W33" s="41"/>
    </row>
    <row r="34" spans="2:24">
      <c r="B34" s="24" t="s">
        <v>258</v>
      </c>
      <c r="C34" s="39"/>
      <c r="G34" s="49"/>
      <c r="H34" s="49">
        <f t="shared" ref="H34:Q34" si="17">H32*H33/Factor</f>
        <v>6910.1600183932642</v>
      </c>
      <c r="I34" s="49">
        <f t="shared" si="17"/>
        <v>6910.1600183932642</v>
      </c>
      <c r="J34" s="49">
        <f t="shared" si="17"/>
        <v>6910.1600183932642</v>
      </c>
      <c r="K34" s="49">
        <f t="shared" si="17"/>
        <v>6910.1600183932642</v>
      </c>
      <c r="L34" s="49">
        <f t="shared" si="17"/>
        <v>6910.1600183932642</v>
      </c>
      <c r="M34" s="49">
        <f t="shared" si="17"/>
        <v>6910.1600183932642</v>
      </c>
      <c r="N34" s="49">
        <f t="shared" si="17"/>
        <v>6910.1600183932642</v>
      </c>
      <c r="O34" s="49">
        <f t="shared" si="17"/>
        <v>6910.1600183932642</v>
      </c>
      <c r="P34" s="49">
        <f t="shared" si="17"/>
        <v>6910.1600183932642</v>
      </c>
      <c r="Q34" s="49">
        <f t="shared" si="17"/>
        <v>6910.1600183932642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66313.565588709665</v>
      </c>
      <c r="I36" s="28">
        <f t="shared" si="18"/>
        <v>66313.565588709665</v>
      </c>
      <c r="J36" s="28">
        <f t="shared" si="18"/>
        <v>66313.565588709665</v>
      </c>
      <c r="K36" s="28">
        <f t="shared" si="18"/>
        <v>66313.565588709665</v>
      </c>
      <c r="L36" s="28">
        <f t="shared" si="18"/>
        <v>66313.565588709665</v>
      </c>
      <c r="M36" s="28">
        <f t="shared" si="18"/>
        <v>66313.565588709665</v>
      </c>
      <c r="N36" s="28">
        <f t="shared" si="18"/>
        <v>66313.565588709665</v>
      </c>
      <c r="O36" s="28">
        <f t="shared" si="18"/>
        <v>66313.565588709665</v>
      </c>
      <c r="P36" s="28">
        <f t="shared" si="18"/>
        <v>66313.565588709665</v>
      </c>
      <c r="Q36" s="28">
        <f t="shared" si="18"/>
        <v>66313.565588709665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Assumptions'!$AC$19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559608.14842792973</v>
      </c>
      <c r="I40" s="28">
        <f t="shared" ref="I40:Q40" si="21">I28+I32+I36</f>
        <v>559608.14842792973</v>
      </c>
      <c r="J40" s="28">
        <f t="shared" si="21"/>
        <v>559608.14842792973</v>
      </c>
      <c r="K40" s="28">
        <f t="shared" si="21"/>
        <v>559608.14842792973</v>
      </c>
      <c r="L40" s="28">
        <f t="shared" si="21"/>
        <v>559608.14842792973</v>
      </c>
      <c r="M40" s="28">
        <f t="shared" si="21"/>
        <v>559608.14842792973</v>
      </c>
      <c r="N40" s="28">
        <f t="shared" si="21"/>
        <v>559608.14842792973</v>
      </c>
      <c r="O40" s="28">
        <f t="shared" si="21"/>
        <v>559608.14842792973</v>
      </c>
      <c r="P40" s="28">
        <f t="shared" si="21"/>
        <v>559608.14842792973</v>
      </c>
      <c r="Q40" s="28">
        <f t="shared" si="21"/>
        <v>559608.14842792973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678170</v>
      </c>
      <c r="I41" s="28">
        <f t="shared" si="22"/>
        <v>678170</v>
      </c>
      <c r="J41" s="28">
        <f t="shared" si="22"/>
        <v>678170</v>
      </c>
      <c r="K41" s="28">
        <f t="shared" si="22"/>
        <v>678170</v>
      </c>
      <c r="L41" s="28">
        <f t="shared" si="22"/>
        <v>678170</v>
      </c>
      <c r="M41" s="28">
        <f t="shared" si="22"/>
        <v>678170</v>
      </c>
      <c r="N41" s="28">
        <f t="shared" si="22"/>
        <v>678170</v>
      </c>
      <c r="O41" s="28">
        <f t="shared" si="22"/>
        <v>678170</v>
      </c>
      <c r="P41" s="28">
        <f t="shared" si="22"/>
        <v>678170</v>
      </c>
      <c r="Q41" s="28">
        <f t="shared" si="22"/>
        <v>678170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0.82517384789644155</v>
      </c>
      <c r="I42" s="34">
        <f t="shared" si="23"/>
        <v>0.82517384789644155</v>
      </c>
      <c r="J42" s="34">
        <f t="shared" si="23"/>
        <v>0.82517384789644155</v>
      </c>
      <c r="K42" s="34">
        <f t="shared" si="23"/>
        <v>0.82517384789644155</v>
      </c>
      <c r="L42" s="34">
        <f t="shared" si="23"/>
        <v>0.82517384789644155</v>
      </c>
      <c r="M42" s="34">
        <f t="shared" si="23"/>
        <v>0.82517384789644155</v>
      </c>
      <c r="N42" s="34">
        <f t="shared" si="23"/>
        <v>0.82517384789644155</v>
      </c>
      <c r="O42" s="34">
        <f t="shared" si="23"/>
        <v>0.82517384789644155</v>
      </c>
      <c r="P42" s="34">
        <f t="shared" si="23"/>
        <v>0.82517384789644155</v>
      </c>
      <c r="Q42" s="34">
        <f t="shared" si="23"/>
        <v>0.82517384789644155</v>
      </c>
      <c r="S42" s="34"/>
      <c r="V42" s="45"/>
    </row>
    <row r="43" spans="2:24">
      <c r="C43" s="24" t="s">
        <v>46</v>
      </c>
      <c r="G43" s="34"/>
      <c r="H43" s="34">
        <f>(H28+H32)/H41</f>
        <v>0.72739074692071315</v>
      </c>
      <c r="I43" s="34">
        <f t="shared" ref="I43:Q43" si="24">(I28+I32)/I41</f>
        <v>0.72739074692071315</v>
      </c>
      <c r="J43" s="34">
        <f t="shared" si="24"/>
        <v>0.72739074692071315</v>
      </c>
      <c r="K43" s="34">
        <f t="shared" si="24"/>
        <v>0.72739074692071315</v>
      </c>
      <c r="L43" s="34">
        <f t="shared" si="24"/>
        <v>0.72739074692071315</v>
      </c>
      <c r="M43" s="34">
        <f t="shared" si="24"/>
        <v>0.72739074692071315</v>
      </c>
      <c r="N43" s="34">
        <f t="shared" si="24"/>
        <v>0.72739074692071315</v>
      </c>
      <c r="O43" s="34">
        <f t="shared" si="24"/>
        <v>0.72739074692071315</v>
      </c>
      <c r="P43" s="34">
        <f t="shared" si="24"/>
        <v>0.72739074692071315</v>
      </c>
      <c r="Q43" s="34">
        <f t="shared" si="24"/>
        <v>0.72739074692071315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6910.1600183932642</v>
      </c>
      <c r="I45" s="48">
        <f t="shared" si="25"/>
        <v>6910.1600183932642</v>
      </c>
      <c r="J45" s="48">
        <f t="shared" si="25"/>
        <v>6910.1600183932642</v>
      </c>
      <c r="K45" s="48">
        <f t="shared" si="25"/>
        <v>6910.1600183932642</v>
      </c>
      <c r="L45" s="48">
        <f t="shared" si="25"/>
        <v>6910.1600183932642</v>
      </c>
      <c r="M45" s="48">
        <f t="shared" si="25"/>
        <v>6910.1600183932642</v>
      </c>
      <c r="N45" s="48">
        <f t="shared" si="25"/>
        <v>6910.1600183932642</v>
      </c>
      <c r="O45" s="48">
        <f t="shared" si="25"/>
        <v>6910.1600183932642</v>
      </c>
      <c r="P45" s="48">
        <f t="shared" si="25"/>
        <v>6910.1600183932642</v>
      </c>
      <c r="Q45" s="48">
        <f t="shared" si="25"/>
        <v>6910.1600183932642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12.348211936880334</v>
      </c>
      <c r="I46" s="51">
        <f t="shared" si="26"/>
        <v>12.348211936880334</v>
      </c>
      <c r="J46" s="51">
        <f t="shared" si="26"/>
        <v>12.348211936880334</v>
      </c>
      <c r="K46" s="51">
        <f t="shared" si="26"/>
        <v>12.348211936880334</v>
      </c>
      <c r="L46" s="51">
        <f t="shared" si="26"/>
        <v>12.348211936880334</v>
      </c>
      <c r="M46" s="51">
        <f t="shared" si="26"/>
        <v>12.348211936880334</v>
      </c>
      <c r="N46" s="51">
        <f t="shared" si="26"/>
        <v>12.348211936880334</v>
      </c>
      <c r="O46" s="51">
        <f t="shared" si="26"/>
        <v>12.348211936880334</v>
      </c>
      <c r="P46" s="51">
        <f t="shared" si="26"/>
        <v>12.348211936880334</v>
      </c>
      <c r="Q46" s="51">
        <f t="shared" si="26"/>
        <v>12.348211936880334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6910.1600183932642</v>
      </c>
      <c r="I48" s="49">
        <f t="shared" si="27"/>
        <v>6910.1600183932642</v>
      </c>
      <c r="J48" s="49">
        <f t="shared" si="27"/>
        <v>6910.1600183932642</v>
      </c>
      <c r="K48" s="49">
        <f t="shared" si="27"/>
        <v>6910.1600183932642</v>
      </c>
      <c r="L48" s="49">
        <f t="shared" si="27"/>
        <v>6910.1600183932642</v>
      </c>
      <c r="M48" s="49">
        <f t="shared" si="27"/>
        <v>6910.1600183932642</v>
      </c>
      <c r="N48" s="49">
        <f t="shared" si="27"/>
        <v>6910.1600183932642</v>
      </c>
      <c r="O48" s="49">
        <f t="shared" si="27"/>
        <v>6910.1600183932642</v>
      </c>
      <c r="P48" s="49">
        <f t="shared" si="27"/>
        <v>6910.1600183932642</v>
      </c>
      <c r="Q48" s="49">
        <f t="shared" si="27"/>
        <v>6910.1600183932642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493294.58283922001</v>
      </c>
      <c r="I50" s="28">
        <f t="shared" si="29"/>
        <v>493294.58283922001</v>
      </c>
      <c r="J50" s="28">
        <f t="shared" si="29"/>
        <v>493294.58283922001</v>
      </c>
      <c r="K50" s="28">
        <f t="shared" si="29"/>
        <v>493294.58283922001</v>
      </c>
      <c r="L50" s="28">
        <f t="shared" si="29"/>
        <v>493294.58283922001</v>
      </c>
      <c r="M50" s="28">
        <f t="shared" si="29"/>
        <v>493294.58283922001</v>
      </c>
      <c r="N50" s="28">
        <f t="shared" si="29"/>
        <v>493294.58283922001</v>
      </c>
      <c r="O50" s="28">
        <f t="shared" si="29"/>
        <v>493294.58283922001</v>
      </c>
      <c r="P50" s="28">
        <f t="shared" si="29"/>
        <v>493294.58283922001</v>
      </c>
      <c r="Q50" s="28">
        <f t="shared" si="29"/>
        <v>493294.58283922001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66313.565588709665</v>
      </c>
      <c r="I51" s="28">
        <f t="shared" si="30"/>
        <v>66313.565588709665</v>
      </c>
      <c r="J51" s="28">
        <f t="shared" si="30"/>
        <v>66313.565588709665</v>
      </c>
      <c r="K51" s="28">
        <f t="shared" si="30"/>
        <v>66313.565588709665</v>
      </c>
      <c r="L51" s="28">
        <f t="shared" si="30"/>
        <v>66313.565588709665</v>
      </c>
      <c r="M51" s="28">
        <f t="shared" si="30"/>
        <v>66313.565588709665</v>
      </c>
      <c r="N51" s="28">
        <f t="shared" si="30"/>
        <v>66313.565588709665</v>
      </c>
      <c r="O51" s="28">
        <f t="shared" si="30"/>
        <v>66313.565588709665</v>
      </c>
      <c r="P51" s="28">
        <f t="shared" si="30"/>
        <v>66313.565588709665</v>
      </c>
      <c r="Q51" s="28">
        <f t="shared" si="30"/>
        <v>66313.565588709665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12.348211936880334</v>
      </c>
      <c r="I52" s="54">
        <f t="shared" si="31"/>
        <v>12.348211936880334</v>
      </c>
      <c r="J52" s="54">
        <f t="shared" si="31"/>
        <v>12.348211936880334</v>
      </c>
      <c r="K52" s="54">
        <f t="shared" si="31"/>
        <v>12.348211936880334</v>
      </c>
      <c r="L52" s="54">
        <f t="shared" si="31"/>
        <v>12.348211936880334</v>
      </c>
      <c r="M52" s="54">
        <f t="shared" si="31"/>
        <v>12.348211936880334</v>
      </c>
      <c r="N52" s="54">
        <f t="shared" si="31"/>
        <v>12.348211936880334</v>
      </c>
      <c r="O52" s="54">
        <f t="shared" si="31"/>
        <v>12.348211936880334</v>
      </c>
      <c r="P52" s="54">
        <f t="shared" si="31"/>
        <v>12.348211936880334</v>
      </c>
      <c r="Q52" s="54">
        <f t="shared" si="31"/>
        <v>12.348211936880334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14.008181437186995</v>
      </c>
      <c r="I53" s="54">
        <f t="shared" si="32"/>
        <v>14.008181437186995</v>
      </c>
      <c r="J53" s="54">
        <f t="shared" si="32"/>
        <v>14.008181437186995</v>
      </c>
      <c r="K53" s="54">
        <f t="shared" si="32"/>
        <v>14.008181437186995</v>
      </c>
      <c r="L53" s="54">
        <f t="shared" si="32"/>
        <v>14.008181437186995</v>
      </c>
      <c r="M53" s="54">
        <f t="shared" si="32"/>
        <v>14.008181437186995</v>
      </c>
      <c r="N53" s="54">
        <f t="shared" si="32"/>
        <v>14.008181437186995</v>
      </c>
      <c r="O53" s="54">
        <f t="shared" si="32"/>
        <v>14.008181437186995</v>
      </c>
      <c r="P53" s="54">
        <f t="shared" si="32"/>
        <v>14.008181437186995</v>
      </c>
      <c r="Q53" s="54">
        <f t="shared" si="32"/>
        <v>14.008181437186995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8.7318117266605189</v>
      </c>
      <c r="I57" s="188">
        <f>H57</f>
        <v>8.7318117266605189</v>
      </c>
      <c r="J57" s="188">
        <f t="shared" ref="J57:Q57" si="34">I57</f>
        <v>8.7318117266605189</v>
      </c>
      <c r="K57" s="188">
        <f t="shared" si="34"/>
        <v>8.7318117266605189</v>
      </c>
      <c r="L57" s="188">
        <f t="shared" si="34"/>
        <v>8.7318117266605189</v>
      </c>
      <c r="M57" s="188">
        <f t="shared" si="34"/>
        <v>8.7318117266605189</v>
      </c>
      <c r="N57" s="188">
        <f t="shared" si="34"/>
        <v>8.7318117266605189</v>
      </c>
      <c r="O57" s="188">
        <f t="shared" si="34"/>
        <v>8.7318117266605189</v>
      </c>
      <c r="P57" s="188">
        <f t="shared" si="34"/>
        <v>8.7318117266605189</v>
      </c>
      <c r="Q57" s="188">
        <f t="shared" si="34"/>
        <v>8.7318117266605189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Assumptions'!$P$19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Assumptions'!$Q$19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Assumptions'!$R$19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4886.3929927777772</v>
      </c>
      <c r="I65" s="55">
        <f t="shared" si="40"/>
        <v>4886.3929927777772</v>
      </c>
      <c r="J65" s="55">
        <f t="shared" si="40"/>
        <v>4886.3929927777772</v>
      </c>
      <c r="K65" s="55">
        <f t="shared" si="40"/>
        <v>4886.3929927777772</v>
      </c>
      <c r="L65" s="55">
        <f t="shared" si="40"/>
        <v>4886.3929927777772</v>
      </c>
      <c r="M65" s="55">
        <f t="shared" si="40"/>
        <v>4886.3929927777772</v>
      </c>
      <c r="N65" s="55">
        <f t="shared" si="40"/>
        <v>4886.3929927777772</v>
      </c>
      <c r="O65" s="55">
        <f t="shared" si="40"/>
        <v>4886.3929927777772</v>
      </c>
      <c r="P65" s="55">
        <f t="shared" si="40"/>
        <v>4886.3929927777772</v>
      </c>
      <c r="Q65" s="55">
        <f t="shared" si="40"/>
        <v>4886.3929927777772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169.54249999999999</v>
      </c>
      <c r="I66" s="56">
        <f t="shared" ref="I66:Q66" si="41">+I$41*I58/1000</f>
        <v>169.54249999999999</v>
      </c>
      <c r="J66" s="56">
        <f t="shared" si="41"/>
        <v>169.54249999999999</v>
      </c>
      <c r="K66" s="56">
        <f t="shared" si="41"/>
        <v>169.54249999999999</v>
      </c>
      <c r="L66" s="56">
        <f t="shared" si="41"/>
        <v>169.54249999999999</v>
      </c>
      <c r="M66" s="56">
        <f t="shared" si="41"/>
        <v>169.54249999999999</v>
      </c>
      <c r="N66" s="56">
        <f t="shared" si="41"/>
        <v>169.54249999999999</v>
      </c>
      <c r="O66" s="56">
        <f t="shared" si="41"/>
        <v>169.54249999999999</v>
      </c>
      <c r="P66" s="56">
        <f t="shared" si="41"/>
        <v>169.54249999999999</v>
      </c>
      <c r="Q66" s="56">
        <f t="shared" si="41"/>
        <v>169.54249999999999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Assumptions'!$C$6*NE!H45</f>
        <v>0</v>
      </c>
      <c r="I69" s="703">
        <f>'Region Assumptions'!$C$6*NE!I45</f>
        <v>0</v>
      </c>
      <c r="J69" s="703">
        <f>'Region Assumptions'!$C$6*NE!J45</f>
        <v>0</v>
      </c>
      <c r="K69" s="703">
        <f>'Region Assumptions'!$C$6*NE!K45</f>
        <v>0</v>
      </c>
      <c r="L69" s="703">
        <f>'Region Assumptions'!$C$6*NE!L45</f>
        <v>0</v>
      </c>
      <c r="M69" s="703">
        <f>'Region Assumptions'!$C$6*NE!M45</f>
        <v>0</v>
      </c>
      <c r="N69" s="703">
        <f>'Region Assumptions'!$C$6*NE!N45</f>
        <v>0</v>
      </c>
      <c r="O69" s="703">
        <f>'Region Assumptions'!$C$6*NE!O45</f>
        <v>0</v>
      </c>
      <c r="P69" s="703">
        <f>'Region Assumptions'!$C$6*NE!P45</f>
        <v>0</v>
      </c>
      <c r="Q69" s="703">
        <f>'Region Assumptions'!$C$6*NE!Q45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Assumptions'!$G$19/1000</f>
        <v>0</v>
      </c>
      <c r="I70" s="434">
        <f>I61*365*'Region Assumptions'!$G$19/1000</f>
        <v>0</v>
      </c>
      <c r="J70" s="434">
        <f>J61*365*'Region Assumptions'!$G$19/1000</f>
        <v>0</v>
      </c>
      <c r="K70" s="434">
        <f>K61*365*'Region Assumptions'!$G$19/1000</f>
        <v>0</v>
      </c>
      <c r="L70" s="434">
        <f>L61*365*'Region Assumptions'!$G$19/1000</f>
        <v>0</v>
      </c>
      <c r="M70" s="434">
        <f>M61*365*'Region Assumptions'!$G$19/1000</f>
        <v>0</v>
      </c>
      <c r="N70" s="434">
        <f>N61*365*'Region Assumptions'!$G$19/1000</f>
        <v>0</v>
      </c>
      <c r="O70" s="434">
        <f>O61*365*'Region Assumptions'!$G$19/1000</f>
        <v>0</v>
      </c>
      <c r="P70" s="434">
        <f>P61*365*'Region Assumptions'!$G$19/1000</f>
        <v>0</v>
      </c>
      <c r="Q70" s="434">
        <f>Q61*365*'Region Assumptions'!$G$19/1000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Assumptions'!$H$19/1000</f>
        <v>89.461500000000001</v>
      </c>
      <c r="I71" s="434">
        <f>I62*365*'Region Assumptions'!$H$19/1000</f>
        <v>89.461500000000001</v>
      </c>
      <c r="J71" s="434">
        <f>J62*365*'Region Assumptions'!$H$19/1000</f>
        <v>89.461500000000001</v>
      </c>
      <c r="K71" s="434">
        <f>K62*365*'Region Assumptions'!$H$19/1000</f>
        <v>89.461500000000001</v>
      </c>
      <c r="L71" s="434">
        <f>L62*365*'Region Assumptions'!$H$19/1000</f>
        <v>89.461500000000001</v>
      </c>
      <c r="M71" s="434">
        <f>M62*365*'Region Assumptions'!$H$19/1000</f>
        <v>89.461500000000001</v>
      </c>
      <c r="N71" s="434">
        <f>N62*365*'Region Assumptions'!$H$19/1000</f>
        <v>89.461500000000001</v>
      </c>
      <c r="O71" s="434">
        <f>O62*365*'Region Assumptions'!$H$19/1000</f>
        <v>89.461500000000001</v>
      </c>
      <c r="P71" s="434">
        <f>P62*365*'Region Assumptions'!$H$19/1000</f>
        <v>89.461500000000001</v>
      </c>
      <c r="Q71" s="434">
        <f>Q62*365*'Region Assumptions'!$H$19/1000</f>
        <v>89.461500000000001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Assumptions'!$I$19/1000</f>
        <v>0</v>
      </c>
      <c r="I72" s="434">
        <f>I63*365*'Region Assumptions'!$I$19/1000</f>
        <v>0</v>
      </c>
      <c r="J72" s="434">
        <f>J63*365*'Region Assumptions'!$I$19/1000</f>
        <v>0</v>
      </c>
      <c r="K72" s="434">
        <f>K63*365*'Region Assumptions'!$I$19/1000</f>
        <v>0</v>
      </c>
      <c r="L72" s="434">
        <f>L63*365*'Region Assumptions'!$I$19/1000</f>
        <v>0</v>
      </c>
      <c r="M72" s="434">
        <f>M63*365*'Region Assumptions'!$I$19/1000</f>
        <v>0</v>
      </c>
      <c r="N72" s="434">
        <f>N63*365*'Region Assumptions'!$I$19/1000</f>
        <v>0</v>
      </c>
      <c r="O72" s="434">
        <f>O63*365*'Region Assumptions'!$I$19/1000</f>
        <v>0</v>
      </c>
      <c r="P72" s="434">
        <f>P63*365*'Region Assumptions'!$I$19/1000</f>
        <v>0</v>
      </c>
      <c r="Q72" s="434">
        <f>Q63*365*'Region Assumptions'!$I$19/1000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Assumptions'!$AF$19/1000</f>
        <v>0</v>
      </c>
      <c r="I73" s="434">
        <f>(I28*(I29-I33))*'Region Assumptions'!$AF$19/1000</f>
        <v>0</v>
      </c>
      <c r="J73" s="434">
        <f>(J28*(J29-J33))*'Region Assumptions'!$AF$19/1000</f>
        <v>0</v>
      </c>
      <c r="K73" s="434">
        <f>(K28*(K29-K33))*'Region Assumptions'!$AF$19/1000</f>
        <v>0</v>
      </c>
      <c r="L73" s="434">
        <f>(L28*(L29-L33))*'Region Assumptions'!$AF$19/1000</f>
        <v>0</v>
      </c>
      <c r="M73" s="434">
        <f>(M28*(M29-M33))*'Region Assumptions'!$AF$19/1000</f>
        <v>0</v>
      </c>
      <c r="N73" s="434">
        <f>(N28*(N29-N33))*'Region Assumptions'!$AF$19/1000</f>
        <v>0</v>
      </c>
      <c r="O73" s="434">
        <f>(O28*(O29-O33))*'Region Assumptions'!$AF$19/1000</f>
        <v>0</v>
      </c>
      <c r="P73" s="434">
        <f>(P28*(P29-P33))*'Region Assumptions'!$AF$19/1000</f>
        <v>0</v>
      </c>
      <c r="Q73" s="434">
        <f>(Q28*(Q29-Q33))*'Region Assumptions'!$AF$19/1000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5145.3969927777771</v>
      </c>
      <c r="I74" s="48">
        <f t="shared" ref="I74:Q74" si="43">SUM(I65:I73)</f>
        <v>5145.3969927777771</v>
      </c>
      <c r="J74" s="48">
        <f t="shared" si="43"/>
        <v>5145.3969927777771</v>
      </c>
      <c r="K74" s="48">
        <f t="shared" si="43"/>
        <v>5145.3969927777771</v>
      </c>
      <c r="L74" s="48">
        <f t="shared" si="43"/>
        <v>5145.3969927777771</v>
      </c>
      <c r="M74" s="48">
        <f t="shared" si="43"/>
        <v>5145.3969927777771</v>
      </c>
      <c r="N74" s="48">
        <f t="shared" si="43"/>
        <v>5145.3969927777771</v>
      </c>
      <c r="O74" s="48">
        <f t="shared" si="43"/>
        <v>5145.3969927777771</v>
      </c>
      <c r="P74" s="48">
        <f t="shared" si="43"/>
        <v>5145.3969927777771</v>
      </c>
      <c r="Q74" s="48">
        <f t="shared" si="43"/>
        <v>5145.3969927777771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1764.7630256154871</v>
      </c>
      <c r="I76" s="48">
        <f t="shared" ref="I76:Q76" si="44">+I45-I74</f>
        <v>1764.7630256154871</v>
      </c>
      <c r="J76" s="48">
        <f t="shared" si="44"/>
        <v>1764.7630256154871</v>
      </c>
      <c r="K76" s="48">
        <f t="shared" si="44"/>
        <v>1764.7630256154871</v>
      </c>
      <c r="L76" s="48">
        <f t="shared" si="44"/>
        <v>1764.7630256154871</v>
      </c>
      <c r="M76" s="48">
        <f t="shared" si="44"/>
        <v>1764.7630256154871</v>
      </c>
      <c r="N76" s="48">
        <f t="shared" si="44"/>
        <v>1764.7630256154871</v>
      </c>
      <c r="O76" s="48">
        <f t="shared" si="44"/>
        <v>1764.7630256154871</v>
      </c>
      <c r="P76" s="48">
        <f t="shared" si="44"/>
        <v>1764.7630256154871</v>
      </c>
      <c r="Q76" s="48">
        <f t="shared" si="44"/>
        <v>1764.7630256154871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3.1535692083346523</v>
      </c>
      <c r="I77" s="37">
        <f t="shared" si="45"/>
        <v>3.1535692083346523</v>
      </c>
      <c r="J77" s="37">
        <f t="shared" si="45"/>
        <v>3.1535692083346523</v>
      </c>
      <c r="K77" s="37">
        <f t="shared" si="45"/>
        <v>3.1535692083346523</v>
      </c>
      <c r="L77" s="37">
        <f t="shared" si="45"/>
        <v>3.1535692083346523</v>
      </c>
      <c r="M77" s="37">
        <f t="shared" si="45"/>
        <v>3.1535692083346523</v>
      </c>
      <c r="N77" s="37">
        <f t="shared" si="45"/>
        <v>3.1535692083346523</v>
      </c>
      <c r="O77" s="37">
        <f t="shared" si="45"/>
        <v>3.1535692083346523</v>
      </c>
      <c r="P77" s="37">
        <f t="shared" si="45"/>
        <v>3.1535692083346523</v>
      </c>
      <c r="Q77" s="37">
        <f t="shared" si="45"/>
        <v>3.1535692083346523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2.6022428382492397</v>
      </c>
      <c r="I78" s="37">
        <f t="shared" si="46"/>
        <v>2.6022428382492397</v>
      </c>
      <c r="J78" s="37">
        <f t="shared" si="46"/>
        <v>2.6022428382492397</v>
      </c>
      <c r="K78" s="37">
        <f t="shared" si="46"/>
        <v>2.6022428382492397</v>
      </c>
      <c r="L78" s="37">
        <f t="shared" si="46"/>
        <v>2.6022428382492397</v>
      </c>
      <c r="M78" s="37">
        <f t="shared" si="46"/>
        <v>2.6022428382492397</v>
      </c>
      <c r="N78" s="37">
        <f t="shared" si="46"/>
        <v>2.6022428382492397</v>
      </c>
      <c r="O78" s="37">
        <f t="shared" si="46"/>
        <v>2.6022428382492397</v>
      </c>
      <c r="P78" s="37">
        <f t="shared" si="46"/>
        <v>2.6022428382492397</v>
      </c>
      <c r="Q78" s="37">
        <f t="shared" si="46"/>
        <v>2.6022428382492397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0.25538670897896604</v>
      </c>
      <c r="I79" s="57">
        <f t="shared" si="47"/>
        <v>0.25538670897896604</v>
      </c>
      <c r="J79" s="57">
        <f t="shared" si="47"/>
        <v>0.25538670897896604</v>
      </c>
      <c r="K79" s="57">
        <f t="shared" si="47"/>
        <v>0.25538670897896604</v>
      </c>
      <c r="L79" s="57">
        <f t="shared" si="47"/>
        <v>0.25538670897896604</v>
      </c>
      <c r="M79" s="57">
        <f t="shared" si="47"/>
        <v>0.25538670897896604</v>
      </c>
      <c r="N79" s="57">
        <f t="shared" si="47"/>
        <v>0.25538670897896604</v>
      </c>
      <c r="O79" s="57">
        <f t="shared" si="47"/>
        <v>0.25538670897896604</v>
      </c>
      <c r="P79" s="57">
        <f t="shared" si="47"/>
        <v>0.25538670897896604</v>
      </c>
      <c r="Q79" s="57">
        <f t="shared" si="47"/>
        <v>0.25538670897896604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Assumptions'!$F$19</f>
        <v>1772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Assumptions'!$M$19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Assumptions'!$N$19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7088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Assumptions'!$X$19</f>
        <v>0.1</v>
      </c>
      <c r="G88" s="49">
        <f>F88*G87</f>
        <v>708.80000000000007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7796.8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5">
        <f>'Region Assumptions'!$T$19*NE!G83/1000</f>
        <v>487.3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Assumptions'!$U$19*NE!G83/1000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Assumptions'!$S$19*NE!G83/1000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Assumptions'!$V$19*NE!G83/1000</f>
        <v>398.7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345.50800091966323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Assumptions'!$W$19*'Region Assumptions'!$H$19/1000</f>
        <v>47.3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Assumptions'!$E$19*'Region Assumptions'!$C$4/1000</f>
        <v>54.267047774601878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1224.5409531450612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9021.3409531450616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5.1119276765211783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-8675.8329522253989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Pending'!L12,NE!G86)/1000</f>
        <v>4430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1764.7630256154871</v>
      </c>
      <c r="I108" s="22">
        <f t="shared" si="49"/>
        <v>1764.7630256154871</v>
      </c>
      <c r="J108" s="22">
        <f t="shared" si="49"/>
        <v>1764.7630256154871</v>
      </c>
      <c r="K108" s="22">
        <f t="shared" si="49"/>
        <v>1764.7630256154871</v>
      </c>
      <c r="L108" s="22">
        <f t="shared" si="49"/>
        <v>1764.7630256154871</v>
      </c>
      <c r="M108" s="22">
        <f t="shared" si="49"/>
        <v>1764.7630256154871</v>
      </c>
      <c r="N108" s="22">
        <f t="shared" si="49"/>
        <v>1764.7630256154871</v>
      </c>
      <c r="O108" s="22">
        <f t="shared" si="49"/>
        <v>1764.7630256154871</v>
      </c>
      <c r="P108" s="22">
        <f t="shared" si="49"/>
        <v>1764.7630256154871</v>
      </c>
      <c r="Q108" s="22">
        <f t="shared" si="49"/>
        <v>1764.7630256154871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-1666.0649902611472</v>
      </c>
      <c r="I109" s="72">
        <f>'Region Assumptions'!$C$4*($G$105+$G$94)/5</f>
        <v>-1666.0649902611472</v>
      </c>
      <c r="J109" s="72">
        <f>'Region Assumptions'!$C$4*($G$105+$G$94)/5</f>
        <v>-1666.0649902611472</v>
      </c>
      <c r="K109" s="72">
        <f>'Region Assumptions'!$C$4*($G$105+$G$94)/5</f>
        <v>-1666.0649902611472</v>
      </c>
      <c r="L109" s="72">
        <f>'Region Assumptions'!$C$4*($G$105+$G$94)/5</f>
        <v>-1666.0649902611472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98.698035354339936</v>
      </c>
      <c r="I110" s="73">
        <f t="shared" si="51"/>
        <v>98.698035354339936</v>
      </c>
      <c r="J110" s="73">
        <f t="shared" si="51"/>
        <v>98.698035354339936</v>
      </c>
      <c r="K110" s="73">
        <f t="shared" si="51"/>
        <v>98.698035354339936</v>
      </c>
      <c r="L110" s="73">
        <f t="shared" si="51"/>
        <v>98.698035354339936</v>
      </c>
      <c r="M110" s="73">
        <f t="shared" si="51"/>
        <v>1764.7630256154871</v>
      </c>
      <c r="N110" s="73">
        <f t="shared" si="51"/>
        <v>1764.7630256154871</v>
      </c>
      <c r="O110" s="73">
        <f t="shared" si="51"/>
        <v>1764.7630256154871</v>
      </c>
      <c r="P110" s="73">
        <f t="shared" si="51"/>
        <v>1764.7630256154871</v>
      </c>
      <c r="Q110" s="73">
        <f t="shared" si="51"/>
        <v>1764.7630256154871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-39.47921414173598</v>
      </c>
      <c r="I111" s="72">
        <f t="shared" si="52"/>
        <v>-39.47921414173598</v>
      </c>
      <c r="J111" s="72">
        <f t="shared" si="52"/>
        <v>-39.47921414173598</v>
      </c>
      <c r="K111" s="72">
        <f t="shared" si="52"/>
        <v>-39.47921414173598</v>
      </c>
      <c r="L111" s="72">
        <f t="shared" si="52"/>
        <v>-39.47921414173598</v>
      </c>
      <c r="M111" s="72">
        <f t="shared" si="52"/>
        <v>-705.90521024619488</v>
      </c>
      <c r="N111" s="72">
        <f t="shared" si="52"/>
        <v>-705.90521024619488</v>
      </c>
      <c r="O111" s="72">
        <f t="shared" si="52"/>
        <v>-705.90521024619488</v>
      </c>
      <c r="P111" s="72">
        <f t="shared" si="52"/>
        <v>-705.90521024619488</v>
      </c>
      <c r="Q111" s="72">
        <f t="shared" si="52"/>
        <v>-705.90521024619488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1725.283811473751</v>
      </c>
      <c r="I112" s="72">
        <f t="shared" si="53"/>
        <v>1725.283811473751</v>
      </c>
      <c r="J112" s="72">
        <f t="shared" si="53"/>
        <v>1725.283811473751</v>
      </c>
      <c r="K112" s="72">
        <f t="shared" si="53"/>
        <v>1725.283811473751</v>
      </c>
      <c r="L112" s="72">
        <f t="shared" si="53"/>
        <v>1725.283811473751</v>
      </c>
      <c r="M112" s="72">
        <f t="shared" si="53"/>
        <v>1058.8578153692922</v>
      </c>
      <c r="N112" s="72">
        <f t="shared" si="53"/>
        <v>1058.8578153692922</v>
      </c>
      <c r="O112" s="72">
        <f t="shared" si="53"/>
        <v>1058.8578153692922</v>
      </c>
      <c r="P112" s="72">
        <f t="shared" si="53"/>
        <v>1058.8578153692922</v>
      </c>
      <c r="Q112" s="72">
        <f t="shared" si="53"/>
        <v>1058.8578153692922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-345.50800091966323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1379.7758105540879</v>
      </c>
      <c r="I115" s="75">
        <f t="shared" si="56"/>
        <v>1725.283811473751</v>
      </c>
      <c r="J115" s="75">
        <f t="shared" si="56"/>
        <v>1725.283811473751</v>
      </c>
      <c r="K115" s="75">
        <f t="shared" si="56"/>
        <v>1725.283811473751</v>
      </c>
      <c r="L115" s="75">
        <f t="shared" si="56"/>
        <v>1725.283811473751</v>
      </c>
      <c r="M115" s="75">
        <f t="shared" si="56"/>
        <v>1058.8578153692922</v>
      </c>
      <c r="N115" s="75">
        <f t="shared" si="56"/>
        <v>1058.8578153692922</v>
      </c>
      <c r="O115" s="75">
        <f t="shared" si="56"/>
        <v>1058.8578153692922</v>
      </c>
      <c r="P115" s="75">
        <f t="shared" si="56"/>
        <v>1058.8578153692922</v>
      </c>
      <c r="Q115" s="75">
        <f t="shared" si="56"/>
        <v>1058.8578153692922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-8675.8329522253989</v>
      </c>
      <c r="H117" s="70">
        <f t="shared" si="57"/>
        <v>1379.7758105540879</v>
      </c>
      <c r="I117" s="70">
        <f t="shared" si="57"/>
        <v>1725.283811473751</v>
      </c>
      <c r="J117" s="70">
        <f t="shared" si="57"/>
        <v>1725.283811473751</v>
      </c>
      <c r="K117" s="70">
        <f t="shared" si="57"/>
        <v>1725.283811473751</v>
      </c>
      <c r="L117" s="70">
        <f t="shared" si="57"/>
        <v>1725.283811473751</v>
      </c>
      <c r="M117" s="70">
        <f t="shared" si="57"/>
        <v>1058.8578153692922</v>
      </c>
      <c r="N117" s="70">
        <f t="shared" si="57"/>
        <v>1058.8578153692922</v>
      </c>
      <c r="O117" s="70">
        <f t="shared" si="57"/>
        <v>1058.8578153692922</v>
      </c>
      <c r="P117" s="70">
        <f t="shared" si="57"/>
        <v>1058.8578153692922</v>
      </c>
      <c r="Q117" s="70">
        <f t="shared" si="57"/>
        <v>5488.8578153692924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0.14072826255346271</v>
      </c>
      <c r="F119" s="70">
        <f>+NPV(0.12,G117:Q117)</f>
        <v>738.49873475873267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-8675.8329522253989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8823.8151280774364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1764.7630256154871</v>
      </c>
      <c r="I125" s="22">
        <f t="shared" si="59"/>
        <v>1764.7630256154871</v>
      </c>
      <c r="J125" s="22">
        <f t="shared" si="59"/>
        <v>1764.7630256154871</v>
      </c>
      <c r="K125" s="22">
        <f t="shared" si="59"/>
        <v>1764.7630256154871</v>
      </c>
      <c r="L125" s="22">
        <f t="shared" si="59"/>
        <v>1764.7630256154871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-1666.0649902611472</v>
      </c>
      <c r="I126" s="72">
        <f t="shared" si="59"/>
        <v>-1666.0649902611472</v>
      </c>
      <c r="J126" s="72">
        <f t="shared" si="59"/>
        <v>-1666.0649902611472</v>
      </c>
      <c r="K126" s="72">
        <f t="shared" si="59"/>
        <v>-1666.0649902611472</v>
      </c>
      <c r="L126" s="72">
        <f t="shared" si="59"/>
        <v>-1666.0649902611472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98.698035354339936</v>
      </c>
      <c r="I127" s="73">
        <f>SUM(I125:I126)</f>
        <v>98.698035354339936</v>
      </c>
      <c r="J127" s="73">
        <f>SUM(J125:J126)</f>
        <v>98.698035354339936</v>
      </c>
      <c r="K127" s="73">
        <f>SUM(K125:K126)</f>
        <v>98.698035354339936</v>
      </c>
      <c r="L127" s="73">
        <f>SUM(L125:L126)</f>
        <v>98.698035354339936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-39.47921414173598</v>
      </c>
      <c r="I128" s="72">
        <f t="shared" si="60"/>
        <v>-39.47921414173598</v>
      </c>
      <c r="J128" s="72">
        <f t="shared" si="60"/>
        <v>-39.47921414173598</v>
      </c>
      <c r="K128" s="72">
        <f t="shared" si="60"/>
        <v>-39.47921414173598</v>
      </c>
      <c r="L128" s="72">
        <f t="shared" si="60"/>
        <v>-39.47921414173598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1725.283811473751</v>
      </c>
      <c r="I129" s="72">
        <f>SUM(I125:I125,I128)</f>
        <v>1725.283811473751</v>
      </c>
      <c r="J129" s="72">
        <f>SUM(J125:J125,J128)</f>
        <v>1725.283811473751</v>
      </c>
      <c r="K129" s="72">
        <f>SUM(K125:K125,K128)</f>
        <v>1725.283811473751</v>
      </c>
      <c r="L129" s="72">
        <f>SUM(L125:L125,L128)</f>
        <v>1725.283811473751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-345.50800091966323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1379.7758105540879</v>
      </c>
      <c r="I132" s="73">
        <f>SUM(I129:I131)</f>
        <v>1725.283811473751</v>
      </c>
      <c r="J132" s="73">
        <f>SUM(J129:J131)</f>
        <v>1725.283811473751</v>
      </c>
      <c r="K132" s="73">
        <f>SUM(K129:K131)</f>
        <v>1725.283811473751</v>
      </c>
      <c r="L132" s="73">
        <f>SUM(L129:L131)</f>
        <v>1725.283811473751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-8675.8329522253989</v>
      </c>
      <c r="H134" s="70">
        <f t="shared" si="62"/>
        <v>1379.7758105540879</v>
      </c>
      <c r="I134" s="70">
        <f t="shared" si="62"/>
        <v>1725.283811473751</v>
      </c>
      <c r="J134" s="70">
        <f t="shared" si="62"/>
        <v>1725.283811473751</v>
      </c>
      <c r="K134" s="70">
        <f t="shared" si="62"/>
        <v>1725.283811473751</v>
      </c>
      <c r="L134" s="70">
        <f t="shared" si="62"/>
        <v>10549.098939551188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0.19024862872142578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 tint="0.39997558519241921"/>
  </sheetPr>
  <dimension ref="A1:AA152"/>
  <sheetViews>
    <sheetView showGridLines="0" tabSelected="1" topLeftCell="A59" zoomScale="90" zoomScaleNormal="90" zoomScaleSheetLayoutView="70" workbookViewId="0">
      <selection activeCell="F41" sqref="F41"/>
    </sheetView>
  </sheetViews>
  <sheetFormatPr defaultColWidth="10.33203125" defaultRowHeight="12.75" outlineLevelRow="1"/>
  <cols>
    <col min="1" max="1" width="2.83203125" style="24" customWidth="1"/>
    <col min="2" max="2" width="1.6640625" style="24" customWidth="1"/>
    <col min="3" max="4" width="10.33203125" style="24"/>
    <col min="5" max="6" width="12.83203125" style="24" customWidth="1"/>
    <col min="7" max="17" width="13.5" style="24" customWidth="1"/>
    <col min="18" max="18" width="1.83203125" style="24" customWidth="1"/>
    <col min="19" max="19" width="14.83203125" style="24" customWidth="1"/>
    <col min="20" max="20" width="10.33203125" style="24"/>
    <col min="21" max="21" width="34" style="24" bestFit="1" customWidth="1"/>
    <col min="22" max="22" width="11.83203125" style="24" customWidth="1"/>
    <col min="23" max="26" width="8.83203125" style="24" customWidth="1"/>
    <col min="27" max="16384" width="10.33203125" style="24"/>
  </cols>
  <sheetData>
    <row r="1" spans="1:24">
      <c r="A1" s="23" t="s">
        <v>210</v>
      </c>
      <c r="C1" s="23"/>
    </row>
    <row r="2" spans="1:24">
      <c r="A2" s="23" t="s">
        <v>22</v>
      </c>
      <c r="F2" s="371"/>
      <c r="H2" s="372"/>
    </row>
    <row r="3" spans="1:24">
      <c r="A3" s="93" t="s">
        <v>465</v>
      </c>
      <c r="F3" s="24" t="s">
        <v>297</v>
      </c>
      <c r="G3" s="443">
        <v>0</v>
      </c>
    </row>
    <row r="4" spans="1:24">
      <c r="G4" s="295"/>
      <c r="H4" s="295"/>
      <c r="L4" s="26"/>
      <c r="V4" s="25"/>
    </row>
    <row r="5" spans="1:24">
      <c r="B5" s="27"/>
      <c r="C5" s="23" t="s">
        <v>23</v>
      </c>
      <c r="E5" s="25"/>
      <c r="F5" s="25"/>
      <c r="G5" s="295"/>
      <c r="H5" s="25"/>
      <c r="L5" s="25"/>
      <c r="V5" s="25"/>
    </row>
    <row r="6" spans="1:24">
      <c r="C6" s="24" t="s">
        <v>24</v>
      </c>
      <c r="G6" s="184">
        <f>(($G$9*G10*(1-$G$12)))*(1-$G$3)</f>
        <v>0</v>
      </c>
      <c r="H6" s="184">
        <f t="shared" ref="H6:Q6" si="0">(($G$9*H10*(1-$G$12)))*(1-$G$3)</f>
        <v>0</v>
      </c>
      <c r="I6" s="184">
        <f t="shared" si="0"/>
        <v>0</v>
      </c>
      <c r="J6" s="184">
        <f t="shared" si="0"/>
        <v>0</v>
      </c>
      <c r="K6" s="184">
        <f t="shared" si="0"/>
        <v>0</v>
      </c>
      <c r="L6" s="184">
        <f t="shared" si="0"/>
        <v>0</v>
      </c>
      <c r="M6" s="184">
        <f t="shared" si="0"/>
        <v>0</v>
      </c>
      <c r="N6" s="184">
        <f t="shared" si="0"/>
        <v>0</v>
      </c>
      <c r="O6" s="184">
        <f t="shared" si="0"/>
        <v>0</v>
      </c>
      <c r="P6" s="184">
        <f t="shared" si="0"/>
        <v>0</v>
      </c>
      <c r="Q6" s="184">
        <f t="shared" si="0"/>
        <v>0</v>
      </c>
      <c r="S6" s="28"/>
      <c r="T6" s="28"/>
      <c r="U6" s="28"/>
      <c r="V6" s="29"/>
      <c r="X6" s="25"/>
    </row>
    <row r="7" spans="1:24">
      <c r="C7" s="24" t="s">
        <v>464</v>
      </c>
      <c r="G7" s="184">
        <f>$G$9*G11*(1-$G$12)</f>
        <v>365000</v>
      </c>
      <c r="H7" s="184">
        <f t="shared" ref="H7:Q7" si="1">$G$9*H11*(1-$G$12)</f>
        <v>365000</v>
      </c>
      <c r="I7" s="184">
        <f t="shared" si="1"/>
        <v>365000</v>
      </c>
      <c r="J7" s="184">
        <f t="shared" si="1"/>
        <v>365000</v>
      </c>
      <c r="K7" s="184">
        <f t="shared" si="1"/>
        <v>365000</v>
      </c>
      <c r="L7" s="184">
        <f t="shared" si="1"/>
        <v>365000</v>
      </c>
      <c r="M7" s="184">
        <f t="shared" si="1"/>
        <v>365000</v>
      </c>
      <c r="N7" s="184">
        <f t="shared" si="1"/>
        <v>365000</v>
      </c>
      <c r="O7" s="184">
        <f t="shared" si="1"/>
        <v>365000</v>
      </c>
      <c r="P7" s="184">
        <f t="shared" si="1"/>
        <v>365000</v>
      </c>
      <c r="Q7" s="184">
        <f t="shared" si="1"/>
        <v>365000</v>
      </c>
      <c r="S7" s="28"/>
      <c r="T7" s="28"/>
      <c r="U7" s="28"/>
      <c r="V7" s="29"/>
      <c r="X7" s="25"/>
    </row>
    <row r="8" spans="1:24">
      <c r="C8" s="24" t="s">
        <v>15</v>
      </c>
      <c r="G8" s="184">
        <f t="shared" ref="G8:Q8" si="2">$G$9*G12</f>
        <v>0</v>
      </c>
      <c r="H8" s="184">
        <f t="shared" si="2"/>
        <v>0</v>
      </c>
      <c r="I8" s="184">
        <f t="shared" si="2"/>
        <v>0</v>
      </c>
      <c r="J8" s="184">
        <f t="shared" si="2"/>
        <v>0</v>
      </c>
      <c r="K8" s="184">
        <f t="shared" si="2"/>
        <v>0</v>
      </c>
      <c r="L8" s="184">
        <f t="shared" si="2"/>
        <v>0</v>
      </c>
      <c r="M8" s="184">
        <f t="shared" si="2"/>
        <v>0</v>
      </c>
      <c r="N8" s="184">
        <f t="shared" si="2"/>
        <v>0</v>
      </c>
      <c r="O8" s="184">
        <f t="shared" si="2"/>
        <v>0</v>
      </c>
      <c r="P8" s="184">
        <f t="shared" si="2"/>
        <v>0</v>
      </c>
      <c r="Q8" s="184">
        <f t="shared" si="2"/>
        <v>0</v>
      </c>
      <c r="S8" s="28"/>
      <c r="U8" s="28"/>
      <c r="V8" s="29"/>
      <c r="X8" s="25"/>
    </row>
    <row r="9" spans="1:24" outlineLevel="1">
      <c r="C9" s="23" t="s">
        <v>25</v>
      </c>
      <c r="G9" s="460">
        <f>H23*365</f>
        <v>365000</v>
      </c>
      <c r="H9" s="268">
        <f t="shared" ref="H9:Q9" si="3">G9</f>
        <v>365000</v>
      </c>
      <c r="I9" s="268">
        <f t="shared" si="3"/>
        <v>365000</v>
      </c>
      <c r="J9" s="268">
        <f t="shared" si="3"/>
        <v>365000</v>
      </c>
      <c r="K9" s="268">
        <f t="shared" si="3"/>
        <v>365000</v>
      </c>
      <c r="L9" s="268">
        <f t="shared" si="3"/>
        <v>365000</v>
      </c>
      <c r="M9" s="268">
        <f t="shared" si="3"/>
        <v>365000</v>
      </c>
      <c r="N9" s="268">
        <f t="shared" si="3"/>
        <v>365000</v>
      </c>
      <c r="O9" s="268">
        <f t="shared" si="3"/>
        <v>365000</v>
      </c>
      <c r="P9" s="268">
        <f>O9</f>
        <v>365000</v>
      </c>
      <c r="Q9" s="268">
        <f t="shared" si="3"/>
        <v>365000</v>
      </c>
      <c r="S9" s="30"/>
      <c r="U9" s="28"/>
      <c r="V9" s="34"/>
      <c r="W9" s="167"/>
      <c r="X9" s="25"/>
    </row>
    <row r="10" spans="1:24">
      <c r="C10" s="31" t="s">
        <v>26</v>
      </c>
      <c r="G10" s="448">
        <v>0</v>
      </c>
      <c r="H10" s="438">
        <f>G10+'Region Assumptions'!$AE$20</f>
        <v>0</v>
      </c>
      <c r="I10" s="438">
        <f>H10+'Region Assumptions'!$AE$20</f>
        <v>0</v>
      </c>
      <c r="J10" s="438">
        <f>I10+'Region Assumptions'!$AE$20</f>
        <v>0</v>
      </c>
      <c r="K10" s="438">
        <f>J10+'Region Assumptions'!$AE$20</f>
        <v>0</v>
      </c>
      <c r="L10" s="438">
        <f>K10+'Region Assumptions'!$AE$20</f>
        <v>0</v>
      </c>
      <c r="M10" s="438">
        <f>L10+'Region Assumptions'!$AE$20</f>
        <v>0</v>
      </c>
      <c r="N10" s="438">
        <f>M10+'Region Assumptions'!$AE$20</f>
        <v>0</v>
      </c>
      <c r="O10" s="438">
        <f>N10+'Region Assumptions'!$AE$20</f>
        <v>0</v>
      </c>
      <c r="P10" s="438">
        <f>O10+'Region Assumptions'!$AE$20</f>
        <v>0</v>
      </c>
      <c r="Q10" s="438">
        <f>P10+'Region Assumptions'!$AE$20</f>
        <v>0</v>
      </c>
      <c r="S10" s="32"/>
      <c r="U10" s="28"/>
      <c r="V10" s="29"/>
      <c r="X10" s="25"/>
    </row>
    <row r="11" spans="1:24">
      <c r="C11" s="31" t="s">
        <v>254</v>
      </c>
      <c r="G11" s="269">
        <f>1-G10</f>
        <v>1</v>
      </c>
      <c r="H11" s="269">
        <f t="shared" ref="H11:Q11" si="4">1-H10</f>
        <v>1</v>
      </c>
      <c r="I11" s="269">
        <f t="shared" si="4"/>
        <v>1</v>
      </c>
      <c r="J11" s="269">
        <f t="shared" si="4"/>
        <v>1</v>
      </c>
      <c r="K11" s="269">
        <f t="shared" si="4"/>
        <v>1</v>
      </c>
      <c r="L11" s="269">
        <f t="shared" si="4"/>
        <v>1</v>
      </c>
      <c r="M11" s="269">
        <f t="shared" si="4"/>
        <v>1</v>
      </c>
      <c r="N11" s="269">
        <f t="shared" si="4"/>
        <v>1</v>
      </c>
      <c r="O11" s="269">
        <f t="shared" si="4"/>
        <v>1</v>
      </c>
      <c r="P11" s="269">
        <f t="shared" si="4"/>
        <v>1</v>
      </c>
      <c r="Q11" s="269">
        <f t="shared" si="4"/>
        <v>1</v>
      </c>
      <c r="S11" s="32"/>
      <c r="U11" s="28"/>
      <c r="V11" s="29"/>
      <c r="X11" s="25"/>
    </row>
    <row r="12" spans="1:24">
      <c r="C12" s="31" t="s">
        <v>27</v>
      </c>
      <c r="G12" s="438">
        <f>'Region Assumptions'!$Y$20</f>
        <v>0</v>
      </c>
      <c r="H12" s="269">
        <f>G12</f>
        <v>0</v>
      </c>
      <c r="I12" s="269">
        <f t="shared" ref="I12:Q12" si="5">H12</f>
        <v>0</v>
      </c>
      <c r="J12" s="269">
        <f t="shared" si="5"/>
        <v>0</v>
      </c>
      <c r="K12" s="269">
        <f t="shared" si="5"/>
        <v>0</v>
      </c>
      <c r="L12" s="269">
        <f t="shared" si="5"/>
        <v>0</v>
      </c>
      <c r="M12" s="269">
        <f t="shared" si="5"/>
        <v>0</v>
      </c>
      <c r="N12" s="269">
        <f t="shared" si="5"/>
        <v>0</v>
      </c>
      <c r="O12" s="269">
        <f t="shared" si="5"/>
        <v>0</v>
      </c>
      <c r="P12" s="269">
        <f t="shared" si="5"/>
        <v>0</v>
      </c>
      <c r="Q12" s="269">
        <f t="shared" si="5"/>
        <v>0</v>
      </c>
      <c r="S12" s="33"/>
      <c r="U12" s="28"/>
      <c r="V12" s="29"/>
      <c r="X12" s="25"/>
    </row>
    <row r="13" spans="1:24">
      <c r="C13" s="31" t="s">
        <v>158</v>
      </c>
      <c r="G13" s="438"/>
      <c r="H13" s="269">
        <f>H9/H23/365</f>
        <v>1</v>
      </c>
      <c r="I13" s="269">
        <f t="shared" ref="I13:Q13" si="6">I9/I23/365</f>
        <v>1</v>
      </c>
      <c r="J13" s="269">
        <f t="shared" si="6"/>
        <v>1</v>
      </c>
      <c r="K13" s="269">
        <f t="shared" si="6"/>
        <v>1</v>
      </c>
      <c r="L13" s="269">
        <f t="shared" si="6"/>
        <v>1</v>
      </c>
      <c r="M13" s="269">
        <f t="shared" si="6"/>
        <v>1</v>
      </c>
      <c r="N13" s="269">
        <f t="shared" si="6"/>
        <v>1</v>
      </c>
      <c r="O13" s="269">
        <f t="shared" si="6"/>
        <v>1</v>
      </c>
      <c r="P13" s="269">
        <f t="shared" si="6"/>
        <v>1</v>
      </c>
      <c r="Q13" s="269">
        <f t="shared" si="6"/>
        <v>1</v>
      </c>
      <c r="S13" s="32"/>
      <c r="U13" s="28"/>
      <c r="V13" s="29"/>
      <c r="X13" s="25"/>
    </row>
    <row r="14" spans="1:24">
      <c r="G14" s="25"/>
      <c r="H14" s="25"/>
      <c r="K14" s="26"/>
      <c r="L14" s="26"/>
      <c r="M14" s="29"/>
      <c r="N14" s="34"/>
      <c r="O14" s="34"/>
      <c r="P14" s="35"/>
      <c r="Q14" s="35"/>
      <c r="U14" s="28"/>
      <c r="V14" s="29"/>
      <c r="X14" s="25"/>
    </row>
    <row r="15" spans="1:24">
      <c r="E15" s="25"/>
      <c r="F15" s="25"/>
      <c r="G15" s="25"/>
      <c r="H15" s="25"/>
      <c r="I15" s="25"/>
      <c r="L15" s="25"/>
      <c r="M15" s="34"/>
      <c r="N15" s="34"/>
      <c r="O15" s="34"/>
      <c r="P15" s="34"/>
      <c r="Q15" s="34"/>
      <c r="U15" s="28"/>
      <c r="V15" s="25"/>
      <c r="X15" s="25"/>
    </row>
    <row r="16" spans="1:24">
      <c r="B16" s="23"/>
      <c r="E16" s="25" t="s">
        <v>31</v>
      </c>
      <c r="F16" s="25" t="s">
        <v>144</v>
      </c>
      <c r="G16" s="25" t="s">
        <v>29</v>
      </c>
      <c r="H16" s="25" t="s">
        <v>20</v>
      </c>
      <c r="I16" s="25" t="s">
        <v>32</v>
      </c>
      <c r="L16" s="25"/>
      <c r="V16" s="25"/>
    </row>
    <row r="17" spans="2:24">
      <c r="B17" s="24" t="s">
        <v>255</v>
      </c>
      <c r="E17" s="203">
        <f>E18*$H$17/1000</f>
        <v>0</v>
      </c>
      <c r="F17" s="203">
        <f>F18*$H$17/1000</f>
        <v>91.25</v>
      </c>
      <c r="G17" s="203">
        <f>G18*$H$17/1000</f>
        <v>0</v>
      </c>
      <c r="H17" s="204">
        <f>H40</f>
        <v>365000</v>
      </c>
      <c r="I17" s="204">
        <f>H23*365</f>
        <v>365000</v>
      </c>
      <c r="L17" s="25"/>
      <c r="O17" s="28"/>
      <c r="V17" s="25"/>
    </row>
    <row r="18" spans="2:24">
      <c r="B18" s="23"/>
      <c r="C18" s="24" t="s">
        <v>33</v>
      </c>
      <c r="E18" s="690">
        <f>'Region Assumptions'!$Z$20</f>
        <v>0</v>
      </c>
      <c r="F18" s="690">
        <f>'Region Assumptions'!$AB$20</f>
        <v>0.25</v>
      </c>
      <c r="G18" s="690">
        <f>'Region Assumptions'!$AA$20</f>
        <v>0</v>
      </c>
      <c r="H18" s="690"/>
      <c r="I18" s="205"/>
      <c r="J18" s="181"/>
      <c r="L18" s="25"/>
      <c r="O18" s="28"/>
      <c r="V18" s="25"/>
    </row>
    <row r="19" spans="2:24">
      <c r="B19" s="23"/>
      <c r="C19" s="24" t="s">
        <v>34</v>
      </c>
      <c r="E19" s="188">
        <f>E17/$I17*1000</f>
        <v>0</v>
      </c>
      <c r="F19" s="188">
        <f>F17/$I17*1000</f>
        <v>0.25</v>
      </c>
      <c r="G19" s="188">
        <f>G17/$I17*1000</f>
        <v>0</v>
      </c>
      <c r="H19" s="188"/>
      <c r="I19" s="181"/>
      <c r="J19" s="181"/>
      <c r="L19" s="25"/>
      <c r="O19" s="28"/>
      <c r="V19" s="25"/>
    </row>
    <row r="20" spans="2:24">
      <c r="G20" s="25"/>
      <c r="H20" s="25"/>
      <c r="I20" s="25"/>
      <c r="J20" s="25"/>
      <c r="K20" s="25"/>
      <c r="L20" s="25"/>
      <c r="O20" s="28"/>
      <c r="S20" s="180"/>
      <c r="T20" s="180"/>
      <c r="U20" s="180"/>
      <c r="V20" s="181"/>
      <c r="W20" s="180"/>
      <c r="X20" s="180"/>
    </row>
    <row r="21" spans="2:24">
      <c r="B21" s="23" t="s">
        <v>22</v>
      </c>
      <c r="G21" s="199">
        <v>0</v>
      </c>
      <c r="H21" s="200">
        <f t="shared" ref="H21:O21" si="7">+G21+1</f>
        <v>1</v>
      </c>
      <c r="I21" s="200">
        <f t="shared" si="7"/>
        <v>2</v>
      </c>
      <c r="J21" s="200">
        <f t="shared" si="7"/>
        <v>3</v>
      </c>
      <c r="K21" s="200">
        <f t="shared" si="7"/>
        <v>4</v>
      </c>
      <c r="L21" s="200">
        <f t="shared" si="7"/>
        <v>5</v>
      </c>
      <c r="M21" s="200">
        <f t="shared" si="7"/>
        <v>6</v>
      </c>
      <c r="N21" s="200">
        <f t="shared" si="7"/>
        <v>7</v>
      </c>
      <c r="O21" s="200">
        <f t="shared" si="7"/>
        <v>8</v>
      </c>
      <c r="P21" s="200">
        <f>+O21+1</f>
        <v>9</v>
      </c>
      <c r="Q21" s="200">
        <f>+P21+1</f>
        <v>10</v>
      </c>
      <c r="S21" s="182"/>
      <c r="T21" s="180"/>
      <c r="U21" s="183"/>
      <c r="V21" s="181"/>
      <c r="W21" s="180"/>
      <c r="X21" s="181"/>
    </row>
    <row r="22" spans="2:24" ht="4.9000000000000004" customHeight="1"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S22" s="180"/>
      <c r="T22" s="180"/>
      <c r="U22" s="180"/>
      <c r="V22" s="180"/>
      <c r="W22" s="180"/>
      <c r="X22" s="180"/>
    </row>
    <row r="23" spans="2:24" ht="12.75" customHeight="1">
      <c r="B23" s="24" t="s">
        <v>12</v>
      </c>
      <c r="C23" s="39"/>
      <c r="G23" s="28"/>
      <c r="H23" s="434">
        <f>'Region Assumptions'!$F$20+'Region Assumptions'!$G$20+'Region Assumptions'!$H$20</f>
        <v>1000</v>
      </c>
      <c r="I23" s="184">
        <f>H23</f>
        <v>1000</v>
      </c>
      <c r="J23" s="184">
        <f t="shared" ref="J23:Q23" si="8">I23</f>
        <v>1000</v>
      </c>
      <c r="K23" s="184">
        <f t="shared" si="8"/>
        <v>1000</v>
      </c>
      <c r="L23" s="184">
        <f t="shared" si="8"/>
        <v>1000</v>
      </c>
      <c r="M23" s="184">
        <f t="shared" si="8"/>
        <v>1000</v>
      </c>
      <c r="N23" s="184">
        <f t="shared" si="8"/>
        <v>1000</v>
      </c>
      <c r="O23" s="184">
        <f t="shared" si="8"/>
        <v>1000</v>
      </c>
      <c r="P23" s="184">
        <f t="shared" si="8"/>
        <v>1000</v>
      </c>
      <c r="Q23" s="184">
        <f t="shared" si="8"/>
        <v>1000</v>
      </c>
      <c r="S23" s="184"/>
      <c r="T23" s="180"/>
      <c r="U23" s="180"/>
      <c r="V23" s="180"/>
      <c r="W23" s="180"/>
      <c r="X23" s="180"/>
    </row>
    <row r="24" spans="2:24" ht="12.75" customHeight="1">
      <c r="C24" s="24" t="s">
        <v>35</v>
      </c>
      <c r="G24" s="28"/>
      <c r="H24" s="28">
        <f t="shared" ref="H24:Q24" si="9">H28/365/H13</f>
        <v>0</v>
      </c>
      <c r="I24" s="28">
        <f t="shared" si="9"/>
        <v>0</v>
      </c>
      <c r="J24" s="28">
        <f t="shared" si="9"/>
        <v>0</v>
      </c>
      <c r="K24" s="28">
        <f t="shared" si="9"/>
        <v>0</v>
      </c>
      <c r="L24" s="28">
        <f t="shared" si="9"/>
        <v>0</v>
      </c>
      <c r="M24" s="28">
        <f t="shared" si="9"/>
        <v>0</v>
      </c>
      <c r="N24" s="28">
        <f t="shared" si="9"/>
        <v>0</v>
      </c>
      <c r="O24" s="28">
        <f t="shared" si="9"/>
        <v>0</v>
      </c>
      <c r="P24" s="28">
        <f t="shared" si="9"/>
        <v>0</v>
      </c>
      <c r="Q24" s="28">
        <f t="shared" si="9"/>
        <v>0</v>
      </c>
      <c r="S24" s="184"/>
      <c r="T24" s="180"/>
      <c r="U24" s="180"/>
      <c r="V24" s="180"/>
      <c r="W24" s="180"/>
      <c r="X24" s="180"/>
    </row>
    <row r="25" spans="2:24" ht="12.75" customHeight="1">
      <c r="C25" s="39" t="s">
        <v>253</v>
      </c>
      <c r="G25" s="28"/>
      <c r="H25" s="28">
        <f>H32/365/H13*(1-H12)</f>
        <v>1000</v>
      </c>
      <c r="I25" s="28">
        <f t="shared" ref="I25:Q25" si="10">I32/365/I13*(1-I12)</f>
        <v>1000</v>
      </c>
      <c r="J25" s="28">
        <f t="shared" si="10"/>
        <v>1000</v>
      </c>
      <c r="K25" s="28">
        <f t="shared" si="10"/>
        <v>1000</v>
      </c>
      <c r="L25" s="28">
        <f t="shared" si="10"/>
        <v>1000</v>
      </c>
      <c r="M25" s="28">
        <f t="shared" si="10"/>
        <v>1000</v>
      </c>
      <c r="N25" s="28">
        <f t="shared" si="10"/>
        <v>1000</v>
      </c>
      <c r="O25" s="28">
        <f t="shared" si="10"/>
        <v>1000</v>
      </c>
      <c r="P25" s="28">
        <f t="shared" si="10"/>
        <v>1000</v>
      </c>
      <c r="Q25" s="28">
        <f t="shared" si="10"/>
        <v>1000</v>
      </c>
      <c r="S25" s="184"/>
      <c r="T25" s="180"/>
      <c r="U25" s="180"/>
      <c r="V25" s="180"/>
      <c r="W25" s="180"/>
      <c r="X25" s="180"/>
    </row>
    <row r="26" spans="2:24" ht="12.75" customHeight="1">
      <c r="C26" s="39" t="s">
        <v>15</v>
      </c>
      <c r="G26" s="28"/>
      <c r="H26" s="28">
        <f>H36/365</f>
        <v>0</v>
      </c>
      <c r="I26" s="28">
        <f t="shared" ref="I26:Q26" si="11">I36/365</f>
        <v>0</v>
      </c>
      <c r="J26" s="28">
        <f t="shared" si="11"/>
        <v>0</v>
      </c>
      <c r="K26" s="28">
        <f t="shared" si="11"/>
        <v>0</v>
      </c>
      <c r="L26" s="28">
        <f t="shared" si="11"/>
        <v>0</v>
      </c>
      <c r="M26" s="28">
        <f t="shared" si="11"/>
        <v>0</v>
      </c>
      <c r="N26" s="28">
        <f t="shared" si="11"/>
        <v>0</v>
      </c>
      <c r="O26" s="28">
        <f t="shared" si="11"/>
        <v>0</v>
      </c>
      <c r="P26" s="28">
        <f t="shared" si="11"/>
        <v>0</v>
      </c>
      <c r="Q26" s="28">
        <f t="shared" si="11"/>
        <v>0</v>
      </c>
      <c r="S26" s="184"/>
      <c r="T26" s="180"/>
      <c r="U26" s="180"/>
      <c r="V26" s="180"/>
      <c r="W26" s="180"/>
      <c r="X26" s="180"/>
    </row>
    <row r="27" spans="2:24" ht="5.0999999999999996" customHeight="1">
      <c r="C27" s="39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S27" s="180"/>
      <c r="T27" s="180"/>
      <c r="U27" s="185"/>
      <c r="V27" s="180"/>
      <c r="W27" s="180"/>
      <c r="X27" s="180"/>
    </row>
    <row r="28" spans="2:24">
      <c r="B28" s="24" t="s">
        <v>174</v>
      </c>
      <c r="F28" s="42"/>
      <c r="G28" s="28"/>
      <c r="H28" s="28">
        <f t="shared" ref="H28:Q28" si="12">+H6</f>
        <v>0</v>
      </c>
      <c r="I28" s="28">
        <f t="shared" si="12"/>
        <v>0</v>
      </c>
      <c r="J28" s="28">
        <f t="shared" si="12"/>
        <v>0</v>
      </c>
      <c r="K28" s="28">
        <f t="shared" si="12"/>
        <v>0</v>
      </c>
      <c r="L28" s="28">
        <f t="shared" si="12"/>
        <v>0</v>
      </c>
      <c r="M28" s="28">
        <f t="shared" si="12"/>
        <v>0</v>
      </c>
      <c r="N28" s="28">
        <f t="shared" si="12"/>
        <v>0</v>
      </c>
      <c r="O28" s="28">
        <f t="shared" si="12"/>
        <v>0</v>
      </c>
      <c r="P28" s="28">
        <f t="shared" si="12"/>
        <v>0</v>
      </c>
      <c r="Q28" s="28">
        <f t="shared" si="12"/>
        <v>0</v>
      </c>
      <c r="S28" s="187"/>
      <c r="T28" s="180"/>
      <c r="U28" s="180"/>
      <c r="V28" s="180"/>
      <c r="W28" s="180"/>
      <c r="X28" s="180"/>
    </row>
    <row r="29" spans="2:24">
      <c r="C29" s="39" t="s">
        <v>36</v>
      </c>
      <c r="G29" s="87"/>
      <c r="H29" s="691">
        <f>'Region Assumptions'!$AD$20</f>
        <v>20.25</v>
      </c>
      <c r="I29" s="37">
        <f t="shared" ref="I29:Q29" si="13">+H29*(1+$V33)</f>
        <v>20.25</v>
      </c>
      <c r="J29" s="37">
        <f t="shared" si="13"/>
        <v>20.25</v>
      </c>
      <c r="K29" s="37">
        <f t="shared" si="13"/>
        <v>20.25</v>
      </c>
      <c r="L29" s="37">
        <f t="shared" si="13"/>
        <v>20.25</v>
      </c>
      <c r="M29" s="37">
        <f t="shared" si="13"/>
        <v>20.25</v>
      </c>
      <c r="N29" s="37">
        <f t="shared" si="13"/>
        <v>20.25</v>
      </c>
      <c r="O29" s="37">
        <f t="shared" si="13"/>
        <v>20.25</v>
      </c>
      <c r="P29" s="37">
        <f t="shared" si="13"/>
        <v>20.25</v>
      </c>
      <c r="Q29" s="37">
        <f t="shared" si="13"/>
        <v>20.25</v>
      </c>
      <c r="S29" s="37"/>
    </row>
    <row r="30" spans="2:24">
      <c r="B30" s="24" t="s">
        <v>37</v>
      </c>
      <c r="C30" s="39"/>
      <c r="G30" s="49"/>
      <c r="H30" s="49">
        <f t="shared" ref="H30:Q30" si="14">H28*H29/Factor</f>
        <v>0</v>
      </c>
      <c r="I30" s="49">
        <f t="shared" si="14"/>
        <v>0</v>
      </c>
      <c r="J30" s="49">
        <f t="shared" si="14"/>
        <v>0</v>
      </c>
      <c r="K30" s="49">
        <f t="shared" si="14"/>
        <v>0</v>
      </c>
      <c r="L30" s="49">
        <f t="shared" si="14"/>
        <v>0</v>
      </c>
      <c r="M30" s="49">
        <f t="shared" si="14"/>
        <v>0</v>
      </c>
      <c r="N30" s="49">
        <f t="shared" si="14"/>
        <v>0</v>
      </c>
      <c r="O30" s="49">
        <f t="shared" si="14"/>
        <v>0</v>
      </c>
      <c r="P30" s="49">
        <f t="shared" si="14"/>
        <v>0</v>
      </c>
      <c r="Q30" s="49">
        <f t="shared" si="14"/>
        <v>0</v>
      </c>
      <c r="S30" s="28"/>
      <c r="V30" s="37"/>
      <c r="W30" s="41"/>
      <c r="X30" s="36"/>
    </row>
    <row r="31" spans="2:24" ht="4.9000000000000004" customHeight="1"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S31" s="28"/>
      <c r="V31" s="28"/>
      <c r="W31" s="41"/>
      <c r="X31" s="28"/>
    </row>
    <row r="32" spans="2:24">
      <c r="B32" s="24" t="s">
        <v>460</v>
      </c>
      <c r="F32" s="42"/>
      <c r="G32" s="28"/>
      <c r="H32" s="28">
        <f t="shared" ref="H32:Q32" si="15">H7</f>
        <v>365000</v>
      </c>
      <c r="I32" s="28">
        <f t="shared" si="15"/>
        <v>365000</v>
      </c>
      <c r="J32" s="28">
        <f t="shared" si="15"/>
        <v>365000</v>
      </c>
      <c r="K32" s="28">
        <f t="shared" si="15"/>
        <v>365000</v>
      </c>
      <c r="L32" s="28">
        <f t="shared" si="15"/>
        <v>365000</v>
      </c>
      <c r="M32" s="28">
        <f t="shared" si="15"/>
        <v>365000</v>
      </c>
      <c r="N32" s="28">
        <f t="shared" si="15"/>
        <v>365000</v>
      </c>
      <c r="O32" s="28">
        <f t="shared" si="15"/>
        <v>365000</v>
      </c>
      <c r="P32" s="28">
        <f t="shared" si="15"/>
        <v>365000</v>
      </c>
      <c r="Q32" s="28">
        <f t="shared" si="15"/>
        <v>365000</v>
      </c>
      <c r="S32" s="43"/>
      <c r="U32" s="27" t="s">
        <v>38</v>
      </c>
      <c r="V32" s="41"/>
      <c r="W32" s="41"/>
    </row>
    <row r="33" spans="2:24">
      <c r="C33" s="39" t="s">
        <v>459</v>
      </c>
      <c r="G33" s="87"/>
      <c r="H33" s="702">
        <v>2.5782734165630239</v>
      </c>
      <c r="I33" s="37">
        <f t="shared" ref="I33:Q33" si="16">+H33*(1+$V34)</f>
        <v>2.5782734165630239</v>
      </c>
      <c r="J33" s="37">
        <f t="shared" si="16"/>
        <v>2.5782734165630239</v>
      </c>
      <c r="K33" s="37">
        <f t="shared" si="16"/>
        <v>2.5782734165630239</v>
      </c>
      <c r="L33" s="37">
        <f t="shared" si="16"/>
        <v>2.5782734165630239</v>
      </c>
      <c r="M33" s="37">
        <f t="shared" si="16"/>
        <v>2.5782734165630239</v>
      </c>
      <c r="N33" s="37">
        <f t="shared" si="16"/>
        <v>2.5782734165630239</v>
      </c>
      <c r="O33" s="37">
        <f t="shared" si="16"/>
        <v>2.5782734165630239</v>
      </c>
      <c r="P33" s="37">
        <f t="shared" si="16"/>
        <v>2.5782734165630239</v>
      </c>
      <c r="Q33" s="37">
        <f t="shared" si="16"/>
        <v>2.5782734165630239</v>
      </c>
      <c r="S33" s="37"/>
      <c r="U33" s="24" t="s">
        <v>39</v>
      </c>
      <c r="V33" s="45">
        <v>0</v>
      </c>
      <c r="W33" s="41"/>
    </row>
    <row r="34" spans="2:24">
      <c r="B34" s="24" t="s">
        <v>461</v>
      </c>
      <c r="C34" s="39"/>
      <c r="G34" s="49"/>
      <c r="H34" s="49">
        <f t="shared" ref="H34:Q34" si="17">H32*H33/Factor</f>
        <v>941.06979704550372</v>
      </c>
      <c r="I34" s="49">
        <f t="shared" si="17"/>
        <v>941.06979704550372</v>
      </c>
      <c r="J34" s="49">
        <f t="shared" si="17"/>
        <v>941.06979704550372</v>
      </c>
      <c r="K34" s="49">
        <f t="shared" si="17"/>
        <v>941.06979704550372</v>
      </c>
      <c r="L34" s="49">
        <f t="shared" si="17"/>
        <v>941.06979704550372</v>
      </c>
      <c r="M34" s="49">
        <f t="shared" si="17"/>
        <v>941.06979704550372</v>
      </c>
      <c r="N34" s="49">
        <f t="shared" si="17"/>
        <v>941.06979704550372</v>
      </c>
      <c r="O34" s="49">
        <f t="shared" si="17"/>
        <v>941.06979704550372</v>
      </c>
      <c r="P34" s="49">
        <f t="shared" si="17"/>
        <v>941.06979704550372</v>
      </c>
      <c r="Q34" s="49">
        <f t="shared" si="17"/>
        <v>941.06979704550372</v>
      </c>
      <c r="S34" s="28"/>
      <c r="U34" s="24" t="s">
        <v>259</v>
      </c>
      <c r="V34" s="44">
        <f>$V$33</f>
        <v>0</v>
      </c>
      <c r="W34" s="41"/>
      <c r="X34" s="28"/>
    </row>
    <row r="35" spans="2:24" ht="4.9000000000000004" customHeight="1"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S35" s="28"/>
      <c r="V35" s="28"/>
      <c r="W35" s="41"/>
      <c r="X35" s="28"/>
    </row>
    <row r="36" spans="2:24" ht="12.75" customHeight="1">
      <c r="B36" s="24" t="s">
        <v>175</v>
      </c>
      <c r="F36" s="42"/>
      <c r="G36" s="28"/>
      <c r="H36" s="28">
        <f t="shared" ref="H36:Q36" si="18">H8</f>
        <v>0</v>
      </c>
      <c r="I36" s="28">
        <f t="shared" si="18"/>
        <v>0</v>
      </c>
      <c r="J36" s="28">
        <f t="shared" si="18"/>
        <v>0</v>
      </c>
      <c r="K36" s="28">
        <f t="shared" si="18"/>
        <v>0</v>
      </c>
      <c r="L36" s="28">
        <f t="shared" si="18"/>
        <v>0</v>
      </c>
      <c r="M36" s="28">
        <f t="shared" si="18"/>
        <v>0</v>
      </c>
      <c r="N36" s="28">
        <f t="shared" si="18"/>
        <v>0</v>
      </c>
      <c r="O36" s="28">
        <f t="shared" si="18"/>
        <v>0</v>
      </c>
      <c r="P36" s="28">
        <f t="shared" si="18"/>
        <v>0</v>
      </c>
      <c r="Q36" s="28">
        <f t="shared" si="18"/>
        <v>0</v>
      </c>
      <c r="S36" s="43"/>
      <c r="U36" s="24" t="s">
        <v>40</v>
      </c>
      <c r="V36" s="44">
        <f>$V$33</f>
        <v>0</v>
      </c>
      <c r="X36" s="43"/>
    </row>
    <row r="37" spans="2:24" ht="12.75" customHeight="1">
      <c r="C37" s="24" t="s">
        <v>41</v>
      </c>
      <c r="G37" s="87"/>
      <c r="H37" s="691">
        <f>'Region Assumptions'!$AC$20</f>
        <v>0</v>
      </c>
      <c r="I37" s="178">
        <f t="shared" ref="I37:Q37" si="19">H37*(1+$V$36)</f>
        <v>0</v>
      </c>
      <c r="J37" s="178">
        <f t="shared" si="19"/>
        <v>0</v>
      </c>
      <c r="K37" s="178">
        <f t="shared" si="19"/>
        <v>0</v>
      </c>
      <c r="L37" s="178">
        <f t="shared" si="19"/>
        <v>0</v>
      </c>
      <c r="M37" s="178">
        <f t="shared" si="19"/>
        <v>0</v>
      </c>
      <c r="N37" s="178">
        <f t="shared" si="19"/>
        <v>0</v>
      </c>
      <c r="O37" s="178">
        <f t="shared" si="19"/>
        <v>0</v>
      </c>
      <c r="P37" s="178">
        <f t="shared" si="19"/>
        <v>0</v>
      </c>
      <c r="Q37" s="178">
        <f t="shared" si="19"/>
        <v>0</v>
      </c>
      <c r="S37" s="37"/>
      <c r="U37" s="24" t="s">
        <v>42</v>
      </c>
      <c r="V37" s="45">
        <v>0</v>
      </c>
    </row>
    <row r="38" spans="2:24" ht="12.75" customHeight="1">
      <c r="B38" s="24" t="s">
        <v>43</v>
      </c>
      <c r="C38" s="39"/>
      <c r="G38" s="49"/>
      <c r="H38" s="49">
        <f t="shared" ref="H38:Q38" si="20">H36*H37/Factor</f>
        <v>0</v>
      </c>
      <c r="I38" s="49">
        <f t="shared" si="20"/>
        <v>0</v>
      </c>
      <c r="J38" s="49">
        <f t="shared" si="20"/>
        <v>0</v>
      </c>
      <c r="K38" s="49">
        <f t="shared" si="20"/>
        <v>0</v>
      </c>
      <c r="L38" s="49">
        <f t="shared" si="20"/>
        <v>0</v>
      </c>
      <c r="M38" s="49">
        <f t="shared" si="20"/>
        <v>0</v>
      </c>
      <c r="N38" s="49">
        <f t="shared" si="20"/>
        <v>0</v>
      </c>
      <c r="O38" s="49">
        <f t="shared" si="20"/>
        <v>0</v>
      </c>
      <c r="P38" s="49">
        <f t="shared" si="20"/>
        <v>0</v>
      </c>
      <c r="Q38" s="49">
        <f t="shared" si="20"/>
        <v>0</v>
      </c>
      <c r="S38" s="28"/>
      <c r="U38" s="24" t="s">
        <v>168</v>
      </c>
      <c r="V38" s="45">
        <v>0</v>
      </c>
      <c r="W38" s="41"/>
    </row>
    <row r="39" spans="2:24" ht="4.9000000000000004" customHeight="1"/>
    <row r="40" spans="2:24">
      <c r="B40" s="24" t="s">
        <v>21</v>
      </c>
      <c r="G40" s="28"/>
      <c r="H40" s="28">
        <f>H28+H32+H36</f>
        <v>365000</v>
      </c>
      <c r="I40" s="28">
        <f t="shared" ref="I40:Q40" si="21">I28+I32+I36</f>
        <v>365000</v>
      </c>
      <c r="J40" s="28">
        <f t="shared" si="21"/>
        <v>365000</v>
      </c>
      <c r="K40" s="28">
        <f t="shared" si="21"/>
        <v>365000</v>
      </c>
      <c r="L40" s="28">
        <f t="shared" si="21"/>
        <v>365000</v>
      </c>
      <c r="M40" s="28">
        <f t="shared" si="21"/>
        <v>365000</v>
      </c>
      <c r="N40" s="28">
        <f t="shared" si="21"/>
        <v>365000</v>
      </c>
      <c r="O40" s="28">
        <f t="shared" si="21"/>
        <v>365000</v>
      </c>
      <c r="P40" s="28">
        <f t="shared" si="21"/>
        <v>365000</v>
      </c>
      <c r="Q40" s="28">
        <f t="shared" si="21"/>
        <v>365000</v>
      </c>
      <c r="S40" s="43"/>
      <c r="U40" s="44" t="s">
        <v>44</v>
      </c>
      <c r="V40" s="45">
        <v>0</v>
      </c>
    </row>
    <row r="41" spans="2:24">
      <c r="C41" s="24" t="s">
        <v>94</v>
      </c>
      <c r="G41" s="28"/>
      <c r="H41" s="28">
        <f t="shared" ref="H41:Q41" si="22">H23*365</f>
        <v>365000</v>
      </c>
      <c r="I41" s="28">
        <f t="shared" si="22"/>
        <v>365000</v>
      </c>
      <c r="J41" s="28">
        <f t="shared" si="22"/>
        <v>365000</v>
      </c>
      <c r="K41" s="28">
        <f t="shared" si="22"/>
        <v>365000</v>
      </c>
      <c r="L41" s="28">
        <f t="shared" si="22"/>
        <v>365000</v>
      </c>
      <c r="M41" s="28">
        <f t="shared" si="22"/>
        <v>365000</v>
      </c>
      <c r="N41" s="28">
        <f t="shared" si="22"/>
        <v>365000</v>
      </c>
      <c r="O41" s="28">
        <f t="shared" si="22"/>
        <v>365000</v>
      </c>
      <c r="P41" s="28">
        <f t="shared" si="22"/>
        <v>365000</v>
      </c>
      <c r="Q41" s="28">
        <f t="shared" si="22"/>
        <v>365000</v>
      </c>
      <c r="S41" s="43"/>
      <c r="U41" s="28" t="s">
        <v>169</v>
      </c>
      <c r="V41" s="45">
        <v>0</v>
      </c>
    </row>
    <row r="42" spans="2:24">
      <c r="C42" s="24" t="s">
        <v>45</v>
      </c>
      <c r="G42" s="34"/>
      <c r="H42" s="34">
        <f t="shared" ref="H42:Q42" si="23">H40/H41</f>
        <v>1</v>
      </c>
      <c r="I42" s="34">
        <f t="shared" si="23"/>
        <v>1</v>
      </c>
      <c r="J42" s="34">
        <f t="shared" si="23"/>
        <v>1</v>
      </c>
      <c r="K42" s="34">
        <f t="shared" si="23"/>
        <v>1</v>
      </c>
      <c r="L42" s="34">
        <f t="shared" si="23"/>
        <v>1</v>
      </c>
      <c r="M42" s="34">
        <f t="shared" si="23"/>
        <v>1</v>
      </c>
      <c r="N42" s="34">
        <f t="shared" si="23"/>
        <v>1</v>
      </c>
      <c r="O42" s="34">
        <f t="shared" si="23"/>
        <v>1</v>
      </c>
      <c r="P42" s="34">
        <f t="shared" si="23"/>
        <v>1</v>
      </c>
      <c r="Q42" s="34">
        <f t="shared" si="23"/>
        <v>1</v>
      </c>
      <c r="S42" s="34"/>
      <c r="V42" s="45"/>
    </row>
    <row r="43" spans="2:24">
      <c r="C43" s="24" t="s">
        <v>46</v>
      </c>
      <c r="G43" s="34"/>
      <c r="H43" s="34">
        <f>(H28+H32)/H41</f>
        <v>1</v>
      </c>
      <c r="I43" s="34">
        <f t="shared" ref="I43:Q43" si="24">(I28+I32)/I41</f>
        <v>1</v>
      </c>
      <c r="J43" s="34">
        <f t="shared" si="24"/>
        <v>1</v>
      </c>
      <c r="K43" s="34">
        <f t="shared" si="24"/>
        <v>1</v>
      </c>
      <c r="L43" s="34">
        <f t="shared" si="24"/>
        <v>1</v>
      </c>
      <c r="M43" s="34">
        <f t="shared" si="24"/>
        <v>1</v>
      </c>
      <c r="N43" s="34">
        <f t="shared" si="24"/>
        <v>1</v>
      </c>
      <c r="O43" s="34">
        <f t="shared" si="24"/>
        <v>1</v>
      </c>
      <c r="P43" s="34">
        <f t="shared" si="24"/>
        <v>1</v>
      </c>
      <c r="Q43" s="34">
        <f t="shared" si="24"/>
        <v>1</v>
      </c>
      <c r="S43" s="34"/>
    </row>
    <row r="44" spans="2:24" ht="5.0999999999999996" customHeight="1"/>
    <row r="45" spans="2:24">
      <c r="B45" s="23" t="s">
        <v>47</v>
      </c>
      <c r="C45" s="23"/>
      <c r="D45" s="23"/>
      <c r="E45" s="23"/>
      <c r="F45" s="23"/>
      <c r="G45" s="48"/>
      <c r="H45" s="48">
        <f t="shared" ref="H45:Q45" si="25">H30+H34+H38</f>
        <v>941.06979704550372</v>
      </c>
      <c r="I45" s="48">
        <f t="shared" si="25"/>
        <v>941.06979704550372</v>
      </c>
      <c r="J45" s="48">
        <f t="shared" si="25"/>
        <v>941.06979704550372</v>
      </c>
      <c r="K45" s="48">
        <f t="shared" si="25"/>
        <v>941.06979704550372</v>
      </c>
      <c r="L45" s="48">
        <f t="shared" si="25"/>
        <v>941.06979704550372</v>
      </c>
      <c r="M45" s="48">
        <f t="shared" si="25"/>
        <v>941.06979704550372</v>
      </c>
      <c r="N45" s="48">
        <f t="shared" si="25"/>
        <v>941.06979704550372</v>
      </c>
      <c r="O45" s="48">
        <f t="shared" si="25"/>
        <v>941.06979704550372</v>
      </c>
      <c r="P45" s="48">
        <f t="shared" si="25"/>
        <v>941.06979704550372</v>
      </c>
      <c r="Q45" s="48">
        <f t="shared" si="25"/>
        <v>941.06979704550372</v>
      </c>
      <c r="S45" s="48"/>
      <c r="U45" s="27"/>
    </row>
    <row r="46" spans="2:24">
      <c r="B46" s="23"/>
      <c r="C46" s="23" t="s">
        <v>33</v>
      </c>
      <c r="D46" s="23"/>
      <c r="E46" s="23"/>
      <c r="F46" s="23"/>
      <c r="G46" s="51"/>
      <c r="H46" s="51">
        <f t="shared" ref="H46:Q46" si="26">H45*Factor/(H40)</f>
        <v>2.5782734165630239</v>
      </c>
      <c r="I46" s="51">
        <f t="shared" si="26"/>
        <v>2.5782734165630239</v>
      </c>
      <c r="J46" s="51">
        <f t="shared" si="26"/>
        <v>2.5782734165630239</v>
      </c>
      <c r="K46" s="51">
        <f t="shared" si="26"/>
        <v>2.5782734165630239</v>
      </c>
      <c r="L46" s="51">
        <f t="shared" si="26"/>
        <v>2.5782734165630239</v>
      </c>
      <c r="M46" s="51">
        <f t="shared" si="26"/>
        <v>2.5782734165630239</v>
      </c>
      <c r="N46" s="51">
        <f t="shared" si="26"/>
        <v>2.5782734165630239</v>
      </c>
      <c r="O46" s="51">
        <f t="shared" si="26"/>
        <v>2.5782734165630239</v>
      </c>
      <c r="P46" s="51">
        <f t="shared" si="26"/>
        <v>2.5782734165630239</v>
      </c>
      <c r="Q46" s="51">
        <f t="shared" si="26"/>
        <v>2.5782734165630239</v>
      </c>
      <c r="S46" s="51"/>
      <c r="V46" s="29"/>
    </row>
    <row r="47" spans="2:24" ht="4.9000000000000004" customHeight="1">
      <c r="G47" s="28"/>
    </row>
    <row r="48" spans="2:24" ht="13.9" hidden="1" customHeight="1" outlineLevel="1">
      <c r="B48" s="24" t="s">
        <v>260</v>
      </c>
      <c r="F48" s="52"/>
      <c r="G48" s="49"/>
      <c r="H48" s="49">
        <f t="shared" ref="H48:Q48" si="27">H34</f>
        <v>941.06979704550372</v>
      </c>
      <c r="I48" s="49">
        <f t="shared" si="27"/>
        <v>941.06979704550372</v>
      </c>
      <c r="J48" s="49">
        <f t="shared" si="27"/>
        <v>941.06979704550372</v>
      </c>
      <c r="K48" s="49">
        <f t="shared" si="27"/>
        <v>941.06979704550372</v>
      </c>
      <c r="L48" s="49">
        <f t="shared" si="27"/>
        <v>941.06979704550372</v>
      </c>
      <c r="M48" s="49">
        <f t="shared" si="27"/>
        <v>941.06979704550372</v>
      </c>
      <c r="N48" s="49">
        <f t="shared" si="27"/>
        <v>941.06979704550372</v>
      </c>
      <c r="O48" s="49">
        <f t="shared" si="27"/>
        <v>941.06979704550372</v>
      </c>
      <c r="P48" s="49">
        <f t="shared" si="27"/>
        <v>941.06979704550372</v>
      </c>
      <c r="Q48" s="49">
        <f t="shared" si="27"/>
        <v>941.06979704550372</v>
      </c>
      <c r="S48" s="28"/>
      <c r="U48" s="27"/>
    </row>
    <row r="49" spans="2:24" ht="13.9" hidden="1" customHeight="1" outlineLevel="1">
      <c r="B49" s="24" t="s">
        <v>48</v>
      </c>
      <c r="G49" s="49"/>
      <c r="H49" s="49">
        <f t="shared" ref="H49:Q49" si="28">H38</f>
        <v>0</v>
      </c>
      <c r="I49" s="49">
        <f t="shared" si="28"/>
        <v>0</v>
      </c>
      <c r="J49" s="49">
        <f t="shared" si="28"/>
        <v>0</v>
      </c>
      <c r="K49" s="49">
        <f t="shared" si="28"/>
        <v>0</v>
      </c>
      <c r="L49" s="49">
        <f t="shared" si="28"/>
        <v>0</v>
      </c>
      <c r="M49" s="49">
        <f t="shared" si="28"/>
        <v>0</v>
      </c>
      <c r="N49" s="49">
        <f t="shared" si="28"/>
        <v>0</v>
      </c>
      <c r="O49" s="49">
        <f t="shared" si="28"/>
        <v>0</v>
      </c>
      <c r="P49" s="49">
        <f t="shared" si="28"/>
        <v>0</v>
      </c>
      <c r="Q49" s="49">
        <f t="shared" si="28"/>
        <v>0</v>
      </c>
      <c r="S49" s="28"/>
      <c r="V49" s="50"/>
      <c r="X49" s="52"/>
    </row>
    <row r="50" spans="2:24" ht="13.9" hidden="1" customHeight="1" outlineLevel="1">
      <c r="B50" s="24" t="s">
        <v>261</v>
      </c>
      <c r="F50" s="53"/>
      <c r="G50" s="28"/>
      <c r="H50" s="28">
        <f t="shared" ref="H50:Q50" si="29">H32</f>
        <v>365000</v>
      </c>
      <c r="I50" s="28">
        <f t="shared" si="29"/>
        <v>365000</v>
      </c>
      <c r="J50" s="28">
        <f t="shared" si="29"/>
        <v>365000</v>
      </c>
      <c r="K50" s="28">
        <f t="shared" si="29"/>
        <v>365000</v>
      </c>
      <c r="L50" s="28">
        <f t="shared" si="29"/>
        <v>365000</v>
      </c>
      <c r="M50" s="28">
        <f t="shared" si="29"/>
        <v>365000</v>
      </c>
      <c r="N50" s="28">
        <f t="shared" si="29"/>
        <v>365000</v>
      </c>
      <c r="O50" s="28">
        <f t="shared" si="29"/>
        <v>365000</v>
      </c>
      <c r="P50" s="28">
        <f t="shared" si="29"/>
        <v>365000</v>
      </c>
      <c r="Q50" s="28">
        <f t="shared" si="29"/>
        <v>365000</v>
      </c>
      <c r="S50" s="28"/>
      <c r="V50" s="50"/>
    </row>
    <row r="51" spans="2:24" ht="13.9" hidden="1" customHeight="1" outlineLevel="1">
      <c r="B51" s="24" t="s">
        <v>49</v>
      </c>
      <c r="G51" s="28"/>
      <c r="H51" s="28">
        <f t="shared" ref="H51:Q51" si="30">H36</f>
        <v>0</v>
      </c>
      <c r="I51" s="28">
        <f t="shared" si="30"/>
        <v>0</v>
      </c>
      <c r="J51" s="28">
        <f t="shared" si="30"/>
        <v>0</v>
      </c>
      <c r="K51" s="28">
        <f t="shared" si="30"/>
        <v>0</v>
      </c>
      <c r="L51" s="28">
        <f t="shared" si="30"/>
        <v>0</v>
      </c>
      <c r="M51" s="28">
        <f t="shared" si="30"/>
        <v>0</v>
      </c>
      <c r="N51" s="28">
        <f t="shared" si="30"/>
        <v>0</v>
      </c>
      <c r="O51" s="28">
        <f t="shared" si="30"/>
        <v>0</v>
      </c>
      <c r="P51" s="28">
        <f t="shared" si="30"/>
        <v>0</v>
      </c>
      <c r="Q51" s="28">
        <f t="shared" si="30"/>
        <v>0</v>
      </c>
      <c r="S51" s="28"/>
      <c r="V51" s="50"/>
    </row>
    <row r="52" spans="2:24" hidden="1" outlineLevel="1">
      <c r="B52" s="46" t="s">
        <v>262</v>
      </c>
      <c r="C52" s="47"/>
      <c r="D52" s="47"/>
      <c r="E52" s="47"/>
      <c r="F52" s="47"/>
      <c r="G52" s="54"/>
      <c r="H52" s="54">
        <f t="shared" ref="H52:Q52" si="31">(SUM(H48:H49)*Factor)/SUM(H50:H51)</f>
        <v>2.5782734165630239</v>
      </c>
      <c r="I52" s="54">
        <f t="shared" si="31"/>
        <v>2.5782734165630239</v>
      </c>
      <c r="J52" s="54">
        <f t="shared" si="31"/>
        <v>2.5782734165630239</v>
      </c>
      <c r="K52" s="54">
        <f t="shared" si="31"/>
        <v>2.5782734165630239</v>
      </c>
      <c r="L52" s="54">
        <f t="shared" si="31"/>
        <v>2.5782734165630239</v>
      </c>
      <c r="M52" s="54">
        <f t="shared" si="31"/>
        <v>2.5782734165630239</v>
      </c>
      <c r="N52" s="54">
        <f t="shared" si="31"/>
        <v>2.5782734165630239</v>
      </c>
      <c r="O52" s="54">
        <f t="shared" si="31"/>
        <v>2.5782734165630239</v>
      </c>
      <c r="P52" s="54">
        <f t="shared" si="31"/>
        <v>2.5782734165630239</v>
      </c>
      <c r="Q52" s="54">
        <f t="shared" si="31"/>
        <v>2.5782734165630239</v>
      </c>
      <c r="S52" s="54"/>
    </row>
    <row r="53" spans="2:24" hidden="1" outlineLevel="1">
      <c r="B53" s="46" t="s">
        <v>263</v>
      </c>
      <c r="C53" s="47"/>
      <c r="D53" s="47"/>
      <c r="E53" s="47"/>
      <c r="F53" s="47"/>
      <c r="G53" s="54"/>
      <c r="H53" s="54">
        <f t="shared" ref="H53:Q53" si="32">(SUM(H48:H49)*Factor)/SUM(H50)</f>
        <v>2.5782734165630239</v>
      </c>
      <c r="I53" s="54">
        <f t="shared" si="32"/>
        <v>2.5782734165630239</v>
      </c>
      <c r="J53" s="54">
        <f t="shared" si="32"/>
        <v>2.5782734165630239</v>
      </c>
      <c r="K53" s="54">
        <f t="shared" si="32"/>
        <v>2.5782734165630239</v>
      </c>
      <c r="L53" s="54">
        <f t="shared" si="32"/>
        <v>2.5782734165630239</v>
      </c>
      <c r="M53" s="54">
        <f t="shared" si="32"/>
        <v>2.5782734165630239</v>
      </c>
      <c r="N53" s="54">
        <f t="shared" si="32"/>
        <v>2.5782734165630239</v>
      </c>
      <c r="O53" s="54">
        <f t="shared" si="32"/>
        <v>2.5782734165630239</v>
      </c>
      <c r="P53" s="54">
        <f t="shared" si="32"/>
        <v>2.5782734165630239</v>
      </c>
      <c r="Q53" s="54">
        <f t="shared" si="32"/>
        <v>2.5782734165630239</v>
      </c>
      <c r="S53" s="54"/>
      <c r="V53" s="50"/>
    </row>
    <row r="54" spans="2:24" hidden="1" outlineLevel="1">
      <c r="B54" s="46" t="s">
        <v>264</v>
      </c>
      <c r="C54" s="47"/>
      <c r="D54" s="47"/>
      <c r="E54" s="47"/>
      <c r="F54" s="47"/>
      <c r="G54" s="54"/>
      <c r="H54" s="54">
        <f t="shared" ref="H54:Q54" si="33">IFERROR(H38*Factor/H36,0)</f>
        <v>0</v>
      </c>
      <c r="I54" s="54">
        <f t="shared" si="33"/>
        <v>0</v>
      </c>
      <c r="J54" s="54">
        <f t="shared" si="33"/>
        <v>0</v>
      </c>
      <c r="K54" s="54">
        <f t="shared" si="33"/>
        <v>0</v>
      </c>
      <c r="L54" s="54">
        <f t="shared" si="33"/>
        <v>0</v>
      </c>
      <c r="M54" s="54">
        <f t="shared" si="33"/>
        <v>0</v>
      </c>
      <c r="N54" s="54">
        <f t="shared" si="33"/>
        <v>0</v>
      </c>
      <c r="O54" s="54">
        <f t="shared" si="33"/>
        <v>0</v>
      </c>
      <c r="P54" s="54">
        <f t="shared" si="33"/>
        <v>0</v>
      </c>
      <c r="Q54" s="54">
        <f t="shared" si="33"/>
        <v>0</v>
      </c>
      <c r="S54" s="54"/>
      <c r="V54" s="53"/>
    </row>
    <row r="55" spans="2:24" ht="5.0999999999999996" hidden="1" customHeight="1" outlineLevel="1">
      <c r="C55" s="47"/>
      <c r="D55" s="47"/>
      <c r="E55" s="47"/>
      <c r="F55" s="42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</row>
    <row r="56" spans="2:24" ht="12.75" customHeight="1" collapsed="1">
      <c r="B56" s="23" t="s">
        <v>50</v>
      </c>
    </row>
    <row r="57" spans="2:24" ht="12.75" customHeight="1">
      <c r="C57" s="24" t="s">
        <v>51</v>
      </c>
      <c r="G57" s="37"/>
      <c r="H57" s="188">
        <f>E18</f>
        <v>0</v>
      </c>
      <c r="I57" s="188">
        <f>H57</f>
        <v>0</v>
      </c>
      <c r="J57" s="188">
        <f t="shared" ref="J57:Q57" si="34">I57</f>
        <v>0</v>
      </c>
      <c r="K57" s="188">
        <f t="shared" si="34"/>
        <v>0</v>
      </c>
      <c r="L57" s="188">
        <f t="shared" si="34"/>
        <v>0</v>
      </c>
      <c r="M57" s="188">
        <f t="shared" si="34"/>
        <v>0</v>
      </c>
      <c r="N57" s="188">
        <f t="shared" si="34"/>
        <v>0</v>
      </c>
      <c r="O57" s="188">
        <f t="shared" si="34"/>
        <v>0</v>
      </c>
      <c r="P57" s="188">
        <f t="shared" si="34"/>
        <v>0</v>
      </c>
      <c r="Q57" s="188">
        <f t="shared" si="34"/>
        <v>0</v>
      </c>
      <c r="S57" s="37"/>
      <c r="V57" s="50"/>
    </row>
    <row r="58" spans="2:24" ht="12.75" customHeight="1">
      <c r="C58" s="24" t="s">
        <v>166</v>
      </c>
      <c r="G58" s="37"/>
      <c r="H58" s="37">
        <f>F18</f>
        <v>0.25</v>
      </c>
      <c r="I58" s="37">
        <f>+H58*(1+$V38)</f>
        <v>0.25</v>
      </c>
      <c r="J58" s="37">
        <f t="shared" ref="J58:Q58" si="35">+I58*(1+$V38)</f>
        <v>0.25</v>
      </c>
      <c r="K58" s="37">
        <f t="shared" si="35"/>
        <v>0.25</v>
      </c>
      <c r="L58" s="37">
        <f t="shared" si="35"/>
        <v>0.25</v>
      </c>
      <c r="M58" s="37">
        <f t="shared" si="35"/>
        <v>0.25</v>
      </c>
      <c r="N58" s="37">
        <f t="shared" si="35"/>
        <v>0.25</v>
      </c>
      <c r="O58" s="37">
        <f t="shared" si="35"/>
        <v>0.25</v>
      </c>
      <c r="P58" s="37">
        <f t="shared" si="35"/>
        <v>0.25</v>
      </c>
      <c r="Q58" s="37">
        <f t="shared" si="35"/>
        <v>0.25</v>
      </c>
      <c r="S58" s="37"/>
      <c r="V58" s="50"/>
    </row>
    <row r="59" spans="2:24" ht="12.75" customHeight="1">
      <c r="C59" s="24" t="s">
        <v>52</v>
      </c>
      <c r="G59" s="37"/>
      <c r="H59" s="37">
        <f>G18</f>
        <v>0</v>
      </c>
      <c r="I59" s="37">
        <f>+H59*(1+$V40)</f>
        <v>0</v>
      </c>
      <c r="J59" s="37">
        <f t="shared" ref="J59:Q60" si="36">+I59*(1+$V40)</f>
        <v>0</v>
      </c>
      <c r="K59" s="37">
        <f t="shared" si="36"/>
        <v>0</v>
      </c>
      <c r="L59" s="37">
        <f t="shared" si="36"/>
        <v>0</v>
      </c>
      <c r="M59" s="37">
        <f t="shared" si="36"/>
        <v>0</v>
      </c>
      <c r="N59" s="37">
        <f t="shared" si="36"/>
        <v>0</v>
      </c>
      <c r="O59" s="37">
        <f t="shared" si="36"/>
        <v>0</v>
      </c>
      <c r="P59" s="37">
        <f t="shared" si="36"/>
        <v>0</v>
      </c>
      <c r="Q59" s="37">
        <f t="shared" si="36"/>
        <v>0</v>
      </c>
      <c r="S59" s="37"/>
    </row>
    <row r="60" spans="2:24" ht="12.75" customHeight="1" collapsed="1">
      <c r="C60" s="24" t="s">
        <v>167</v>
      </c>
      <c r="G60" s="37"/>
      <c r="H60" s="37">
        <f>H18</f>
        <v>0</v>
      </c>
      <c r="I60" s="37">
        <f>+H60*(1+$V41)</f>
        <v>0</v>
      </c>
      <c r="J60" s="37">
        <f t="shared" si="36"/>
        <v>0</v>
      </c>
      <c r="K60" s="37">
        <f t="shared" si="36"/>
        <v>0</v>
      </c>
      <c r="L60" s="37">
        <f t="shared" si="36"/>
        <v>0</v>
      </c>
      <c r="M60" s="37">
        <f t="shared" si="36"/>
        <v>0</v>
      </c>
      <c r="N60" s="37">
        <f t="shared" si="36"/>
        <v>0</v>
      </c>
      <c r="O60" s="37">
        <f t="shared" si="36"/>
        <v>0</v>
      </c>
      <c r="P60" s="37">
        <f t="shared" si="36"/>
        <v>0</v>
      </c>
      <c r="Q60" s="37">
        <f t="shared" si="36"/>
        <v>0</v>
      </c>
      <c r="S60" s="37"/>
    </row>
    <row r="61" spans="2:24" ht="12.75" customHeight="1">
      <c r="C61" s="24" t="s">
        <v>337</v>
      </c>
      <c r="G61" s="37"/>
      <c r="H61" s="690">
        <f>'Region Assumptions'!$P$20</f>
        <v>2</v>
      </c>
      <c r="I61" s="188">
        <f t="shared" ref="I61:Q61" si="37">+H61*(1+$V41)</f>
        <v>2</v>
      </c>
      <c r="J61" s="188">
        <f t="shared" si="37"/>
        <v>2</v>
      </c>
      <c r="K61" s="188">
        <f t="shared" si="37"/>
        <v>2</v>
      </c>
      <c r="L61" s="188">
        <f t="shared" si="37"/>
        <v>2</v>
      </c>
      <c r="M61" s="188">
        <f t="shared" si="37"/>
        <v>2</v>
      </c>
      <c r="N61" s="188">
        <f t="shared" si="37"/>
        <v>2</v>
      </c>
      <c r="O61" s="188">
        <f t="shared" si="37"/>
        <v>2</v>
      </c>
      <c r="P61" s="188">
        <f t="shared" si="37"/>
        <v>2</v>
      </c>
      <c r="Q61" s="188">
        <f t="shared" si="37"/>
        <v>2</v>
      </c>
      <c r="S61" s="37"/>
    </row>
    <row r="62" spans="2:24" ht="12.75" customHeight="1">
      <c r="C62" s="24" t="s">
        <v>349</v>
      </c>
      <c r="G62" s="37"/>
      <c r="H62" s="690">
        <f>'Region Assumptions'!$Q$20</f>
        <v>2.85</v>
      </c>
      <c r="I62" s="188">
        <f>+H62*(1+$V41)</f>
        <v>2.85</v>
      </c>
      <c r="J62" s="188">
        <f t="shared" ref="J62:Q62" si="38">+I62*(1+$V41)</f>
        <v>2.85</v>
      </c>
      <c r="K62" s="188">
        <f t="shared" si="38"/>
        <v>2.85</v>
      </c>
      <c r="L62" s="188">
        <f t="shared" si="38"/>
        <v>2.85</v>
      </c>
      <c r="M62" s="188">
        <f t="shared" si="38"/>
        <v>2.85</v>
      </c>
      <c r="N62" s="188">
        <f t="shared" si="38"/>
        <v>2.85</v>
      </c>
      <c r="O62" s="188">
        <f t="shared" si="38"/>
        <v>2.85</v>
      </c>
      <c r="P62" s="188">
        <f t="shared" si="38"/>
        <v>2.85</v>
      </c>
      <c r="Q62" s="188">
        <f t="shared" si="38"/>
        <v>2.85</v>
      </c>
      <c r="S62" s="37"/>
    </row>
    <row r="63" spans="2:24" ht="12.75" customHeight="1">
      <c r="C63" s="24" t="s">
        <v>369</v>
      </c>
      <c r="G63" s="37"/>
      <c r="H63" s="690">
        <f>'Region Assumptions'!$R$20</f>
        <v>2.85</v>
      </c>
      <c r="I63" s="188">
        <f>+H63*(1+$V41)</f>
        <v>2.85</v>
      </c>
      <c r="J63" s="188">
        <f t="shared" ref="J63:Q63" si="39">+I63*(1+$V41)</f>
        <v>2.85</v>
      </c>
      <c r="K63" s="188">
        <f t="shared" si="39"/>
        <v>2.85</v>
      </c>
      <c r="L63" s="188">
        <f t="shared" si="39"/>
        <v>2.85</v>
      </c>
      <c r="M63" s="188">
        <f t="shared" si="39"/>
        <v>2.85</v>
      </c>
      <c r="N63" s="188">
        <f t="shared" si="39"/>
        <v>2.85</v>
      </c>
      <c r="O63" s="188">
        <f t="shared" si="39"/>
        <v>2.85</v>
      </c>
      <c r="P63" s="188">
        <f t="shared" si="39"/>
        <v>2.85</v>
      </c>
      <c r="Q63" s="188">
        <f t="shared" si="39"/>
        <v>2.85</v>
      </c>
      <c r="S63" s="37"/>
    </row>
    <row r="64" spans="2:24" ht="5.0999999999999996" customHeight="1"/>
    <row r="65" spans="2:26" ht="12.75" customHeight="1">
      <c r="B65" s="24" t="s">
        <v>53</v>
      </c>
      <c r="G65" s="55"/>
      <c r="H65" s="55">
        <f t="shared" ref="H65:Q65" si="40">+H$40*H57/1000</f>
        <v>0</v>
      </c>
      <c r="I65" s="55">
        <f t="shared" si="40"/>
        <v>0</v>
      </c>
      <c r="J65" s="55">
        <f t="shared" si="40"/>
        <v>0</v>
      </c>
      <c r="K65" s="55">
        <f t="shared" si="40"/>
        <v>0</v>
      </c>
      <c r="L65" s="55">
        <f t="shared" si="40"/>
        <v>0</v>
      </c>
      <c r="M65" s="55">
        <f t="shared" si="40"/>
        <v>0</v>
      </c>
      <c r="N65" s="55">
        <f t="shared" si="40"/>
        <v>0</v>
      </c>
      <c r="O65" s="55">
        <f t="shared" si="40"/>
        <v>0</v>
      </c>
      <c r="P65" s="55">
        <f t="shared" si="40"/>
        <v>0</v>
      </c>
      <c r="Q65" s="55">
        <f t="shared" si="40"/>
        <v>0</v>
      </c>
      <c r="S65" s="55"/>
      <c r="V65" s="110"/>
      <c r="W65" s="112"/>
      <c r="X65" s="111"/>
      <c r="Y65" s="111"/>
      <c r="Z65" s="111"/>
    </row>
    <row r="66" spans="2:26" ht="12.75" customHeight="1">
      <c r="B66" s="24" t="s">
        <v>170</v>
      </c>
      <c r="G66" s="56"/>
      <c r="H66" s="56">
        <f>+H$41*H58/1000</f>
        <v>91.25</v>
      </c>
      <c r="I66" s="56">
        <f t="shared" ref="I66:Q66" si="41">+I$41*I58/1000</f>
        <v>91.25</v>
      </c>
      <c r="J66" s="56">
        <f t="shared" si="41"/>
        <v>91.25</v>
      </c>
      <c r="K66" s="56">
        <f t="shared" si="41"/>
        <v>91.25</v>
      </c>
      <c r="L66" s="56">
        <f t="shared" si="41"/>
        <v>91.25</v>
      </c>
      <c r="M66" s="56">
        <f t="shared" si="41"/>
        <v>91.25</v>
      </c>
      <c r="N66" s="56">
        <f t="shared" si="41"/>
        <v>91.25</v>
      </c>
      <c r="O66" s="56">
        <f t="shared" si="41"/>
        <v>91.25</v>
      </c>
      <c r="P66" s="56">
        <f t="shared" si="41"/>
        <v>91.25</v>
      </c>
      <c r="Q66" s="56">
        <f t="shared" si="41"/>
        <v>91.25</v>
      </c>
      <c r="S66" s="56"/>
      <c r="U66" s="28"/>
      <c r="V66" s="110"/>
      <c r="W66" s="110"/>
      <c r="X66" s="110"/>
      <c r="Y66" s="110"/>
      <c r="Z66" s="110"/>
    </row>
    <row r="67" spans="2:26" ht="12.75" customHeight="1">
      <c r="B67" s="24" t="s">
        <v>171</v>
      </c>
      <c r="G67" s="56"/>
      <c r="H67" s="56">
        <f t="shared" ref="H67:Q68" si="42">+H$40*H59/1000</f>
        <v>0</v>
      </c>
      <c r="I67" s="56">
        <f t="shared" si="42"/>
        <v>0</v>
      </c>
      <c r="J67" s="56">
        <f t="shared" si="42"/>
        <v>0</v>
      </c>
      <c r="K67" s="56">
        <f t="shared" si="42"/>
        <v>0</v>
      </c>
      <c r="L67" s="56">
        <f t="shared" si="42"/>
        <v>0</v>
      </c>
      <c r="M67" s="56">
        <f t="shared" si="42"/>
        <v>0</v>
      </c>
      <c r="N67" s="56">
        <f t="shared" si="42"/>
        <v>0</v>
      </c>
      <c r="O67" s="56">
        <f t="shared" si="42"/>
        <v>0</v>
      </c>
      <c r="P67" s="56">
        <f t="shared" si="42"/>
        <v>0</v>
      </c>
      <c r="Q67" s="56">
        <f t="shared" si="42"/>
        <v>0</v>
      </c>
      <c r="S67" s="56"/>
      <c r="U67" s="28"/>
      <c r="V67" s="110"/>
      <c r="W67" s="110"/>
      <c r="X67" s="110"/>
      <c r="Y67" s="110"/>
      <c r="Z67" s="110"/>
    </row>
    <row r="68" spans="2:26" ht="12.75" customHeight="1">
      <c r="B68" s="24" t="s">
        <v>172</v>
      </c>
      <c r="G68" s="56"/>
      <c r="H68" s="56">
        <f t="shared" si="42"/>
        <v>0</v>
      </c>
      <c r="I68" s="56">
        <f t="shared" si="42"/>
        <v>0</v>
      </c>
      <c r="J68" s="56">
        <f t="shared" si="42"/>
        <v>0</v>
      </c>
      <c r="K68" s="56">
        <f t="shared" si="42"/>
        <v>0</v>
      </c>
      <c r="L68" s="56">
        <f t="shared" si="42"/>
        <v>0</v>
      </c>
      <c r="M68" s="56">
        <f t="shared" si="42"/>
        <v>0</v>
      </c>
      <c r="N68" s="56">
        <f t="shared" si="42"/>
        <v>0</v>
      </c>
      <c r="O68" s="56">
        <f t="shared" si="42"/>
        <v>0</v>
      </c>
      <c r="P68" s="56">
        <f t="shared" si="42"/>
        <v>0</v>
      </c>
      <c r="Q68" s="56">
        <f t="shared" si="42"/>
        <v>0</v>
      </c>
      <c r="S68" s="56"/>
      <c r="U68" s="28"/>
      <c r="V68" s="110"/>
      <c r="W68" s="110"/>
      <c r="X68" s="110"/>
      <c r="Y68" s="110"/>
      <c r="Z68" s="110"/>
    </row>
    <row r="69" spans="2:26" ht="12.75" customHeight="1">
      <c r="B69" s="24" t="s">
        <v>54</v>
      </c>
      <c r="G69" s="56"/>
      <c r="H69" s="703">
        <f>'Region Assumptions'!$C$6*HRCP!H45</f>
        <v>0</v>
      </c>
      <c r="I69" s="703">
        <f>'Region Assumptions'!$C$6*HRCP!I45</f>
        <v>0</v>
      </c>
      <c r="J69" s="703">
        <f>'Region Assumptions'!$C$6*HRCP!J45</f>
        <v>0</v>
      </c>
      <c r="K69" s="703">
        <f>'Region Assumptions'!$C$6*HRCP!K45</f>
        <v>0</v>
      </c>
      <c r="L69" s="703">
        <f>'Region Assumptions'!$C$6*HRCP!L45</f>
        <v>0</v>
      </c>
      <c r="M69" s="703">
        <f>'Region Assumptions'!$C$6*HRCP!M45</f>
        <v>0</v>
      </c>
      <c r="N69" s="703">
        <f>'Region Assumptions'!$C$6*HRCP!N45</f>
        <v>0</v>
      </c>
      <c r="O69" s="703">
        <f>'Region Assumptions'!$C$6*HRCP!O45</f>
        <v>0</v>
      </c>
      <c r="P69" s="703">
        <f>'Region Assumptions'!$C$6*HRCP!P45</f>
        <v>0</v>
      </c>
      <c r="Q69" s="703">
        <f>'Region Assumptions'!$C$6*HRCP!Q45</f>
        <v>0</v>
      </c>
      <c r="S69" s="56"/>
      <c r="V69" s="110"/>
      <c r="W69" s="110"/>
      <c r="X69" s="110"/>
      <c r="Y69" s="110"/>
      <c r="Z69" s="110"/>
    </row>
    <row r="70" spans="2:26" ht="12.75" customHeight="1">
      <c r="B70" s="24" t="s">
        <v>442</v>
      </c>
      <c r="G70" s="56"/>
      <c r="H70" s="434">
        <f>H61*365*'Region Assumptions'!$G$20/1000</f>
        <v>0</v>
      </c>
      <c r="I70" s="434">
        <f>I61*365*'Region Assumptions'!$G$20/1000</f>
        <v>0</v>
      </c>
      <c r="J70" s="434">
        <f>J61*365*'Region Assumptions'!$G$20/1000</f>
        <v>0</v>
      </c>
      <c r="K70" s="434">
        <f>K61*365*'Region Assumptions'!$G$20/1000</f>
        <v>0</v>
      </c>
      <c r="L70" s="434">
        <f>L61*365*'Region Assumptions'!$G$20/1000</f>
        <v>0</v>
      </c>
      <c r="M70" s="434">
        <f>M61*365*'Region Assumptions'!$G$20/1000</f>
        <v>0</v>
      </c>
      <c r="N70" s="434">
        <f>N61*365*'Region Assumptions'!$G$20/1000</f>
        <v>0</v>
      </c>
      <c r="O70" s="434">
        <f>O61*365*'Region Assumptions'!$G$20/1000</f>
        <v>0</v>
      </c>
      <c r="P70" s="434">
        <f>P61*365*'Region Assumptions'!$G$20/1000</f>
        <v>0</v>
      </c>
      <c r="Q70" s="434">
        <f>Q61*365*'Region Assumptions'!$G$20/1000</f>
        <v>0</v>
      </c>
      <c r="S70" s="56"/>
      <c r="V70" s="110"/>
      <c r="W70" s="110"/>
      <c r="X70" s="110"/>
      <c r="Y70" s="110"/>
      <c r="Z70" s="110"/>
    </row>
    <row r="71" spans="2:26" ht="12.75" customHeight="1">
      <c r="B71" s="24" t="s">
        <v>443</v>
      </c>
      <c r="G71" s="56"/>
      <c r="H71" s="434">
        <f>H62*365*'Region Assumptions'!$H$20/1000</f>
        <v>0</v>
      </c>
      <c r="I71" s="434">
        <f>I62*365*'Region Assumptions'!$H$20/1000</f>
        <v>0</v>
      </c>
      <c r="J71" s="434">
        <f>J62*365*'Region Assumptions'!$H$20/1000</f>
        <v>0</v>
      </c>
      <c r="K71" s="434">
        <f>K62*365*'Region Assumptions'!$H$20/1000</f>
        <v>0</v>
      </c>
      <c r="L71" s="434">
        <f>L62*365*'Region Assumptions'!$H$20/1000</f>
        <v>0</v>
      </c>
      <c r="M71" s="434">
        <f>M62*365*'Region Assumptions'!$H$20/1000</f>
        <v>0</v>
      </c>
      <c r="N71" s="434">
        <f>N62*365*'Region Assumptions'!$H$20/1000</f>
        <v>0</v>
      </c>
      <c r="O71" s="434">
        <f>O62*365*'Region Assumptions'!$H$20/1000</f>
        <v>0</v>
      </c>
      <c r="P71" s="434">
        <f>P62*365*'Region Assumptions'!$H$20/1000</f>
        <v>0</v>
      </c>
      <c r="Q71" s="434">
        <f>Q62*365*'Region Assumptions'!$H$20/1000</f>
        <v>0</v>
      </c>
      <c r="S71" s="56"/>
      <c r="V71" s="110"/>
      <c r="W71" s="110"/>
      <c r="X71" s="110"/>
      <c r="Y71" s="110"/>
      <c r="Z71" s="110"/>
    </row>
    <row r="72" spans="2:26" ht="12.75" customHeight="1">
      <c r="B72" s="24" t="s">
        <v>444</v>
      </c>
      <c r="G72" s="56"/>
      <c r="H72" s="434">
        <f>H63*365*'Region Assumptions'!$I$20/1000</f>
        <v>0</v>
      </c>
      <c r="I72" s="434">
        <f>I63*365*'Region Assumptions'!$I$20/1000</f>
        <v>0</v>
      </c>
      <c r="J72" s="434">
        <f>J63*365*'Region Assumptions'!$I$20/1000</f>
        <v>0</v>
      </c>
      <c r="K72" s="434">
        <f>K63*365*'Region Assumptions'!$I$20/1000</f>
        <v>0</v>
      </c>
      <c r="L72" s="434">
        <f>L63*365*'Region Assumptions'!$I$20/1000</f>
        <v>0</v>
      </c>
      <c r="M72" s="434">
        <f>M63*365*'Region Assumptions'!$I$20/1000</f>
        <v>0</v>
      </c>
      <c r="N72" s="434">
        <f>N63*365*'Region Assumptions'!$I$20/1000</f>
        <v>0</v>
      </c>
      <c r="O72" s="434">
        <f>O63*365*'Region Assumptions'!$I$20/1000</f>
        <v>0</v>
      </c>
      <c r="P72" s="434">
        <f>P63*365*'Region Assumptions'!$I$20/1000</f>
        <v>0</v>
      </c>
      <c r="Q72" s="434">
        <f>Q63*365*'Region Assumptions'!$I$20/1000</f>
        <v>0</v>
      </c>
      <c r="S72" s="56"/>
      <c r="V72" s="110"/>
      <c r="W72" s="110"/>
      <c r="X72" s="110"/>
      <c r="Y72" s="110"/>
      <c r="Z72" s="110"/>
    </row>
    <row r="73" spans="2:26" ht="12.75" customHeight="1">
      <c r="B73" s="24" t="s">
        <v>307</v>
      </c>
      <c r="G73" s="56"/>
      <c r="H73" s="434">
        <f>(H28*(H29-H33))*'Region Assumptions'!$AF$20/1000</f>
        <v>0</v>
      </c>
      <c r="I73" s="434">
        <f>(I28*(I29-I33))*'Region Assumptions'!$AF$20/1000</f>
        <v>0</v>
      </c>
      <c r="J73" s="434">
        <f>(J28*(J29-J33))*'Region Assumptions'!$AF$20/1000</f>
        <v>0</v>
      </c>
      <c r="K73" s="434">
        <f>(K28*(K29-K33))*'Region Assumptions'!$AF$20/1000</f>
        <v>0</v>
      </c>
      <c r="L73" s="434">
        <f>(L28*(L29-L33))*'Region Assumptions'!$AF$20/1000</f>
        <v>0</v>
      </c>
      <c r="M73" s="434">
        <f>(M28*(M29-M33))*'Region Assumptions'!$AF$20/1000</f>
        <v>0</v>
      </c>
      <c r="N73" s="434">
        <f>(N28*(N29-N33))*'Region Assumptions'!$AF$20/1000</f>
        <v>0</v>
      </c>
      <c r="O73" s="434">
        <f>(O28*(O29-O33))*'Region Assumptions'!$AF$20/1000</f>
        <v>0</v>
      </c>
      <c r="P73" s="434">
        <f>(P28*(P29-P33))*'Region Assumptions'!$AF$20/1000</f>
        <v>0</v>
      </c>
      <c r="Q73" s="434">
        <f>(Q28*(Q29-Q33))*'Region Assumptions'!$AF$20/1000</f>
        <v>0</v>
      </c>
      <c r="S73" s="56"/>
      <c r="V73" s="110"/>
      <c r="W73" s="110"/>
      <c r="X73" s="110"/>
      <c r="Y73" s="110"/>
      <c r="Z73" s="110"/>
    </row>
    <row r="74" spans="2:26" ht="12.75" customHeight="1">
      <c r="B74" s="23" t="s">
        <v>55</v>
      </c>
      <c r="C74" s="23"/>
      <c r="D74" s="23"/>
      <c r="E74" s="23"/>
      <c r="F74" s="23"/>
      <c r="G74" s="48"/>
      <c r="H74" s="48">
        <f>SUM(H65:H73)</f>
        <v>91.25</v>
      </c>
      <c r="I74" s="48">
        <f t="shared" ref="I74:Q74" si="43">SUM(I65:I73)</f>
        <v>91.25</v>
      </c>
      <c r="J74" s="48">
        <f t="shared" si="43"/>
        <v>91.25</v>
      </c>
      <c r="K74" s="48">
        <f t="shared" si="43"/>
        <v>91.25</v>
      </c>
      <c r="L74" s="48">
        <f t="shared" si="43"/>
        <v>91.25</v>
      </c>
      <c r="M74" s="48">
        <f t="shared" si="43"/>
        <v>91.25</v>
      </c>
      <c r="N74" s="48">
        <f t="shared" si="43"/>
        <v>91.25</v>
      </c>
      <c r="O74" s="48">
        <f t="shared" si="43"/>
        <v>91.25</v>
      </c>
      <c r="P74" s="48">
        <f t="shared" si="43"/>
        <v>91.25</v>
      </c>
      <c r="Q74" s="48">
        <f t="shared" si="43"/>
        <v>91.25</v>
      </c>
      <c r="S74" s="48"/>
      <c r="T74" s="179"/>
      <c r="V74" s="190"/>
      <c r="W74" s="110"/>
      <c r="X74" s="110"/>
      <c r="Y74" s="110"/>
      <c r="Z74" s="110"/>
    </row>
    <row r="75" spans="2:26" ht="5.0999999999999996" customHeight="1">
      <c r="V75" s="110"/>
      <c r="W75" s="110"/>
      <c r="X75" s="110"/>
      <c r="Y75" s="110"/>
      <c r="Z75" s="110"/>
    </row>
    <row r="76" spans="2:26" ht="12.75" customHeight="1">
      <c r="B76" s="23" t="s">
        <v>56</v>
      </c>
      <c r="C76" s="23"/>
      <c r="D76" s="23"/>
      <c r="E76" s="23"/>
      <c r="F76" s="23"/>
      <c r="G76" s="48"/>
      <c r="H76" s="48">
        <f>+H45-H74</f>
        <v>849.81979704550372</v>
      </c>
      <c r="I76" s="48">
        <f t="shared" ref="I76:Q76" si="44">+I45-I74</f>
        <v>849.81979704550372</v>
      </c>
      <c r="J76" s="48">
        <f t="shared" si="44"/>
        <v>849.81979704550372</v>
      </c>
      <c r="K76" s="48">
        <f t="shared" si="44"/>
        <v>849.81979704550372</v>
      </c>
      <c r="L76" s="48">
        <f t="shared" si="44"/>
        <v>849.81979704550372</v>
      </c>
      <c r="M76" s="48">
        <f t="shared" si="44"/>
        <v>849.81979704550372</v>
      </c>
      <c r="N76" s="48">
        <f t="shared" si="44"/>
        <v>849.81979704550372</v>
      </c>
      <c r="O76" s="48">
        <f t="shared" si="44"/>
        <v>849.81979704550372</v>
      </c>
      <c r="P76" s="48">
        <f t="shared" si="44"/>
        <v>849.81979704550372</v>
      </c>
      <c r="Q76" s="48">
        <f t="shared" si="44"/>
        <v>849.81979704550372</v>
      </c>
      <c r="S76" s="48"/>
      <c r="V76" s="191"/>
      <c r="W76" s="110"/>
      <c r="X76" s="110"/>
      <c r="Y76" s="110"/>
      <c r="Z76" s="110"/>
    </row>
    <row r="77" spans="2:26" ht="12.75" customHeight="1">
      <c r="B77" s="23"/>
      <c r="C77" s="24" t="s">
        <v>57</v>
      </c>
      <c r="D77" s="23"/>
      <c r="E77" s="23"/>
      <c r="F77" s="23"/>
      <c r="G77" s="37"/>
      <c r="H77" s="37">
        <f t="shared" ref="H77:Q77" si="45">H76*1000/H40</f>
        <v>2.3282734165630239</v>
      </c>
      <c r="I77" s="37">
        <f t="shared" si="45"/>
        <v>2.3282734165630239</v>
      </c>
      <c r="J77" s="37">
        <f t="shared" si="45"/>
        <v>2.3282734165630239</v>
      </c>
      <c r="K77" s="37">
        <f t="shared" si="45"/>
        <v>2.3282734165630239</v>
      </c>
      <c r="L77" s="37">
        <f t="shared" si="45"/>
        <v>2.3282734165630239</v>
      </c>
      <c r="M77" s="37">
        <f t="shared" si="45"/>
        <v>2.3282734165630239</v>
      </c>
      <c r="N77" s="37">
        <f t="shared" si="45"/>
        <v>2.3282734165630239</v>
      </c>
      <c r="O77" s="37">
        <f t="shared" si="45"/>
        <v>2.3282734165630239</v>
      </c>
      <c r="P77" s="37">
        <f t="shared" si="45"/>
        <v>2.3282734165630239</v>
      </c>
      <c r="Q77" s="37">
        <f t="shared" si="45"/>
        <v>2.3282734165630239</v>
      </c>
      <c r="S77" s="37"/>
      <c r="V77" s="110"/>
      <c r="W77" s="110"/>
      <c r="X77" s="110"/>
      <c r="Y77" s="110"/>
      <c r="Z77" s="110"/>
    </row>
    <row r="78" spans="2:26" ht="12.75" customHeight="1">
      <c r="B78" s="23"/>
      <c r="C78" s="24" t="s">
        <v>446</v>
      </c>
      <c r="D78" s="23"/>
      <c r="E78" s="23"/>
      <c r="F78" s="23"/>
      <c r="G78" s="37"/>
      <c r="H78" s="37">
        <f t="shared" ref="H78:Q78" si="46">H76*1000/H41</f>
        <v>2.3282734165630239</v>
      </c>
      <c r="I78" s="37">
        <f t="shared" si="46"/>
        <v>2.3282734165630239</v>
      </c>
      <c r="J78" s="37">
        <f t="shared" si="46"/>
        <v>2.3282734165630239</v>
      </c>
      <c r="K78" s="37">
        <f t="shared" si="46"/>
        <v>2.3282734165630239</v>
      </c>
      <c r="L78" s="37">
        <f t="shared" si="46"/>
        <v>2.3282734165630239</v>
      </c>
      <c r="M78" s="37">
        <f t="shared" si="46"/>
        <v>2.3282734165630239</v>
      </c>
      <c r="N78" s="37">
        <f t="shared" si="46"/>
        <v>2.3282734165630239</v>
      </c>
      <c r="O78" s="37">
        <f t="shared" si="46"/>
        <v>2.3282734165630239</v>
      </c>
      <c r="P78" s="37">
        <f t="shared" si="46"/>
        <v>2.3282734165630239</v>
      </c>
      <c r="Q78" s="37">
        <f t="shared" si="46"/>
        <v>2.3282734165630239</v>
      </c>
      <c r="S78" s="37"/>
      <c r="V78" s="110"/>
      <c r="W78" s="110"/>
      <c r="X78" s="110"/>
      <c r="Y78" s="110"/>
      <c r="Z78" s="110"/>
    </row>
    <row r="79" spans="2:26" ht="12.75" customHeight="1">
      <c r="B79" s="23" t="s">
        <v>58</v>
      </c>
      <c r="C79" s="23"/>
      <c r="D79" s="23"/>
      <c r="E79" s="23"/>
      <c r="F79" s="23"/>
      <c r="G79" s="57"/>
      <c r="H79" s="57">
        <f t="shared" ref="H79:Q79" si="47">+H76/H45</f>
        <v>0.90303588502523391</v>
      </c>
      <c r="I79" s="57">
        <f t="shared" si="47"/>
        <v>0.90303588502523391</v>
      </c>
      <c r="J79" s="57">
        <f t="shared" si="47"/>
        <v>0.90303588502523391</v>
      </c>
      <c r="K79" s="57">
        <f t="shared" si="47"/>
        <v>0.90303588502523391</v>
      </c>
      <c r="L79" s="57">
        <f t="shared" si="47"/>
        <v>0.90303588502523391</v>
      </c>
      <c r="M79" s="57">
        <f t="shared" si="47"/>
        <v>0.90303588502523391</v>
      </c>
      <c r="N79" s="57">
        <f t="shared" si="47"/>
        <v>0.90303588502523391</v>
      </c>
      <c r="O79" s="57">
        <f t="shared" si="47"/>
        <v>0.90303588502523391</v>
      </c>
      <c r="P79" s="57">
        <f t="shared" si="47"/>
        <v>0.90303588502523391</v>
      </c>
      <c r="Q79" s="57">
        <f t="shared" si="47"/>
        <v>0.90303588502523391</v>
      </c>
      <c r="S79" s="57"/>
      <c r="V79" s="110"/>
      <c r="W79" s="110"/>
      <c r="X79" s="110"/>
      <c r="Y79" s="110"/>
      <c r="Z79" s="110"/>
    </row>
    <row r="80" spans="2:26" ht="15">
      <c r="B80" s="23"/>
      <c r="C80" s="23"/>
      <c r="D80" s="23"/>
      <c r="E80" s="23"/>
      <c r="F80" s="23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V80" s="102"/>
      <c r="W80" s="102"/>
      <c r="X80" s="102"/>
      <c r="Y80" s="102"/>
      <c r="Z80" s="102"/>
    </row>
    <row r="81" spans="2:27" ht="15">
      <c r="W81" s="23"/>
      <c r="X81" s="110"/>
      <c r="Y81" s="110"/>
      <c r="Z81" s="110"/>
    </row>
    <row r="82" spans="2:27">
      <c r="G82" s="58" t="s">
        <v>308</v>
      </c>
      <c r="H82" s="58"/>
      <c r="J82" s="58"/>
      <c r="V82" s="236"/>
      <c r="W82" s="37"/>
      <c r="X82" s="37"/>
      <c r="Y82" s="37"/>
      <c r="Z82" s="37"/>
    </row>
    <row r="83" spans="2:27" ht="15" customHeight="1">
      <c r="B83" s="24" t="s">
        <v>160</v>
      </c>
      <c r="G83" s="694">
        <f>'Region Assumptions'!$F$20</f>
        <v>1000</v>
      </c>
      <c r="H83" s="296"/>
      <c r="J83" s="296"/>
      <c r="U83" s="237"/>
      <c r="V83" s="37"/>
      <c r="W83" s="165"/>
      <c r="X83" s="234"/>
      <c r="Y83" s="165"/>
      <c r="Z83" s="165"/>
    </row>
    <row r="84" spans="2:27" ht="15" customHeight="1">
      <c r="B84" s="24" t="s">
        <v>60</v>
      </c>
      <c r="G84" s="695">
        <f>'Region Assumptions'!$M$20</f>
        <v>4257.4794520547939</v>
      </c>
      <c r="H84" s="297"/>
      <c r="I84" s="634"/>
      <c r="J84" s="297"/>
      <c r="U84" s="237"/>
      <c r="V84" s="37"/>
      <c r="W84" s="165"/>
      <c r="X84" s="234"/>
      <c r="Y84" s="165"/>
      <c r="Z84" s="165"/>
    </row>
    <row r="85" spans="2:27" ht="15" customHeight="1">
      <c r="B85" s="24" t="s">
        <v>61</v>
      </c>
      <c r="G85" s="696">
        <f>'Region Assumptions'!$N$20</f>
        <v>-6.0476968815557322E-2</v>
      </c>
      <c r="H85" s="464"/>
      <c r="I85" s="635"/>
      <c r="J85" s="298"/>
      <c r="U85" s="237"/>
      <c r="V85" s="37"/>
      <c r="W85" s="165"/>
      <c r="X85" s="234"/>
      <c r="Y85" s="165"/>
      <c r="Z85" s="165"/>
    </row>
    <row r="86" spans="2:27" ht="15" customHeight="1">
      <c r="B86" s="24" t="s">
        <v>162</v>
      </c>
      <c r="G86" s="49">
        <f>G84*(1+G85)*'Region Assumptions'!$C$4</f>
        <v>4000</v>
      </c>
      <c r="H86" s="49"/>
      <c r="J86" s="49"/>
      <c r="U86" s="237"/>
      <c r="V86" s="37"/>
      <c r="W86" s="165"/>
      <c r="X86" s="165"/>
      <c r="Y86" s="165"/>
      <c r="Z86" s="165"/>
    </row>
    <row r="87" spans="2:27" ht="15" customHeight="1">
      <c r="B87" s="288" t="s">
        <v>265</v>
      </c>
      <c r="C87" s="61"/>
      <c r="D87" s="61"/>
      <c r="E87" s="61"/>
      <c r="F87" s="61"/>
      <c r="G87" s="463">
        <f>G86*G83/1000</f>
        <v>4000</v>
      </c>
      <c r="H87" s="299"/>
      <c r="J87" s="299"/>
      <c r="U87" s="237"/>
      <c r="V87" s="37"/>
      <c r="W87" s="165"/>
      <c r="X87" s="234"/>
      <c r="Y87" s="234"/>
      <c r="Z87" s="234"/>
    </row>
    <row r="88" spans="2:27" ht="15" customHeight="1">
      <c r="B88" s="24" t="s">
        <v>62</v>
      </c>
      <c r="F88" s="697">
        <f>'Region Assumptions'!$X$20</f>
        <v>0.1</v>
      </c>
      <c r="G88" s="49">
        <f>F88*G87</f>
        <v>400</v>
      </c>
      <c r="H88" s="49"/>
      <c r="J88" s="49"/>
      <c r="U88" s="237"/>
      <c r="V88" s="37"/>
      <c r="W88" s="165"/>
      <c r="X88" s="234"/>
      <c r="Y88" s="165"/>
      <c r="Z88" s="165"/>
    </row>
    <row r="89" spans="2:27" ht="15" customHeight="1">
      <c r="B89" s="288" t="s">
        <v>63</v>
      </c>
      <c r="C89" s="61"/>
      <c r="D89" s="61"/>
      <c r="E89" s="61"/>
      <c r="F89" s="61"/>
      <c r="G89" s="463">
        <f>SUM(G87:G88)</f>
        <v>4400</v>
      </c>
      <c r="H89" s="299"/>
      <c r="J89" s="299"/>
      <c r="U89" s="237"/>
      <c r="V89" s="37"/>
      <c r="W89" s="165"/>
      <c r="X89" s="165"/>
      <c r="Y89" s="165"/>
      <c r="Z89" s="165"/>
    </row>
    <row r="90" spans="2:27" ht="15" customHeight="1">
      <c r="B90" s="62" t="s">
        <v>113</v>
      </c>
      <c r="C90" s="23"/>
      <c r="D90" s="23"/>
      <c r="E90" s="23"/>
      <c r="F90" s="23"/>
      <c r="G90" s="699">
        <f>'Region Assumptions'!$T$20*HRCP!G83/1000</f>
        <v>275</v>
      </c>
      <c r="H90" s="297"/>
      <c r="J90" s="297"/>
      <c r="U90" s="237"/>
      <c r="V90" s="37"/>
      <c r="W90" s="165"/>
      <c r="X90" s="165"/>
      <c r="Y90" s="165"/>
      <c r="Z90" s="165"/>
    </row>
    <row r="91" spans="2:27" ht="15" customHeight="1">
      <c r="B91" s="62" t="s">
        <v>148</v>
      </c>
      <c r="G91" s="698">
        <f>'Region Assumptions'!$U$20*HRCP!G83/1000</f>
        <v>0</v>
      </c>
      <c r="H91" s="300"/>
      <c r="J91" s="300"/>
      <c r="U91" s="237"/>
      <c r="V91" s="37"/>
      <c r="W91" s="235"/>
      <c r="X91" s="235"/>
      <c r="Y91" s="235"/>
      <c r="Z91" s="235"/>
    </row>
    <row r="92" spans="2:27" s="62" customFormat="1" ht="15" customHeight="1">
      <c r="B92" s="62" t="s">
        <v>202</v>
      </c>
      <c r="G92" s="698">
        <f>'Region Assumptions'!$S$20*HRCP!G83/1000</f>
        <v>0</v>
      </c>
      <c r="H92" s="300"/>
      <c r="J92" s="300"/>
      <c r="U92" s="233"/>
      <c r="V92" s="63"/>
      <c r="W92" s="193"/>
      <c r="X92" s="193"/>
      <c r="Y92" s="64"/>
      <c r="Z92" s="193"/>
      <c r="AA92" s="194"/>
    </row>
    <row r="93" spans="2:27" s="62" customFormat="1" ht="15" customHeight="1">
      <c r="B93" s="62" t="s">
        <v>447</v>
      </c>
      <c r="G93" s="698">
        <f>'Region Assumptions'!$V$20*HRCP!G83/1000</f>
        <v>225</v>
      </c>
      <c r="H93" s="300"/>
      <c r="J93" s="300"/>
      <c r="U93" s="233"/>
      <c r="V93" s="193"/>
      <c r="W93" s="224"/>
      <c r="X93" s="224"/>
      <c r="Y93" s="224"/>
      <c r="Z93" s="224"/>
      <c r="AA93" s="194"/>
    </row>
    <row r="94" spans="2:27" s="62" customFormat="1" ht="15" customHeight="1">
      <c r="B94" s="62" t="s">
        <v>163</v>
      </c>
      <c r="G94" s="701">
        <f>-H113</f>
        <v>47.053489852275192</v>
      </c>
      <c r="H94" s="465"/>
      <c r="J94" s="301"/>
      <c r="U94" s="233"/>
      <c r="V94" s="193"/>
      <c r="W94" s="224"/>
      <c r="X94" s="224"/>
      <c r="Y94" s="224"/>
      <c r="Z94" s="224"/>
      <c r="AA94" s="194"/>
    </row>
    <row r="95" spans="2:27" s="62" customFormat="1" ht="15" customHeight="1">
      <c r="B95" s="194" t="s">
        <v>204</v>
      </c>
      <c r="C95" s="194"/>
      <c r="D95" s="194"/>
      <c r="E95" s="194"/>
      <c r="F95" s="194"/>
      <c r="G95" s="698">
        <f>'Region Assumptions'!$W$20*'Region Assumptions'!$H$20/1000</f>
        <v>0</v>
      </c>
      <c r="H95" s="466"/>
      <c r="J95" s="301"/>
      <c r="U95" s="233"/>
      <c r="V95" s="193"/>
      <c r="W95" s="224"/>
      <c r="X95" s="224"/>
      <c r="Y95" s="224"/>
      <c r="Z95" s="224"/>
      <c r="AA95" s="194"/>
    </row>
    <row r="96" spans="2:27" s="62" customFormat="1" ht="15" customHeight="1">
      <c r="B96" s="194" t="s">
        <v>340</v>
      </c>
      <c r="C96" s="194"/>
      <c r="D96" s="194"/>
      <c r="E96" s="194"/>
      <c r="F96" s="194"/>
      <c r="G96" s="698">
        <f>'Region Assumptions'!$C$23*'Region Assumptions'!$E$20*'Region Assumptions'!$C$4/1000</f>
        <v>30.624744793793383</v>
      </c>
      <c r="H96" s="466"/>
      <c r="J96" s="301"/>
      <c r="U96" s="233"/>
      <c r="V96" s="193"/>
      <c r="W96" s="224"/>
      <c r="X96" s="224"/>
      <c r="Y96" s="224"/>
      <c r="Z96" s="224"/>
      <c r="AA96" s="194"/>
    </row>
    <row r="97" spans="2:27" s="62" customFormat="1" ht="15" customHeight="1">
      <c r="B97" s="65" t="s">
        <v>64</v>
      </c>
      <c r="C97" s="65"/>
      <c r="D97" s="65"/>
      <c r="E97" s="65"/>
      <c r="F97" s="65"/>
      <c r="G97" s="287">
        <f>SUM(G90:G95)-G96</f>
        <v>516.42874505848181</v>
      </c>
      <c r="H97" s="302"/>
      <c r="J97" s="302"/>
      <c r="U97" s="233"/>
      <c r="V97" s="193"/>
      <c r="W97" s="224"/>
      <c r="X97" s="224"/>
      <c r="Y97" s="224"/>
      <c r="Z97" s="224"/>
      <c r="AA97" s="194"/>
    </row>
    <row r="98" spans="2:27" s="62" customFormat="1" ht="15" customHeight="1">
      <c r="B98" s="289" t="s">
        <v>65</v>
      </c>
      <c r="C98" s="66"/>
      <c r="D98" s="66"/>
      <c r="E98" s="66"/>
      <c r="F98" s="66"/>
      <c r="G98" s="290">
        <f>G89+G97</f>
        <v>4916.4287450584816</v>
      </c>
      <c r="H98" s="302"/>
      <c r="J98" s="302"/>
      <c r="M98" s="292"/>
      <c r="U98" s="233"/>
      <c r="V98" s="193"/>
      <c r="W98" s="224"/>
      <c r="X98" s="224"/>
      <c r="Y98" s="224"/>
      <c r="Z98" s="224"/>
      <c r="AA98" s="194"/>
    </row>
    <row r="99" spans="2:27" s="62" customFormat="1" ht="15" customHeight="1">
      <c r="U99" s="233"/>
      <c r="V99" s="64"/>
      <c r="W99" s="224"/>
      <c r="X99" s="224"/>
      <c r="Y99" s="224"/>
      <c r="Z99" s="224"/>
      <c r="AA99" s="194"/>
    </row>
    <row r="100" spans="2:27" s="62" customFormat="1" ht="15" customHeight="1">
      <c r="B100" s="289" t="s">
        <v>81</v>
      </c>
      <c r="C100" s="66"/>
      <c r="D100" s="66"/>
      <c r="E100" s="66"/>
      <c r="F100" s="66"/>
      <c r="G100" s="291">
        <f>(G89+G97)/H76</f>
        <v>5.7852603130110776</v>
      </c>
      <c r="H100" s="303"/>
      <c r="J100" s="303"/>
      <c r="U100" s="233"/>
      <c r="V100" s="193"/>
      <c r="W100" s="224"/>
      <c r="X100" s="224"/>
      <c r="Y100" s="224"/>
      <c r="Z100" s="224"/>
      <c r="AA100" s="194"/>
    </row>
    <row r="101" spans="2:27" s="62" customFormat="1" ht="15" customHeight="1">
      <c r="U101" s="233"/>
      <c r="V101" s="193"/>
      <c r="W101" s="224"/>
      <c r="X101" s="224"/>
      <c r="Y101" s="224"/>
      <c r="Z101" s="224"/>
      <c r="AA101" s="194"/>
    </row>
    <row r="102" spans="2:27" s="62" customFormat="1" ht="15" customHeight="1">
      <c r="U102" s="233"/>
      <c r="V102" s="193"/>
      <c r="W102" s="224"/>
      <c r="X102" s="224"/>
      <c r="Y102" s="224"/>
      <c r="Z102" s="224"/>
      <c r="AA102" s="194"/>
    </row>
    <row r="103" spans="2:27" s="62" customFormat="1" ht="15" customHeight="1">
      <c r="I103" s="454"/>
      <c r="J103" s="454"/>
      <c r="K103" s="455"/>
      <c r="U103" s="233"/>
      <c r="V103" s="193"/>
      <c r="W103" s="224"/>
      <c r="X103" s="224"/>
      <c r="Y103" s="224"/>
      <c r="Z103" s="224"/>
      <c r="AA103" s="194"/>
    </row>
    <row r="104" spans="2:27">
      <c r="B104" s="67" t="s">
        <v>66</v>
      </c>
      <c r="C104" s="68"/>
      <c r="D104" s="68"/>
      <c r="E104" s="68"/>
      <c r="F104" s="68"/>
      <c r="G104" s="201">
        <f t="shared" ref="G104:Q104" si="48">G21</f>
        <v>0</v>
      </c>
      <c r="H104" s="201">
        <f t="shared" si="48"/>
        <v>1</v>
      </c>
      <c r="I104" s="201">
        <f t="shared" si="48"/>
        <v>2</v>
      </c>
      <c r="J104" s="201">
        <f t="shared" si="48"/>
        <v>3</v>
      </c>
      <c r="K104" s="201">
        <f t="shared" si="48"/>
        <v>4</v>
      </c>
      <c r="L104" s="201">
        <f t="shared" si="48"/>
        <v>5</v>
      </c>
      <c r="M104" s="201">
        <f t="shared" si="48"/>
        <v>6</v>
      </c>
      <c r="N104" s="201">
        <f t="shared" si="48"/>
        <v>7</v>
      </c>
      <c r="O104" s="201">
        <f t="shared" si="48"/>
        <v>8</v>
      </c>
      <c r="P104" s="201">
        <f t="shared" si="48"/>
        <v>9</v>
      </c>
      <c r="Q104" s="201">
        <f t="shared" si="48"/>
        <v>10</v>
      </c>
      <c r="U104" s="180"/>
      <c r="V104" s="194"/>
      <c r="W104" s="195"/>
      <c r="X104" s="186"/>
      <c r="Y104" s="196"/>
      <c r="Z104" s="196"/>
      <c r="AA104" s="180"/>
    </row>
    <row r="105" spans="2:27">
      <c r="B105" s="59" t="s">
        <v>67</v>
      </c>
      <c r="C105" s="59"/>
      <c r="D105" s="59"/>
      <c r="E105" s="59"/>
      <c r="F105" s="59"/>
      <c r="G105" s="70">
        <f>-G98+G94</f>
        <v>-4869.375255206206</v>
      </c>
      <c r="H105" s="70"/>
      <c r="I105" s="70"/>
      <c r="J105" s="70"/>
      <c r="K105" s="59"/>
      <c r="L105" s="59"/>
      <c r="M105" s="59"/>
      <c r="N105" s="59"/>
      <c r="O105" s="59"/>
      <c r="Q105" s="70"/>
      <c r="U105" s="180"/>
      <c r="V105" s="194"/>
      <c r="W105" s="195"/>
      <c r="X105" s="186"/>
      <c r="Y105" s="196"/>
      <c r="Z105" s="196"/>
      <c r="AA105" s="180"/>
    </row>
    <row r="106" spans="2:27">
      <c r="B106" s="59" t="s">
        <v>320</v>
      </c>
      <c r="C106" s="59"/>
      <c r="D106" s="59"/>
      <c r="E106" s="59"/>
      <c r="F106" s="59"/>
      <c r="G106" s="70"/>
      <c r="H106" s="59"/>
      <c r="I106" s="59"/>
      <c r="J106" s="59"/>
      <c r="K106" s="59"/>
      <c r="L106" s="59"/>
      <c r="M106" s="59"/>
      <c r="N106" s="70"/>
      <c r="O106" s="70"/>
      <c r="Q106" s="700">
        <f>G83*MIN('Fleet Summary - Pending'!L12,HRCP!G86)/1000</f>
        <v>2500</v>
      </c>
      <c r="U106" s="180"/>
      <c r="V106" s="194"/>
      <c r="W106" s="195"/>
      <c r="X106" s="186"/>
      <c r="Y106" s="196"/>
      <c r="Z106" s="196"/>
      <c r="AA106" s="180"/>
    </row>
    <row r="107" spans="2:27">
      <c r="B107" s="59"/>
      <c r="C107" s="59"/>
      <c r="D107" s="59"/>
      <c r="E107" s="59"/>
      <c r="F107" s="59"/>
      <c r="G107" s="70"/>
      <c r="H107" s="59"/>
      <c r="I107" s="59"/>
      <c r="J107" s="59"/>
      <c r="K107" s="59"/>
      <c r="L107" s="59"/>
      <c r="M107" s="59"/>
      <c r="N107" s="59"/>
      <c r="O107" s="59"/>
      <c r="U107" s="180"/>
      <c r="V107" s="194"/>
      <c r="W107" s="195"/>
      <c r="X107" s="186"/>
      <c r="Y107" s="196"/>
      <c r="Z107" s="196"/>
      <c r="AA107" s="180"/>
    </row>
    <row r="108" spans="2:27">
      <c r="B108" s="59" t="s">
        <v>56</v>
      </c>
      <c r="C108" s="59"/>
      <c r="D108" s="59"/>
      <c r="E108" s="59"/>
      <c r="F108" s="59"/>
      <c r="G108" s="22"/>
      <c r="H108" s="22">
        <f t="shared" ref="H108:Q108" si="49">H76</f>
        <v>849.81979704550372</v>
      </c>
      <c r="I108" s="22">
        <f t="shared" si="49"/>
        <v>849.81979704550372</v>
      </c>
      <c r="J108" s="22">
        <f t="shared" si="49"/>
        <v>849.81979704550372</v>
      </c>
      <c r="K108" s="22">
        <f t="shared" si="49"/>
        <v>849.81979704550372</v>
      </c>
      <c r="L108" s="22">
        <f t="shared" si="49"/>
        <v>849.81979704550372</v>
      </c>
      <c r="M108" s="22">
        <f t="shared" si="49"/>
        <v>849.81979704550372</v>
      </c>
      <c r="N108" s="22">
        <f t="shared" si="49"/>
        <v>849.81979704550372</v>
      </c>
      <c r="O108" s="22">
        <f t="shared" si="49"/>
        <v>849.81979704550372</v>
      </c>
      <c r="P108" s="22">
        <f t="shared" si="49"/>
        <v>849.81979704550372</v>
      </c>
      <c r="Q108" s="22">
        <f t="shared" si="49"/>
        <v>849.81979704550372</v>
      </c>
      <c r="U108" s="180"/>
      <c r="V108" s="194"/>
      <c r="W108" s="195"/>
      <c r="X108" s="186"/>
      <c r="Y108" s="196"/>
      <c r="Z108" s="196"/>
      <c r="AA108" s="180"/>
    </row>
    <row r="109" spans="2:27">
      <c r="B109" s="71" t="s">
        <v>68</v>
      </c>
      <c r="C109" s="59"/>
      <c r="D109" s="59"/>
      <c r="E109" s="59"/>
      <c r="F109" s="59"/>
      <c r="G109" s="198"/>
      <c r="H109" s="72">
        <f>'Region Assumptions'!$C$4*($G$105+$G$94)/5</f>
        <v>-964.46435307078605</v>
      </c>
      <c r="I109" s="72">
        <f>'Region Assumptions'!$C$4*($G$105+$G$94)/5</f>
        <v>-964.46435307078605</v>
      </c>
      <c r="J109" s="72">
        <f>'Region Assumptions'!$C$4*($G$105+$G$94)/5</f>
        <v>-964.46435307078605</v>
      </c>
      <c r="K109" s="72">
        <f>'Region Assumptions'!$C$4*($G$105+$G$94)/5</f>
        <v>-964.46435307078605</v>
      </c>
      <c r="L109" s="72">
        <f>'Region Assumptions'!$C$4*($G$105+$G$94)/5</f>
        <v>-964.46435307078605</v>
      </c>
      <c r="M109" s="72">
        <f t="shared" ref="M109:Q109" si="50">IF($H$109=0,IF(M104&lt;7,$H$105/5,0),IF(M104&lt;6,L109,0))</f>
        <v>0</v>
      </c>
      <c r="N109" s="72">
        <f t="shared" si="50"/>
        <v>0</v>
      </c>
      <c r="O109" s="72">
        <f t="shared" si="50"/>
        <v>0</v>
      </c>
      <c r="P109" s="72">
        <f t="shared" si="50"/>
        <v>0</v>
      </c>
      <c r="Q109" s="72">
        <f t="shared" si="50"/>
        <v>0</v>
      </c>
      <c r="U109" s="180"/>
      <c r="V109" s="194"/>
      <c r="W109" s="195"/>
      <c r="X109" s="186"/>
      <c r="Y109" s="196"/>
      <c r="Z109" s="196"/>
      <c r="AA109" s="180"/>
    </row>
    <row r="110" spans="2:27">
      <c r="B110" s="59" t="s">
        <v>59</v>
      </c>
      <c r="C110" s="59"/>
      <c r="D110" s="59"/>
      <c r="E110" s="59"/>
      <c r="F110" s="59"/>
      <c r="G110" s="22"/>
      <c r="H110" s="73">
        <f t="shared" ref="H110:Q110" si="51">SUM(H108:H109)</f>
        <v>-114.64455602528233</v>
      </c>
      <c r="I110" s="73">
        <f t="shared" si="51"/>
        <v>-114.64455602528233</v>
      </c>
      <c r="J110" s="73">
        <f t="shared" si="51"/>
        <v>-114.64455602528233</v>
      </c>
      <c r="K110" s="73">
        <f t="shared" si="51"/>
        <v>-114.64455602528233</v>
      </c>
      <c r="L110" s="73">
        <f t="shared" si="51"/>
        <v>-114.64455602528233</v>
      </c>
      <c r="M110" s="73">
        <f t="shared" si="51"/>
        <v>849.81979704550372</v>
      </c>
      <c r="N110" s="73">
        <f t="shared" si="51"/>
        <v>849.81979704550372</v>
      </c>
      <c r="O110" s="73">
        <f t="shared" si="51"/>
        <v>849.81979704550372</v>
      </c>
      <c r="P110" s="73">
        <f t="shared" si="51"/>
        <v>849.81979704550372</v>
      </c>
      <c r="Q110" s="73">
        <f t="shared" si="51"/>
        <v>849.81979704550372</v>
      </c>
      <c r="U110" s="180"/>
      <c r="V110" s="194"/>
      <c r="W110" s="195"/>
      <c r="X110" s="186"/>
      <c r="Y110" s="196"/>
      <c r="Z110" s="196"/>
      <c r="AA110" s="180"/>
    </row>
    <row r="111" spans="2:27">
      <c r="B111" s="71" t="s">
        <v>69</v>
      </c>
      <c r="C111" s="59"/>
      <c r="E111" s="74">
        <v>0.4</v>
      </c>
      <c r="F111" s="59"/>
      <c r="G111" s="198"/>
      <c r="H111" s="72">
        <f t="shared" ref="H111:Q111" si="52">MIN(-H110*$E111,0)</f>
        <v>0</v>
      </c>
      <c r="I111" s="72">
        <f t="shared" si="52"/>
        <v>0</v>
      </c>
      <c r="J111" s="72">
        <f t="shared" si="52"/>
        <v>0</v>
      </c>
      <c r="K111" s="72">
        <f t="shared" si="52"/>
        <v>0</v>
      </c>
      <c r="L111" s="72">
        <f t="shared" si="52"/>
        <v>0</v>
      </c>
      <c r="M111" s="72">
        <f t="shared" si="52"/>
        <v>-339.92791881820153</v>
      </c>
      <c r="N111" s="72">
        <f t="shared" si="52"/>
        <v>-339.92791881820153</v>
      </c>
      <c r="O111" s="72">
        <f t="shared" si="52"/>
        <v>-339.92791881820153</v>
      </c>
      <c r="P111" s="72">
        <f t="shared" si="52"/>
        <v>-339.92791881820153</v>
      </c>
      <c r="Q111" s="72">
        <f t="shared" si="52"/>
        <v>-339.92791881820153</v>
      </c>
      <c r="U111" s="180"/>
      <c r="V111" s="194"/>
      <c r="W111" s="195"/>
      <c r="X111" s="186"/>
      <c r="Y111" s="196"/>
      <c r="Z111" s="196"/>
      <c r="AA111" s="180"/>
    </row>
    <row r="112" spans="2:27">
      <c r="B112" s="71" t="s">
        <v>70</v>
      </c>
      <c r="C112" s="59"/>
      <c r="E112" s="59"/>
      <c r="F112" s="59"/>
      <c r="G112" s="198"/>
      <c r="H112" s="72">
        <f t="shared" ref="H112:Q112" si="53">SUM(H108:H108,H111)</f>
        <v>849.81979704550372</v>
      </c>
      <c r="I112" s="72">
        <f t="shared" si="53"/>
        <v>849.81979704550372</v>
      </c>
      <c r="J112" s="72">
        <f t="shared" si="53"/>
        <v>849.81979704550372</v>
      </c>
      <c r="K112" s="72">
        <f t="shared" si="53"/>
        <v>849.81979704550372</v>
      </c>
      <c r="L112" s="72">
        <f t="shared" si="53"/>
        <v>849.81979704550372</v>
      </c>
      <c r="M112" s="72">
        <f t="shared" si="53"/>
        <v>509.89187822730219</v>
      </c>
      <c r="N112" s="72">
        <f t="shared" si="53"/>
        <v>509.89187822730219</v>
      </c>
      <c r="O112" s="72">
        <f t="shared" si="53"/>
        <v>509.89187822730219</v>
      </c>
      <c r="P112" s="72">
        <f t="shared" si="53"/>
        <v>509.89187822730219</v>
      </c>
      <c r="Q112" s="72">
        <f t="shared" si="53"/>
        <v>509.89187822730219</v>
      </c>
      <c r="U112" s="180"/>
      <c r="V112" s="194"/>
      <c r="W112" s="195"/>
      <c r="X112" s="186"/>
      <c r="Y112" s="196"/>
      <c r="Z112" s="196"/>
      <c r="AA112" s="180"/>
    </row>
    <row r="113" spans="2:27">
      <c r="B113" s="71" t="s">
        <v>71</v>
      </c>
      <c r="C113" s="59"/>
      <c r="E113" s="74">
        <v>0.05</v>
      </c>
      <c r="F113" s="59"/>
      <c r="G113" s="198"/>
      <c r="H113" s="72">
        <f>$E113*(-H45)</f>
        <v>-47.053489852275192</v>
      </c>
      <c r="I113" s="72">
        <f t="shared" ref="I113:Q113" si="54">$E113*(H45-I45)</f>
        <v>0</v>
      </c>
      <c r="J113" s="72">
        <f t="shared" si="54"/>
        <v>0</v>
      </c>
      <c r="K113" s="72">
        <f t="shared" si="54"/>
        <v>0</v>
      </c>
      <c r="L113" s="72">
        <f t="shared" si="54"/>
        <v>0</v>
      </c>
      <c r="M113" s="72">
        <f t="shared" si="54"/>
        <v>0</v>
      </c>
      <c r="N113" s="72">
        <f t="shared" si="54"/>
        <v>0</v>
      </c>
      <c r="O113" s="72">
        <f t="shared" si="54"/>
        <v>0</v>
      </c>
      <c r="P113" s="72">
        <f t="shared" si="54"/>
        <v>0</v>
      </c>
      <c r="Q113" s="72">
        <f t="shared" si="54"/>
        <v>0</v>
      </c>
      <c r="U113" s="180"/>
      <c r="V113" s="194"/>
      <c r="W113" s="195"/>
      <c r="X113" s="186"/>
      <c r="Y113" s="196"/>
      <c r="Z113" s="196"/>
      <c r="AA113" s="180"/>
    </row>
    <row r="114" spans="2:27">
      <c r="B114" s="71" t="s">
        <v>72</v>
      </c>
      <c r="C114" s="59"/>
      <c r="D114" s="59"/>
      <c r="E114" s="59"/>
      <c r="F114" s="59"/>
      <c r="G114" s="198"/>
      <c r="H114" s="72">
        <v>0</v>
      </c>
      <c r="I114" s="72">
        <f t="shared" ref="I114:Q114" si="55">+H114</f>
        <v>0</v>
      </c>
      <c r="J114" s="72">
        <f t="shared" si="55"/>
        <v>0</v>
      </c>
      <c r="K114" s="72">
        <f t="shared" si="55"/>
        <v>0</v>
      </c>
      <c r="L114" s="72">
        <f t="shared" si="55"/>
        <v>0</v>
      </c>
      <c r="M114" s="72">
        <f t="shared" si="55"/>
        <v>0</v>
      </c>
      <c r="N114" s="72">
        <f t="shared" si="55"/>
        <v>0</v>
      </c>
      <c r="O114" s="72">
        <f t="shared" si="55"/>
        <v>0</v>
      </c>
      <c r="P114" s="72">
        <f t="shared" si="55"/>
        <v>0</v>
      </c>
      <c r="Q114" s="72">
        <f t="shared" si="55"/>
        <v>0</v>
      </c>
      <c r="U114" s="180"/>
      <c r="V114" s="194"/>
      <c r="W114" s="195"/>
      <c r="X114" s="196"/>
      <c r="Y114" s="196"/>
      <c r="Z114" s="196"/>
      <c r="AA114" s="180"/>
    </row>
    <row r="115" spans="2:27">
      <c r="B115" s="59" t="s">
        <v>73</v>
      </c>
      <c r="C115" s="59"/>
      <c r="D115" s="59"/>
      <c r="E115" s="59"/>
      <c r="F115" s="59"/>
      <c r="G115" s="60"/>
      <c r="H115" s="75">
        <f t="shared" ref="H115:Q115" si="56">SUM(H112:H114)</f>
        <v>802.7663071932285</v>
      </c>
      <c r="I115" s="75">
        <f t="shared" si="56"/>
        <v>849.81979704550372</v>
      </c>
      <c r="J115" s="75">
        <f t="shared" si="56"/>
        <v>849.81979704550372</v>
      </c>
      <c r="K115" s="75">
        <f t="shared" si="56"/>
        <v>849.81979704550372</v>
      </c>
      <c r="L115" s="75">
        <f t="shared" si="56"/>
        <v>849.81979704550372</v>
      </c>
      <c r="M115" s="75">
        <f t="shared" si="56"/>
        <v>509.89187822730219</v>
      </c>
      <c r="N115" s="75">
        <f t="shared" si="56"/>
        <v>509.89187822730219</v>
      </c>
      <c r="O115" s="75">
        <f t="shared" si="56"/>
        <v>509.89187822730219</v>
      </c>
      <c r="P115" s="75">
        <f t="shared" si="56"/>
        <v>509.89187822730219</v>
      </c>
      <c r="Q115" s="75">
        <f t="shared" si="56"/>
        <v>509.89187822730219</v>
      </c>
      <c r="U115" s="180"/>
      <c r="V115" s="194"/>
      <c r="W115" s="195"/>
      <c r="X115" s="196"/>
      <c r="Y115" s="196"/>
      <c r="Z115" s="196"/>
      <c r="AA115" s="180"/>
    </row>
    <row r="116" spans="2:27"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U116" s="180"/>
      <c r="V116" s="194"/>
      <c r="W116" s="195"/>
      <c r="X116" s="196"/>
      <c r="Y116" s="196"/>
      <c r="Z116" s="196"/>
      <c r="AA116" s="180"/>
    </row>
    <row r="117" spans="2:27">
      <c r="B117" s="59" t="s">
        <v>74</v>
      </c>
      <c r="C117" s="59"/>
      <c r="D117" s="59"/>
      <c r="E117" s="59"/>
      <c r="F117" s="59"/>
      <c r="G117" s="70">
        <f t="shared" ref="G117:Q117" si="57">+G105+G106+G115</f>
        <v>-4869.375255206206</v>
      </c>
      <c r="H117" s="70">
        <f t="shared" si="57"/>
        <v>802.7663071932285</v>
      </c>
      <c r="I117" s="70">
        <f t="shared" si="57"/>
        <v>849.81979704550372</v>
      </c>
      <c r="J117" s="70">
        <f t="shared" si="57"/>
        <v>849.81979704550372</v>
      </c>
      <c r="K117" s="70">
        <f t="shared" si="57"/>
        <v>849.81979704550372</v>
      </c>
      <c r="L117" s="70">
        <f t="shared" si="57"/>
        <v>849.81979704550372</v>
      </c>
      <c r="M117" s="70">
        <f t="shared" si="57"/>
        <v>509.89187822730219</v>
      </c>
      <c r="N117" s="70">
        <f t="shared" si="57"/>
        <v>509.89187822730219</v>
      </c>
      <c r="O117" s="70">
        <f t="shared" si="57"/>
        <v>509.89187822730219</v>
      </c>
      <c r="P117" s="70">
        <f t="shared" si="57"/>
        <v>509.89187822730219</v>
      </c>
      <c r="Q117" s="70">
        <f t="shared" si="57"/>
        <v>3009.8918782273022</v>
      </c>
      <c r="U117" s="180"/>
      <c r="V117" s="194"/>
      <c r="W117" s="195"/>
      <c r="X117" s="186"/>
      <c r="Y117" s="196"/>
      <c r="Z117" s="196"/>
      <c r="AA117" s="180"/>
    </row>
    <row r="118" spans="2:27">
      <c r="B118" s="59"/>
      <c r="C118" s="59"/>
      <c r="D118" s="59"/>
      <c r="E118" s="59"/>
      <c r="F118" s="226" t="s">
        <v>111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U118" s="180"/>
      <c r="V118" s="194"/>
      <c r="W118" s="195"/>
      <c r="X118" s="186"/>
      <c r="Y118" s="196"/>
      <c r="Z118" s="196"/>
      <c r="AA118" s="180"/>
    </row>
    <row r="119" spans="2:27">
      <c r="B119" s="76" t="s">
        <v>75</v>
      </c>
      <c r="C119" s="77"/>
      <c r="D119" s="78"/>
      <c r="E119" s="225">
        <f>IF(ISERROR(IRR(G117:Q117)),"nm ",IRR(G117:Q117))</f>
        <v>0.11999602777845464</v>
      </c>
      <c r="F119" s="70">
        <f>+NPV(0.12,G117:Q117)</f>
        <v>-7.794965387353564E-2</v>
      </c>
      <c r="G119" s="59"/>
      <c r="I119" s="59"/>
      <c r="J119" s="59"/>
      <c r="K119" s="59"/>
      <c r="L119" s="59"/>
      <c r="M119" s="59"/>
      <c r="N119" s="59"/>
      <c r="O119" s="59"/>
      <c r="P119" s="59"/>
      <c r="Q119" s="59"/>
      <c r="U119" s="180"/>
      <c r="V119" s="194"/>
      <c r="W119" s="195"/>
      <c r="X119" s="186"/>
      <c r="Y119" s="196"/>
      <c r="Z119" s="196"/>
      <c r="AA119" s="180"/>
    </row>
    <row r="120" spans="2:27"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U120" s="180"/>
      <c r="V120" s="194"/>
      <c r="W120" s="195"/>
      <c r="X120" s="186"/>
      <c r="Y120" s="196"/>
      <c r="Z120" s="196"/>
      <c r="AA120" s="180"/>
    </row>
    <row r="121" spans="2:27">
      <c r="B121" s="67" t="s">
        <v>76</v>
      </c>
      <c r="C121" s="68"/>
      <c r="D121" s="68"/>
      <c r="E121" s="68"/>
      <c r="F121" s="68"/>
      <c r="G121" s="201">
        <f t="shared" ref="G121:L122" si="58">G104</f>
        <v>0</v>
      </c>
      <c r="H121" s="201">
        <f t="shared" si="58"/>
        <v>1</v>
      </c>
      <c r="I121" s="201">
        <f t="shared" si="58"/>
        <v>2</v>
      </c>
      <c r="J121" s="201">
        <f t="shared" si="58"/>
        <v>3</v>
      </c>
      <c r="K121" s="201">
        <f t="shared" si="58"/>
        <v>4</v>
      </c>
      <c r="L121" s="201">
        <f t="shared" si="58"/>
        <v>5</v>
      </c>
      <c r="M121" s="69"/>
      <c r="N121" s="69"/>
      <c r="O121" s="69"/>
      <c r="P121" s="69"/>
      <c r="Q121" s="69"/>
      <c r="U121" s="180"/>
      <c r="V121" s="194"/>
      <c r="W121" s="195"/>
      <c r="X121" s="186"/>
      <c r="Y121" s="196"/>
      <c r="Z121" s="196"/>
      <c r="AA121" s="180"/>
    </row>
    <row r="122" spans="2:27">
      <c r="B122" s="59" t="s">
        <v>67</v>
      </c>
      <c r="C122" s="59"/>
      <c r="D122" s="59"/>
      <c r="E122" s="59"/>
      <c r="F122" s="59"/>
      <c r="G122" s="70">
        <f t="shared" si="58"/>
        <v>-4869.375255206206</v>
      </c>
      <c r="H122" s="70">
        <f t="shared" si="58"/>
        <v>0</v>
      </c>
      <c r="I122" s="70">
        <f t="shared" si="58"/>
        <v>0</v>
      </c>
      <c r="J122" s="70">
        <f t="shared" si="58"/>
        <v>0</v>
      </c>
      <c r="K122" s="70">
        <f t="shared" si="58"/>
        <v>0</v>
      </c>
      <c r="L122" s="70">
        <f t="shared" si="58"/>
        <v>0</v>
      </c>
      <c r="N122" s="59"/>
      <c r="O122" s="59"/>
      <c r="P122" s="59"/>
      <c r="Q122" s="59"/>
      <c r="U122" s="180"/>
      <c r="V122" s="194"/>
      <c r="W122" s="195"/>
      <c r="X122" s="186"/>
      <c r="Y122" s="196"/>
      <c r="Z122" s="196"/>
      <c r="AA122" s="180"/>
    </row>
    <row r="123" spans="2:27">
      <c r="B123" s="59" t="s">
        <v>77</v>
      </c>
      <c r="C123" s="59"/>
      <c r="E123" s="79">
        <v>5</v>
      </c>
      <c r="F123" s="59"/>
      <c r="G123" s="70"/>
      <c r="H123" s="59"/>
      <c r="I123" s="59"/>
      <c r="J123" s="59"/>
      <c r="K123" s="59"/>
      <c r="L123" s="22">
        <f>L125*E123</f>
        <v>4249.0989852275188</v>
      </c>
      <c r="N123" s="59"/>
      <c r="O123" s="70"/>
      <c r="P123" s="70"/>
      <c r="Q123" s="70"/>
      <c r="U123" s="180"/>
      <c r="V123" s="194"/>
      <c r="W123" s="195"/>
      <c r="X123" s="186"/>
      <c r="Y123" s="196"/>
      <c r="Z123" s="196"/>
      <c r="AA123" s="180"/>
    </row>
    <row r="124" spans="2:27">
      <c r="B124" s="59"/>
      <c r="C124" s="59"/>
      <c r="D124" s="59"/>
      <c r="E124" s="59"/>
      <c r="F124" s="59"/>
      <c r="G124" s="70"/>
      <c r="H124" s="59"/>
      <c r="I124" s="59"/>
      <c r="J124" s="59"/>
      <c r="K124" s="59"/>
      <c r="L124" s="59"/>
      <c r="N124" s="59"/>
      <c r="O124" s="59"/>
      <c r="P124" s="59"/>
      <c r="Q124" s="59"/>
      <c r="U124" s="180"/>
      <c r="V124" s="194"/>
      <c r="W124" s="195"/>
      <c r="X124" s="186"/>
      <c r="Y124" s="196"/>
      <c r="Z124" s="196"/>
      <c r="AA124" s="180"/>
    </row>
    <row r="125" spans="2:27">
      <c r="B125" s="59" t="s">
        <v>56</v>
      </c>
      <c r="C125" s="59"/>
      <c r="D125" s="59"/>
      <c r="E125" s="59"/>
      <c r="F125" s="59"/>
      <c r="G125" s="22"/>
      <c r="H125" s="22">
        <f t="shared" ref="H125:L126" si="59">H108</f>
        <v>849.81979704550372</v>
      </c>
      <c r="I125" s="22">
        <f t="shared" si="59"/>
        <v>849.81979704550372</v>
      </c>
      <c r="J125" s="22">
        <f t="shared" si="59"/>
        <v>849.81979704550372</v>
      </c>
      <c r="K125" s="22">
        <f t="shared" si="59"/>
        <v>849.81979704550372</v>
      </c>
      <c r="L125" s="22">
        <f t="shared" si="59"/>
        <v>849.81979704550372</v>
      </c>
      <c r="N125" s="22"/>
      <c r="O125" s="22"/>
      <c r="P125" s="22"/>
      <c r="Q125" s="22"/>
      <c r="U125" s="180"/>
      <c r="V125" s="194"/>
      <c r="W125" s="195"/>
      <c r="X125" s="186"/>
      <c r="Y125" s="196"/>
      <c r="Z125" s="196"/>
      <c r="AA125" s="180"/>
    </row>
    <row r="126" spans="2:27">
      <c r="B126" s="71" t="s">
        <v>68</v>
      </c>
      <c r="C126" s="59"/>
      <c r="D126" s="59"/>
      <c r="E126" s="59"/>
      <c r="F126" s="59"/>
      <c r="G126" s="198"/>
      <c r="H126" s="72">
        <f t="shared" si="59"/>
        <v>-964.46435307078605</v>
      </c>
      <c r="I126" s="72">
        <f t="shared" si="59"/>
        <v>-964.46435307078605</v>
      </c>
      <c r="J126" s="72">
        <f t="shared" si="59"/>
        <v>-964.46435307078605</v>
      </c>
      <c r="K126" s="72">
        <f t="shared" si="59"/>
        <v>-964.46435307078605</v>
      </c>
      <c r="L126" s="72">
        <f t="shared" si="59"/>
        <v>-964.46435307078605</v>
      </c>
      <c r="N126" s="60"/>
      <c r="O126" s="60"/>
      <c r="P126" s="60"/>
      <c r="Q126" s="60"/>
      <c r="U126" s="180"/>
      <c r="V126" s="194"/>
      <c r="W126" s="195"/>
      <c r="X126" s="186"/>
      <c r="Y126" s="196"/>
      <c r="Z126" s="196"/>
      <c r="AA126" s="180"/>
    </row>
    <row r="127" spans="2:27">
      <c r="B127" s="59" t="s">
        <v>59</v>
      </c>
      <c r="C127" s="59"/>
      <c r="D127" s="59"/>
      <c r="E127" s="59"/>
      <c r="F127" s="59"/>
      <c r="G127" s="22"/>
      <c r="H127" s="73">
        <f>SUM(H125:H126)</f>
        <v>-114.64455602528233</v>
      </c>
      <c r="I127" s="73">
        <f>SUM(I125:I126)</f>
        <v>-114.64455602528233</v>
      </c>
      <c r="J127" s="73">
        <f>SUM(J125:J126)</f>
        <v>-114.64455602528233</v>
      </c>
      <c r="K127" s="73">
        <f>SUM(K125:K126)</f>
        <v>-114.64455602528233</v>
      </c>
      <c r="L127" s="73">
        <f>SUM(L125:L126)</f>
        <v>-114.64455602528233</v>
      </c>
      <c r="N127" s="60"/>
      <c r="O127" s="60"/>
      <c r="P127" s="60"/>
      <c r="Q127" s="60"/>
      <c r="U127" s="180"/>
      <c r="V127" s="194"/>
      <c r="W127" s="195"/>
      <c r="X127" s="186"/>
      <c r="Y127" s="196"/>
      <c r="Z127" s="196"/>
      <c r="AA127" s="180"/>
    </row>
    <row r="128" spans="2:27">
      <c r="B128" s="71" t="s">
        <v>69</v>
      </c>
      <c r="C128" s="59"/>
      <c r="E128" s="80">
        <f>+E111</f>
        <v>0.4</v>
      </c>
      <c r="F128" s="59"/>
      <c r="G128" s="198"/>
      <c r="H128" s="72">
        <f t="shared" ref="H128:L128" si="60">MIN(-H127*$E128,0)</f>
        <v>0</v>
      </c>
      <c r="I128" s="72">
        <f t="shared" si="60"/>
        <v>0</v>
      </c>
      <c r="J128" s="72">
        <f t="shared" si="60"/>
        <v>0</v>
      </c>
      <c r="K128" s="72">
        <f t="shared" si="60"/>
        <v>0</v>
      </c>
      <c r="L128" s="72">
        <f t="shared" si="60"/>
        <v>0</v>
      </c>
      <c r="N128" s="60"/>
      <c r="O128" s="60"/>
      <c r="P128" s="60"/>
      <c r="Q128" s="60"/>
      <c r="U128" s="180"/>
      <c r="V128" s="194"/>
      <c r="W128" s="195"/>
      <c r="X128" s="196"/>
      <c r="Y128" s="196"/>
      <c r="Z128" s="196"/>
      <c r="AA128" s="180"/>
    </row>
    <row r="129" spans="2:27">
      <c r="B129" s="71" t="s">
        <v>70</v>
      </c>
      <c r="C129" s="59"/>
      <c r="E129" s="59"/>
      <c r="F129" s="59"/>
      <c r="G129" s="198"/>
      <c r="H129" s="72">
        <f>SUM(H125:H125,H128)</f>
        <v>849.81979704550372</v>
      </c>
      <c r="I129" s="72">
        <f>SUM(I125:I125,I128)</f>
        <v>849.81979704550372</v>
      </c>
      <c r="J129" s="72">
        <f>SUM(J125:J125,J128)</f>
        <v>849.81979704550372</v>
      </c>
      <c r="K129" s="72">
        <f>SUM(K125:K125,K128)</f>
        <v>849.81979704550372</v>
      </c>
      <c r="L129" s="72">
        <f>SUM(L125:L125,L128)</f>
        <v>849.81979704550372</v>
      </c>
      <c r="N129" s="60"/>
      <c r="O129" s="60"/>
      <c r="P129" s="60"/>
      <c r="Q129" s="60"/>
      <c r="U129" s="180"/>
      <c r="V129" s="194"/>
      <c r="W129" s="195"/>
      <c r="X129" s="196"/>
      <c r="Y129" s="196"/>
      <c r="Z129" s="196"/>
      <c r="AA129" s="180"/>
    </row>
    <row r="130" spans="2:27">
      <c r="B130" s="71" t="s">
        <v>71</v>
      </c>
      <c r="C130" s="59"/>
      <c r="E130" s="80">
        <f>+E113</f>
        <v>0.05</v>
      </c>
      <c r="F130" s="59"/>
      <c r="G130" s="198"/>
      <c r="H130" s="72">
        <f t="shared" ref="H130:L131" si="61">H113</f>
        <v>-47.053489852275192</v>
      </c>
      <c r="I130" s="72">
        <f t="shared" si="61"/>
        <v>0</v>
      </c>
      <c r="J130" s="72">
        <f t="shared" si="61"/>
        <v>0</v>
      </c>
      <c r="K130" s="72">
        <f t="shared" si="61"/>
        <v>0</v>
      </c>
      <c r="L130" s="72">
        <f t="shared" si="61"/>
        <v>0</v>
      </c>
      <c r="N130" s="60"/>
      <c r="O130" s="60"/>
      <c r="P130" s="60"/>
      <c r="Q130" s="60"/>
      <c r="U130" s="180"/>
      <c r="V130" s="194"/>
      <c r="W130" s="195"/>
      <c r="X130" s="196"/>
      <c r="Y130" s="196"/>
      <c r="Z130" s="196"/>
      <c r="AA130" s="180"/>
    </row>
    <row r="131" spans="2:27">
      <c r="B131" s="71" t="s">
        <v>72</v>
      </c>
      <c r="C131" s="59"/>
      <c r="D131" s="59"/>
      <c r="E131" s="59"/>
      <c r="F131" s="59"/>
      <c r="G131" s="198"/>
      <c r="H131" s="72">
        <f t="shared" si="61"/>
        <v>0</v>
      </c>
      <c r="I131" s="72">
        <f t="shared" si="61"/>
        <v>0</v>
      </c>
      <c r="J131" s="72">
        <f t="shared" si="61"/>
        <v>0</v>
      </c>
      <c r="K131" s="72">
        <f t="shared" si="61"/>
        <v>0</v>
      </c>
      <c r="L131" s="72">
        <f t="shared" si="61"/>
        <v>0</v>
      </c>
      <c r="N131" s="60"/>
      <c r="O131" s="60"/>
      <c r="P131" s="60"/>
      <c r="Q131" s="60"/>
      <c r="U131" s="180"/>
      <c r="V131" s="194"/>
      <c r="W131" s="195"/>
      <c r="X131" s="186"/>
      <c r="Y131" s="196"/>
      <c r="Z131" s="196"/>
      <c r="AA131" s="180"/>
    </row>
    <row r="132" spans="2:27">
      <c r="B132" s="59" t="s">
        <v>73</v>
      </c>
      <c r="C132" s="59"/>
      <c r="D132" s="59"/>
      <c r="E132" s="59"/>
      <c r="F132" s="59"/>
      <c r="G132" s="22"/>
      <c r="H132" s="73">
        <f>SUM(H129:H131)</f>
        <v>802.7663071932285</v>
      </c>
      <c r="I132" s="73">
        <f>SUM(I129:I131)</f>
        <v>849.81979704550372</v>
      </c>
      <c r="J132" s="73">
        <f>SUM(J129:J131)</f>
        <v>849.81979704550372</v>
      </c>
      <c r="K132" s="73">
        <f>SUM(K129:K131)</f>
        <v>849.81979704550372</v>
      </c>
      <c r="L132" s="73">
        <f>SUM(L129:L131)</f>
        <v>849.81979704550372</v>
      </c>
      <c r="N132" s="60"/>
      <c r="O132" s="60"/>
      <c r="P132" s="60"/>
      <c r="Q132" s="60"/>
      <c r="U132" s="180"/>
      <c r="V132" s="194"/>
      <c r="W132" s="195"/>
      <c r="X132" s="186"/>
      <c r="Y132" s="196"/>
      <c r="Z132" s="196"/>
      <c r="AA132" s="180"/>
    </row>
    <row r="133" spans="2:27"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N133" s="59"/>
      <c r="O133" s="59"/>
      <c r="P133" s="59"/>
      <c r="Q133" s="59"/>
      <c r="U133" s="180"/>
      <c r="V133" s="194"/>
      <c r="W133" s="195"/>
      <c r="X133" s="186"/>
      <c r="Y133" s="196"/>
      <c r="Z133" s="196"/>
      <c r="AA133" s="180"/>
    </row>
    <row r="134" spans="2:27">
      <c r="B134" s="59" t="s">
        <v>74</v>
      </c>
      <c r="C134" s="59"/>
      <c r="D134" s="59"/>
      <c r="E134" s="59"/>
      <c r="F134" s="59"/>
      <c r="G134" s="70">
        <f t="shared" ref="G134:L134" si="62">+G122+G123+G132</f>
        <v>-4869.375255206206</v>
      </c>
      <c r="H134" s="70">
        <f t="shared" si="62"/>
        <v>802.7663071932285</v>
      </c>
      <c r="I134" s="70">
        <f t="shared" si="62"/>
        <v>849.81979704550372</v>
      </c>
      <c r="J134" s="70">
        <f t="shared" si="62"/>
        <v>849.81979704550372</v>
      </c>
      <c r="K134" s="70">
        <f t="shared" si="62"/>
        <v>849.81979704550372</v>
      </c>
      <c r="L134" s="70">
        <f t="shared" si="62"/>
        <v>5098.9187822730228</v>
      </c>
      <c r="N134" s="70"/>
      <c r="O134" s="70"/>
      <c r="P134" s="70"/>
      <c r="Q134" s="70"/>
      <c r="U134" s="180"/>
      <c r="V134" s="194"/>
      <c r="W134" s="195"/>
      <c r="X134" s="186"/>
      <c r="Y134" s="196"/>
      <c r="Z134" s="196"/>
      <c r="AA134" s="180"/>
    </row>
    <row r="135" spans="2:27"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U135" s="180"/>
      <c r="V135" s="194"/>
      <c r="W135" s="195"/>
      <c r="X135" s="186"/>
      <c r="Y135" s="196"/>
      <c r="Z135" s="196"/>
      <c r="AA135" s="180"/>
    </row>
    <row r="136" spans="2:27">
      <c r="B136" s="76" t="s">
        <v>75</v>
      </c>
      <c r="C136" s="77"/>
      <c r="D136" s="78"/>
      <c r="E136" s="197">
        <f>IF(ISERROR(IRR(G134:L134)),"nm",IRR(G134:L134))</f>
        <v>0.15323218512327919</v>
      </c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U136" s="180"/>
      <c r="V136" s="194"/>
      <c r="W136" s="195"/>
      <c r="X136" s="186"/>
      <c r="Y136" s="196"/>
      <c r="Z136" s="196"/>
      <c r="AA136" s="180"/>
    </row>
    <row r="137" spans="2:27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U137" s="180"/>
      <c r="V137" s="194"/>
      <c r="W137" s="195"/>
      <c r="X137" s="186"/>
      <c r="Y137" s="196"/>
      <c r="Z137" s="196"/>
      <c r="AA137" s="180"/>
    </row>
    <row r="138" spans="2:27">
      <c r="U138" s="180"/>
      <c r="V138" s="180"/>
      <c r="W138" s="195"/>
      <c r="X138" s="180"/>
      <c r="Y138" s="180"/>
      <c r="Z138" s="180"/>
      <c r="AA138" s="180"/>
    </row>
    <row r="139" spans="2:27">
      <c r="U139" s="180"/>
      <c r="V139" s="180"/>
      <c r="W139" s="195"/>
      <c r="X139" s="180"/>
      <c r="Y139" s="180"/>
      <c r="Z139" s="180"/>
      <c r="AA139" s="180"/>
    </row>
    <row r="140" spans="2:27">
      <c r="F140" s="27"/>
      <c r="K140" s="44"/>
    </row>
    <row r="141" spans="2:27">
      <c r="K141" s="44"/>
      <c r="O141" s="45"/>
      <c r="P141" s="47"/>
    </row>
    <row r="142" spans="2:27">
      <c r="F142" s="27"/>
      <c r="K142" s="27"/>
      <c r="O142" s="27"/>
      <c r="S142" s="164"/>
      <c r="T142" s="27"/>
    </row>
    <row r="143" spans="2:27">
      <c r="G143" s="43"/>
      <c r="H143" s="165"/>
      <c r="I143" s="165"/>
      <c r="K143" s="43"/>
      <c r="L143" s="165"/>
      <c r="M143" s="165"/>
      <c r="O143" s="43"/>
      <c r="P143" s="43"/>
      <c r="Q143" s="43"/>
      <c r="S143" s="37"/>
      <c r="T143" s="49"/>
    </row>
    <row r="144" spans="2:27">
      <c r="G144" s="43"/>
      <c r="H144" s="165"/>
      <c r="I144" s="165"/>
      <c r="K144" s="43"/>
      <c r="L144" s="165"/>
      <c r="M144" s="165"/>
      <c r="Q144" s="43"/>
      <c r="S144" s="37"/>
      <c r="T144" s="49"/>
    </row>
    <row r="145" spans="7:21">
      <c r="G145" s="43"/>
      <c r="H145" s="165"/>
      <c r="K145" s="43"/>
      <c r="L145" s="165"/>
      <c r="M145" s="165"/>
      <c r="Q145" s="43"/>
      <c r="S145" s="37"/>
      <c r="T145" s="49"/>
    </row>
    <row r="146" spans="7:21">
      <c r="G146" s="166"/>
      <c r="K146" s="166"/>
      <c r="Q146" s="166"/>
    </row>
    <row r="148" spans="7:21">
      <c r="T148" s="49"/>
    </row>
    <row r="149" spans="7:21">
      <c r="T149" s="49"/>
      <c r="U149" s="49"/>
    </row>
    <row r="150" spans="7:21">
      <c r="T150" s="98"/>
    </row>
    <row r="151" spans="7:21">
      <c r="T151" s="98"/>
    </row>
    <row r="152" spans="7:21">
      <c r="S152" s="23"/>
      <c r="T152" s="51"/>
    </row>
  </sheetData>
  <printOptions headings="1" gridLines="1"/>
  <pageMargins left="0.7" right="0.7" top="0.75" bottom="0.75" header="0.3" footer="0.3"/>
  <pageSetup fitToWidth="0" fitToHeight="0" orientation="portrait" r:id="rId1"/>
  <headerFooter>
    <oddFooter>&amp;A&amp;RPage &amp;P</oddFooter>
  </headerFooter>
  <rowBreaks count="1" manualBreakCount="1">
    <brk id="103" min="1" max="17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7">
    <tabColor theme="1"/>
  </sheetPr>
  <dimension ref="A1"/>
  <sheetViews>
    <sheetView tabSelected="1" workbookViewId="0">
      <selection activeCell="F41" sqref="F41"/>
    </sheetView>
  </sheetViews>
  <sheetFormatPr defaultRowHeight="12.75"/>
  <sheetData>
    <row r="1" spans="1:1">
      <c r="A1" t="s">
        <v>101</v>
      </c>
    </row>
  </sheetData>
  <printOptions headings="1" gridLines="1"/>
  <pageMargins left="0.7" right="0.7" top="0.75" bottom="0.75" header="0.3" footer="0.3"/>
  <pageSetup orientation="portrait" r:id="rId1"/>
  <headerFooter>
    <oddFooter>&amp;A&amp;RPage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  <pageSetUpPr fitToPage="1"/>
  </sheetPr>
  <dimension ref="C1:F59"/>
  <sheetViews>
    <sheetView showGridLines="0" view="pageBreakPreview" zoomScale="85" zoomScaleNormal="100" zoomScaleSheetLayoutView="85" workbookViewId="0"/>
  </sheetViews>
  <sheetFormatPr defaultColWidth="10.6640625" defaultRowHeight="12.75"/>
  <cols>
    <col min="1" max="1" width="6.6640625" style="310" customWidth="1"/>
    <col min="2" max="2" width="3.1640625" style="310" customWidth="1"/>
    <col min="3" max="3" width="61.33203125" style="310" customWidth="1"/>
    <col min="4" max="4" width="3.1640625" style="310" customWidth="1"/>
    <col min="5" max="6" width="18.33203125" style="310" customWidth="1"/>
    <col min="7" max="7" width="3.1640625" style="310" customWidth="1"/>
    <col min="8" max="8" width="6.6640625" style="310" customWidth="1"/>
    <col min="9" max="9" width="13.1640625" style="310" bestFit="1" customWidth="1"/>
    <col min="10" max="16384" width="10.6640625" style="310"/>
  </cols>
  <sheetData>
    <row r="1" spans="3:6" ht="5.0999999999999996" customHeight="1">
      <c r="C1" s="309"/>
      <c r="D1" s="309"/>
    </row>
    <row r="2" spans="3:6" ht="13.5" thickBot="1">
      <c r="C2" s="311" t="s">
        <v>270</v>
      </c>
      <c r="D2" s="312"/>
      <c r="E2" s="313"/>
      <c r="F2" s="313"/>
    </row>
    <row r="3" spans="3:6">
      <c r="C3" s="314"/>
      <c r="D3" s="315"/>
      <c r="E3" s="316" t="s">
        <v>272</v>
      </c>
      <c r="F3" s="355" t="s">
        <v>271</v>
      </c>
    </row>
    <row r="4" spans="3:6" ht="12.75" customHeight="1">
      <c r="C4" s="317" t="s">
        <v>214</v>
      </c>
      <c r="D4" s="318"/>
      <c r="E4" s="319">
        <v>882.71428571428567</v>
      </c>
      <c r="F4" s="356">
        <v>663.28571428571433</v>
      </c>
    </row>
    <row r="5" spans="3:6" ht="12.75" customHeight="1">
      <c r="C5" s="317" t="str">
        <f>+[8]Exceptions!O24</f>
        <v>Hamburg Sud - SSA Piers A and J</v>
      </c>
      <c r="D5" s="318"/>
      <c r="E5" s="319">
        <v>131.85714285714286</v>
      </c>
      <c r="F5" s="356">
        <v>208.28571428571428</v>
      </c>
    </row>
    <row r="6" spans="3:6" ht="12.75" customHeight="1">
      <c r="C6" s="317" t="s">
        <v>215</v>
      </c>
      <c r="D6" s="318"/>
      <c r="E6" s="319">
        <v>2953.8571428571427</v>
      </c>
      <c r="F6" s="356">
        <v>3197.8571428571427</v>
      </c>
    </row>
    <row r="7" spans="3:6" ht="12.75" customHeight="1">
      <c r="C7" s="320" t="s">
        <v>216</v>
      </c>
      <c r="D7" s="318"/>
      <c r="E7" s="321">
        <v>1504.1428571428571</v>
      </c>
      <c r="F7" s="357">
        <v>1832</v>
      </c>
    </row>
    <row r="8" spans="3:6" ht="12.75" customHeight="1">
      <c r="C8" s="322" t="s">
        <v>217</v>
      </c>
      <c r="D8" s="323"/>
      <c r="E8" s="324">
        <v>5472.5714285714284</v>
      </c>
      <c r="F8" s="358">
        <v>5901.4285714285716</v>
      </c>
    </row>
    <row r="9" spans="3:6" ht="5.0999999999999996" customHeight="1">
      <c r="C9" s="322"/>
      <c r="D9" s="323"/>
      <c r="E9" s="324"/>
      <c r="F9" s="358"/>
    </row>
    <row r="10" spans="3:6" ht="12.75" customHeight="1">
      <c r="C10" s="317" t="s">
        <v>218</v>
      </c>
      <c r="D10" s="318"/>
      <c r="E10" s="319">
        <v>2559.7142857142858</v>
      </c>
      <c r="F10" s="356">
        <v>2740.7142857142858</v>
      </c>
    </row>
    <row r="11" spans="3:6" ht="12.75" customHeight="1">
      <c r="C11" s="366" t="str">
        <f>+[8]Exceptions!O17</f>
        <v>Evergreen - YTI</v>
      </c>
      <c r="D11" s="367"/>
      <c r="E11" s="369">
        <v>22.571428571428573</v>
      </c>
      <c r="F11" s="368">
        <v>37</v>
      </c>
    </row>
    <row r="12" spans="3:6" ht="12.75" customHeight="1">
      <c r="C12" s="317" t="str">
        <f>+[8]Exceptions!O18</f>
        <v>Hanjin - YTI</v>
      </c>
      <c r="D12" s="318"/>
      <c r="E12" s="319">
        <v>878.57142857142856</v>
      </c>
      <c r="F12" s="356">
        <v>841.85714285714289</v>
      </c>
    </row>
    <row r="13" spans="3:6" ht="12.75" customHeight="1">
      <c r="C13" s="317" t="s">
        <v>219</v>
      </c>
      <c r="D13" s="318"/>
      <c r="E13" s="319">
        <v>1550.7142857142858</v>
      </c>
      <c r="F13" s="356">
        <v>1405.7142857142858</v>
      </c>
    </row>
    <row r="14" spans="3:6" ht="12.75" customHeight="1">
      <c r="C14" s="317" t="s">
        <v>220</v>
      </c>
      <c r="D14" s="318"/>
      <c r="E14" s="319">
        <v>2081.7142857142858</v>
      </c>
      <c r="F14" s="356">
        <v>2354.1428571428573</v>
      </c>
    </row>
    <row r="15" spans="3:6" ht="12.75" customHeight="1">
      <c r="C15" s="317" t="s">
        <v>221</v>
      </c>
      <c r="D15" s="318"/>
      <c r="E15" s="319">
        <v>1667.8571428571429</v>
      </c>
      <c r="F15" s="356">
        <v>1634.2857142857142</v>
      </c>
    </row>
    <row r="16" spans="3:6" ht="12.75" customHeight="1">
      <c r="C16" s="317" t="s">
        <v>222</v>
      </c>
      <c r="D16" s="318"/>
      <c r="E16" s="319">
        <v>3716.1428571428573</v>
      </c>
      <c r="F16" s="356">
        <v>3084</v>
      </c>
    </row>
    <row r="17" spans="3:6" ht="12.75" customHeight="1">
      <c r="C17" s="320" t="s">
        <v>223</v>
      </c>
      <c r="D17" s="318"/>
      <c r="E17" s="321">
        <v>1793.7142857142858</v>
      </c>
      <c r="F17" s="357">
        <v>1900.5714285714287</v>
      </c>
    </row>
    <row r="18" spans="3:6" ht="12.75" customHeight="1">
      <c r="C18" s="322" t="s">
        <v>224</v>
      </c>
      <c r="D18" s="323"/>
      <c r="E18" s="324">
        <v>14271</v>
      </c>
      <c r="F18" s="358">
        <v>13998.285714285714</v>
      </c>
    </row>
    <row r="19" spans="3:6" ht="5.0999999999999996" customHeight="1">
      <c r="C19" s="322"/>
      <c r="D19" s="323"/>
      <c r="E19" s="324"/>
      <c r="F19" s="358"/>
    </row>
    <row r="20" spans="3:6" ht="12.75" customHeight="1">
      <c r="C20" s="317" t="s">
        <v>225</v>
      </c>
      <c r="D20" s="318"/>
      <c r="E20" s="319">
        <v>741.85714285714289</v>
      </c>
      <c r="F20" s="356">
        <v>1291.5714285714287</v>
      </c>
    </row>
    <row r="21" spans="3:6" ht="12.75" customHeight="1">
      <c r="C21" s="317" t="s">
        <v>226</v>
      </c>
      <c r="D21" s="318"/>
      <c r="E21" s="319">
        <v>1448.5714285714287</v>
      </c>
      <c r="F21" s="356">
        <v>1743.2857142857142</v>
      </c>
    </row>
    <row r="22" spans="3:6" ht="12.75" customHeight="1">
      <c r="C22" s="317" t="s">
        <v>227</v>
      </c>
      <c r="D22" s="318"/>
      <c r="E22" s="319">
        <v>2228.8571428571427</v>
      </c>
      <c r="F22" s="356">
        <v>2927.2857142857142</v>
      </c>
    </row>
    <row r="23" spans="3:6" ht="12.75" customHeight="1">
      <c r="C23" s="366" t="str">
        <f>+[8]Exceptions!O20</f>
        <v>Evergreen - All Other</v>
      </c>
      <c r="D23" s="367"/>
      <c r="E23" s="369">
        <v>1823.2857142857142</v>
      </c>
      <c r="F23" s="368">
        <v>2846.4285714285716</v>
      </c>
    </row>
    <row r="24" spans="3:6" ht="12.75" customHeight="1">
      <c r="C24" s="317" t="str">
        <f>+[8]Exceptions!O21</f>
        <v>Hamburg Sud - All Other</v>
      </c>
      <c r="D24" s="318"/>
      <c r="E24" s="319">
        <v>108.71428571428571</v>
      </c>
      <c r="F24" s="356">
        <v>92.142857142857139</v>
      </c>
    </row>
    <row r="25" spans="3:6" ht="12.75" customHeight="1">
      <c r="C25" s="317" t="str">
        <f>+[8]Exceptions!O22</f>
        <v>Hanjin - All Other</v>
      </c>
      <c r="D25" s="318"/>
      <c r="E25" s="319">
        <v>3017.2857142857142</v>
      </c>
      <c r="F25" s="356">
        <v>3712.7142857142858</v>
      </c>
    </row>
    <row r="26" spans="3:6" ht="12.75" customHeight="1">
      <c r="C26" s="317" t="s">
        <v>228</v>
      </c>
      <c r="D26" s="318"/>
      <c r="E26" s="319">
        <v>1337.8571428571429</v>
      </c>
      <c r="F26" s="356">
        <v>1840.4285714285713</v>
      </c>
    </row>
    <row r="27" spans="3:6" ht="12.75" customHeight="1">
      <c r="C27" s="317" t="s">
        <v>229</v>
      </c>
      <c r="D27" s="318"/>
      <c r="E27" s="319">
        <v>157.28571428571428</v>
      </c>
      <c r="F27" s="356">
        <v>309.28571428571428</v>
      </c>
    </row>
    <row r="28" spans="3:6" ht="12.75" customHeight="1">
      <c r="C28" s="317" t="s">
        <v>230</v>
      </c>
      <c r="D28" s="318"/>
      <c r="E28" s="319">
        <v>14.8</v>
      </c>
      <c r="F28" s="356">
        <v>10.571428571428571</v>
      </c>
    </row>
    <row r="29" spans="3:6" ht="12.75" customHeight="1">
      <c r="C29" s="317" t="s">
        <v>231</v>
      </c>
      <c r="D29" s="318"/>
      <c r="E29" s="319">
        <v>71.142857142857139</v>
      </c>
      <c r="F29" s="356">
        <v>184.14285714285714</v>
      </c>
    </row>
    <row r="30" spans="3:6" ht="12.75" customHeight="1">
      <c r="C30" s="317" t="s">
        <v>232</v>
      </c>
      <c r="D30" s="318"/>
      <c r="E30" s="319">
        <v>508.42857142857144</v>
      </c>
      <c r="F30" s="356">
        <v>663</v>
      </c>
    </row>
    <row r="31" spans="3:6" ht="12.75" customHeight="1">
      <c r="C31" s="317" t="s">
        <v>233</v>
      </c>
      <c r="D31" s="318"/>
      <c r="E31" s="319">
        <v>480.57142857142856</v>
      </c>
      <c r="F31" s="356">
        <v>702.85714285714289</v>
      </c>
    </row>
    <row r="32" spans="3:6" ht="12.75" customHeight="1">
      <c r="C32" s="320" t="s">
        <v>234</v>
      </c>
      <c r="D32" s="318"/>
      <c r="E32" s="321">
        <v>37.857142857142854</v>
      </c>
      <c r="F32" s="357">
        <v>45.428571428571431</v>
      </c>
    </row>
    <row r="33" spans="3:6" ht="12.75" customHeight="1">
      <c r="C33" s="325" t="s">
        <v>235</v>
      </c>
      <c r="D33" s="323"/>
      <c r="E33" s="326">
        <v>11972.285714285714</v>
      </c>
      <c r="F33" s="359">
        <v>16369.142857142857</v>
      </c>
    </row>
    <row r="34" spans="3:6" ht="5.0999999999999996" customHeight="1">
      <c r="C34" s="322"/>
      <c r="D34" s="323"/>
      <c r="E34" s="324"/>
      <c r="F34" s="358"/>
    </row>
    <row r="35" spans="3:6" ht="12.75" customHeight="1">
      <c r="C35" s="327" t="s">
        <v>236</v>
      </c>
      <c r="D35" s="323"/>
      <c r="E35" s="321">
        <v>583.42857142857144</v>
      </c>
      <c r="F35" s="357">
        <v>36.285714285714285</v>
      </c>
    </row>
    <row r="36" spans="3:6" ht="5.0999999999999996" customHeight="1">
      <c r="C36" s="322"/>
      <c r="D36" s="323"/>
      <c r="E36" s="328"/>
      <c r="F36" s="360"/>
    </row>
    <row r="37" spans="3:6" ht="12.75" customHeight="1">
      <c r="C37" s="327" t="s">
        <v>237</v>
      </c>
      <c r="D37" s="323"/>
      <c r="E37" s="321">
        <v>141.85714285714286</v>
      </c>
      <c r="F37" s="357">
        <v>50.857142857142854</v>
      </c>
    </row>
    <row r="38" spans="3:6" ht="5.0999999999999996" customHeight="1">
      <c r="C38" s="322"/>
      <c r="D38" s="323"/>
      <c r="E38" s="319"/>
      <c r="F38" s="356"/>
    </row>
    <row r="39" spans="3:6" ht="12.75" customHeight="1" thickBot="1">
      <c r="C39" s="329" t="s">
        <v>238</v>
      </c>
      <c r="D39" s="330"/>
      <c r="E39" s="331">
        <v>32441.142857142859</v>
      </c>
      <c r="F39" s="361">
        <v>36356</v>
      </c>
    </row>
    <row r="40" spans="3:6" ht="5.0999999999999996" customHeight="1" thickTop="1">
      <c r="C40" s="332"/>
      <c r="D40" s="333"/>
      <c r="E40" s="334"/>
      <c r="F40" s="362"/>
    </row>
    <row r="41" spans="3:6" ht="12.75" customHeight="1" thickBot="1">
      <c r="C41" s="329" t="s">
        <v>239</v>
      </c>
      <c r="D41" s="330"/>
      <c r="E41" s="331">
        <v>79179.166666666657</v>
      </c>
      <c r="F41" s="361">
        <v>79157.28571428571</v>
      </c>
    </row>
    <row r="42" spans="3:6" ht="25.5" customHeight="1" thickTop="1" thickBot="1">
      <c r="C42" s="335" t="s">
        <v>240</v>
      </c>
      <c r="D42" s="336"/>
      <c r="E42" s="337">
        <v>0.4097181648010465</v>
      </c>
      <c r="F42" s="363">
        <v>0.45928810812469212</v>
      </c>
    </row>
    <row r="43" spans="3:6" ht="15" customHeight="1" thickBot="1">
      <c r="C43" s="330"/>
      <c r="D43" s="330"/>
      <c r="E43" s="338"/>
      <c r="F43" s="338"/>
    </row>
    <row r="44" spans="3:6" ht="12.75" customHeight="1">
      <c r="C44" s="339" t="s">
        <v>241</v>
      </c>
      <c r="D44" s="340"/>
      <c r="E44" s="341">
        <v>7701.666666666667</v>
      </c>
      <c r="F44" s="341">
        <v>7681.4285714285716</v>
      </c>
    </row>
    <row r="45" spans="3:6" ht="12.75" customHeight="1">
      <c r="C45" s="342" t="s">
        <v>242</v>
      </c>
      <c r="D45" s="330"/>
      <c r="E45" s="343">
        <v>35535.5</v>
      </c>
      <c r="F45" s="343">
        <v>35533.857142857145</v>
      </c>
    </row>
    <row r="46" spans="3:6" ht="12.75" customHeight="1">
      <c r="C46" s="344" t="s">
        <v>243</v>
      </c>
      <c r="D46" s="345"/>
      <c r="E46" s="346">
        <v>18901</v>
      </c>
      <c r="F46" s="346">
        <v>18901</v>
      </c>
    </row>
    <row r="47" spans="3:6" ht="12.75" customHeight="1">
      <c r="C47" s="344" t="s">
        <v>244</v>
      </c>
      <c r="D47" s="345"/>
      <c r="E47" s="346">
        <v>16634.5</v>
      </c>
      <c r="F47" s="346">
        <v>16632.857142857141</v>
      </c>
    </row>
    <row r="48" spans="3:6" ht="12.75" customHeight="1" thickBot="1">
      <c r="C48" s="347" t="s">
        <v>245</v>
      </c>
      <c r="D48" s="348"/>
      <c r="E48" s="349">
        <v>35942</v>
      </c>
      <c r="F48" s="349">
        <v>35942</v>
      </c>
    </row>
    <row r="49" spans="3:6" ht="15" customHeight="1" thickBot="1">
      <c r="C49" s="330"/>
      <c r="D49" s="330"/>
      <c r="E49" s="338"/>
      <c r="F49" s="338"/>
    </row>
    <row r="50" spans="3:6" ht="12.75" customHeight="1">
      <c r="C50" s="339" t="s">
        <v>246</v>
      </c>
      <c r="D50" s="340"/>
      <c r="E50" s="350">
        <v>0.71056975917395737</v>
      </c>
      <c r="F50" s="350">
        <v>0.76827227078296445</v>
      </c>
    </row>
    <row r="51" spans="3:6" ht="12.75" customHeight="1">
      <c r="C51" s="342" t="s">
        <v>247</v>
      </c>
      <c r="D51" s="330"/>
      <c r="E51" s="351">
        <v>0.4015984015984016</v>
      </c>
      <c r="F51" s="351">
        <v>0.39394219597406094</v>
      </c>
    </row>
    <row r="52" spans="3:6" ht="12.75" customHeight="1">
      <c r="C52" s="344" t="s">
        <v>248</v>
      </c>
      <c r="D52" s="345"/>
      <c r="E52" s="352">
        <v>0.37532405692820486</v>
      </c>
      <c r="F52" s="352">
        <v>0.38594329854051562</v>
      </c>
    </row>
    <row r="53" spans="3:6" ht="12.75" customHeight="1">
      <c r="C53" s="344" t="s">
        <v>249</v>
      </c>
      <c r="D53" s="345"/>
      <c r="E53" s="352">
        <v>0.43145270371817607</v>
      </c>
      <c r="F53" s="352">
        <v>0.4030318646396977</v>
      </c>
    </row>
    <row r="54" spans="3:6" ht="12.75" customHeight="1" thickBot="1">
      <c r="C54" s="347" t="s">
        <v>250</v>
      </c>
      <c r="D54" s="348"/>
      <c r="E54" s="337">
        <v>0.33310015342178267</v>
      </c>
      <c r="F54" s="337">
        <v>0.45543216451902668</v>
      </c>
    </row>
    <row r="55" spans="3:6" ht="4.5" customHeight="1"/>
    <row r="56" spans="3:6">
      <c r="C56" s="333" t="s">
        <v>251</v>
      </c>
      <c r="D56" s="333"/>
      <c r="E56" s="353"/>
      <c r="F56" s="353"/>
    </row>
    <row r="57" spans="3:6">
      <c r="C57" s="333" t="s">
        <v>252</v>
      </c>
      <c r="E57" s="353"/>
      <c r="F57" s="353"/>
    </row>
    <row r="58" spans="3:6">
      <c r="E58" s="353"/>
      <c r="F58" s="353"/>
    </row>
    <row r="59" spans="3:6">
      <c r="E59" s="354"/>
      <c r="F59" s="354"/>
    </row>
  </sheetData>
  <pageMargins left="0.25" right="0.25" top="0.75" bottom="0.75" header="0.3" footer="0.3"/>
  <pageSetup scale="9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117"/>
  <sheetViews>
    <sheetView tabSelected="1" workbookViewId="0">
      <selection activeCell="F41" sqref="F41"/>
    </sheetView>
  </sheetViews>
  <sheetFormatPr defaultColWidth="9.33203125" defaultRowHeight="15" outlineLevelRow="1"/>
  <cols>
    <col min="1" max="1" width="5.83203125" style="247" customWidth="1"/>
    <col min="2" max="8" width="18.33203125" style="247" customWidth="1"/>
    <col min="9" max="9" width="19.1640625" style="247" customWidth="1"/>
    <col min="10" max="10" width="3.83203125" style="247" customWidth="1"/>
    <col min="11" max="13" width="18.33203125" style="247" customWidth="1"/>
    <col min="14" max="14" width="9.33203125" style="247"/>
    <col min="15" max="17" width="0" style="247" hidden="1" customWidth="1"/>
    <col min="18" max="16384" width="9.33203125" style="247"/>
  </cols>
  <sheetData>
    <row r="1" spans="1:21">
      <c r="A1" s="246" t="s">
        <v>79</v>
      </c>
    </row>
    <row r="2" spans="1:21">
      <c r="A2" s="248" t="s">
        <v>210</v>
      </c>
    </row>
    <row r="3" spans="1:21">
      <c r="A3" s="249" t="s">
        <v>187</v>
      </c>
    </row>
    <row r="5" spans="1:21">
      <c r="B5" s="250" t="s">
        <v>188</v>
      </c>
      <c r="C5" s="251">
        <v>9500</v>
      </c>
      <c r="F5" s="364"/>
      <c r="G5" s="365"/>
      <c r="H5" s="365"/>
      <c r="I5" s="364"/>
      <c r="R5"/>
    </row>
    <row r="6" spans="1:21">
      <c r="B6" s="252" t="s">
        <v>86</v>
      </c>
      <c r="C6" s="671">
        <v>2500</v>
      </c>
      <c r="F6" s="272"/>
      <c r="G6" s="274"/>
      <c r="H6" s="293"/>
      <c r="I6" s="293"/>
      <c r="R6"/>
    </row>
    <row r="7" spans="1:21">
      <c r="B7" s="252" t="s">
        <v>85</v>
      </c>
      <c r="C7" s="672">
        <v>25</v>
      </c>
      <c r="F7" s="272"/>
      <c r="G7" s="274"/>
      <c r="H7" s="293"/>
      <c r="I7" s="293"/>
      <c r="R7"/>
    </row>
    <row r="8" spans="1:21">
      <c r="B8" s="253" t="s">
        <v>189</v>
      </c>
      <c r="C8" s="266"/>
      <c r="F8" s="272"/>
      <c r="G8" s="274"/>
      <c r="H8" s="293"/>
      <c r="I8" s="293"/>
      <c r="R8"/>
    </row>
    <row r="9" spans="1:21">
      <c r="F9" s="272"/>
      <c r="G9" s="274"/>
      <c r="H9" s="293"/>
      <c r="I9" s="293"/>
      <c r="R9"/>
    </row>
    <row r="10" spans="1:21">
      <c r="B10" s="273" t="s">
        <v>184</v>
      </c>
      <c r="D10" s="247">
        <f>+(DATE(2015,3,17)-C12)/365</f>
        <v>18.723287671232878</v>
      </c>
      <c r="R10"/>
    </row>
    <row r="11" spans="1:21" ht="30">
      <c r="B11" s="254" t="s">
        <v>190</v>
      </c>
      <c r="C11" s="254" t="s">
        <v>191</v>
      </c>
      <c r="D11" s="255" t="s">
        <v>186</v>
      </c>
      <c r="E11" s="255" t="s">
        <v>192</v>
      </c>
      <c r="F11" s="255" t="s">
        <v>193</v>
      </c>
      <c r="G11" s="255" t="s">
        <v>194</v>
      </c>
      <c r="H11" s="255" t="s">
        <v>195</v>
      </c>
      <c r="I11" s="255" t="s">
        <v>196</v>
      </c>
      <c r="K11" s="256" t="s">
        <v>197</v>
      </c>
      <c r="L11" s="256" t="s">
        <v>207</v>
      </c>
      <c r="M11" s="256" t="s">
        <v>198</v>
      </c>
      <c r="R11"/>
    </row>
    <row r="12" spans="1:21" s="272" customFormat="1">
      <c r="B12" s="459">
        <v>1996</v>
      </c>
      <c r="C12" s="257">
        <f>+DATE(B12,6,30)</f>
        <v>35246</v>
      </c>
      <c r="D12" s="258">
        <f>+(DATE(2015,3,17)-C12)/365</f>
        <v>18.723287671232878</v>
      </c>
      <c r="E12" s="723">
        <f>SUM('Region Assumptions'!C10:C20)</f>
        <v>18440</v>
      </c>
      <c r="F12" s="259">
        <f>+E12/$E$13</f>
        <v>1</v>
      </c>
      <c r="G12" s="260">
        <f>+MAX($C$6,$C$5-(($C$5-$C$6)/$C$7*D12))</f>
        <v>4257.4794520547939</v>
      </c>
      <c r="H12" s="260">
        <f>+G12*(1+$C$8)</f>
        <v>4257.4794520547939</v>
      </c>
      <c r="I12" s="260">
        <f>+H12*E12</f>
        <v>78507921.095890403</v>
      </c>
      <c r="K12" s="258">
        <f>+D12+10</f>
        <v>28.723287671232878</v>
      </c>
      <c r="L12" s="260">
        <f>+MAX($C$6,$C$5-(($C$5-$C$6)/$C$7*K12))</f>
        <v>2500</v>
      </c>
      <c r="M12" s="260">
        <f>+L12*E12</f>
        <v>46100000</v>
      </c>
      <c r="R12"/>
    </row>
    <row r="13" spans="1:21">
      <c r="B13" s="261"/>
      <c r="C13" s="261"/>
      <c r="D13" s="262">
        <f>SUMPRODUCT(D12:D12,F12:F12)</f>
        <v>18.723287671232878</v>
      </c>
      <c r="E13" s="263">
        <f>SUM(E12:E12)</f>
        <v>18440</v>
      </c>
      <c r="F13" s="264">
        <f>+E13/$E$13</f>
        <v>1</v>
      </c>
      <c r="G13" s="265">
        <f>SUMPRODUCT(G12:G12,$F$12:$F$12)</f>
        <v>4257.4794520547939</v>
      </c>
      <c r="H13" s="265">
        <f>SUMPRODUCT(H12:H12,$F$12:$F$12)</f>
        <v>4257.4794520547939</v>
      </c>
      <c r="I13" s="265">
        <f>SUM(I12:I12)</f>
        <v>78507921.095890403</v>
      </c>
      <c r="K13" s="262">
        <f>+SUMPRODUCT(K12:K12,F12:F12)</f>
        <v>28.723287671232878</v>
      </c>
      <c r="L13" s="265">
        <f>+SUMPRODUCT(L12:L12,F12:F12)</f>
        <v>2500</v>
      </c>
      <c r="M13" s="265">
        <f>SUM(M12:M12)</f>
        <v>46100000</v>
      </c>
      <c r="R13"/>
    </row>
    <row r="14" spans="1:21">
      <c r="R14"/>
    </row>
    <row r="15" spans="1:21">
      <c r="K15" s="450" t="s">
        <v>322</v>
      </c>
      <c r="R15"/>
    </row>
    <row r="16" spans="1:21">
      <c r="B16" s="449" t="s">
        <v>321</v>
      </c>
      <c r="D16" s="258">
        <f>D12+1</f>
        <v>19.723287671232878</v>
      </c>
      <c r="G16" s="260">
        <f>+MAX($C$6,$C$5-(($C$5-$C$6)/$C$7*D16))</f>
        <v>3977.4794520547939</v>
      </c>
      <c r="K16" s="258">
        <f>+D16+9</f>
        <v>28.723287671232878</v>
      </c>
      <c r="L16" s="260">
        <f>+MAX($C$6,$C$5-(($C$5-$C$6)/$C$7*K16))</f>
        <v>2500</v>
      </c>
      <c r="R16"/>
      <c r="U16"/>
    </row>
    <row r="17" spans="2:21">
      <c r="R17"/>
      <c r="U17"/>
    </row>
    <row r="18" spans="2:21">
      <c r="B18" s="444" t="s">
        <v>186</v>
      </c>
      <c r="C18" s="444" t="s">
        <v>315</v>
      </c>
      <c r="D18" s="156"/>
      <c r="R18"/>
      <c r="U18"/>
    </row>
    <row r="19" spans="2:21" hidden="1" outlineLevel="1">
      <c r="B19" s="445"/>
      <c r="C19" s="446">
        <f>G12</f>
        <v>4257.4794520547939</v>
      </c>
      <c r="D19" s="156"/>
      <c r="R19"/>
      <c r="U19"/>
    </row>
    <row r="20" spans="2:21" collapsed="1">
      <c r="B20" s="447">
        <v>5</v>
      </c>
      <c r="C20" s="446">
        <f t="dataTable" ref="C20:C38" dt2D="0" dtr="0" r1="D12"/>
        <v>8100</v>
      </c>
      <c r="D20" s="115"/>
      <c r="R20"/>
      <c r="U20"/>
    </row>
    <row r="21" spans="2:21">
      <c r="B21" s="447">
        <f>B20+1</f>
        <v>6</v>
      </c>
      <c r="C21" s="446">
        <v>7820</v>
      </c>
      <c r="D21" s="115"/>
      <c r="R21"/>
      <c r="U21"/>
    </row>
    <row r="22" spans="2:21">
      <c r="B22" s="447">
        <f t="shared" ref="B22:B38" si="0">B21+1</f>
        <v>7</v>
      </c>
      <c r="C22" s="446">
        <v>7540</v>
      </c>
      <c r="D22" s="115"/>
      <c r="R22"/>
      <c r="U22"/>
    </row>
    <row r="23" spans="2:21">
      <c r="B23" s="447">
        <f t="shared" si="0"/>
        <v>8</v>
      </c>
      <c r="C23" s="446">
        <v>7260</v>
      </c>
      <c r="D23" s="115"/>
      <c r="R23"/>
      <c r="U23"/>
    </row>
    <row r="24" spans="2:21">
      <c r="B24" s="447">
        <f t="shared" si="0"/>
        <v>9</v>
      </c>
      <c r="C24" s="446">
        <v>6980</v>
      </c>
      <c r="D24" s="115"/>
      <c r="R24"/>
      <c r="U24"/>
    </row>
    <row r="25" spans="2:21">
      <c r="B25" s="447">
        <f t="shared" si="0"/>
        <v>10</v>
      </c>
      <c r="C25" s="446">
        <v>6700</v>
      </c>
      <c r="D25" s="115"/>
      <c r="R25"/>
      <c r="U25"/>
    </row>
    <row r="26" spans="2:21">
      <c r="B26" s="447">
        <f t="shared" si="0"/>
        <v>11</v>
      </c>
      <c r="C26" s="446">
        <v>6420</v>
      </c>
      <c r="D26" s="115"/>
      <c r="R26"/>
      <c r="U26"/>
    </row>
    <row r="27" spans="2:21">
      <c r="B27" s="447">
        <f t="shared" si="0"/>
        <v>12</v>
      </c>
      <c r="C27" s="446">
        <v>6140</v>
      </c>
      <c r="D27" s="115"/>
      <c r="R27"/>
      <c r="U27"/>
    </row>
    <row r="28" spans="2:21">
      <c r="B28" s="447">
        <f t="shared" si="0"/>
        <v>13</v>
      </c>
      <c r="C28" s="446">
        <v>5860</v>
      </c>
      <c r="D28" s="115"/>
      <c r="R28"/>
      <c r="U28"/>
    </row>
    <row r="29" spans="2:21">
      <c r="B29" s="447">
        <f t="shared" si="0"/>
        <v>14</v>
      </c>
      <c r="C29" s="446">
        <v>5580</v>
      </c>
      <c r="D29" s="115"/>
      <c r="R29"/>
      <c r="U29"/>
    </row>
    <row r="30" spans="2:21">
      <c r="B30" s="447">
        <f t="shared" si="0"/>
        <v>15</v>
      </c>
      <c r="C30" s="446">
        <v>5300</v>
      </c>
      <c r="D30" s="115"/>
      <c r="R30"/>
      <c r="U30"/>
    </row>
    <row r="31" spans="2:21">
      <c r="B31" s="447">
        <f t="shared" si="0"/>
        <v>16</v>
      </c>
      <c r="C31" s="446">
        <v>5020</v>
      </c>
      <c r="D31" s="115"/>
      <c r="R31"/>
      <c r="U31"/>
    </row>
    <row r="32" spans="2:21">
      <c r="B32" s="447">
        <f t="shared" si="0"/>
        <v>17</v>
      </c>
      <c r="C32" s="446">
        <v>4740</v>
      </c>
      <c r="D32" s="115"/>
      <c r="R32"/>
      <c r="U32"/>
    </row>
    <row r="33" spans="2:21">
      <c r="B33" s="447">
        <f t="shared" si="0"/>
        <v>18</v>
      </c>
      <c r="C33" s="446">
        <v>4460</v>
      </c>
      <c r="D33" s="115"/>
      <c r="R33"/>
      <c r="U33"/>
    </row>
    <row r="34" spans="2:21">
      <c r="B34" s="447">
        <f t="shared" si="0"/>
        <v>19</v>
      </c>
      <c r="C34" s="446">
        <v>4180</v>
      </c>
      <c r="D34" s="115"/>
      <c r="R34"/>
      <c r="U34"/>
    </row>
    <row r="35" spans="2:21">
      <c r="B35" s="447">
        <f t="shared" si="0"/>
        <v>20</v>
      </c>
      <c r="C35" s="446">
        <v>3900</v>
      </c>
      <c r="D35" s="115"/>
      <c r="R35"/>
      <c r="U35"/>
    </row>
    <row r="36" spans="2:21">
      <c r="B36" s="447">
        <f t="shared" si="0"/>
        <v>21</v>
      </c>
      <c r="C36" s="446">
        <v>3620</v>
      </c>
      <c r="D36" s="115"/>
      <c r="R36"/>
      <c r="U36"/>
    </row>
    <row r="37" spans="2:21">
      <c r="B37" s="447">
        <f t="shared" si="0"/>
        <v>22</v>
      </c>
      <c r="C37" s="446">
        <v>3340</v>
      </c>
      <c r="D37" s="115"/>
      <c r="R37"/>
      <c r="U37"/>
    </row>
    <row r="38" spans="2:21">
      <c r="B38" s="447">
        <f t="shared" si="0"/>
        <v>23</v>
      </c>
      <c r="C38" s="446">
        <v>3060</v>
      </c>
      <c r="D38" s="218"/>
      <c r="R38"/>
      <c r="U38"/>
    </row>
    <row r="39" spans="2:21">
      <c r="R39"/>
      <c r="U39"/>
    </row>
    <row r="40" spans="2:21">
      <c r="R40"/>
      <c r="U40"/>
    </row>
    <row r="41" spans="2:21">
      <c r="R41"/>
      <c r="U41"/>
    </row>
    <row r="42" spans="2:21">
      <c r="R42"/>
      <c r="U42"/>
    </row>
    <row r="43" spans="2:21">
      <c r="R43"/>
      <c r="U43"/>
    </row>
    <row r="44" spans="2:21">
      <c r="R44"/>
      <c r="U44"/>
    </row>
    <row r="45" spans="2:21">
      <c r="R45"/>
      <c r="U45"/>
    </row>
    <row r="46" spans="2:21">
      <c r="R46"/>
      <c r="U46"/>
    </row>
    <row r="47" spans="2:21">
      <c r="R47"/>
      <c r="U47"/>
    </row>
    <row r="48" spans="2:21">
      <c r="R48"/>
      <c r="U48"/>
    </row>
    <row r="49" spans="18:21">
      <c r="R49"/>
      <c r="U49"/>
    </row>
    <row r="50" spans="18:21">
      <c r="R50"/>
      <c r="U50"/>
    </row>
    <row r="51" spans="18:21">
      <c r="R51"/>
      <c r="U51"/>
    </row>
    <row r="52" spans="18:21">
      <c r="R52"/>
      <c r="U52"/>
    </row>
    <row r="53" spans="18:21">
      <c r="R53"/>
      <c r="U53"/>
    </row>
    <row r="54" spans="18:21">
      <c r="R54"/>
      <c r="U54"/>
    </row>
    <row r="55" spans="18:21">
      <c r="R55"/>
      <c r="U55"/>
    </row>
    <row r="56" spans="18:21">
      <c r="R56"/>
      <c r="U56"/>
    </row>
    <row r="57" spans="18:21">
      <c r="R57"/>
      <c r="U57"/>
    </row>
    <row r="58" spans="18:21">
      <c r="R58"/>
      <c r="U58"/>
    </row>
    <row r="59" spans="18:21">
      <c r="R59"/>
      <c r="U59"/>
    </row>
    <row r="60" spans="18:21">
      <c r="R60"/>
      <c r="U60"/>
    </row>
    <row r="61" spans="18:21">
      <c r="R61"/>
      <c r="U61"/>
    </row>
    <row r="62" spans="18:21">
      <c r="R62"/>
      <c r="U62"/>
    </row>
    <row r="63" spans="18:21">
      <c r="R63"/>
      <c r="U63"/>
    </row>
    <row r="64" spans="18:21">
      <c r="R64"/>
      <c r="U64"/>
    </row>
    <row r="65" spans="18:21">
      <c r="R65"/>
      <c r="U65"/>
    </row>
    <row r="66" spans="18:21">
      <c r="R66"/>
      <c r="U66"/>
    </row>
    <row r="67" spans="18:21">
      <c r="R67"/>
      <c r="U67"/>
    </row>
    <row r="68" spans="18:21">
      <c r="R68"/>
      <c r="U68"/>
    </row>
    <row r="69" spans="18:21">
      <c r="R69"/>
      <c r="U69"/>
    </row>
    <row r="70" spans="18:21">
      <c r="R70"/>
      <c r="U70"/>
    </row>
    <row r="71" spans="18:21">
      <c r="R71"/>
      <c r="U71"/>
    </row>
    <row r="72" spans="18:21">
      <c r="R72"/>
      <c r="U72"/>
    </row>
    <row r="73" spans="18:21">
      <c r="R73"/>
      <c r="U73"/>
    </row>
    <row r="74" spans="18:21">
      <c r="R74"/>
      <c r="U74"/>
    </row>
    <row r="75" spans="18:21">
      <c r="R75"/>
      <c r="U75"/>
    </row>
    <row r="76" spans="18:21">
      <c r="R76"/>
      <c r="U76"/>
    </row>
    <row r="77" spans="18:21">
      <c r="R77"/>
      <c r="U77"/>
    </row>
    <row r="78" spans="18:21">
      <c r="R78"/>
      <c r="U78"/>
    </row>
    <row r="79" spans="18:21">
      <c r="R79"/>
      <c r="U79"/>
    </row>
    <row r="80" spans="18:21">
      <c r="R80"/>
      <c r="U80"/>
    </row>
    <row r="81" spans="18:21">
      <c r="R81"/>
      <c r="U81"/>
    </row>
    <row r="82" spans="18:21">
      <c r="R82"/>
      <c r="U82"/>
    </row>
    <row r="83" spans="18:21">
      <c r="R83"/>
      <c r="U83"/>
    </row>
    <row r="84" spans="18:21">
      <c r="R84"/>
      <c r="U84"/>
    </row>
    <row r="85" spans="18:21">
      <c r="R85"/>
      <c r="U85"/>
    </row>
    <row r="86" spans="18:21">
      <c r="R86"/>
      <c r="U86"/>
    </row>
    <row r="87" spans="18:21">
      <c r="R87"/>
      <c r="U87"/>
    </row>
    <row r="88" spans="18:21">
      <c r="R88"/>
      <c r="U88"/>
    </row>
    <row r="89" spans="18:21">
      <c r="R89"/>
      <c r="U89"/>
    </row>
    <row r="90" spans="18:21">
      <c r="R90"/>
      <c r="U90"/>
    </row>
    <row r="91" spans="18:21">
      <c r="R91"/>
      <c r="U91"/>
    </row>
    <row r="92" spans="18:21">
      <c r="R92"/>
      <c r="U92"/>
    </row>
    <row r="93" spans="18:21">
      <c r="R93"/>
      <c r="U93"/>
    </row>
    <row r="94" spans="18:21">
      <c r="R94"/>
      <c r="U94"/>
    </row>
    <row r="95" spans="18:21">
      <c r="R95"/>
      <c r="U95"/>
    </row>
    <row r="96" spans="18:21">
      <c r="R96"/>
      <c r="U96"/>
    </row>
    <row r="97" spans="18:21">
      <c r="R97"/>
      <c r="U97"/>
    </row>
    <row r="98" spans="18:21">
      <c r="R98"/>
      <c r="U98"/>
    </row>
    <row r="99" spans="18:21">
      <c r="R99"/>
      <c r="U99"/>
    </row>
    <row r="100" spans="18:21">
      <c r="R100"/>
      <c r="U100"/>
    </row>
    <row r="101" spans="18:21">
      <c r="R101"/>
      <c r="U101"/>
    </row>
    <row r="102" spans="18:21">
      <c r="R102"/>
      <c r="U102"/>
    </row>
    <row r="103" spans="18:21">
      <c r="R103"/>
      <c r="U103"/>
    </row>
    <row r="104" spans="18:21">
      <c r="R104"/>
      <c r="U104"/>
    </row>
    <row r="105" spans="18:21">
      <c r="R105"/>
      <c r="U105"/>
    </row>
    <row r="106" spans="18:21">
      <c r="R106"/>
      <c r="U106"/>
    </row>
    <row r="107" spans="18:21">
      <c r="R107"/>
      <c r="U107"/>
    </row>
    <row r="108" spans="18:21">
      <c r="R108"/>
      <c r="U108"/>
    </row>
    <row r="109" spans="18:21">
      <c r="R109"/>
      <c r="U109"/>
    </row>
    <row r="110" spans="18:21">
      <c r="R110"/>
      <c r="U110"/>
    </row>
    <row r="111" spans="18:21">
      <c r="R111"/>
      <c r="U111"/>
    </row>
    <row r="112" spans="18:21">
      <c r="R112"/>
      <c r="U112"/>
    </row>
    <row r="113" spans="18:21">
      <c r="R113"/>
      <c r="U113"/>
    </row>
    <row r="114" spans="18:21">
      <c r="R114"/>
      <c r="U114"/>
    </row>
    <row r="115" spans="18:21">
      <c r="R115"/>
      <c r="U115"/>
    </row>
    <row r="116" spans="18:21">
      <c r="R116"/>
      <c r="U116"/>
    </row>
    <row r="117" spans="18:21">
      <c r="R117"/>
      <c r="U117"/>
    </row>
    <row r="118" spans="18:21">
      <c r="R118"/>
      <c r="U118"/>
    </row>
    <row r="119" spans="18:21">
      <c r="R119"/>
      <c r="U119"/>
    </row>
    <row r="120" spans="18:21">
      <c r="R120"/>
      <c r="U120"/>
    </row>
    <row r="121" spans="18:21">
      <c r="R121"/>
      <c r="U121"/>
    </row>
    <row r="122" spans="18:21">
      <c r="R122"/>
      <c r="U122"/>
    </row>
    <row r="123" spans="18:21">
      <c r="R123"/>
      <c r="U123"/>
    </row>
    <row r="124" spans="18:21">
      <c r="R124"/>
      <c r="U124"/>
    </row>
    <row r="125" spans="18:21">
      <c r="R125"/>
      <c r="U125"/>
    </row>
    <row r="126" spans="18:21">
      <c r="R126"/>
      <c r="U126"/>
    </row>
    <row r="127" spans="18:21">
      <c r="R127"/>
      <c r="U127"/>
    </row>
    <row r="128" spans="18:21">
      <c r="R128"/>
      <c r="U128"/>
    </row>
    <row r="129" spans="18:21">
      <c r="R129"/>
      <c r="U129"/>
    </row>
    <row r="130" spans="18:21">
      <c r="R130"/>
      <c r="U130"/>
    </row>
    <row r="131" spans="18:21">
      <c r="R131"/>
      <c r="U131"/>
    </row>
    <row r="132" spans="18:21">
      <c r="R132"/>
      <c r="U132"/>
    </row>
    <row r="133" spans="18:21">
      <c r="R133"/>
      <c r="U133"/>
    </row>
    <row r="134" spans="18:21">
      <c r="R134"/>
      <c r="U134"/>
    </row>
    <row r="135" spans="18:21">
      <c r="R135"/>
      <c r="U135"/>
    </row>
    <row r="136" spans="18:21">
      <c r="R136"/>
      <c r="U136"/>
    </row>
    <row r="137" spans="18:21">
      <c r="R137"/>
      <c r="U137"/>
    </row>
    <row r="138" spans="18:21">
      <c r="R138"/>
      <c r="U138"/>
    </row>
    <row r="139" spans="18:21">
      <c r="R139"/>
      <c r="U139"/>
    </row>
    <row r="140" spans="18:21">
      <c r="R140"/>
      <c r="U140"/>
    </row>
    <row r="141" spans="18:21">
      <c r="R141"/>
      <c r="U141"/>
    </row>
    <row r="142" spans="18:21">
      <c r="R142"/>
      <c r="U142"/>
    </row>
    <row r="143" spans="18:21">
      <c r="R143"/>
      <c r="U143"/>
    </row>
    <row r="144" spans="18:21">
      <c r="R144"/>
      <c r="U144"/>
    </row>
    <row r="145" spans="18:21">
      <c r="R145"/>
      <c r="U145"/>
    </row>
    <row r="146" spans="18:21">
      <c r="R146"/>
      <c r="U146"/>
    </row>
    <row r="147" spans="18:21">
      <c r="R147"/>
      <c r="U147"/>
    </row>
    <row r="148" spans="18:21">
      <c r="R148"/>
      <c r="U148"/>
    </row>
    <row r="149" spans="18:21">
      <c r="R149"/>
      <c r="U149"/>
    </row>
    <row r="150" spans="18:21">
      <c r="R150"/>
      <c r="U150"/>
    </row>
    <row r="151" spans="18:21">
      <c r="R151"/>
      <c r="U151"/>
    </row>
    <row r="152" spans="18:21">
      <c r="R152"/>
      <c r="U152"/>
    </row>
    <row r="153" spans="18:21">
      <c r="R153"/>
      <c r="U153"/>
    </row>
    <row r="154" spans="18:21">
      <c r="R154"/>
      <c r="U154"/>
    </row>
    <row r="155" spans="18:21">
      <c r="R155"/>
      <c r="U155"/>
    </row>
    <row r="156" spans="18:21">
      <c r="R156"/>
      <c r="U156"/>
    </row>
    <row r="157" spans="18:21">
      <c r="R157"/>
      <c r="U157"/>
    </row>
    <row r="158" spans="18:21">
      <c r="R158"/>
      <c r="U158"/>
    </row>
    <row r="159" spans="18:21">
      <c r="R159"/>
      <c r="U159"/>
    </row>
    <row r="160" spans="18:21">
      <c r="R160"/>
      <c r="U160"/>
    </row>
    <row r="161" spans="18:21">
      <c r="R161"/>
      <c r="U161"/>
    </row>
    <row r="162" spans="18:21">
      <c r="R162"/>
      <c r="U162"/>
    </row>
    <row r="163" spans="18:21">
      <c r="R163"/>
      <c r="U163"/>
    </row>
    <row r="164" spans="18:21">
      <c r="R164"/>
      <c r="U164"/>
    </row>
    <row r="165" spans="18:21">
      <c r="R165"/>
      <c r="U165"/>
    </row>
    <row r="166" spans="18:21">
      <c r="R166"/>
      <c r="U166"/>
    </row>
    <row r="167" spans="18:21">
      <c r="R167"/>
      <c r="U167"/>
    </row>
    <row r="168" spans="18:21">
      <c r="R168"/>
      <c r="U168"/>
    </row>
    <row r="169" spans="18:21">
      <c r="R169"/>
      <c r="U169"/>
    </row>
    <row r="170" spans="18:21">
      <c r="R170"/>
      <c r="U170"/>
    </row>
    <row r="171" spans="18:21">
      <c r="R171"/>
      <c r="U171"/>
    </row>
    <row r="172" spans="18:21">
      <c r="R172"/>
      <c r="U172"/>
    </row>
    <row r="173" spans="18:21">
      <c r="R173"/>
      <c r="U173"/>
    </row>
    <row r="174" spans="18:21">
      <c r="R174"/>
      <c r="U174"/>
    </row>
    <row r="175" spans="18:21">
      <c r="R175"/>
      <c r="U175"/>
    </row>
    <row r="176" spans="18:21">
      <c r="R176"/>
      <c r="U176"/>
    </row>
    <row r="177" spans="18:21">
      <c r="R177"/>
      <c r="U177"/>
    </row>
    <row r="178" spans="18:21">
      <c r="R178"/>
      <c r="U178"/>
    </row>
    <row r="179" spans="18:21">
      <c r="R179"/>
      <c r="U179"/>
    </row>
    <row r="180" spans="18:21">
      <c r="R180"/>
      <c r="U180"/>
    </row>
    <row r="181" spans="18:21">
      <c r="R181"/>
      <c r="U181"/>
    </row>
    <row r="182" spans="18:21">
      <c r="R182"/>
      <c r="U182"/>
    </row>
    <row r="183" spans="18:21">
      <c r="R183"/>
      <c r="U183"/>
    </row>
    <row r="184" spans="18:21">
      <c r="R184"/>
      <c r="U184"/>
    </row>
    <row r="185" spans="18:21">
      <c r="R185"/>
      <c r="U185"/>
    </row>
    <row r="186" spans="18:21">
      <c r="R186"/>
      <c r="U186"/>
    </row>
    <row r="187" spans="18:21">
      <c r="R187"/>
      <c r="U187"/>
    </row>
    <row r="188" spans="18:21">
      <c r="R188"/>
      <c r="U188"/>
    </row>
    <row r="189" spans="18:21">
      <c r="R189"/>
      <c r="U189"/>
    </row>
    <row r="190" spans="18:21">
      <c r="R190"/>
      <c r="U190"/>
    </row>
    <row r="191" spans="18:21">
      <c r="R191"/>
      <c r="U191"/>
    </row>
    <row r="192" spans="18:21">
      <c r="R192"/>
      <c r="U192"/>
    </row>
    <row r="193" spans="18:21">
      <c r="R193"/>
      <c r="U193"/>
    </row>
    <row r="194" spans="18:21">
      <c r="R194"/>
      <c r="U194"/>
    </row>
    <row r="195" spans="18:21">
      <c r="R195"/>
      <c r="U195"/>
    </row>
    <row r="196" spans="18:21">
      <c r="R196"/>
      <c r="U196"/>
    </row>
    <row r="197" spans="18:21">
      <c r="R197"/>
      <c r="U197"/>
    </row>
    <row r="198" spans="18:21">
      <c r="R198"/>
      <c r="U198"/>
    </row>
    <row r="199" spans="18:21">
      <c r="R199"/>
      <c r="U199"/>
    </row>
    <row r="200" spans="18:21">
      <c r="R200"/>
      <c r="U200"/>
    </row>
    <row r="201" spans="18:21">
      <c r="R201"/>
      <c r="U201"/>
    </row>
    <row r="202" spans="18:21">
      <c r="R202"/>
      <c r="U202"/>
    </row>
    <row r="203" spans="18:21">
      <c r="R203"/>
      <c r="U203"/>
    </row>
    <row r="204" spans="18:21">
      <c r="R204"/>
      <c r="U204"/>
    </row>
    <row r="205" spans="18:21">
      <c r="R205"/>
      <c r="U205"/>
    </row>
    <row r="206" spans="18:21">
      <c r="R206"/>
      <c r="U206"/>
    </row>
    <row r="207" spans="18:21">
      <c r="R207"/>
      <c r="U207"/>
    </row>
    <row r="208" spans="18:21">
      <c r="R208"/>
      <c r="U208"/>
    </row>
    <row r="209" spans="18:21">
      <c r="R209"/>
      <c r="U209"/>
    </row>
    <row r="210" spans="18:21">
      <c r="R210"/>
      <c r="U210"/>
    </row>
    <row r="211" spans="18:21">
      <c r="R211"/>
      <c r="U211"/>
    </row>
    <row r="212" spans="18:21">
      <c r="R212"/>
      <c r="U212"/>
    </row>
    <row r="213" spans="18:21">
      <c r="R213"/>
      <c r="U213"/>
    </row>
    <row r="214" spans="18:21">
      <c r="R214"/>
      <c r="U214"/>
    </row>
    <row r="215" spans="18:21">
      <c r="R215"/>
      <c r="U215"/>
    </row>
    <row r="216" spans="18:21">
      <c r="R216"/>
      <c r="U216"/>
    </row>
    <row r="217" spans="18:21">
      <c r="R217"/>
      <c r="U217"/>
    </row>
    <row r="218" spans="18:21">
      <c r="R218"/>
      <c r="U218"/>
    </row>
    <row r="219" spans="18:21">
      <c r="R219"/>
      <c r="U219"/>
    </row>
    <row r="220" spans="18:21">
      <c r="R220"/>
      <c r="U220"/>
    </row>
    <row r="221" spans="18:21">
      <c r="R221"/>
      <c r="U221"/>
    </row>
    <row r="222" spans="18:21">
      <c r="R222"/>
      <c r="U222"/>
    </row>
    <row r="223" spans="18:21">
      <c r="R223"/>
      <c r="U223"/>
    </row>
    <row r="224" spans="18:21">
      <c r="R224"/>
      <c r="U224"/>
    </row>
    <row r="225" spans="18:21">
      <c r="R225"/>
      <c r="U225"/>
    </row>
    <row r="226" spans="18:21">
      <c r="R226"/>
      <c r="U226"/>
    </row>
    <row r="227" spans="18:21">
      <c r="R227"/>
      <c r="U227"/>
    </row>
    <row r="228" spans="18:21">
      <c r="R228"/>
      <c r="U228"/>
    </row>
    <row r="229" spans="18:21">
      <c r="R229"/>
      <c r="U229"/>
    </row>
    <row r="230" spans="18:21">
      <c r="R230"/>
      <c r="U230"/>
    </row>
    <row r="231" spans="18:21">
      <c r="R231"/>
      <c r="U231"/>
    </row>
    <row r="232" spans="18:21">
      <c r="R232"/>
      <c r="U232"/>
    </row>
    <row r="233" spans="18:21">
      <c r="R233"/>
      <c r="U233"/>
    </row>
    <row r="234" spans="18:21">
      <c r="R234"/>
      <c r="U234"/>
    </row>
    <row r="235" spans="18:21">
      <c r="R235"/>
      <c r="U235"/>
    </row>
    <row r="236" spans="18:21">
      <c r="R236"/>
      <c r="U236"/>
    </row>
    <row r="237" spans="18:21">
      <c r="R237"/>
      <c r="U237"/>
    </row>
    <row r="238" spans="18:21">
      <c r="R238"/>
      <c r="U238"/>
    </row>
    <row r="239" spans="18:21">
      <c r="R239"/>
      <c r="U239"/>
    </row>
    <row r="240" spans="18:21">
      <c r="R240"/>
      <c r="U240"/>
    </row>
    <row r="241" spans="18:21">
      <c r="R241"/>
      <c r="U241"/>
    </row>
    <row r="242" spans="18:21">
      <c r="R242"/>
      <c r="U242"/>
    </row>
    <row r="243" spans="18:21">
      <c r="R243"/>
      <c r="U243"/>
    </row>
    <row r="244" spans="18:21">
      <c r="R244"/>
      <c r="U244"/>
    </row>
    <row r="245" spans="18:21">
      <c r="R245"/>
      <c r="U245"/>
    </row>
    <row r="246" spans="18:21">
      <c r="R246"/>
      <c r="U246"/>
    </row>
    <row r="247" spans="18:21">
      <c r="R247"/>
      <c r="U247"/>
    </row>
    <row r="248" spans="18:21">
      <c r="R248"/>
      <c r="U248"/>
    </row>
    <row r="249" spans="18:21">
      <c r="R249"/>
      <c r="U249"/>
    </row>
    <row r="250" spans="18:21">
      <c r="R250"/>
      <c r="U250"/>
    </row>
    <row r="251" spans="18:21">
      <c r="R251"/>
      <c r="U251"/>
    </row>
    <row r="252" spans="18:21">
      <c r="R252"/>
      <c r="U252"/>
    </row>
    <row r="253" spans="18:21">
      <c r="R253"/>
      <c r="U253"/>
    </row>
    <row r="254" spans="18:21">
      <c r="R254"/>
      <c r="U254"/>
    </row>
    <row r="255" spans="18:21">
      <c r="R255"/>
      <c r="U255"/>
    </row>
    <row r="256" spans="18:21">
      <c r="R256"/>
      <c r="U256"/>
    </row>
    <row r="257" spans="18:21">
      <c r="R257"/>
      <c r="U257"/>
    </row>
    <row r="258" spans="18:21">
      <c r="R258"/>
      <c r="U258"/>
    </row>
    <row r="259" spans="18:21">
      <c r="R259"/>
      <c r="U259"/>
    </row>
    <row r="260" spans="18:21">
      <c r="R260"/>
      <c r="U260"/>
    </row>
    <row r="261" spans="18:21">
      <c r="R261"/>
      <c r="U261"/>
    </row>
    <row r="262" spans="18:21">
      <c r="R262"/>
      <c r="U262"/>
    </row>
    <row r="263" spans="18:21">
      <c r="R263"/>
      <c r="U263"/>
    </row>
    <row r="264" spans="18:21">
      <c r="R264"/>
      <c r="U264"/>
    </row>
    <row r="265" spans="18:21">
      <c r="R265"/>
      <c r="U265"/>
    </row>
    <row r="266" spans="18:21">
      <c r="R266"/>
      <c r="U266"/>
    </row>
    <row r="267" spans="18:21">
      <c r="R267"/>
      <c r="U267"/>
    </row>
    <row r="268" spans="18:21">
      <c r="R268"/>
      <c r="U268"/>
    </row>
    <row r="269" spans="18:21">
      <c r="R269"/>
      <c r="U269"/>
    </row>
    <row r="270" spans="18:21">
      <c r="R270"/>
      <c r="U270"/>
    </row>
    <row r="271" spans="18:21">
      <c r="R271"/>
      <c r="U271"/>
    </row>
    <row r="272" spans="18:21">
      <c r="R272"/>
      <c r="U272"/>
    </row>
    <row r="273" spans="18:21">
      <c r="R273"/>
      <c r="U273"/>
    </row>
    <row r="274" spans="18:21">
      <c r="R274"/>
      <c r="U274"/>
    </row>
    <row r="275" spans="18:21">
      <c r="R275"/>
      <c r="U275"/>
    </row>
    <row r="276" spans="18:21">
      <c r="R276"/>
      <c r="U276"/>
    </row>
    <row r="277" spans="18:21">
      <c r="R277"/>
      <c r="U277"/>
    </row>
    <row r="278" spans="18:21">
      <c r="R278"/>
      <c r="U278"/>
    </row>
    <row r="279" spans="18:21">
      <c r="R279"/>
      <c r="U279"/>
    </row>
    <row r="280" spans="18:21">
      <c r="R280"/>
      <c r="U280"/>
    </row>
    <row r="281" spans="18:21">
      <c r="R281"/>
      <c r="U281"/>
    </row>
    <row r="282" spans="18:21">
      <c r="R282"/>
      <c r="U282"/>
    </row>
    <row r="283" spans="18:21">
      <c r="R283"/>
      <c r="U283"/>
    </row>
    <row r="284" spans="18:21">
      <c r="R284"/>
      <c r="U284"/>
    </row>
    <row r="285" spans="18:21">
      <c r="R285"/>
      <c r="U285"/>
    </row>
    <row r="286" spans="18:21">
      <c r="R286"/>
      <c r="U286"/>
    </row>
    <row r="287" spans="18:21">
      <c r="R287"/>
      <c r="U287"/>
    </row>
    <row r="288" spans="18:21">
      <c r="R288"/>
      <c r="U288"/>
    </row>
    <row r="289" spans="18:21">
      <c r="R289"/>
      <c r="U289"/>
    </row>
    <row r="290" spans="18:21">
      <c r="R290"/>
      <c r="U290"/>
    </row>
    <row r="291" spans="18:21">
      <c r="R291"/>
      <c r="U291"/>
    </row>
    <row r="292" spans="18:21">
      <c r="R292"/>
      <c r="U292"/>
    </row>
    <row r="293" spans="18:21">
      <c r="R293"/>
      <c r="U293"/>
    </row>
    <row r="294" spans="18:21">
      <c r="R294"/>
      <c r="U294"/>
    </row>
    <row r="295" spans="18:21">
      <c r="R295"/>
      <c r="U295"/>
    </row>
    <row r="296" spans="18:21">
      <c r="R296"/>
      <c r="U296"/>
    </row>
    <row r="297" spans="18:21">
      <c r="R297"/>
      <c r="U297"/>
    </row>
    <row r="298" spans="18:21">
      <c r="R298"/>
      <c r="U298"/>
    </row>
    <row r="299" spans="18:21">
      <c r="R299"/>
      <c r="U299"/>
    </row>
    <row r="300" spans="18:21">
      <c r="R300"/>
      <c r="U300"/>
    </row>
    <row r="301" spans="18:21">
      <c r="R301"/>
      <c r="U301"/>
    </row>
    <row r="302" spans="18:21">
      <c r="R302"/>
      <c r="U302"/>
    </row>
    <row r="303" spans="18:21">
      <c r="R303"/>
      <c r="U303"/>
    </row>
    <row r="304" spans="18:21">
      <c r="R304"/>
      <c r="U304"/>
    </row>
    <row r="305" spans="18:21">
      <c r="R305"/>
      <c r="U305"/>
    </row>
    <row r="306" spans="18:21">
      <c r="R306"/>
      <c r="U306"/>
    </row>
    <row r="307" spans="18:21">
      <c r="R307"/>
      <c r="U307"/>
    </row>
    <row r="308" spans="18:21">
      <c r="R308"/>
      <c r="U308"/>
    </row>
    <row r="309" spans="18:21">
      <c r="R309"/>
      <c r="U309"/>
    </row>
    <row r="310" spans="18:21">
      <c r="R310"/>
      <c r="U310"/>
    </row>
    <row r="311" spans="18:21">
      <c r="R311"/>
      <c r="U311"/>
    </row>
    <row r="312" spans="18:21">
      <c r="R312"/>
      <c r="U312"/>
    </row>
    <row r="313" spans="18:21">
      <c r="R313"/>
      <c r="U313"/>
    </row>
    <row r="314" spans="18:21">
      <c r="R314"/>
      <c r="U314"/>
    </row>
    <row r="315" spans="18:21">
      <c r="R315"/>
      <c r="U315"/>
    </row>
    <row r="316" spans="18:21">
      <c r="R316"/>
      <c r="U316"/>
    </row>
    <row r="317" spans="18:21">
      <c r="R317"/>
      <c r="U317"/>
    </row>
    <row r="318" spans="18:21">
      <c r="R318"/>
      <c r="U318"/>
    </row>
    <row r="319" spans="18:21">
      <c r="R319"/>
      <c r="U319"/>
    </row>
    <row r="320" spans="18:21">
      <c r="R320"/>
      <c r="U320"/>
    </row>
    <row r="321" spans="18:21">
      <c r="R321"/>
      <c r="U321"/>
    </row>
    <row r="322" spans="18:21">
      <c r="R322"/>
      <c r="U322"/>
    </row>
    <row r="323" spans="18:21">
      <c r="R323"/>
      <c r="U323"/>
    </row>
    <row r="324" spans="18:21">
      <c r="R324"/>
      <c r="U324"/>
    </row>
    <row r="325" spans="18:21">
      <c r="R325"/>
      <c r="U325"/>
    </row>
    <row r="326" spans="18:21">
      <c r="R326"/>
      <c r="U326"/>
    </row>
    <row r="327" spans="18:21">
      <c r="R327"/>
      <c r="U327"/>
    </row>
    <row r="328" spans="18:21">
      <c r="R328"/>
      <c r="U328"/>
    </row>
    <row r="329" spans="18:21">
      <c r="R329"/>
      <c r="U329"/>
    </row>
    <row r="330" spans="18:21">
      <c r="R330"/>
      <c r="U330"/>
    </row>
    <row r="331" spans="18:21">
      <c r="R331"/>
      <c r="U331"/>
    </row>
    <row r="332" spans="18:21">
      <c r="R332"/>
      <c r="U332"/>
    </row>
    <row r="333" spans="18:21">
      <c r="R333"/>
      <c r="U333"/>
    </row>
    <row r="334" spans="18:21">
      <c r="R334"/>
      <c r="U334"/>
    </row>
    <row r="335" spans="18:21">
      <c r="R335"/>
      <c r="U335"/>
    </row>
    <row r="336" spans="18:21">
      <c r="R336"/>
      <c r="U336"/>
    </row>
    <row r="337" spans="18:21">
      <c r="R337"/>
      <c r="U337"/>
    </row>
    <row r="338" spans="18:21">
      <c r="R338"/>
      <c r="U338"/>
    </row>
    <row r="339" spans="18:21">
      <c r="R339"/>
      <c r="U339"/>
    </row>
    <row r="340" spans="18:21">
      <c r="R340"/>
      <c r="U340"/>
    </row>
    <row r="341" spans="18:21">
      <c r="R341"/>
      <c r="U341"/>
    </row>
    <row r="342" spans="18:21">
      <c r="R342"/>
      <c r="U342"/>
    </row>
    <row r="343" spans="18:21">
      <c r="R343"/>
      <c r="U343"/>
    </row>
    <row r="344" spans="18:21">
      <c r="R344"/>
      <c r="U344"/>
    </row>
    <row r="345" spans="18:21">
      <c r="R345"/>
      <c r="U345"/>
    </row>
    <row r="346" spans="18:21">
      <c r="R346"/>
      <c r="U346"/>
    </row>
    <row r="347" spans="18:21">
      <c r="R347"/>
      <c r="U347"/>
    </row>
    <row r="348" spans="18:21">
      <c r="R348"/>
      <c r="U348"/>
    </row>
    <row r="349" spans="18:21">
      <c r="R349"/>
      <c r="U349"/>
    </row>
    <row r="350" spans="18:21">
      <c r="R350"/>
      <c r="U350"/>
    </row>
    <row r="351" spans="18:21">
      <c r="R351"/>
      <c r="U351"/>
    </row>
    <row r="352" spans="18:21">
      <c r="R352"/>
      <c r="U352"/>
    </row>
    <row r="353" spans="18:21">
      <c r="R353"/>
      <c r="U353"/>
    </row>
    <row r="354" spans="18:21">
      <c r="R354"/>
      <c r="U354"/>
    </row>
    <row r="355" spans="18:21">
      <c r="R355"/>
      <c r="U355"/>
    </row>
    <row r="356" spans="18:21">
      <c r="R356"/>
      <c r="U356"/>
    </row>
    <row r="357" spans="18:21">
      <c r="R357"/>
      <c r="U357"/>
    </row>
    <row r="358" spans="18:21">
      <c r="R358"/>
      <c r="U358"/>
    </row>
    <row r="359" spans="18:21">
      <c r="R359"/>
      <c r="U359"/>
    </row>
    <row r="360" spans="18:21">
      <c r="R360"/>
      <c r="U360"/>
    </row>
    <row r="361" spans="18:21">
      <c r="R361"/>
      <c r="U361"/>
    </row>
    <row r="362" spans="18:21">
      <c r="R362"/>
      <c r="U362"/>
    </row>
    <row r="363" spans="18:21">
      <c r="R363"/>
      <c r="U363"/>
    </row>
    <row r="364" spans="18:21">
      <c r="R364"/>
      <c r="U364"/>
    </row>
    <row r="365" spans="18:21">
      <c r="R365"/>
      <c r="U365"/>
    </row>
    <row r="366" spans="18:21">
      <c r="R366"/>
      <c r="U366"/>
    </row>
    <row r="367" spans="18:21">
      <c r="R367"/>
      <c r="U367"/>
    </row>
    <row r="368" spans="18:21">
      <c r="R368"/>
      <c r="U368"/>
    </row>
    <row r="369" spans="18:21">
      <c r="R369"/>
      <c r="U369"/>
    </row>
    <row r="370" spans="18:21">
      <c r="R370"/>
      <c r="U370"/>
    </row>
    <row r="371" spans="18:21">
      <c r="R371"/>
      <c r="U371"/>
    </row>
    <row r="372" spans="18:21">
      <c r="R372"/>
      <c r="U372"/>
    </row>
    <row r="373" spans="18:21">
      <c r="R373"/>
      <c r="U373"/>
    </row>
    <row r="374" spans="18:21">
      <c r="R374"/>
      <c r="U374"/>
    </row>
    <row r="375" spans="18:21">
      <c r="R375"/>
      <c r="U375"/>
    </row>
    <row r="376" spans="18:21">
      <c r="R376"/>
      <c r="U376"/>
    </row>
    <row r="377" spans="18:21">
      <c r="R377"/>
      <c r="U377"/>
    </row>
    <row r="378" spans="18:21">
      <c r="R378"/>
      <c r="U378"/>
    </row>
    <row r="379" spans="18:21">
      <c r="R379"/>
      <c r="U379"/>
    </row>
    <row r="380" spans="18:21">
      <c r="R380"/>
      <c r="U380"/>
    </row>
    <row r="381" spans="18:21">
      <c r="R381"/>
      <c r="U381"/>
    </row>
    <row r="382" spans="18:21">
      <c r="R382"/>
      <c r="U382"/>
    </row>
    <row r="383" spans="18:21">
      <c r="R383"/>
      <c r="U383"/>
    </row>
    <row r="384" spans="18:21">
      <c r="R384"/>
      <c r="U384"/>
    </row>
    <row r="385" spans="18:21">
      <c r="R385"/>
      <c r="U385"/>
    </row>
    <row r="386" spans="18:21">
      <c r="R386"/>
      <c r="U386"/>
    </row>
    <row r="387" spans="18:21">
      <c r="R387"/>
      <c r="U387"/>
    </row>
    <row r="388" spans="18:21">
      <c r="R388"/>
      <c r="U388"/>
    </row>
    <row r="389" spans="18:21">
      <c r="R389"/>
      <c r="U389"/>
    </row>
    <row r="390" spans="18:21">
      <c r="R390"/>
      <c r="U390"/>
    </row>
    <row r="391" spans="18:21">
      <c r="R391"/>
      <c r="U391"/>
    </row>
    <row r="392" spans="18:21">
      <c r="R392"/>
      <c r="U392"/>
    </row>
    <row r="393" spans="18:21">
      <c r="R393"/>
      <c r="U393"/>
    </row>
    <row r="394" spans="18:21">
      <c r="R394"/>
      <c r="U394"/>
    </row>
    <row r="395" spans="18:21">
      <c r="R395"/>
      <c r="U395"/>
    </row>
    <row r="396" spans="18:21">
      <c r="R396"/>
      <c r="U396"/>
    </row>
    <row r="397" spans="18:21">
      <c r="R397"/>
      <c r="U397"/>
    </row>
    <row r="398" spans="18:21">
      <c r="R398"/>
      <c r="U398"/>
    </row>
    <row r="399" spans="18:21">
      <c r="R399"/>
      <c r="U399"/>
    </row>
    <row r="400" spans="18:21">
      <c r="R400"/>
      <c r="U400"/>
    </row>
    <row r="401" spans="18:21">
      <c r="R401"/>
      <c r="U401"/>
    </row>
    <row r="402" spans="18:21">
      <c r="R402"/>
      <c r="U402"/>
    </row>
    <row r="403" spans="18:21">
      <c r="R403"/>
      <c r="U403"/>
    </row>
    <row r="404" spans="18:21">
      <c r="R404"/>
      <c r="U404"/>
    </row>
    <row r="405" spans="18:21">
      <c r="R405"/>
      <c r="U405"/>
    </row>
    <row r="406" spans="18:21">
      <c r="R406"/>
      <c r="U406"/>
    </row>
    <row r="407" spans="18:21">
      <c r="R407"/>
      <c r="U407"/>
    </row>
    <row r="408" spans="18:21">
      <c r="R408"/>
      <c r="U408"/>
    </row>
    <row r="409" spans="18:21">
      <c r="R409"/>
      <c r="U409"/>
    </row>
    <row r="410" spans="18:21">
      <c r="R410"/>
      <c r="U410"/>
    </row>
    <row r="411" spans="18:21">
      <c r="R411"/>
      <c r="U411"/>
    </row>
    <row r="412" spans="18:21">
      <c r="R412"/>
      <c r="U412"/>
    </row>
    <row r="413" spans="18:21">
      <c r="R413"/>
      <c r="U413"/>
    </row>
    <row r="414" spans="18:21">
      <c r="R414"/>
      <c r="U414"/>
    </row>
    <row r="415" spans="18:21">
      <c r="R415"/>
      <c r="U415"/>
    </row>
    <row r="416" spans="18:21">
      <c r="R416"/>
      <c r="U416"/>
    </row>
    <row r="417" spans="18:21">
      <c r="R417"/>
      <c r="U417"/>
    </row>
    <row r="418" spans="18:21">
      <c r="R418"/>
      <c r="U418"/>
    </row>
    <row r="419" spans="18:21">
      <c r="R419"/>
      <c r="U419"/>
    </row>
    <row r="420" spans="18:21">
      <c r="R420"/>
      <c r="U420"/>
    </row>
    <row r="421" spans="18:21">
      <c r="R421"/>
      <c r="U421"/>
    </row>
    <row r="422" spans="18:21">
      <c r="R422"/>
      <c r="U422"/>
    </row>
    <row r="423" spans="18:21">
      <c r="R423"/>
      <c r="U423"/>
    </row>
    <row r="424" spans="18:21">
      <c r="R424"/>
      <c r="U424"/>
    </row>
    <row r="425" spans="18:21">
      <c r="R425"/>
      <c r="U425"/>
    </row>
    <row r="426" spans="18:21">
      <c r="R426"/>
      <c r="U426"/>
    </row>
    <row r="427" spans="18:21">
      <c r="R427"/>
      <c r="U427"/>
    </row>
    <row r="428" spans="18:21">
      <c r="R428"/>
      <c r="U428"/>
    </row>
    <row r="429" spans="18:21">
      <c r="R429"/>
      <c r="U429"/>
    </row>
    <row r="430" spans="18:21">
      <c r="R430"/>
      <c r="U430"/>
    </row>
    <row r="431" spans="18:21">
      <c r="R431"/>
      <c r="U431"/>
    </row>
    <row r="432" spans="18:21">
      <c r="R432"/>
      <c r="U432"/>
    </row>
    <row r="433" spans="18:21">
      <c r="R433"/>
      <c r="U433"/>
    </row>
    <row r="434" spans="18:21">
      <c r="R434"/>
      <c r="U434"/>
    </row>
    <row r="435" spans="18:21">
      <c r="R435"/>
      <c r="U435"/>
    </row>
    <row r="436" spans="18:21">
      <c r="R436"/>
      <c r="U436"/>
    </row>
    <row r="437" spans="18:21">
      <c r="R437"/>
      <c r="U437"/>
    </row>
    <row r="438" spans="18:21">
      <c r="R438"/>
      <c r="U438"/>
    </row>
    <row r="439" spans="18:21">
      <c r="R439"/>
      <c r="U439"/>
    </row>
    <row r="440" spans="18:21">
      <c r="R440"/>
      <c r="U440"/>
    </row>
    <row r="441" spans="18:21">
      <c r="R441"/>
      <c r="U441"/>
    </row>
    <row r="442" spans="18:21">
      <c r="R442"/>
      <c r="U442"/>
    </row>
    <row r="443" spans="18:21">
      <c r="R443"/>
      <c r="U443"/>
    </row>
    <row r="444" spans="18:21">
      <c r="R444"/>
      <c r="U444"/>
    </row>
    <row r="445" spans="18:21">
      <c r="R445"/>
      <c r="U445"/>
    </row>
    <row r="446" spans="18:21">
      <c r="R446"/>
      <c r="U446"/>
    </row>
    <row r="447" spans="18:21">
      <c r="R447"/>
      <c r="U447"/>
    </row>
    <row r="448" spans="18:21">
      <c r="R448"/>
      <c r="U448"/>
    </row>
    <row r="449" spans="18:21">
      <c r="R449"/>
      <c r="U449"/>
    </row>
    <row r="450" spans="18:21">
      <c r="R450"/>
      <c r="U450"/>
    </row>
    <row r="451" spans="18:21">
      <c r="R451"/>
      <c r="U451"/>
    </row>
    <row r="452" spans="18:21">
      <c r="R452"/>
      <c r="U452"/>
    </row>
    <row r="453" spans="18:21">
      <c r="R453"/>
      <c r="U453"/>
    </row>
    <row r="454" spans="18:21">
      <c r="R454"/>
      <c r="U454"/>
    </row>
    <row r="455" spans="18:21">
      <c r="R455"/>
      <c r="U455"/>
    </row>
    <row r="456" spans="18:21">
      <c r="R456"/>
      <c r="U456"/>
    </row>
    <row r="457" spans="18:21">
      <c r="R457"/>
      <c r="U457"/>
    </row>
    <row r="458" spans="18:21">
      <c r="R458"/>
      <c r="U458"/>
    </row>
    <row r="459" spans="18:21">
      <c r="R459"/>
      <c r="U459"/>
    </row>
    <row r="460" spans="18:21">
      <c r="R460"/>
      <c r="U460"/>
    </row>
    <row r="461" spans="18:21">
      <c r="R461"/>
      <c r="U461"/>
    </row>
    <row r="462" spans="18:21">
      <c r="R462"/>
      <c r="U462"/>
    </row>
    <row r="463" spans="18:21">
      <c r="R463"/>
      <c r="U463"/>
    </row>
    <row r="464" spans="18:21">
      <c r="R464"/>
      <c r="U464"/>
    </row>
    <row r="465" spans="18:21">
      <c r="R465"/>
      <c r="U465"/>
    </row>
    <row r="466" spans="18:21">
      <c r="R466"/>
      <c r="U466"/>
    </row>
    <row r="467" spans="18:21">
      <c r="R467"/>
      <c r="U467"/>
    </row>
    <row r="468" spans="18:21">
      <c r="R468"/>
      <c r="U468"/>
    </row>
    <row r="469" spans="18:21">
      <c r="R469"/>
      <c r="U469"/>
    </row>
    <row r="470" spans="18:21">
      <c r="R470"/>
      <c r="U470"/>
    </row>
    <row r="471" spans="18:21">
      <c r="R471"/>
      <c r="U471"/>
    </row>
    <row r="472" spans="18:21">
      <c r="R472"/>
      <c r="U472"/>
    </row>
    <row r="473" spans="18:21">
      <c r="R473"/>
      <c r="U473"/>
    </row>
    <row r="474" spans="18:21">
      <c r="R474"/>
      <c r="U474"/>
    </row>
    <row r="475" spans="18:21">
      <c r="R475"/>
      <c r="U475"/>
    </row>
    <row r="476" spans="18:21">
      <c r="R476"/>
      <c r="U476"/>
    </row>
    <row r="477" spans="18:21">
      <c r="R477"/>
      <c r="U477"/>
    </row>
    <row r="478" spans="18:21">
      <c r="R478"/>
      <c r="U478"/>
    </row>
    <row r="479" spans="18:21">
      <c r="R479"/>
      <c r="U479"/>
    </row>
    <row r="480" spans="18:21">
      <c r="R480"/>
      <c r="U480"/>
    </row>
    <row r="481" spans="18:21">
      <c r="R481"/>
      <c r="U481"/>
    </row>
    <row r="482" spans="18:21">
      <c r="R482"/>
      <c r="U482"/>
    </row>
    <row r="483" spans="18:21">
      <c r="R483"/>
      <c r="U483"/>
    </row>
    <row r="484" spans="18:21">
      <c r="R484"/>
      <c r="U484"/>
    </row>
    <row r="485" spans="18:21">
      <c r="R485"/>
      <c r="U485"/>
    </row>
    <row r="486" spans="18:21">
      <c r="R486"/>
      <c r="U486"/>
    </row>
    <row r="487" spans="18:21">
      <c r="R487"/>
      <c r="U487"/>
    </row>
    <row r="488" spans="18:21">
      <c r="R488"/>
      <c r="U488"/>
    </row>
    <row r="489" spans="18:21">
      <c r="R489"/>
      <c r="U489"/>
    </row>
    <row r="490" spans="18:21">
      <c r="R490"/>
      <c r="U490"/>
    </row>
    <row r="491" spans="18:21">
      <c r="R491"/>
      <c r="U491"/>
    </row>
    <row r="492" spans="18:21">
      <c r="R492"/>
      <c r="U492"/>
    </row>
    <row r="493" spans="18:21">
      <c r="R493"/>
      <c r="U493"/>
    </row>
    <row r="494" spans="18:21">
      <c r="R494"/>
      <c r="U494"/>
    </row>
    <row r="495" spans="18:21">
      <c r="R495"/>
      <c r="U495"/>
    </row>
    <row r="496" spans="18:21">
      <c r="R496"/>
      <c r="U496"/>
    </row>
    <row r="497" spans="18:21">
      <c r="R497"/>
      <c r="U497"/>
    </row>
    <row r="498" spans="18:21">
      <c r="R498"/>
      <c r="U498"/>
    </row>
    <row r="499" spans="18:21">
      <c r="R499"/>
      <c r="U499"/>
    </row>
    <row r="500" spans="18:21">
      <c r="R500"/>
      <c r="U500"/>
    </row>
    <row r="501" spans="18:21">
      <c r="R501"/>
      <c r="U501"/>
    </row>
    <row r="502" spans="18:21">
      <c r="R502"/>
      <c r="U502"/>
    </row>
    <row r="503" spans="18:21">
      <c r="R503"/>
      <c r="U503"/>
    </row>
    <row r="504" spans="18:21">
      <c r="R504"/>
      <c r="U504"/>
    </row>
    <row r="505" spans="18:21">
      <c r="R505"/>
      <c r="U505"/>
    </row>
    <row r="506" spans="18:21">
      <c r="R506"/>
      <c r="U506"/>
    </row>
    <row r="507" spans="18:21">
      <c r="R507"/>
      <c r="U507"/>
    </row>
    <row r="508" spans="18:21">
      <c r="R508"/>
      <c r="U508"/>
    </row>
    <row r="509" spans="18:21">
      <c r="R509"/>
      <c r="U509"/>
    </row>
    <row r="510" spans="18:21">
      <c r="R510"/>
      <c r="U510"/>
    </row>
    <row r="511" spans="18:21">
      <c r="R511"/>
      <c r="U511"/>
    </row>
    <row r="512" spans="18:21">
      <c r="R512"/>
      <c r="U512"/>
    </row>
    <row r="513" spans="18:21">
      <c r="R513"/>
      <c r="U513"/>
    </row>
    <row r="514" spans="18:21">
      <c r="R514"/>
      <c r="U514"/>
    </row>
    <row r="515" spans="18:21">
      <c r="R515"/>
      <c r="U515"/>
    </row>
    <row r="516" spans="18:21">
      <c r="R516"/>
      <c r="U516"/>
    </row>
    <row r="517" spans="18:21">
      <c r="R517"/>
      <c r="U517"/>
    </row>
    <row r="518" spans="18:21">
      <c r="R518"/>
      <c r="U518"/>
    </row>
    <row r="519" spans="18:21">
      <c r="R519"/>
      <c r="U519"/>
    </row>
    <row r="520" spans="18:21">
      <c r="R520"/>
      <c r="U520"/>
    </row>
    <row r="521" spans="18:21">
      <c r="R521"/>
      <c r="U521"/>
    </row>
    <row r="522" spans="18:21">
      <c r="R522"/>
      <c r="U522"/>
    </row>
    <row r="523" spans="18:21">
      <c r="R523"/>
      <c r="U523"/>
    </row>
    <row r="524" spans="18:21">
      <c r="R524"/>
      <c r="U524"/>
    </row>
    <row r="525" spans="18:21">
      <c r="R525"/>
      <c r="U525"/>
    </row>
    <row r="526" spans="18:21">
      <c r="R526"/>
      <c r="U526"/>
    </row>
    <row r="527" spans="18:21">
      <c r="R527"/>
      <c r="U527"/>
    </row>
    <row r="528" spans="18:21">
      <c r="R528"/>
      <c r="U528"/>
    </row>
    <row r="529" spans="18:21">
      <c r="R529"/>
      <c r="U529"/>
    </row>
    <row r="530" spans="18:21">
      <c r="R530"/>
      <c r="U530"/>
    </row>
    <row r="531" spans="18:21">
      <c r="R531"/>
      <c r="U531"/>
    </row>
    <row r="532" spans="18:21">
      <c r="R532"/>
      <c r="U532"/>
    </row>
    <row r="533" spans="18:21">
      <c r="R533"/>
      <c r="U533"/>
    </row>
    <row r="534" spans="18:21">
      <c r="R534"/>
      <c r="U534"/>
    </row>
    <row r="535" spans="18:21">
      <c r="R535"/>
      <c r="U535"/>
    </row>
    <row r="536" spans="18:21">
      <c r="R536"/>
      <c r="U536"/>
    </row>
    <row r="537" spans="18:21">
      <c r="R537"/>
      <c r="U537"/>
    </row>
    <row r="538" spans="18:21">
      <c r="R538"/>
      <c r="U538"/>
    </row>
    <row r="539" spans="18:21">
      <c r="R539"/>
      <c r="U539"/>
    </row>
    <row r="540" spans="18:21">
      <c r="R540"/>
      <c r="U540"/>
    </row>
    <row r="541" spans="18:21">
      <c r="R541"/>
      <c r="U541"/>
    </row>
    <row r="542" spans="18:21">
      <c r="R542"/>
      <c r="U542"/>
    </row>
    <row r="543" spans="18:21">
      <c r="R543"/>
      <c r="U543"/>
    </row>
    <row r="544" spans="18:21">
      <c r="R544"/>
      <c r="U544"/>
    </row>
    <row r="545" spans="18:21">
      <c r="R545"/>
      <c r="U545"/>
    </row>
    <row r="546" spans="18:21">
      <c r="R546"/>
      <c r="U546"/>
    </row>
    <row r="547" spans="18:21">
      <c r="R547"/>
      <c r="U547"/>
    </row>
    <row r="548" spans="18:21">
      <c r="R548"/>
      <c r="U548"/>
    </row>
    <row r="549" spans="18:21">
      <c r="R549"/>
      <c r="U549"/>
    </row>
    <row r="550" spans="18:21">
      <c r="R550"/>
      <c r="U550"/>
    </row>
    <row r="551" spans="18:21">
      <c r="R551"/>
      <c r="U551"/>
    </row>
    <row r="552" spans="18:21">
      <c r="R552"/>
      <c r="U552"/>
    </row>
    <row r="553" spans="18:21">
      <c r="R553"/>
      <c r="U553"/>
    </row>
    <row r="554" spans="18:21">
      <c r="R554"/>
      <c r="U554"/>
    </row>
    <row r="555" spans="18:21">
      <c r="R555"/>
      <c r="U555"/>
    </row>
    <row r="556" spans="18:21">
      <c r="R556"/>
      <c r="U556"/>
    </row>
    <row r="557" spans="18:21">
      <c r="R557"/>
      <c r="U557"/>
    </row>
    <row r="558" spans="18:21">
      <c r="R558"/>
      <c r="U558"/>
    </row>
    <row r="559" spans="18:21">
      <c r="R559"/>
      <c r="U559"/>
    </row>
    <row r="560" spans="18:21">
      <c r="R560"/>
      <c r="U560"/>
    </row>
    <row r="561" spans="18:21">
      <c r="R561"/>
      <c r="U561"/>
    </row>
    <row r="562" spans="18:21">
      <c r="R562"/>
      <c r="U562"/>
    </row>
    <row r="563" spans="18:21">
      <c r="R563"/>
      <c r="U563"/>
    </row>
    <row r="564" spans="18:21">
      <c r="R564"/>
      <c r="U564"/>
    </row>
    <row r="565" spans="18:21">
      <c r="R565"/>
      <c r="U565"/>
    </row>
    <row r="566" spans="18:21">
      <c r="R566"/>
      <c r="U566"/>
    </row>
    <row r="567" spans="18:21">
      <c r="R567"/>
      <c r="U567"/>
    </row>
    <row r="568" spans="18:21">
      <c r="R568"/>
      <c r="U568"/>
    </row>
    <row r="569" spans="18:21">
      <c r="R569"/>
      <c r="U569"/>
    </row>
    <row r="570" spans="18:21">
      <c r="R570"/>
      <c r="U570"/>
    </row>
    <row r="571" spans="18:21">
      <c r="R571"/>
      <c r="U571"/>
    </row>
    <row r="572" spans="18:21">
      <c r="R572"/>
      <c r="U572"/>
    </row>
    <row r="573" spans="18:21">
      <c r="R573"/>
      <c r="U573"/>
    </row>
    <row r="574" spans="18:21">
      <c r="R574"/>
      <c r="U574"/>
    </row>
    <row r="575" spans="18:21">
      <c r="R575"/>
      <c r="U575"/>
    </row>
    <row r="576" spans="18:21">
      <c r="R576"/>
      <c r="U576"/>
    </row>
    <row r="577" spans="18:21">
      <c r="R577"/>
      <c r="U577"/>
    </row>
    <row r="578" spans="18:21">
      <c r="R578"/>
      <c r="U578"/>
    </row>
    <row r="579" spans="18:21">
      <c r="R579"/>
      <c r="U579"/>
    </row>
    <row r="580" spans="18:21">
      <c r="R580"/>
      <c r="U580"/>
    </row>
    <row r="581" spans="18:21">
      <c r="R581"/>
      <c r="U581"/>
    </row>
    <row r="582" spans="18:21">
      <c r="R582"/>
      <c r="U582"/>
    </row>
    <row r="583" spans="18:21">
      <c r="R583"/>
      <c r="U583"/>
    </row>
    <row r="584" spans="18:21">
      <c r="R584"/>
      <c r="U584"/>
    </row>
    <row r="585" spans="18:21">
      <c r="R585"/>
      <c r="U585"/>
    </row>
    <row r="586" spans="18:21">
      <c r="R586"/>
      <c r="U586"/>
    </row>
    <row r="587" spans="18:21">
      <c r="R587"/>
      <c r="U587"/>
    </row>
    <row r="588" spans="18:21">
      <c r="R588"/>
      <c r="U588"/>
    </row>
    <row r="589" spans="18:21">
      <c r="R589"/>
      <c r="U589"/>
    </row>
    <row r="590" spans="18:21">
      <c r="R590"/>
      <c r="U590"/>
    </row>
    <row r="591" spans="18:21">
      <c r="R591"/>
      <c r="U591"/>
    </row>
    <row r="592" spans="18:21">
      <c r="R592"/>
      <c r="U592"/>
    </row>
    <row r="593" spans="18:21">
      <c r="R593"/>
      <c r="U593"/>
    </row>
    <row r="594" spans="18:21">
      <c r="R594"/>
      <c r="U594"/>
    </row>
    <row r="595" spans="18:21">
      <c r="R595"/>
      <c r="U595"/>
    </row>
    <row r="596" spans="18:21">
      <c r="R596"/>
      <c r="U596"/>
    </row>
    <row r="597" spans="18:21">
      <c r="R597"/>
      <c r="U597"/>
    </row>
    <row r="598" spans="18:21">
      <c r="R598"/>
      <c r="U598"/>
    </row>
    <row r="599" spans="18:21">
      <c r="R599"/>
      <c r="U599"/>
    </row>
    <row r="600" spans="18:21">
      <c r="R600"/>
      <c r="U600"/>
    </row>
    <row r="601" spans="18:21">
      <c r="R601"/>
      <c r="U601"/>
    </row>
    <row r="602" spans="18:21">
      <c r="R602"/>
      <c r="U602"/>
    </row>
    <row r="603" spans="18:21">
      <c r="R603"/>
      <c r="U603"/>
    </row>
    <row r="604" spans="18:21">
      <c r="R604"/>
      <c r="U604"/>
    </row>
    <row r="605" spans="18:21">
      <c r="R605"/>
      <c r="U605"/>
    </row>
    <row r="606" spans="18:21">
      <c r="R606"/>
      <c r="U606"/>
    </row>
    <row r="607" spans="18:21">
      <c r="R607"/>
      <c r="U607"/>
    </row>
    <row r="608" spans="18:21">
      <c r="R608"/>
      <c r="U608"/>
    </row>
    <row r="609" spans="18:21">
      <c r="R609"/>
      <c r="U609"/>
    </row>
    <row r="610" spans="18:21">
      <c r="R610"/>
      <c r="U610"/>
    </row>
    <row r="611" spans="18:21">
      <c r="R611"/>
      <c r="U611"/>
    </row>
    <row r="612" spans="18:21">
      <c r="R612"/>
      <c r="U612"/>
    </row>
    <row r="613" spans="18:21">
      <c r="R613"/>
      <c r="U613"/>
    </row>
    <row r="614" spans="18:21">
      <c r="R614"/>
      <c r="U614"/>
    </row>
    <row r="615" spans="18:21">
      <c r="R615"/>
      <c r="U615"/>
    </row>
    <row r="616" spans="18:21">
      <c r="R616"/>
      <c r="U616"/>
    </row>
    <row r="617" spans="18:21">
      <c r="R617"/>
      <c r="U617"/>
    </row>
    <row r="618" spans="18:21">
      <c r="R618"/>
      <c r="U618"/>
    </row>
    <row r="619" spans="18:21">
      <c r="R619"/>
      <c r="U619"/>
    </row>
    <row r="620" spans="18:21">
      <c r="R620"/>
      <c r="U620"/>
    </row>
    <row r="621" spans="18:21">
      <c r="R621"/>
      <c r="U621"/>
    </row>
    <row r="622" spans="18:21">
      <c r="R622"/>
      <c r="U622"/>
    </row>
    <row r="623" spans="18:21">
      <c r="R623"/>
      <c r="U623"/>
    </row>
    <row r="624" spans="18:21">
      <c r="R624"/>
      <c r="U624"/>
    </row>
    <row r="625" spans="18:21">
      <c r="R625"/>
      <c r="U625"/>
    </row>
    <row r="626" spans="18:21">
      <c r="R626"/>
      <c r="U626"/>
    </row>
    <row r="627" spans="18:21">
      <c r="R627"/>
      <c r="U627"/>
    </row>
    <row r="628" spans="18:21">
      <c r="R628"/>
      <c r="U628"/>
    </row>
    <row r="629" spans="18:21">
      <c r="R629"/>
      <c r="U629"/>
    </row>
    <row r="630" spans="18:21">
      <c r="R630"/>
      <c r="U630"/>
    </row>
    <row r="631" spans="18:21">
      <c r="R631"/>
      <c r="U631"/>
    </row>
    <row r="632" spans="18:21">
      <c r="R632"/>
      <c r="U632"/>
    </row>
    <row r="633" spans="18:21">
      <c r="R633"/>
      <c r="U633"/>
    </row>
    <row r="634" spans="18:21">
      <c r="R634"/>
      <c r="U634"/>
    </row>
    <row r="635" spans="18:21">
      <c r="R635"/>
      <c r="U635"/>
    </row>
    <row r="636" spans="18:21">
      <c r="R636"/>
      <c r="U636"/>
    </row>
    <row r="637" spans="18:21">
      <c r="R637"/>
      <c r="U637"/>
    </row>
    <row r="638" spans="18:21">
      <c r="R638"/>
      <c r="U638"/>
    </row>
    <row r="639" spans="18:21">
      <c r="R639"/>
      <c r="U639"/>
    </row>
    <row r="640" spans="18:21">
      <c r="R640"/>
      <c r="U640"/>
    </row>
    <row r="641" spans="18:21">
      <c r="R641"/>
      <c r="U641"/>
    </row>
    <row r="642" spans="18:21">
      <c r="R642"/>
      <c r="U642"/>
    </row>
    <row r="643" spans="18:21">
      <c r="R643"/>
      <c r="U643"/>
    </row>
    <row r="644" spans="18:21">
      <c r="R644"/>
      <c r="U644"/>
    </row>
    <row r="645" spans="18:21">
      <c r="R645"/>
      <c r="U645"/>
    </row>
    <row r="646" spans="18:21">
      <c r="R646"/>
      <c r="U646"/>
    </row>
    <row r="647" spans="18:21">
      <c r="R647"/>
      <c r="U647"/>
    </row>
    <row r="648" spans="18:21">
      <c r="R648"/>
      <c r="U648"/>
    </row>
    <row r="649" spans="18:21">
      <c r="R649"/>
      <c r="U649"/>
    </row>
    <row r="650" spans="18:21">
      <c r="R650"/>
      <c r="U650"/>
    </row>
    <row r="651" spans="18:21">
      <c r="R651"/>
      <c r="U651"/>
    </row>
    <row r="652" spans="18:21">
      <c r="R652"/>
      <c r="U652"/>
    </row>
    <row r="653" spans="18:21">
      <c r="R653"/>
      <c r="U653"/>
    </row>
    <row r="654" spans="18:21">
      <c r="R654"/>
      <c r="U654"/>
    </row>
    <row r="655" spans="18:21">
      <c r="R655"/>
      <c r="U655"/>
    </row>
    <row r="656" spans="18:21">
      <c r="R656"/>
      <c r="U656"/>
    </row>
    <row r="657" spans="18:21">
      <c r="R657"/>
      <c r="U657"/>
    </row>
    <row r="658" spans="18:21">
      <c r="R658"/>
      <c r="U658"/>
    </row>
    <row r="659" spans="18:21">
      <c r="R659"/>
      <c r="U659"/>
    </row>
    <row r="660" spans="18:21">
      <c r="R660"/>
      <c r="U660"/>
    </row>
    <row r="661" spans="18:21">
      <c r="R661"/>
      <c r="U661"/>
    </row>
    <row r="662" spans="18:21">
      <c r="R662"/>
      <c r="U662"/>
    </row>
    <row r="663" spans="18:21">
      <c r="R663"/>
      <c r="U663"/>
    </row>
    <row r="664" spans="18:21">
      <c r="R664"/>
      <c r="U664"/>
    </row>
    <row r="665" spans="18:21">
      <c r="R665"/>
      <c r="U665"/>
    </row>
    <row r="666" spans="18:21">
      <c r="R666"/>
      <c r="U666"/>
    </row>
    <row r="667" spans="18:21">
      <c r="R667"/>
      <c r="U667"/>
    </row>
    <row r="668" spans="18:21">
      <c r="R668"/>
      <c r="U668"/>
    </row>
    <row r="669" spans="18:21">
      <c r="R669"/>
      <c r="U669"/>
    </row>
    <row r="670" spans="18:21">
      <c r="R670"/>
      <c r="U670"/>
    </row>
    <row r="671" spans="18:21">
      <c r="R671"/>
      <c r="U671"/>
    </row>
    <row r="672" spans="18:21">
      <c r="R672"/>
      <c r="U672"/>
    </row>
    <row r="673" spans="18:21">
      <c r="R673"/>
      <c r="U673"/>
    </row>
    <row r="674" spans="18:21">
      <c r="R674"/>
      <c r="U674"/>
    </row>
    <row r="675" spans="18:21">
      <c r="R675"/>
      <c r="U675"/>
    </row>
    <row r="676" spans="18:21">
      <c r="R676"/>
      <c r="U676"/>
    </row>
    <row r="677" spans="18:21">
      <c r="R677"/>
      <c r="U677"/>
    </row>
    <row r="678" spans="18:21">
      <c r="R678"/>
      <c r="U678"/>
    </row>
    <row r="679" spans="18:21">
      <c r="R679"/>
      <c r="U679"/>
    </row>
    <row r="680" spans="18:21">
      <c r="R680"/>
      <c r="U680"/>
    </row>
    <row r="681" spans="18:21">
      <c r="R681"/>
      <c r="U681"/>
    </row>
    <row r="682" spans="18:21">
      <c r="R682"/>
      <c r="U682"/>
    </row>
    <row r="683" spans="18:21">
      <c r="R683"/>
      <c r="U683"/>
    </row>
    <row r="684" spans="18:21">
      <c r="R684"/>
      <c r="U684"/>
    </row>
    <row r="685" spans="18:21">
      <c r="R685"/>
      <c r="U685"/>
    </row>
    <row r="686" spans="18:21">
      <c r="R686"/>
      <c r="U686"/>
    </row>
    <row r="687" spans="18:21">
      <c r="R687"/>
      <c r="U687"/>
    </row>
    <row r="688" spans="18:21">
      <c r="R688"/>
      <c r="U688"/>
    </row>
    <row r="689" spans="18:21">
      <c r="R689"/>
      <c r="U689"/>
    </row>
    <row r="690" spans="18:21">
      <c r="R690"/>
      <c r="U690"/>
    </row>
    <row r="691" spans="18:21">
      <c r="R691"/>
      <c r="U691"/>
    </row>
    <row r="692" spans="18:21">
      <c r="R692"/>
      <c r="U692"/>
    </row>
    <row r="693" spans="18:21">
      <c r="R693"/>
      <c r="U693"/>
    </row>
    <row r="694" spans="18:21">
      <c r="R694"/>
      <c r="U694"/>
    </row>
    <row r="695" spans="18:21">
      <c r="R695"/>
      <c r="U695"/>
    </row>
    <row r="696" spans="18:21">
      <c r="R696"/>
      <c r="U696"/>
    </row>
    <row r="697" spans="18:21">
      <c r="R697"/>
      <c r="U697"/>
    </row>
    <row r="698" spans="18:21">
      <c r="R698"/>
      <c r="U698"/>
    </row>
    <row r="699" spans="18:21">
      <c r="R699"/>
      <c r="U699"/>
    </row>
    <row r="700" spans="18:21">
      <c r="R700"/>
      <c r="U700"/>
    </row>
    <row r="701" spans="18:21">
      <c r="R701"/>
      <c r="U701"/>
    </row>
    <row r="702" spans="18:21">
      <c r="R702"/>
      <c r="U702"/>
    </row>
    <row r="703" spans="18:21">
      <c r="R703"/>
      <c r="U703"/>
    </row>
    <row r="704" spans="18:21">
      <c r="R704"/>
      <c r="U704"/>
    </row>
    <row r="705" spans="18:21">
      <c r="R705"/>
      <c r="U705"/>
    </row>
    <row r="706" spans="18:21">
      <c r="R706"/>
      <c r="U706"/>
    </row>
    <row r="707" spans="18:21">
      <c r="R707"/>
      <c r="U707"/>
    </row>
    <row r="708" spans="18:21">
      <c r="R708"/>
      <c r="U708"/>
    </row>
    <row r="709" spans="18:21">
      <c r="R709"/>
      <c r="U709"/>
    </row>
    <row r="710" spans="18:21">
      <c r="R710"/>
      <c r="U710"/>
    </row>
    <row r="711" spans="18:21">
      <c r="R711"/>
      <c r="U711"/>
    </row>
    <row r="712" spans="18:21">
      <c r="R712"/>
      <c r="U712"/>
    </row>
    <row r="713" spans="18:21">
      <c r="R713"/>
      <c r="U713"/>
    </row>
    <row r="714" spans="18:21">
      <c r="R714"/>
      <c r="U714"/>
    </row>
    <row r="715" spans="18:21">
      <c r="R715"/>
      <c r="U715"/>
    </row>
    <row r="716" spans="18:21">
      <c r="R716"/>
      <c r="U716"/>
    </row>
    <row r="717" spans="18:21">
      <c r="R717"/>
      <c r="U717"/>
    </row>
    <row r="718" spans="18:21">
      <c r="R718"/>
      <c r="U718"/>
    </row>
    <row r="719" spans="18:21">
      <c r="R719"/>
      <c r="U719"/>
    </row>
    <row r="720" spans="18:21">
      <c r="R720"/>
      <c r="U720"/>
    </row>
    <row r="721" spans="18:21">
      <c r="R721"/>
      <c r="U721"/>
    </row>
    <row r="722" spans="18:21">
      <c r="R722"/>
      <c r="U722"/>
    </row>
    <row r="723" spans="18:21">
      <c r="R723"/>
      <c r="U723"/>
    </row>
    <row r="724" spans="18:21">
      <c r="R724"/>
      <c r="U724"/>
    </row>
    <row r="725" spans="18:21">
      <c r="R725"/>
      <c r="U725"/>
    </row>
    <row r="726" spans="18:21">
      <c r="R726"/>
      <c r="U726"/>
    </row>
    <row r="727" spans="18:21">
      <c r="R727"/>
      <c r="U727"/>
    </row>
    <row r="728" spans="18:21">
      <c r="R728"/>
      <c r="U728"/>
    </row>
    <row r="729" spans="18:21">
      <c r="R729"/>
      <c r="U729"/>
    </row>
    <row r="730" spans="18:21">
      <c r="R730"/>
      <c r="U730"/>
    </row>
    <row r="731" spans="18:21">
      <c r="R731"/>
      <c r="U731"/>
    </row>
    <row r="732" spans="18:21">
      <c r="R732"/>
      <c r="U732"/>
    </row>
    <row r="733" spans="18:21">
      <c r="R733"/>
      <c r="U733"/>
    </row>
    <row r="734" spans="18:21">
      <c r="R734"/>
      <c r="U734"/>
    </row>
    <row r="735" spans="18:21">
      <c r="R735"/>
      <c r="U735"/>
    </row>
    <row r="736" spans="18:21">
      <c r="R736"/>
      <c r="U736"/>
    </row>
    <row r="737" spans="18:21">
      <c r="R737"/>
      <c r="U737"/>
    </row>
    <row r="738" spans="18:21">
      <c r="R738"/>
      <c r="U738"/>
    </row>
    <row r="739" spans="18:21">
      <c r="R739"/>
      <c r="U739"/>
    </row>
    <row r="740" spans="18:21">
      <c r="R740"/>
      <c r="U740"/>
    </row>
    <row r="741" spans="18:21">
      <c r="R741"/>
      <c r="U741"/>
    </row>
    <row r="742" spans="18:21">
      <c r="R742"/>
      <c r="U742"/>
    </row>
    <row r="743" spans="18:21">
      <c r="R743"/>
      <c r="U743"/>
    </row>
    <row r="744" spans="18:21">
      <c r="R744"/>
      <c r="U744"/>
    </row>
    <row r="745" spans="18:21">
      <c r="R745"/>
      <c r="U745"/>
    </row>
    <row r="746" spans="18:21">
      <c r="R746"/>
      <c r="U746"/>
    </row>
    <row r="747" spans="18:21">
      <c r="R747"/>
      <c r="U747"/>
    </row>
    <row r="748" spans="18:21">
      <c r="R748"/>
      <c r="U748"/>
    </row>
    <row r="749" spans="18:21">
      <c r="R749"/>
      <c r="U749"/>
    </row>
    <row r="750" spans="18:21">
      <c r="R750"/>
      <c r="U750"/>
    </row>
    <row r="751" spans="18:21">
      <c r="R751"/>
      <c r="U751"/>
    </row>
    <row r="752" spans="18:21">
      <c r="R752"/>
      <c r="U752"/>
    </row>
    <row r="753" spans="18:21">
      <c r="R753"/>
      <c r="U753"/>
    </row>
    <row r="754" spans="18:21">
      <c r="R754"/>
      <c r="U754"/>
    </row>
    <row r="755" spans="18:21">
      <c r="R755"/>
      <c r="U755"/>
    </row>
    <row r="756" spans="18:21">
      <c r="R756"/>
      <c r="U756"/>
    </row>
    <row r="757" spans="18:21">
      <c r="R757"/>
      <c r="U757"/>
    </row>
    <row r="758" spans="18:21">
      <c r="R758"/>
      <c r="U758"/>
    </row>
    <row r="759" spans="18:21">
      <c r="R759"/>
      <c r="U759"/>
    </row>
    <row r="760" spans="18:21">
      <c r="R760"/>
      <c r="U760"/>
    </row>
    <row r="761" spans="18:21">
      <c r="R761"/>
      <c r="U761"/>
    </row>
    <row r="762" spans="18:21">
      <c r="R762"/>
      <c r="U762"/>
    </row>
    <row r="763" spans="18:21">
      <c r="R763"/>
      <c r="U763"/>
    </row>
    <row r="764" spans="18:21">
      <c r="R764"/>
      <c r="U764"/>
    </row>
    <row r="765" spans="18:21">
      <c r="R765"/>
      <c r="U765"/>
    </row>
    <row r="766" spans="18:21">
      <c r="R766"/>
      <c r="U766"/>
    </row>
    <row r="767" spans="18:21">
      <c r="R767"/>
      <c r="U767"/>
    </row>
    <row r="768" spans="18:21">
      <c r="R768"/>
      <c r="U768"/>
    </row>
    <row r="769" spans="18:21">
      <c r="R769"/>
      <c r="U769"/>
    </row>
    <row r="770" spans="18:21">
      <c r="R770"/>
      <c r="U770"/>
    </row>
    <row r="771" spans="18:21">
      <c r="R771"/>
      <c r="U771"/>
    </row>
    <row r="772" spans="18:21">
      <c r="R772"/>
      <c r="U772"/>
    </row>
    <row r="773" spans="18:21">
      <c r="R773"/>
      <c r="U773"/>
    </row>
    <row r="774" spans="18:21">
      <c r="R774"/>
      <c r="U774"/>
    </row>
    <row r="775" spans="18:21">
      <c r="R775"/>
      <c r="U775"/>
    </row>
    <row r="776" spans="18:21">
      <c r="R776"/>
      <c r="U776"/>
    </row>
    <row r="777" spans="18:21">
      <c r="R777"/>
      <c r="U777"/>
    </row>
    <row r="778" spans="18:21">
      <c r="R778"/>
      <c r="U778"/>
    </row>
    <row r="779" spans="18:21">
      <c r="R779"/>
      <c r="U779"/>
    </row>
    <row r="780" spans="18:21">
      <c r="R780"/>
      <c r="U780"/>
    </row>
    <row r="781" spans="18:21">
      <c r="R781"/>
      <c r="U781"/>
    </row>
    <row r="782" spans="18:21">
      <c r="R782"/>
      <c r="U782"/>
    </row>
    <row r="783" spans="18:21">
      <c r="R783"/>
      <c r="U783"/>
    </row>
    <row r="784" spans="18:21">
      <c r="R784"/>
      <c r="U784"/>
    </row>
    <row r="785" spans="18:21">
      <c r="R785"/>
      <c r="U785"/>
    </row>
    <row r="786" spans="18:21">
      <c r="R786"/>
      <c r="U786"/>
    </row>
    <row r="787" spans="18:21">
      <c r="R787"/>
      <c r="U787"/>
    </row>
    <row r="788" spans="18:21">
      <c r="R788"/>
      <c r="U788"/>
    </row>
    <row r="789" spans="18:21">
      <c r="R789"/>
      <c r="U789"/>
    </row>
    <row r="790" spans="18:21">
      <c r="R790"/>
      <c r="U790"/>
    </row>
    <row r="791" spans="18:21">
      <c r="R791"/>
      <c r="U791"/>
    </row>
    <row r="792" spans="18:21">
      <c r="R792"/>
      <c r="U792"/>
    </row>
    <row r="793" spans="18:21">
      <c r="R793"/>
      <c r="U793"/>
    </row>
    <row r="794" spans="18:21">
      <c r="R794"/>
      <c r="U794"/>
    </row>
    <row r="795" spans="18:21">
      <c r="R795"/>
      <c r="U795"/>
    </row>
    <row r="796" spans="18:21">
      <c r="R796"/>
      <c r="U796"/>
    </row>
    <row r="797" spans="18:21">
      <c r="R797"/>
      <c r="U797"/>
    </row>
    <row r="798" spans="18:21">
      <c r="R798"/>
      <c r="U798"/>
    </row>
    <row r="799" spans="18:21">
      <c r="R799"/>
      <c r="U799"/>
    </row>
    <row r="800" spans="18:21">
      <c r="R800"/>
      <c r="U800"/>
    </row>
    <row r="801" spans="18:21">
      <c r="R801"/>
      <c r="U801"/>
    </row>
    <row r="802" spans="18:21">
      <c r="R802"/>
      <c r="U802"/>
    </row>
    <row r="803" spans="18:21">
      <c r="R803"/>
      <c r="U803"/>
    </row>
    <row r="804" spans="18:21">
      <c r="R804"/>
      <c r="U804"/>
    </row>
    <row r="805" spans="18:21">
      <c r="R805"/>
      <c r="U805"/>
    </row>
    <row r="806" spans="18:21">
      <c r="R806"/>
      <c r="U806"/>
    </row>
    <row r="807" spans="18:21">
      <c r="R807"/>
      <c r="U807"/>
    </row>
    <row r="808" spans="18:21">
      <c r="R808"/>
      <c r="U808"/>
    </row>
    <row r="809" spans="18:21">
      <c r="R809"/>
      <c r="U809"/>
    </row>
    <row r="810" spans="18:21">
      <c r="R810"/>
      <c r="U810"/>
    </row>
    <row r="811" spans="18:21">
      <c r="R811"/>
      <c r="U811"/>
    </row>
    <row r="812" spans="18:21">
      <c r="R812"/>
      <c r="U812"/>
    </row>
    <row r="813" spans="18:21">
      <c r="R813"/>
      <c r="U813"/>
    </row>
    <row r="814" spans="18:21">
      <c r="R814"/>
      <c r="U814"/>
    </row>
    <row r="815" spans="18:21">
      <c r="R815"/>
      <c r="U815"/>
    </row>
    <row r="816" spans="18:21">
      <c r="R816"/>
      <c r="U816"/>
    </row>
    <row r="817" spans="21:21">
      <c r="U817"/>
    </row>
    <row r="818" spans="21:21">
      <c r="U818"/>
    </row>
    <row r="819" spans="21:21">
      <c r="U819"/>
    </row>
    <row r="820" spans="21:21">
      <c r="U820"/>
    </row>
    <row r="821" spans="21:21">
      <c r="U821"/>
    </row>
    <row r="822" spans="21:21">
      <c r="U822"/>
    </row>
    <row r="823" spans="21:21">
      <c r="U823"/>
    </row>
    <row r="824" spans="21:21">
      <c r="U824"/>
    </row>
    <row r="825" spans="21:21">
      <c r="U825"/>
    </row>
    <row r="826" spans="21:21">
      <c r="U826"/>
    </row>
    <row r="827" spans="21:21">
      <c r="U827"/>
    </row>
    <row r="828" spans="21:21">
      <c r="U828"/>
    </row>
    <row r="829" spans="21:21">
      <c r="U829"/>
    </row>
    <row r="830" spans="21:21">
      <c r="U830"/>
    </row>
    <row r="831" spans="21:21">
      <c r="U831"/>
    </row>
    <row r="832" spans="21:21">
      <c r="U832"/>
    </row>
    <row r="833" spans="21:21">
      <c r="U833"/>
    </row>
    <row r="834" spans="21:21">
      <c r="U834"/>
    </row>
    <row r="835" spans="21:21">
      <c r="U835"/>
    </row>
    <row r="836" spans="21:21">
      <c r="U836"/>
    </row>
    <row r="837" spans="21:21">
      <c r="U837"/>
    </row>
    <row r="838" spans="21:21">
      <c r="U838"/>
    </row>
    <row r="839" spans="21:21">
      <c r="U839"/>
    </row>
    <row r="840" spans="21:21">
      <c r="U840"/>
    </row>
    <row r="841" spans="21:21">
      <c r="U841"/>
    </row>
    <row r="842" spans="21:21">
      <c r="U842"/>
    </row>
    <row r="843" spans="21:21">
      <c r="U843"/>
    </row>
    <row r="844" spans="21:21">
      <c r="U844"/>
    </row>
    <row r="845" spans="21:21">
      <c r="U845"/>
    </row>
    <row r="846" spans="21:21">
      <c r="U846"/>
    </row>
    <row r="847" spans="21:21">
      <c r="U847"/>
    </row>
    <row r="848" spans="21:21">
      <c r="U848"/>
    </row>
    <row r="849" spans="21:21">
      <c r="U849"/>
    </row>
    <row r="850" spans="21:21">
      <c r="U850"/>
    </row>
    <row r="851" spans="21:21">
      <c r="U851"/>
    </row>
    <row r="852" spans="21:21">
      <c r="U852"/>
    </row>
    <row r="853" spans="21:21">
      <c r="U853"/>
    </row>
    <row r="854" spans="21:21">
      <c r="U854"/>
    </row>
    <row r="855" spans="21:21">
      <c r="U855"/>
    </row>
    <row r="856" spans="21:21">
      <c r="U856"/>
    </row>
    <row r="857" spans="21:21">
      <c r="U857"/>
    </row>
    <row r="858" spans="21:21">
      <c r="U858"/>
    </row>
    <row r="859" spans="21:21">
      <c r="U859"/>
    </row>
    <row r="860" spans="21:21">
      <c r="U860"/>
    </row>
    <row r="861" spans="21:21">
      <c r="U861"/>
    </row>
    <row r="862" spans="21:21">
      <c r="U862"/>
    </row>
    <row r="863" spans="21:21">
      <c r="U863"/>
    </row>
    <row r="864" spans="21:21">
      <c r="U864"/>
    </row>
    <row r="865" spans="21:21">
      <c r="U865"/>
    </row>
    <row r="866" spans="21:21">
      <c r="U866"/>
    </row>
    <row r="867" spans="21:21">
      <c r="U867"/>
    </row>
    <row r="868" spans="21:21">
      <c r="U868"/>
    </row>
    <row r="869" spans="21:21">
      <c r="U869"/>
    </row>
    <row r="870" spans="21:21">
      <c r="U870"/>
    </row>
    <row r="871" spans="21:21">
      <c r="U871"/>
    </row>
    <row r="872" spans="21:21">
      <c r="U872"/>
    </row>
    <row r="873" spans="21:21">
      <c r="U873"/>
    </row>
    <row r="874" spans="21:21">
      <c r="U874"/>
    </row>
    <row r="875" spans="21:21">
      <c r="U875"/>
    </row>
    <row r="876" spans="21:21">
      <c r="U876"/>
    </row>
    <row r="877" spans="21:21">
      <c r="U877"/>
    </row>
    <row r="878" spans="21:21">
      <c r="U878"/>
    </row>
    <row r="879" spans="21:21">
      <c r="U879"/>
    </row>
    <row r="880" spans="21:21">
      <c r="U880"/>
    </row>
    <row r="881" spans="21:21">
      <c r="U881"/>
    </row>
    <row r="882" spans="21:21">
      <c r="U882"/>
    </row>
    <row r="883" spans="21:21">
      <c r="U883"/>
    </row>
    <row r="884" spans="21:21">
      <c r="U884"/>
    </row>
    <row r="885" spans="21:21">
      <c r="U885"/>
    </row>
    <row r="886" spans="21:21">
      <c r="U886"/>
    </row>
    <row r="887" spans="21:21">
      <c r="U887"/>
    </row>
    <row r="888" spans="21:21">
      <c r="U888"/>
    </row>
    <row r="889" spans="21:21">
      <c r="U889"/>
    </row>
    <row r="890" spans="21:21">
      <c r="U890"/>
    </row>
    <row r="891" spans="21:21">
      <c r="U891"/>
    </row>
    <row r="892" spans="21:21">
      <c r="U892"/>
    </row>
    <row r="893" spans="21:21">
      <c r="U893"/>
    </row>
    <row r="894" spans="21:21">
      <c r="U894"/>
    </row>
    <row r="895" spans="21:21">
      <c r="U895"/>
    </row>
    <row r="896" spans="21:21">
      <c r="U896"/>
    </row>
    <row r="897" spans="21:21">
      <c r="U897"/>
    </row>
    <row r="898" spans="21:21">
      <c r="U898"/>
    </row>
    <row r="899" spans="21:21">
      <c r="U899"/>
    </row>
    <row r="900" spans="21:21">
      <c r="U900"/>
    </row>
    <row r="901" spans="21:21">
      <c r="U901"/>
    </row>
    <row r="902" spans="21:21">
      <c r="U902"/>
    </row>
    <row r="903" spans="21:21">
      <c r="U903"/>
    </row>
    <row r="904" spans="21:21">
      <c r="U904"/>
    </row>
    <row r="905" spans="21:21">
      <c r="U905"/>
    </row>
    <row r="906" spans="21:21">
      <c r="U906"/>
    </row>
    <row r="907" spans="21:21">
      <c r="U907"/>
    </row>
    <row r="908" spans="21:21">
      <c r="U908"/>
    </row>
    <row r="909" spans="21:21">
      <c r="U909"/>
    </row>
    <row r="910" spans="21:21">
      <c r="U910"/>
    </row>
    <row r="911" spans="21:21">
      <c r="U911"/>
    </row>
    <row r="912" spans="21:21">
      <c r="U912"/>
    </row>
    <row r="913" spans="21:21">
      <c r="U913"/>
    </row>
    <row r="914" spans="21:21">
      <c r="U914"/>
    </row>
    <row r="915" spans="21:21">
      <c r="U915"/>
    </row>
    <row r="916" spans="21:21">
      <c r="U916"/>
    </row>
    <row r="917" spans="21:21">
      <c r="U917"/>
    </row>
    <row r="918" spans="21:21">
      <c r="U918"/>
    </row>
    <row r="919" spans="21:21">
      <c r="U919"/>
    </row>
    <row r="920" spans="21:21">
      <c r="U920"/>
    </row>
    <row r="921" spans="21:21">
      <c r="U921"/>
    </row>
    <row r="922" spans="21:21">
      <c r="U922"/>
    </row>
    <row r="923" spans="21:21">
      <c r="U923"/>
    </row>
    <row r="924" spans="21:21">
      <c r="U924"/>
    </row>
    <row r="925" spans="21:21">
      <c r="U925"/>
    </row>
    <row r="926" spans="21:21">
      <c r="U926"/>
    </row>
    <row r="927" spans="21:21">
      <c r="U927"/>
    </row>
    <row r="928" spans="21:21">
      <c r="U928"/>
    </row>
    <row r="929" spans="21:21">
      <c r="U929"/>
    </row>
    <row r="930" spans="21:21">
      <c r="U930"/>
    </row>
    <row r="931" spans="21:21">
      <c r="U931"/>
    </row>
    <row r="932" spans="21:21">
      <c r="U932"/>
    </row>
    <row r="933" spans="21:21">
      <c r="U933"/>
    </row>
    <row r="934" spans="21:21">
      <c r="U934"/>
    </row>
    <row r="935" spans="21:21">
      <c r="U935"/>
    </row>
    <row r="936" spans="21:21">
      <c r="U936"/>
    </row>
    <row r="937" spans="21:21">
      <c r="U937"/>
    </row>
    <row r="938" spans="21:21">
      <c r="U938"/>
    </row>
    <row r="939" spans="21:21">
      <c r="U939"/>
    </row>
    <row r="940" spans="21:21">
      <c r="U940"/>
    </row>
    <row r="941" spans="21:21">
      <c r="U941"/>
    </row>
    <row r="942" spans="21:21">
      <c r="U942"/>
    </row>
    <row r="943" spans="21:21">
      <c r="U943"/>
    </row>
    <row r="944" spans="21:21">
      <c r="U944"/>
    </row>
    <row r="945" spans="21:21">
      <c r="U945"/>
    </row>
    <row r="946" spans="21:21">
      <c r="U946"/>
    </row>
    <row r="947" spans="21:21">
      <c r="U947"/>
    </row>
    <row r="948" spans="21:21">
      <c r="U948"/>
    </row>
    <row r="949" spans="21:21">
      <c r="U949"/>
    </row>
    <row r="950" spans="21:21">
      <c r="U950"/>
    </row>
    <row r="951" spans="21:21">
      <c r="U951"/>
    </row>
    <row r="952" spans="21:21">
      <c r="U952"/>
    </row>
    <row r="953" spans="21:21">
      <c r="U953"/>
    </row>
    <row r="954" spans="21:21">
      <c r="U954"/>
    </row>
    <row r="955" spans="21:21">
      <c r="U955"/>
    </row>
    <row r="956" spans="21:21">
      <c r="U956"/>
    </row>
    <row r="957" spans="21:21">
      <c r="U957"/>
    </row>
    <row r="958" spans="21:21">
      <c r="U958"/>
    </row>
    <row r="959" spans="21:21">
      <c r="U959"/>
    </row>
    <row r="960" spans="21:21">
      <c r="U960"/>
    </row>
    <row r="961" spans="21:21">
      <c r="U961"/>
    </row>
    <row r="962" spans="21:21">
      <c r="U962"/>
    </row>
    <row r="963" spans="21:21">
      <c r="U963"/>
    </row>
    <row r="964" spans="21:21">
      <c r="U964"/>
    </row>
    <row r="965" spans="21:21">
      <c r="U965"/>
    </row>
    <row r="966" spans="21:21">
      <c r="U966"/>
    </row>
    <row r="967" spans="21:21">
      <c r="U967"/>
    </row>
    <row r="968" spans="21:21">
      <c r="U968"/>
    </row>
    <row r="969" spans="21:21">
      <c r="U969"/>
    </row>
    <row r="970" spans="21:21">
      <c r="U970"/>
    </row>
    <row r="971" spans="21:21">
      <c r="U971"/>
    </row>
    <row r="972" spans="21:21">
      <c r="U972"/>
    </row>
    <row r="973" spans="21:21">
      <c r="U973"/>
    </row>
    <row r="974" spans="21:21">
      <c r="U974"/>
    </row>
    <row r="975" spans="21:21">
      <c r="U975"/>
    </row>
    <row r="976" spans="21:21">
      <c r="U976"/>
    </row>
    <row r="977" spans="21:21">
      <c r="U977"/>
    </row>
    <row r="978" spans="21:21">
      <c r="U978"/>
    </row>
    <row r="979" spans="21:21">
      <c r="U979"/>
    </row>
    <row r="980" spans="21:21">
      <c r="U980"/>
    </row>
    <row r="981" spans="21:21">
      <c r="U981"/>
    </row>
    <row r="982" spans="21:21">
      <c r="U982"/>
    </row>
    <row r="983" spans="21:21">
      <c r="U983"/>
    </row>
    <row r="984" spans="21:21">
      <c r="U984"/>
    </row>
    <row r="985" spans="21:21">
      <c r="U985"/>
    </row>
    <row r="986" spans="21:21">
      <c r="U986"/>
    </row>
    <row r="987" spans="21:21">
      <c r="U987"/>
    </row>
    <row r="988" spans="21:21">
      <c r="U988"/>
    </row>
    <row r="989" spans="21:21">
      <c r="U989"/>
    </row>
    <row r="990" spans="21:21">
      <c r="U990"/>
    </row>
    <row r="991" spans="21:21">
      <c r="U991"/>
    </row>
    <row r="992" spans="21:21">
      <c r="U992"/>
    </row>
    <row r="993" spans="21:21">
      <c r="U993"/>
    </row>
    <row r="994" spans="21:21">
      <c r="U994"/>
    </row>
    <row r="995" spans="21:21">
      <c r="U995"/>
    </row>
    <row r="996" spans="21:21">
      <c r="U996"/>
    </row>
    <row r="997" spans="21:21">
      <c r="U997"/>
    </row>
    <row r="998" spans="21:21">
      <c r="U998"/>
    </row>
    <row r="999" spans="21:21">
      <c r="U999"/>
    </row>
    <row r="1000" spans="21:21">
      <c r="U1000"/>
    </row>
    <row r="1001" spans="21:21">
      <c r="U1001"/>
    </row>
    <row r="1002" spans="21:21">
      <c r="U1002"/>
    </row>
    <row r="1003" spans="21:21">
      <c r="U1003"/>
    </row>
    <row r="1004" spans="21:21">
      <c r="U1004"/>
    </row>
    <row r="1005" spans="21:21">
      <c r="U1005"/>
    </row>
    <row r="1006" spans="21:21">
      <c r="U1006"/>
    </row>
    <row r="1007" spans="21:21">
      <c r="U1007"/>
    </row>
    <row r="1008" spans="21:21">
      <c r="U1008"/>
    </row>
    <row r="1009" spans="21:21">
      <c r="U1009"/>
    </row>
    <row r="1010" spans="21:21">
      <c r="U1010"/>
    </row>
    <row r="1011" spans="21:21">
      <c r="U1011"/>
    </row>
    <row r="1012" spans="21:21">
      <c r="U1012"/>
    </row>
    <row r="1013" spans="21:21">
      <c r="U1013"/>
    </row>
    <row r="1014" spans="21:21">
      <c r="U1014"/>
    </row>
    <row r="1015" spans="21:21">
      <c r="U1015"/>
    </row>
    <row r="1016" spans="21:21">
      <c r="U1016"/>
    </row>
    <row r="1017" spans="21:21">
      <c r="U1017"/>
    </row>
    <row r="1018" spans="21:21">
      <c r="U1018"/>
    </row>
    <row r="1019" spans="21:21">
      <c r="U1019"/>
    </row>
    <row r="1020" spans="21:21">
      <c r="U1020"/>
    </row>
    <row r="1021" spans="21:21">
      <c r="U1021"/>
    </row>
    <row r="1022" spans="21:21">
      <c r="U1022"/>
    </row>
    <row r="1023" spans="21:21">
      <c r="U1023"/>
    </row>
    <row r="1024" spans="21:21">
      <c r="U1024"/>
    </row>
    <row r="1025" spans="21:21">
      <c r="U1025"/>
    </row>
    <row r="1026" spans="21:21">
      <c r="U1026"/>
    </row>
    <row r="1027" spans="21:21">
      <c r="U1027"/>
    </row>
    <row r="1028" spans="21:21">
      <c r="U1028"/>
    </row>
    <row r="1029" spans="21:21">
      <c r="U1029"/>
    </row>
    <row r="1030" spans="21:21">
      <c r="U1030"/>
    </row>
    <row r="1031" spans="21:21">
      <c r="U1031"/>
    </row>
    <row r="1032" spans="21:21">
      <c r="U1032"/>
    </row>
    <row r="1033" spans="21:21">
      <c r="U1033"/>
    </row>
    <row r="1034" spans="21:21">
      <c r="U1034"/>
    </row>
    <row r="1035" spans="21:21">
      <c r="U1035"/>
    </row>
    <row r="1036" spans="21:21">
      <c r="U1036"/>
    </row>
    <row r="1037" spans="21:21">
      <c r="U1037"/>
    </row>
    <row r="1038" spans="21:21">
      <c r="U1038"/>
    </row>
    <row r="1039" spans="21:21">
      <c r="U1039"/>
    </row>
    <row r="1040" spans="21:21">
      <c r="U1040"/>
    </row>
    <row r="1041" spans="21:21">
      <c r="U1041"/>
    </row>
    <row r="1042" spans="21:21">
      <c r="U1042"/>
    </row>
    <row r="1043" spans="21:21">
      <c r="U1043"/>
    </row>
    <row r="1044" spans="21:21">
      <c r="U1044"/>
    </row>
    <row r="1045" spans="21:21">
      <c r="U1045"/>
    </row>
    <row r="1046" spans="21:21">
      <c r="U1046"/>
    </row>
    <row r="1047" spans="21:21">
      <c r="U1047"/>
    </row>
    <row r="1048" spans="21:21">
      <c r="U1048"/>
    </row>
    <row r="1049" spans="21:21">
      <c r="U1049"/>
    </row>
    <row r="1050" spans="21:21">
      <c r="U1050"/>
    </row>
    <row r="1051" spans="21:21">
      <c r="U1051"/>
    </row>
    <row r="1052" spans="21:21">
      <c r="U1052"/>
    </row>
    <row r="1053" spans="21:21">
      <c r="U1053"/>
    </row>
    <row r="1054" spans="21:21">
      <c r="U1054"/>
    </row>
    <row r="1055" spans="21:21">
      <c r="U1055"/>
    </row>
    <row r="1056" spans="21:21">
      <c r="U1056"/>
    </row>
    <row r="1057" spans="21:21">
      <c r="U1057"/>
    </row>
    <row r="1058" spans="21:21">
      <c r="U1058"/>
    </row>
    <row r="1059" spans="21:21">
      <c r="U1059"/>
    </row>
    <row r="1060" spans="21:21">
      <c r="U1060"/>
    </row>
    <row r="1061" spans="21:21">
      <c r="U1061"/>
    </row>
    <row r="1062" spans="21:21">
      <c r="U1062"/>
    </row>
    <row r="1063" spans="21:21">
      <c r="U1063"/>
    </row>
    <row r="1064" spans="21:21">
      <c r="U1064"/>
    </row>
    <row r="1065" spans="21:21">
      <c r="U1065"/>
    </row>
    <row r="1066" spans="21:21">
      <c r="U1066"/>
    </row>
    <row r="1067" spans="21:21">
      <c r="U1067"/>
    </row>
    <row r="1068" spans="21:21">
      <c r="U1068"/>
    </row>
    <row r="1069" spans="21:21">
      <c r="U1069"/>
    </row>
    <row r="1070" spans="21:21">
      <c r="U1070"/>
    </row>
    <row r="1071" spans="21:21">
      <c r="U1071"/>
    </row>
    <row r="1072" spans="21:21">
      <c r="U1072"/>
    </row>
    <row r="1073" spans="21:21">
      <c r="U1073"/>
    </row>
    <row r="1074" spans="21:21">
      <c r="U1074"/>
    </row>
    <row r="1075" spans="21:21">
      <c r="U1075"/>
    </row>
    <row r="1076" spans="21:21">
      <c r="U1076"/>
    </row>
    <row r="1077" spans="21:21">
      <c r="U1077"/>
    </row>
    <row r="1078" spans="21:21">
      <c r="U1078"/>
    </row>
    <row r="1079" spans="21:21">
      <c r="U1079"/>
    </row>
    <row r="1080" spans="21:21">
      <c r="U1080"/>
    </row>
    <row r="1081" spans="21:21">
      <c r="U1081"/>
    </row>
    <row r="1082" spans="21:21">
      <c r="U1082"/>
    </row>
    <row r="1083" spans="21:21">
      <c r="U1083"/>
    </row>
    <row r="1084" spans="21:21">
      <c r="U1084"/>
    </row>
    <row r="1085" spans="21:21">
      <c r="U1085"/>
    </row>
    <row r="1086" spans="21:21">
      <c r="U1086"/>
    </row>
    <row r="1087" spans="21:21">
      <c r="U1087"/>
    </row>
    <row r="1088" spans="21:21">
      <c r="U1088"/>
    </row>
    <row r="1089" spans="21:21">
      <c r="U1089"/>
    </row>
    <row r="1090" spans="21:21">
      <c r="U1090"/>
    </row>
    <row r="1091" spans="21:21">
      <c r="U1091"/>
    </row>
    <row r="1092" spans="21:21">
      <c r="U1092"/>
    </row>
    <row r="1093" spans="21:21">
      <c r="U1093"/>
    </row>
    <row r="1094" spans="21:21">
      <c r="U1094"/>
    </row>
    <row r="1095" spans="21:21">
      <c r="U1095"/>
    </row>
    <row r="1096" spans="21:21">
      <c r="U1096"/>
    </row>
    <row r="1097" spans="21:21">
      <c r="U1097"/>
    </row>
    <row r="1098" spans="21:21">
      <c r="U1098"/>
    </row>
    <row r="1099" spans="21:21">
      <c r="U1099"/>
    </row>
    <row r="1100" spans="21:21">
      <c r="U1100"/>
    </row>
    <row r="1101" spans="21:21">
      <c r="U1101"/>
    </row>
    <row r="1102" spans="21:21">
      <c r="U1102"/>
    </row>
    <row r="1103" spans="21:21">
      <c r="U1103"/>
    </row>
    <row r="1104" spans="21:21">
      <c r="U1104"/>
    </row>
    <row r="1105" spans="21:21">
      <c r="U1105"/>
    </row>
    <row r="1106" spans="21:21">
      <c r="U1106"/>
    </row>
    <row r="1107" spans="21:21">
      <c r="U1107"/>
    </row>
    <row r="1108" spans="21:21">
      <c r="U1108"/>
    </row>
    <row r="1109" spans="21:21">
      <c r="U1109"/>
    </row>
    <row r="1110" spans="21:21">
      <c r="U1110"/>
    </row>
    <row r="1111" spans="21:21">
      <c r="U1111"/>
    </row>
    <row r="1112" spans="21:21">
      <c r="U1112"/>
    </row>
    <row r="1113" spans="21:21">
      <c r="U1113"/>
    </row>
    <row r="1114" spans="21:21">
      <c r="U1114"/>
    </row>
    <row r="1115" spans="21:21">
      <c r="U1115"/>
    </row>
    <row r="1116" spans="21:21">
      <c r="U1116"/>
    </row>
    <row r="1117" spans="21:21">
      <c r="U1117"/>
    </row>
    <row r="1118" spans="21:21">
      <c r="U1118"/>
    </row>
    <row r="1119" spans="21:21">
      <c r="U1119"/>
    </row>
    <row r="1120" spans="21:21">
      <c r="U1120"/>
    </row>
    <row r="1121" spans="21:21">
      <c r="U1121"/>
    </row>
    <row r="1122" spans="21:21">
      <c r="U1122"/>
    </row>
    <row r="1123" spans="21:21">
      <c r="U1123"/>
    </row>
    <row r="1124" spans="21:21">
      <c r="U1124"/>
    </row>
    <row r="1125" spans="21:21">
      <c r="U1125"/>
    </row>
    <row r="1126" spans="21:21">
      <c r="U1126"/>
    </row>
    <row r="1127" spans="21:21">
      <c r="U1127"/>
    </row>
    <row r="1128" spans="21:21">
      <c r="U1128"/>
    </row>
    <row r="1129" spans="21:21">
      <c r="U1129"/>
    </row>
    <row r="1130" spans="21:21">
      <c r="U1130"/>
    </row>
    <row r="1131" spans="21:21">
      <c r="U1131"/>
    </row>
    <row r="1132" spans="21:21">
      <c r="U1132"/>
    </row>
    <row r="1133" spans="21:21">
      <c r="U1133"/>
    </row>
    <row r="1134" spans="21:21">
      <c r="U1134"/>
    </row>
    <row r="1135" spans="21:21">
      <c r="U1135"/>
    </row>
    <row r="1136" spans="21:21">
      <c r="U1136"/>
    </row>
    <row r="1137" spans="21:21">
      <c r="U1137"/>
    </row>
    <row r="1138" spans="21:21">
      <c r="U1138"/>
    </row>
    <row r="1139" spans="21:21">
      <c r="U1139"/>
    </row>
    <row r="1140" spans="21:21">
      <c r="U1140"/>
    </row>
    <row r="1141" spans="21:21">
      <c r="U1141"/>
    </row>
    <row r="1142" spans="21:21">
      <c r="U1142"/>
    </row>
    <row r="1143" spans="21:21">
      <c r="U1143"/>
    </row>
    <row r="1144" spans="21:21">
      <c r="U1144"/>
    </row>
    <row r="1145" spans="21:21">
      <c r="U1145"/>
    </row>
    <row r="1146" spans="21:21">
      <c r="U1146"/>
    </row>
    <row r="1147" spans="21:21">
      <c r="U1147"/>
    </row>
    <row r="1148" spans="21:21">
      <c r="U1148"/>
    </row>
    <row r="1149" spans="21:21">
      <c r="U1149"/>
    </row>
    <row r="1150" spans="21:21">
      <c r="U1150"/>
    </row>
    <row r="1151" spans="21:21">
      <c r="U1151"/>
    </row>
    <row r="1152" spans="21:21">
      <c r="U1152"/>
    </row>
    <row r="1153" spans="21:21">
      <c r="U1153"/>
    </row>
    <row r="1154" spans="21:21">
      <c r="U1154"/>
    </row>
    <row r="1155" spans="21:21">
      <c r="U1155"/>
    </row>
    <row r="1156" spans="21:21">
      <c r="U1156"/>
    </row>
    <row r="1157" spans="21:21">
      <c r="U1157"/>
    </row>
    <row r="1158" spans="21:21">
      <c r="U1158"/>
    </row>
    <row r="1159" spans="21:21">
      <c r="U1159"/>
    </row>
    <row r="1160" spans="21:21">
      <c r="U1160"/>
    </row>
    <row r="1161" spans="21:21">
      <c r="U1161"/>
    </row>
    <row r="1162" spans="21:21">
      <c r="U1162"/>
    </row>
    <row r="1163" spans="21:21">
      <c r="U1163"/>
    </row>
    <row r="1164" spans="21:21">
      <c r="U1164"/>
    </row>
    <row r="1165" spans="21:21">
      <c r="U1165"/>
    </row>
    <row r="1166" spans="21:21">
      <c r="U1166"/>
    </row>
    <row r="1167" spans="21:21">
      <c r="U1167"/>
    </row>
    <row r="1168" spans="21:21">
      <c r="U1168"/>
    </row>
    <row r="1169" spans="21:21">
      <c r="U1169"/>
    </row>
    <row r="1170" spans="21:21">
      <c r="U1170"/>
    </row>
    <row r="1171" spans="21:21">
      <c r="U1171"/>
    </row>
    <row r="1172" spans="21:21">
      <c r="U1172"/>
    </row>
    <row r="1173" spans="21:21">
      <c r="U1173"/>
    </row>
    <row r="1174" spans="21:21">
      <c r="U1174"/>
    </row>
    <row r="1175" spans="21:21">
      <c r="U1175"/>
    </row>
    <row r="1176" spans="21:21">
      <c r="U1176"/>
    </row>
    <row r="1177" spans="21:21">
      <c r="U1177"/>
    </row>
    <row r="1178" spans="21:21">
      <c r="U1178"/>
    </row>
    <row r="1179" spans="21:21">
      <c r="U1179"/>
    </row>
    <row r="1180" spans="21:21">
      <c r="U1180"/>
    </row>
    <row r="1181" spans="21:21">
      <c r="U1181"/>
    </row>
    <row r="1182" spans="21:21">
      <c r="U1182"/>
    </row>
    <row r="1183" spans="21:21">
      <c r="U1183"/>
    </row>
    <row r="1184" spans="21:21">
      <c r="U1184"/>
    </row>
    <row r="1185" spans="21:21">
      <c r="U1185"/>
    </row>
    <row r="1186" spans="21:21">
      <c r="U1186"/>
    </row>
    <row r="1187" spans="21:21">
      <c r="U1187"/>
    </row>
    <row r="1188" spans="21:21">
      <c r="U1188"/>
    </row>
    <row r="1189" spans="21:21">
      <c r="U1189"/>
    </row>
    <row r="1190" spans="21:21">
      <c r="U1190"/>
    </row>
    <row r="1191" spans="21:21">
      <c r="U1191"/>
    </row>
    <row r="1192" spans="21:21">
      <c r="U1192"/>
    </row>
    <row r="1193" spans="21:21">
      <c r="U1193"/>
    </row>
    <row r="1194" spans="21:21">
      <c r="U1194"/>
    </row>
    <row r="1195" spans="21:21">
      <c r="U1195"/>
    </row>
    <row r="1196" spans="21:21">
      <c r="U1196"/>
    </row>
    <row r="1197" spans="21:21">
      <c r="U1197"/>
    </row>
    <row r="1198" spans="21:21">
      <c r="U1198"/>
    </row>
    <row r="1199" spans="21:21">
      <c r="U1199"/>
    </row>
    <row r="1200" spans="21:21">
      <c r="U1200"/>
    </row>
    <row r="1201" spans="21:21">
      <c r="U1201"/>
    </row>
    <row r="1202" spans="21:21">
      <c r="U1202"/>
    </row>
    <row r="1203" spans="21:21">
      <c r="U1203"/>
    </row>
    <row r="1204" spans="21:21">
      <c r="U1204"/>
    </row>
    <row r="1205" spans="21:21">
      <c r="U1205"/>
    </row>
    <row r="1206" spans="21:21">
      <c r="U1206"/>
    </row>
    <row r="1207" spans="21:21">
      <c r="U1207"/>
    </row>
    <row r="1208" spans="21:21">
      <c r="U1208"/>
    </row>
    <row r="1209" spans="21:21">
      <c r="U1209"/>
    </row>
    <row r="1210" spans="21:21">
      <c r="U1210"/>
    </row>
    <row r="1211" spans="21:21">
      <c r="U1211"/>
    </row>
    <row r="1212" spans="21:21">
      <c r="U1212"/>
    </row>
    <row r="1213" spans="21:21">
      <c r="U1213"/>
    </row>
    <row r="1214" spans="21:21">
      <c r="U1214"/>
    </row>
    <row r="1215" spans="21:21">
      <c r="U1215"/>
    </row>
    <row r="1216" spans="21:21">
      <c r="U1216"/>
    </row>
    <row r="1217" spans="21:21">
      <c r="U1217"/>
    </row>
    <row r="1218" spans="21:21">
      <c r="U1218"/>
    </row>
    <row r="1219" spans="21:21">
      <c r="U1219"/>
    </row>
    <row r="1220" spans="21:21">
      <c r="U1220"/>
    </row>
    <row r="1221" spans="21:21">
      <c r="U1221"/>
    </row>
    <row r="1222" spans="21:21">
      <c r="U1222"/>
    </row>
    <row r="1223" spans="21:21">
      <c r="U1223"/>
    </row>
    <row r="1224" spans="21:21">
      <c r="U1224"/>
    </row>
    <row r="1225" spans="21:21">
      <c r="U1225"/>
    </row>
    <row r="1226" spans="21:21">
      <c r="U1226"/>
    </row>
    <row r="1227" spans="21:21">
      <c r="U1227"/>
    </row>
    <row r="1228" spans="21:21">
      <c r="U1228"/>
    </row>
    <row r="1229" spans="21:21">
      <c r="U1229"/>
    </row>
    <row r="1230" spans="21:21">
      <c r="U1230"/>
    </row>
    <row r="1231" spans="21:21">
      <c r="U1231"/>
    </row>
    <row r="1232" spans="21:21">
      <c r="U1232"/>
    </row>
    <row r="1233" spans="21:21">
      <c r="U1233"/>
    </row>
    <row r="1234" spans="21:21">
      <c r="U1234"/>
    </row>
    <row r="1235" spans="21:21">
      <c r="U1235"/>
    </row>
    <row r="1236" spans="21:21">
      <c r="U1236"/>
    </row>
    <row r="1237" spans="21:21">
      <c r="U1237"/>
    </row>
    <row r="1238" spans="21:21">
      <c r="U1238"/>
    </row>
    <row r="1239" spans="21:21">
      <c r="U1239"/>
    </row>
    <row r="1240" spans="21:21">
      <c r="U1240"/>
    </row>
    <row r="1241" spans="21:21">
      <c r="U1241"/>
    </row>
    <row r="1242" spans="21:21">
      <c r="U1242"/>
    </row>
    <row r="1243" spans="21:21">
      <c r="U1243"/>
    </row>
    <row r="1244" spans="21:21">
      <c r="U1244"/>
    </row>
    <row r="1245" spans="21:21">
      <c r="U1245"/>
    </row>
    <row r="1246" spans="21:21">
      <c r="U1246"/>
    </row>
    <row r="1247" spans="21:21">
      <c r="U1247"/>
    </row>
    <row r="1248" spans="21:21">
      <c r="U1248"/>
    </row>
    <row r="1249" spans="21:21">
      <c r="U1249"/>
    </row>
    <row r="1250" spans="21:21">
      <c r="U1250"/>
    </row>
    <row r="1251" spans="21:21">
      <c r="U1251"/>
    </row>
    <row r="1252" spans="21:21">
      <c r="U1252"/>
    </row>
    <row r="1253" spans="21:21">
      <c r="U1253"/>
    </row>
    <row r="1254" spans="21:21">
      <c r="U1254"/>
    </row>
    <row r="1255" spans="21:21">
      <c r="U1255"/>
    </row>
    <row r="1256" spans="21:21">
      <c r="U1256"/>
    </row>
    <row r="1257" spans="21:21">
      <c r="U1257"/>
    </row>
    <row r="1258" spans="21:21">
      <c r="U1258"/>
    </row>
    <row r="1259" spans="21:21">
      <c r="U1259"/>
    </row>
    <row r="1260" spans="21:21">
      <c r="U1260"/>
    </row>
    <row r="1261" spans="21:21">
      <c r="U1261"/>
    </row>
    <row r="1262" spans="21:21">
      <c r="U1262"/>
    </row>
    <row r="1263" spans="21:21">
      <c r="U1263"/>
    </row>
    <row r="1264" spans="21:21">
      <c r="U1264"/>
    </row>
    <row r="1265" spans="21:21">
      <c r="U1265"/>
    </row>
    <row r="1266" spans="21:21">
      <c r="U1266"/>
    </row>
    <row r="1267" spans="21:21">
      <c r="U1267"/>
    </row>
    <row r="1268" spans="21:21">
      <c r="U1268"/>
    </row>
    <row r="1269" spans="21:21">
      <c r="U1269"/>
    </row>
    <row r="1270" spans="21:21">
      <c r="U1270"/>
    </row>
    <row r="1271" spans="21:21">
      <c r="U1271"/>
    </row>
    <row r="1272" spans="21:21">
      <c r="U1272"/>
    </row>
    <row r="1273" spans="21:21">
      <c r="U1273"/>
    </row>
    <row r="1274" spans="21:21">
      <c r="U1274"/>
    </row>
    <row r="1275" spans="21:21">
      <c r="U1275"/>
    </row>
    <row r="1276" spans="21:21">
      <c r="U1276"/>
    </row>
    <row r="1277" spans="21:21">
      <c r="U1277"/>
    </row>
    <row r="1278" spans="21:21">
      <c r="U1278"/>
    </row>
    <row r="1279" spans="21:21">
      <c r="U1279"/>
    </row>
    <row r="1280" spans="21:21">
      <c r="U1280"/>
    </row>
    <row r="1281" spans="21:21">
      <c r="U1281"/>
    </row>
    <row r="1282" spans="21:21">
      <c r="U1282"/>
    </row>
    <row r="1283" spans="21:21">
      <c r="U1283"/>
    </row>
    <row r="1284" spans="21:21">
      <c r="U1284"/>
    </row>
    <row r="1285" spans="21:21">
      <c r="U1285"/>
    </row>
    <row r="1286" spans="21:21">
      <c r="U1286"/>
    </row>
    <row r="1287" spans="21:21">
      <c r="U1287"/>
    </row>
    <row r="1288" spans="21:21">
      <c r="U1288"/>
    </row>
    <row r="1289" spans="21:21">
      <c r="U1289"/>
    </row>
    <row r="1290" spans="21:21">
      <c r="U1290"/>
    </row>
    <row r="1291" spans="21:21">
      <c r="U1291"/>
    </row>
    <row r="1292" spans="21:21">
      <c r="U1292"/>
    </row>
    <row r="1293" spans="21:21">
      <c r="U1293"/>
    </row>
    <row r="1294" spans="21:21">
      <c r="U1294"/>
    </row>
    <row r="1295" spans="21:21">
      <c r="U1295"/>
    </row>
    <row r="1296" spans="21:21">
      <c r="U1296"/>
    </row>
    <row r="1297" spans="21:21">
      <c r="U1297"/>
    </row>
    <row r="1298" spans="21:21">
      <c r="U1298"/>
    </row>
    <row r="1299" spans="21:21">
      <c r="U1299"/>
    </row>
    <row r="1300" spans="21:21">
      <c r="U1300"/>
    </row>
    <row r="1301" spans="21:21">
      <c r="U1301"/>
    </row>
    <row r="1302" spans="21:21">
      <c r="U1302"/>
    </row>
    <row r="1303" spans="21:21">
      <c r="U1303"/>
    </row>
    <row r="1304" spans="21:21">
      <c r="U1304"/>
    </row>
    <row r="1305" spans="21:21">
      <c r="U1305"/>
    </row>
    <row r="1306" spans="21:21">
      <c r="U1306"/>
    </row>
    <row r="1307" spans="21:21">
      <c r="U1307"/>
    </row>
    <row r="1308" spans="21:21">
      <c r="U1308"/>
    </row>
    <row r="1309" spans="21:21">
      <c r="U1309"/>
    </row>
    <row r="1310" spans="21:21">
      <c r="U1310"/>
    </row>
    <row r="1311" spans="21:21">
      <c r="U1311"/>
    </row>
    <row r="1312" spans="21:21">
      <c r="U1312"/>
    </row>
    <row r="1313" spans="21:21">
      <c r="U1313"/>
    </row>
    <row r="1314" spans="21:21">
      <c r="U1314"/>
    </row>
    <row r="1315" spans="21:21">
      <c r="U1315"/>
    </row>
    <row r="1316" spans="21:21">
      <c r="U1316"/>
    </row>
    <row r="1317" spans="21:21">
      <c r="U1317"/>
    </row>
    <row r="1318" spans="21:21">
      <c r="U1318"/>
    </row>
    <row r="1319" spans="21:21">
      <c r="U1319"/>
    </row>
    <row r="1320" spans="21:21">
      <c r="U1320"/>
    </row>
    <row r="1321" spans="21:21">
      <c r="U1321"/>
    </row>
    <row r="1322" spans="21:21">
      <c r="U1322"/>
    </row>
    <row r="1323" spans="21:21">
      <c r="U1323"/>
    </row>
    <row r="1324" spans="21:21">
      <c r="U1324"/>
    </row>
    <row r="1325" spans="21:21">
      <c r="U1325"/>
    </row>
    <row r="1326" spans="21:21">
      <c r="U1326"/>
    </row>
    <row r="1327" spans="21:21">
      <c r="U1327"/>
    </row>
    <row r="1328" spans="21:21">
      <c r="U1328"/>
    </row>
    <row r="1329" spans="21:21">
      <c r="U1329"/>
    </row>
    <row r="1330" spans="21:21">
      <c r="U1330"/>
    </row>
    <row r="1331" spans="21:21">
      <c r="U1331"/>
    </row>
    <row r="1332" spans="21:21">
      <c r="U1332"/>
    </row>
    <row r="1333" spans="21:21">
      <c r="U1333"/>
    </row>
    <row r="1334" spans="21:21">
      <c r="U1334"/>
    </row>
    <row r="1335" spans="21:21">
      <c r="U1335"/>
    </row>
    <row r="1336" spans="21:21">
      <c r="U1336"/>
    </row>
    <row r="1337" spans="21:21">
      <c r="U1337"/>
    </row>
    <row r="1338" spans="21:21">
      <c r="U1338"/>
    </row>
    <row r="1339" spans="21:21">
      <c r="U1339"/>
    </row>
    <row r="1340" spans="21:21">
      <c r="U1340"/>
    </row>
    <row r="1341" spans="21:21">
      <c r="U1341"/>
    </row>
    <row r="1342" spans="21:21">
      <c r="U1342"/>
    </row>
    <row r="1343" spans="21:21">
      <c r="U1343"/>
    </row>
    <row r="1344" spans="21:21">
      <c r="U1344"/>
    </row>
    <row r="1345" spans="21:21">
      <c r="U1345"/>
    </row>
    <row r="1346" spans="21:21">
      <c r="U1346"/>
    </row>
    <row r="1347" spans="21:21">
      <c r="U1347"/>
    </row>
    <row r="1348" spans="21:21">
      <c r="U1348"/>
    </row>
    <row r="1349" spans="21:21">
      <c r="U1349"/>
    </row>
    <row r="1350" spans="21:21">
      <c r="U1350"/>
    </row>
    <row r="1351" spans="21:21">
      <c r="U1351"/>
    </row>
    <row r="1352" spans="21:21">
      <c r="U1352"/>
    </row>
    <row r="1353" spans="21:21">
      <c r="U1353"/>
    </row>
    <row r="1354" spans="21:21">
      <c r="U1354"/>
    </row>
    <row r="1355" spans="21:21">
      <c r="U1355"/>
    </row>
    <row r="1356" spans="21:21">
      <c r="U1356"/>
    </row>
    <row r="1357" spans="21:21">
      <c r="U1357"/>
    </row>
    <row r="1358" spans="21:21">
      <c r="U1358"/>
    </row>
    <row r="1359" spans="21:21">
      <c r="U1359"/>
    </row>
    <row r="1360" spans="21:21">
      <c r="U1360"/>
    </row>
    <row r="1361" spans="21:21">
      <c r="U1361"/>
    </row>
    <row r="1362" spans="21:21">
      <c r="U1362"/>
    </row>
    <row r="1363" spans="21:21">
      <c r="U1363"/>
    </row>
    <row r="1364" spans="21:21">
      <c r="U1364"/>
    </row>
    <row r="1365" spans="21:21">
      <c r="U1365"/>
    </row>
    <row r="1366" spans="21:21">
      <c r="U1366"/>
    </row>
    <row r="1367" spans="21:21">
      <c r="U1367"/>
    </row>
    <row r="1368" spans="21:21">
      <c r="U1368"/>
    </row>
    <row r="1369" spans="21:21">
      <c r="U1369"/>
    </row>
    <row r="1370" spans="21:21">
      <c r="U1370"/>
    </row>
    <row r="1371" spans="21:21">
      <c r="U1371"/>
    </row>
    <row r="1372" spans="21:21">
      <c r="U1372"/>
    </row>
    <row r="1373" spans="21:21">
      <c r="U1373"/>
    </row>
    <row r="1374" spans="21:21">
      <c r="U1374"/>
    </row>
    <row r="1375" spans="21:21">
      <c r="U1375"/>
    </row>
    <row r="1376" spans="21:21">
      <c r="U1376"/>
    </row>
    <row r="1377" spans="21:21">
      <c r="U1377"/>
    </row>
    <row r="1378" spans="21:21">
      <c r="U1378"/>
    </row>
    <row r="1379" spans="21:21">
      <c r="U1379"/>
    </row>
    <row r="1380" spans="21:21">
      <c r="U1380"/>
    </row>
    <row r="1381" spans="21:21">
      <c r="U1381"/>
    </row>
    <row r="1382" spans="21:21">
      <c r="U1382"/>
    </row>
    <row r="1383" spans="21:21">
      <c r="U1383"/>
    </row>
    <row r="1384" spans="21:21">
      <c r="U1384"/>
    </row>
    <row r="1385" spans="21:21">
      <c r="U1385"/>
    </row>
    <row r="1386" spans="21:21">
      <c r="U1386"/>
    </row>
    <row r="1387" spans="21:21">
      <c r="U1387"/>
    </row>
    <row r="1388" spans="21:21">
      <c r="U1388"/>
    </row>
    <row r="1389" spans="21:21">
      <c r="U1389"/>
    </row>
    <row r="1390" spans="21:21">
      <c r="U1390"/>
    </row>
    <row r="1391" spans="21:21">
      <c r="U1391"/>
    </row>
    <row r="1392" spans="21:21">
      <c r="U1392"/>
    </row>
    <row r="1393" spans="21:21">
      <c r="U1393"/>
    </row>
    <row r="1394" spans="21:21">
      <c r="U1394"/>
    </row>
    <row r="1395" spans="21:21">
      <c r="U1395"/>
    </row>
    <row r="1396" spans="21:21">
      <c r="U1396"/>
    </row>
    <row r="1397" spans="21:21">
      <c r="U1397"/>
    </row>
    <row r="1398" spans="21:21">
      <c r="U1398"/>
    </row>
    <row r="1399" spans="21:21">
      <c r="U1399"/>
    </row>
    <row r="1400" spans="21:21">
      <c r="U1400"/>
    </row>
    <row r="1401" spans="21:21">
      <c r="U1401"/>
    </row>
    <row r="1402" spans="21:21">
      <c r="U1402"/>
    </row>
    <row r="1403" spans="21:21">
      <c r="U1403"/>
    </row>
    <row r="1404" spans="21:21">
      <c r="U1404"/>
    </row>
    <row r="1405" spans="21:21">
      <c r="U1405"/>
    </row>
    <row r="1406" spans="21:21">
      <c r="U1406"/>
    </row>
    <row r="1407" spans="21:21">
      <c r="U1407"/>
    </row>
    <row r="1408" spans="21:21">
      <c r="U1408"/>
    </row>
    <row r="1409" spans="21:21">
      <c r="U1409"/>
    </row>
    <row r="1410" spans="21:21">
      <c r="U1410"/>
    </row>
    <row r="1411" spans="21:21">
      <c r="U1411"/>
    </row>
    <row r="1412" spans="21:21">
      <c r="U1412"/>
    </row>
    <row r="1413" spans="21:21">
      <c r="U1413"/>
    </row>
    <row r="1414" spans="21:21">
      <c r="U1414"/>
    </row>
    <row r="1415" spans="21:21">
      <c r="U1415"/>
    </row>
    <row r="1416" spans="21:21">
      <c r="U1416"/>
    </row>
    <row r="1417" spans="21:21">
      <c r="U1417"/>
    </row>
    <row r="1418" spans="21:21">
      <c r="U1418"/>
    </row>
    <row r="1419" spans="21:21">
      <c r="U1419"/>
    </row>
    <row r="1420" spans="21:21">
      <c r="U1420"/>
    </row>
    <row r="1421" spans="21:21">
      <c r="U1421"/>
    </row>
    <row r="1422" spans="21:21">
      <c r="U1422"/>
    </row>
    <row r="1423" spans="21:21">
      <c r="U1423"/>
    </row>
    <row r="1424" spans="21:21">
      <c r="U1424"/>
    </row>
    <row r="1425" spans="21:21">
      <c r="U1425"/>
    </row>
    <row r="1426" spans="21:21">
      <c r="U1426"/>
    </row>
    <row r="1427" spans="21:21">
      <c r="U1427"/>
    </row>
    <row r="1428" spans="21:21">
      <c r="U1428"/>
    </row>
    <row r="1429" spans="21:21">
      <c r="U1429"/>
    </row>
    <row r="1430" spans="21:21">
      <c r="U1430"/>
    </row>
    <row r="1431" spans="21:21">
      <c r="U1431"/>
    </row>
    <row r="1432" spans="21:21">
      <c r="U1432"/>
    </row>
    <row r="1433" spans="21:21">
      <c r="U1433"/>
    </row>
    <row r="1434" spans="21:21">
      <c r="U1434"/>
    </row>
    <row r="1435" spans="21:21">
      <c r="U1435"/>
    </row>
    <row r="1436" spans="21:21">
      <c r="U1436"/>
    </row>
    <row r="1437" spans="21:21">
      <c r="U1437"/>
    </row>
    <row r="1438" spans="21:21">
      <c r="U1438"/>
    </row>
    <row r="1439" spans="21:21">
      <c r="U1439"/>
    </row>
    <row r="1440" spans="21:21">
      <c r="U1440"/>
    </row>
    <row r="1441" spans="21:21">
      <c r="U1441"/>
    </row>
    <row r="1442" spans="21:21">
      <c r="U1442"/>
    </row>
    <row r="1443" spans="21:21">
      <c r="U1443"/>
    </row>
    <row r="1444" spans="21:21">
      <c r="U1444"/>
    </row>
    <row r="1445" spans="21:21">
      <c r="U1445"/>
    </row>
    <row r="1446" spans="21:21">
      <c r="U1446"/>
    </row>
    <row r="1447" spans="21:21">
      <c r="U1447"/>
    </row>
    <row r="1448" spans="21:21">
      <c r="U1448"/>
    </row>
    <row r="1449" spans="21:21">
      <c r="U1449"/>
    </row>
    <row r="1450" spans="21:21">
      <c r="U1450"/>
    </row>
    <row r="1451" spans="21:21">
      <c r="U1451"/>
    </row>
    <row r="1452" spans="21:21">
      <c r="U1452"/>
    </row>
    <row r="1453" spans="21:21">
      <c r="U1453"/>
    </row>
    <row r="1454" spans="21:21">
      <c r="U1454"/>
    </row>
    <row r="1455" spans="21:21">
      <c r="U1455"/>
    </row>
    <row r="1456" spans="21:21">
      <c r="U1456"/>
    </row>
    <row r="1457" spans="21:21">
      <c r="U1457"/>
    </row>
    <row r="1458" spans="21:21">
      <c r="U1458"/>
    </row>
    <row r="1459" spans="21:21">
      <c r="U1459"/>
    </row>
    <row r="1460" spans="21:21">
      <c r="U1460"/>
    </row>
    <row r="1461" spans="21:21">
      <c r="U1461"/>
    </row>
    <row r="1462" spans="21:21">
      <c r="U1462"/>
    </row>
    <row r="1463" spans="21:21">
      <c r="U1463"/>
    </row>
    <row r="1464" spans="21:21">
      <c r="U1464"/>
    </row>
    <row r="1465" spans="21:21">
      <c r="U1465"/>
    </row>
    <row r="1466" spans="21:21">
      <c r="U1466"/>
    </row>
    <row r="1467" spans="21:21">
      <c r="U1467"/>
    </row>
    <row r="1468" spans="21:21">
      <c r="U1468"/>
    </row>
    <row r="1469" spans="21:21">
      <c r="U1469"/>
    </row>
    <row r="1470" spans="21:21">
      <c r="U1470"/>
    </row>
    <row r="1471" spans="21:21">
      <c r="U1471"/>
    </row>
    <row r="1472" spans="21:21">
      <c r="U1472"/>
    </row>
    <row r="1473" spans="21:21">
      <c r="U1473"/>
    </row>
    <row r="1474" spans="21:21">
      <c r="U1474"/>
    </row>
    <row r="1475" spans="21:21">
      <c r="U1475"/>
    </row>
    <row r="1476" spans="21:21">
      <c r="U1476"/>
    </row>
    <row r="1477" spans="21:21">
      <c r="U1477"/>
    </row>
    <row r="1478" spans="21:21">
      <c r="U1478"/>
    </row>
    <row r="1479" spans="21:21">
      <c r="U1479"/>
    </row>
    <row r="1480" spans="21:21">
      <c r="U1480"/>
    </row>
    <row r="1481" spans="21:21">
      <c r="U1481"/>
    </row>
    <row r="1482" spans="21:21">
      <c r="U1482"/>
    </row>
    <row r="1483" spans="21:21">
      <c r="U1483"/>
    </row>
    <row r="1484" spans="21:21">
      <c r="U1484"/>
    </row>
    <row r="1485" spans="21:21">
      <c r="U1485"/>
    </row>
    <row r="1486" spans="21:21">
      <c r="U1486"/>
    </row>
    <row r="1487" spans="21:21">
      <c r="U1487"/>
    </row>
    <row r="1488" spans="21:21">
      <c r="U1488"/>
    </row>
    <row r="1489" spans="21:21">
      <c r="U1489"/>
    </row>
    <row r="1490" spans="21:21">
      <c r="U1490"/>
    </row>
    <row r="1491" spans="21:21">
      <c r="U1491"/>
    </row>
    <row r="1492" spans="21:21">
      <c r="U1492"/>
    </row>
    <row r="1493" spans="21:21">
      <c r="U1493"/>
    </row>
    <row r="1494" spans="21:21">
      <c r="U1494"/>
    </row>
    <row r="1495" spans="21:21">
      <c r="U1495"/>
    </row>
    <row r="1496" spans="21:21">
      <c r="U1496"/>
    </row>
    <row r="1497" spans="21:21">
      <c r="U1497"/>
    </row>
    <row r="1498" spans="21:21">
      <c r="U1498"/>
    </row>
    <row r="1499" spans="21:21">
      <c r="U1499"/>
    </row>
    <row r="1500" spans="21:21">
      <c r="U1500"/>
    </row>
    <row r="1501" spans="21:21">
      <c r="U1501"/>
    </row>
    <row r="1502" spans="21:21">
      <c r="U1502"/>
    </row>
    <row r="1503" spans="21:21">
      <c r="U1503"/>
    </row>
    <row r="1504" spans="21:21">
      <c r="U1504"/>
    </row>
    <row r="1505" spans="21:21">
      <c r="U1505"/>
    </row>
    <row r="1506" spans="21:21">
      <c r="U1506"/>
    </row>
    <row r="1507" spans="21:21">
      <c r="U1507"/>
    </row>
    <row r="1508" spans="21:21">
      <c r="U1508"/>
    </row>
    <row r="1509" spans="21:21">
      <c r="U1509"/>
    </row>
    <row r="1510" spans="21:21">
      <c r="U1510"/>
    </row>
    <row r="1511" spans="21:21">
      <c r="U1511"/>
    </row>
    <row r="1512" spans="21:21">
      <c r="U1512"/>
    </row>
    <row r="1513" spans="21:21">
      <c r="U1513"/>
    </row>
    <row r="1514" spans="21:21">
      <c r="U1514"/>
    </row>
    <row r="1515" spans="21:21">
      <c r="U1515"/>
    </row>
    <row r="1516" spans="21:21">
      <c r="U1516"/>
    </row>
    <row r="1517" spans="21:21">
      <c r="U1517"/>
    </row>
    <row r="1518" spans="21:21">
      <c r="U1518"/>
    </row>
    <row r="1519" spans="21:21">
      <c r="U1519"/>
    </row>
    <row r="1520" spans="21:21">
      <c r="U1520"/>
    </row>
    <row r="1521" spans="21:21">
      <c r="U1521"/>
    </row>
    <row r="1522" spans="21:21">
      <c r="U1522"/>
    </row>
    <row r="1523" spans="21:21">
      <c r="U1523"/>
    </row>
    <row r="1524" spans="21:21">
      <c r="U1524"/>
    </row>
    <row r="1525" spans="21:21">
      <c r="U1525"/>
    </row>
    <row r="1526" spans="21:21">
      <c r="U1526"/>
    </row>
    <row r="1527" spans="21:21">
      <c r="U1527"/>
    </row>
    <row r="1528" spans="21:21">
      <c r="U1528"/>
    </row>
    <row r="1529" spans="21:21">
      <c r="U1529"/>
    </row>
    <row r="1530" spans="21:21">
      <c r="U1530"/>
    </row>
    <row r="1531" spans="21:21">
      <c r="U1531"/>
    </row>
    <row r="1532" spans="21:21">
      <c r="U1532"/>
    </row>
    <row r="1533" spans="21:21">
      <c r="U1533"/>
    </row>
    <row r="1534" spans="21:21">
      <c r="U1534"/>
    </row>
    <row r="1535" spans="21:21">
      <c r="U1535"/>
    </row>
    <row r="1536" spans="21:21">
      <c r="U1536"/>
    </row>
    <row r="1537" spans="21:21">
      <c r="U1537"/>
    </row>
    <row r="1538" spans="21:21">
      <c r="U1538"/>
    </row>
    <row r="1539" spans="21:21">
      <c r="U1539"/>
    </row>
    <row r="1540" spans="21:21">
      <c r="U1540"/>
    </row>
    <row r="1541" spans="21:21">
      <c r="U1541"/>
    </row>
    <row r="1542" spans="21:21">
      <c r="U1542"/>
    </row>
    <row r="1543" spans="21:21">
      <c r="U1543"/>
    </row>
    <row r="1544" spans="21:21">
      <c r="U1544"/>
    </row>
    <row r="1545" spans="21:21">
      <c r="U1545"/>
    </row>
    <row r="1546" spans="21:21">
      <c r="U1546"/>
    </row>
    <row r="1547" spans="21:21">
      <c r="U1547"/>
    </row>
    <row r="1548" spans="21:21">
      <c r="U1548"/>
    </row>
    <row r="1549" spans="21:21">
      <c r="U1549"/>
    </row>
    <row r="1550" spans="21:21">
      <c r="U1550"/>
    </row>
    <row r="1551" spans="21:21">
      <c r="U1551"/>
    </row>
    <row r="1552" spans="21:21">
      <c r="U1552"/>
    </row>
    <row r="1553" spans="21:21">
      <c r="U1553"/>
    </row>
    <row r="1554" spans="21:21">
      <c r="U1554"/>
    </row>
    <row r="1555" spans="21:21">
      <c r="U1555"/>
    </row>
    <row r="1556" spans="21:21">
      <c r="U1556"/>
    </row>
    <row r="1557" spans="21:21">
      <c r="U1557"/>
    </row>
    <row r="1558" spans="21:21">
      <c r="U1558"/>
    </row>
    <row r="1559" spans="21:21">
      <c r="U1559"/>
    </row>
    <row r="1560" spans="21:21">
      <c r="U1560"/>
    </row>
    <row r="1561" spans="21:21">
      <c r="U1561"/>
    </row>
    <row r="1562" spans="21:21">
      <c r="U1562"/>
    </row>
    <row r="1563" spans="21:21">
      <c r="U1563"/>
    </row>
    <row r="1564" spans="21:21">
      <c r="U1564"/>
    </row>
    <row r="1565" spans="21:21">
      <c r="U1565"/>
    </row>
    <row r="1566" spans="21:21">
      <c r="U1566"/>
    </row>
    <row r="1567" spans="21:21">
      <c r="U1567"/>
    </row>
    <row r="1568" spans="21:21">
      <c r="U1568"/>
    </row>
    <row r="1569" spans="21:21">
      <c r="U1569"/>
    </row>
    <row r="1570" spans="21:21">
      <c r="U1570"/>
    </row>
    <row r="1571" spans="21:21">
      <c r="U1571"/>
    </row>
    <row r="1572" spans="21:21">
      <c r="U1572"/>
    </row>
    <row r="1573" spans="21:21">
      <c r="U1573"/>
    </row>
    <row r="1574" spans="21:21">
      <c r="U1574"/>
    </row>
    <row r="1575" spans="21:21">
      <c r="U1575"/>
    </row>
    <row r="1576" spans="21:21">
      <c r="U1576"/>
    </row>
    <row r="1577" spans="21:21">
      <c r="U1577"/>
    </row>
    <row r="1578" spans="21:21">
      <c r="U1578"/>
    </row>
    <row r="1579" spans="21:21">
      <c r="U1579"/>
    </row>
    <row r="1580" spans="21:21">
      <c r="U1580"/>
    </row>
    <row r="1581" spans="21:21">
      <c r="U1581"/>
    </row>
    <row r="1582" spans="21:21">
      <c r="U1582"/>
    </row>
    <row r="1583" spans="21:21">
      <c r="U1583"/>
    </row>
    <row r="1584" spans="21:21">
      <c r="U1584"/>
    </row>
    <row r="1585" spans="21:21">
      <c r="U1585"/>
    </row>
    <row r="1586" spans="21:21">
      <c r="U1586"/>
    </row>
    <row r="1587" spans="21:21">
      <c r="U1587"/>
    </row>
    <row r="1588" spans="21:21">
      <c r="U1588"/>
    </row>
    <row r="1589" spans="21:21">
      <c r="U1589"/>
    </row>
    <row r="1590" spans="21:21">
      <c r="U1590"/>
    </row>
    <row r="1591" spans="21:21">
      <c r="U1591"/>
    </row>
    <row r="1592" spans="21:21">
      <c r="U1592"/>
    </row>
    <row r="1593" spans="21:21">
      <c r="U1593"/>
    </row>
    <row r="1594" spans="21:21">
      <c r="U1594"/>
    </row>
    <row r="1595" spans="21:21">
      <c r="U1595"/>
    </row>
    <row r="1596" spans="21:21">
      <c r="U1596"/>
    </row>
    <row r="1597" spans="21:21">
      <c r="U1597"/>
    </row>
    <row r="1598" spans="21:21">
      <c r="U1598"/>
    </row>
    <row r="1599" spans="21:21">
      <c r="U1599"/>
    </row>
    <row r="1600" spans="21:21">
      <c r="U1600"/>
    </row>
    <row r="1601" spans="21:21">
      <c r="U1601"/>
    </row>
    <row r="1602" spans="21:21">
      <c r="U1602"/>
    </row>
    <row r="1603" spans="21:21">
      <c r="U1603"/>
    </row>
    <row r="1604" spans="21:21">
      <c r="U1604"/>
    </row>
    <row r="1605" spans="21:21">
      <c r="U1605"/>
    </row>
    <row r="1606" spans="21:21">
      <c r="U1606"/>
    </row>
    <row r="1607" spans="21:21">
      <c r="U1607"/>
    </row>
    <row r="1608" spans="21:21">
      <c r="U1608"/>
    </row>
    <row r="1609" spans="21:21">
      <c r="U1609"/>
    </row>
    <row r="1610" spans="21:21">
      <c r="U1610"/>
    </row>
    <row r="1611" spans="21:21">
      <c r="U1611"/>
    </row>
    <row r="1612" spans="21:21">
      <c r="U1612"/>
    </row>
    <row r="1613" spans="21:21">
      <c r="U1613"/>
    </row>
    <row r="1614" spans="21:21">
      <c r="U1614"/>
    </row>
    <row r="1615" spans="21:21">
      <c r="U1615"/>
    </row>
    <row r="1616" spans="21:21">
      <c r="U1616"/>
    </row>
    <row r="1617" spans="21:21">
      <c r="U1617"/>
    </row>
    <row r="1618" spans="21:21">
      <c r="U1618"/>
    </row>
    <row r="1619" spans="21:21">
      <c r="U1619"/>
    </row>
    <row r="1620" spans="21:21">
      <c r="U1620"/>
    </row>
    <row r="1621" spans="21:21">
      <c r="U1621"/>
    </row>
    <row r="1622" spans="21:21">
      <c r="U1622"/>
    </row>
    <row r="1623" spans="21:21">
      <c r="U1623"/>
    </row>
    <row r="1624" spans="21:21">
      <c r="U1624"/>
    </row>
    <row r="1625" spans="21:21">
      <c r="U1625"/>
    </row>
    <row r="1626" spans="21:21">
      <c r="U1626"/>
    </row>
    <row r="1627" spans="21:21">
      <c r="U1627"/>
    </row>
    <row r="1628" spans="21:21">
      <c r="U1628"/>
    </row>
    <row r="1629" spans="21:21">
      <c r="U1629"/>
    </row>
    <row r="1630" spans="21:21">
      <c r="U1630"/>
    </row>
    <row r="1631" spans="21:21">
      <c r="U1631"/>
    </row>
    <row r="1632" spans="21:21">
      <c r="U1632"/>
    </row>
    <row r="1633" spans="21:21">
      <c r="U1633"/>
    </row>
    <row r="1634" spans="21:21">
      <c r="U1634"/>
    </row>
    <row r="1635" spans="21:21">
      <c r="U1635"/>
    </row>
    <row r="1636" spans="21:21">
      <c r="U1636"/>
    </row>
    <row r="1637" spans="21:21">
      <c r="U1637"/>
    </row>
    <row r="1638" spans="21:21">
      <c r="U1638"/>
    </row>
    <row r="1639" spans="21:21">
      <c r="U1639"/>
    </row>
    <row r="1640" spans="21:21">
      <c r="U1640"/>
    </row>
    <row r="1641" spans="21:21">
      <c r="U1641"/>
    </row>
    <row r="1642" spans="21:21">
      <c r="U1642"/>
    </row>
    <row r="1643" spans="21:21">
      <c r="U1643"/>
    </row>
    <row r="1644" spans="21:21">
      <c r="U1644"/>
    </row>
    <row r="1645" spans="21:21">
      <c r="U1645"/>
    </row>
    <row r="1646" spans="21:21">
      <c r="U1646"/>
    </row>
    <row r="1647" spans="21:21">
      <c r="U1647"/>
    </row>
    <row r="1648" spans="21:21">
      <c r="U1648"/>
    </row>
    <row r="1649" spans="21:21">
      <c r="U1649"/>
    </row>
    <row r="1650" spans="21:21">
      <c r="U1650"/>
    </row>
    <row r="1651" spans="21:21">
      <c r="U1651"/>
    </row>
    <row r="1652" spans="21:21">
      <c r="U1652"/>
    </row>
    <row r="1653" spans="21:21">
      <c r="U1653"/>
    </row>
    <row r="1654" spans="21:21">
      <c r="U1654"/>
    </row>
    <row r="1655" spans="21:21">
      <c r="U1655"/>
    </row>
    <row r="1656" spans="21:21">
      <c r="U1656"/>
    </row>
    <row r="1657" spans="21:21">
      <c r="U1657"/>
    </row>
    <row r="1658" spans="21:21">
      <c r="U1658"/>
    </row>
    <row r="1659" spans="21:21">
      <c r="U1659"/>
    </row>
    <row r="1660" spans="21:21">
      <c r="U1660"/>
    </row>
    <row r="1661" spans="21:21">
      <c r="U1661"/>
    </row>
    <row r="1662" spans="21:21">
      <c r="U1662"/>
    </row>
    <row r="1663" spans="21:21">
      <c r="U1663"/>
    </row>
    <row r="1664" spans="21:21">
      <c r="U1664"/>
    </row>
    <row r="1665" spans="21:21">
      <c r="U1665"/>
    </row>
    <row r="1666" spans="21:21">
      <c r="U1666"/>
    </row>
    <row r="1667" spans="21:21">
      <c r="U1667"/>
    </row>
    <row r="1668" spans="21:21">
      <c r="U1668"/>
    </row>
    <row r="1669" spans="21:21">
      <c r="U1669"/>
    </row>
    <row r="1670" spans="21:21">
      <c r="U1670"/>
    </row>
    <row r="1671" spans="21:21">
      <c r="U1671"/>
    </row>
    <row r="1672" spans="21:21">
      <c r="U1672"/>
    </row>
    <row r="1673" spans="21:21">
      <c r="U1673"/>
    </row>
    <row r="1674" spans="21:21">
      <c r="U1674"/>
    </row>
    <row r="1675" spans="21:21">
      <c r="U1675"/>
    </row>
    <row r="1676" spans="21:21">
      <c r="U1676"/>
    </row>
    <row r="1677" spans="21:21">
      <c r="U1677"/>
    </row>
    <row r="1678" spans="21:21">
      <c r="U1678"/>
    </row>
    <row r="1679" spans="21:21">
      <c r="U1679"/>
    </row>
    <row r="1680" spans="21:21">
      <c r="U1680"/>
    </row>
    <row r="1681" spans="21:21">
      <c r="U1681"/>
    </row>
    <row r="1682" spans="21:21">
      <c r="U1682"/>
    </row>
    <row r="1683" spans="21:21">
      <c r="U1683"/>
    </row>
    <row r="1684" spans="21:21">
      <c r="U1684"/>
    </row>
    <row r="1685" spans="21:21">
      <c r="U1685"/>
    </row>
    <row r="1686" spans="21:21">
      <c r="U1686"/>
    </row>
    <row r="1687" spans="21:21">
      <c r="U1687"/>
    </row>
    <row r="1688" spans="21:21">
      <c r="U1688"/>
    </row>
    <row r="1689" spans="21:21">
      <c r="U1689"/>
    </row>
    <row r="1690" spans="21:21">
      <c r="U1690"/>
    </row>
    <row r="1691" spans="21:21">
      <c r="U1691"/>
    </row>
    <row r="1692" spans="21:21">
      <c r="U1692"/>
    </row>
    <row r="1693" spans="21:21">
      <c r="U1693"/>
    </row>
    <row r="1694" spans="21:21">
      <c r="U1694"/>
    </row>
    <row r="1695" spans="21:21">
      <c r="U1695"/>
    </row>
    <row r="1696" spans="21:21">
      <c r="U1696"/>
    </row>
    <row r="1697" spans="21:21">
      <c r="U1697"/>
    </row>
    <row r="1698" spans="21:21">
      <c r="U1698"/>
    </row>
    <row r="1699" spans="21:21">
      <c r="U1699"/>
    </row>
    <row r="1700" spans="21:21">
      <c r="U1700"/>
    </row>
    <row r="1701" spans="21:21">
      <c r="U1701"/>
    </row>
    <row r="1702" spans="21:21">
      <c r="U1702"/>
    </row>
    <row r="1703" spans="21:21">
      <c r="U1703"/>
    </row>
    <row r="1704" spans="21:21">
      <c r="U1704"/>
    </row>
    <row r="1705" spans="21:21">
      <c r="U1705"/>
    </row>
    <row r="1706" spans="21:21">
      <c r="U1706"/>
    </row>
    <row r="1707" spans="21:21">
      <c r="U1707"/>
    </row>
    <row r="1708" spans="21:21">
      <c r="U1708"/>
    </row>
    <row r="1709" spans="21:21">
      <c r="U1709"/>
    </row>
    <row r="1710" spans="21:21">
      <c r="U1710"/>
    </row>
    <row r="1711" spans="21:21">
      <c r="U1711"/>
    </row>
    <row r="1712" spans="21:21">
      <c r="U1712"/>
    </row>
    <row r="1713" spans="21:21">
      <c r="U1713"/>
    </row>
    <row r="1714" spans="21:21">
      <c r="U1714"/>
    </row>
    <row r="1715" spans="21:21">
      <c r="U1715"/>
    </row>
    <row r="1716" spans="21:21">
      <c r="U1716"/>
    </row>
    <row r="1717" spans="21:21">
      <c r="U1717"/>
    </row>
    <row r="1718" spans="21:21">
      <c r="U1718"/>
    </row>
    <row r="1719" spans="21:21">
      <c r="U1719"/>
    </row>
    <row r="1720" spans="21:21">
      <c r="U1720"/>
    </row>
    <row r="1721" spans="21:21">
      <c r="U1721"/>
    </row>
    <row r="1722" spans="21:21">
      <c r="U1722"/>
    </row>
    <row r="1723" spans="21:21">
      <c r="U1723"/>
    </row>
    <row r="1724" spans="21:21">
      <c r="U1724"/>
    </row>
    <row r="1725" spans="21:21">
      <c r="U1725"/>
    </row>
    <row r="1726" spans="21:21">
      <c r="U1726"/>
    </row>
    <row r="1727" spans="21:21">
      <c r="U1727"/>
    </row>
    <row r="1728" spans="21:21">
      <c r="U1728"/>
    </row>
    <row r="1729" spans="21:21">
      <c r="U1729"/>
    </row>
    <row r="1730" spans="21:21">
      <c r="U1730"/>
    </row>
    <row r="1731" spans="21:21">
      <c r="U1731"/>
    </row>
    <row r="1732" spans="21:21">
      <c r="U1732"/>
    </row>
    <row r="1733" spans="21:21">
      <c r="U1733"/>
    </row>
    <row r="1734" spans="21:21">
      <c r="U1734"/>
    </row>
    <row r="1735" spans="21:21">
      <c r="U1735"/>
    </row>
    <row r="1736" spans="21:21">
      <c r="U1736"/>
    </row>
    <row r="1737" spans="21:21">
      <c r="U1737"/>
    </row>
    <row r="1738" spans="21:21">
      <c r="U1738"/>
    </row>
    <row r="1739" spans="21:21">
      <c r="U1739"/>
    </row>
    <row r="1740" spans="21:21">
      <c r="U1740"/>
    </row>
    <row r="1741" spans="21:21">
      <c r="U1741"/>
    </row>
    <row r="1742" spans="21:21">
      <c r="U1742"/>
    </row>
    <row r="1743" spans="21:21">
      <c r="U1743"/>
    </row>
    <row r="1744" spans="21:21">
      <c r="U1744"/>
    </row>
    <row r="1745" spans="21:21">
      <c r="U1745"/>
    </row>
    <row r="1746" spans="21:21">
      <c r="U1746"/>
    </row>
    <row r="1747" spans="21:21">
      <c r="U1747"/>
    </row>
    <row r="1748" spans="21:21">
      <c r="U1748"/>
    </row>
    <row r="1749" spans="21:21">
      <c r="U1749"/>
    </row>
    <row r="1750" spans="21:21">
      <c r="U1750"/>
    </row>
    <row r="1751" spans="21:21">
      <c r="U1751"/>
    </row>
    <row r="1752" spans="21:21">
      <c r="U1752"/>
    </row>
    <row r="1753" spans="21:21">
      <c r="U1753"/>
    </row>
    <row r="1754" spans="21:21">
      <c r="U1754"/>
    </row>
    <row r="1755" spans="21:21">
      <c r="U1755"/>
    </row>
    <row r="1756" spans="21:21">
      <c r="U1756"/>
    </row>
    <row r="1757" spans="21:21">
      <c r="U1757"/>
    </row>
    <row r="1758" spans="21:21">
      <c r="U1758"/>
    </row>
    <row r="1759" spans="21:21">
      <c r="U1759"/>
    </row>
    <row r="1760" spans="21:21">
      <c r="U1760"/>
    </row>
    <row r="1761" spans="21:21">
      <c r="U1761"/>
    </row>
    <row r="1762" spans="21:21">
      <c r="U1762"/>
    </row>
    <row r="1763" spans="21:21">
      <c r="U1763"/>
    </row>
    <row r="1764" spans="21:21">
      <c r="U1764"/>
    </row>
    <row r="1765" spans="21:21">
      <c r="U1765"/>
    </row>
    <row r="1766" spans="21:21">
      <c r="U1766"/>
    </row>
    <row r="1767" spans="21:21">
      <c r="U1767"/>
    </row>
    <row r="1768" spans="21:21">
      <c r="U1768"/>
    </row>
    <row r="1769" spans="21:21">
      <c r="U1769"/>
    </row>
    <row r="1770" spans="21:21">
      <c r="U1770"/>
    </row>
    <row r="1771" spans="21:21">
      <c r="U1771"/>
    </row>
    <row r="1772" spans="21:21">
      <c r="U1772"/>
    </row>
    <row r="1773" spans="21:21">
      <c r="U1773"/>
    </row>
    <row r="1774" spans="21:21">
      <c r="U1774"/>
    </row>
    <row r="1775" spans="21:21">
      <c r="U1775"/>
    </row>
    <row r="1776" spans="21:21">
      <c r="U1776"/>
    </row>
    <row r="1777" spans="21:21">
      <c r="U1777"/>
    </row>
    <row r="1778" spans="21:21">
      <c r="U1778"/>
    </row>
    <row r="1779" spans="21:21">
      <c r="U1779"/>
    </row>
    <row r="1780" spans="21:21">
      <c r="U1780"/>
    </row>
    <row r="1781" spans="21:21">
      <c r="U1781"/>
    </row>
    <row r="1782" spans="21:21">
      <c r="U1782"/>
    </row>
    <row r="1783" spans="21:21">
      <c r="U1783"/>
    </row>
    <row r="1784" spans="21:21">
      <c r="U1784"/>
    </row>
    <row r="1785" spans="21:21">
      <c r="U1785"/>
    </row>
    <row r="1786" spans="21:21">
      <c r="U1786"/>
    </row>
    <row r="1787" spans="21:21">
      <c r="U1787"/>
    </row>
    <row r="1788" spans="21:21">
      <c r="U1788"/>
    </row>
    <row r="1789" spans="21:21">
      <c r="U1789"/>
    </row>
    <row r="1790" spans="21:21">
      <c r="U1790"/>
    </row>
    <row r="1791" spans="21:21">
      <c r="U1791"/>
    </row>
    <row r="1792" spans="21:21">
      <c r="U1792"/>
    </row>
    <row r="1793" spans="21:21">
      <c r="U1793"/>
    </row>
    <row r="1794" spans="21:21">
      <c r="U1794"/>
    </row>
    <row r="1795" spans="21:21">
      <c r="U1795"/>
    </row>
    <row r="1796" spans="21:21">
      <c r="U1796"/>
    </row>
    <row r="1797" spans="21:21">
      <c r="U1797"/>
    </row>
    <row r="1798" spans="21:21">
      <c r="U1798"/>
    </row>
    <row r="1799" spans="21:21">
      <c r="U1799"/>
    </row>
    <row r="1800" spans="21:21">
      <c r="U1800"/>
    </row>
    <row r="1801" spans="21:21">
      <c r="U1801"/>
    </row>
    <row r="1802" spans="21:21">
      <c r="U1802"/>
    </row>
    <row r="1803" spans="21:21">
      <c r="U1803"/>
    </row>
    <row r="1804" spans="21:21">
      <c r="U1804"/>
    </row>
    <row r="1805" spans="21:21">
      <c r="U1805"/>
    </row>
    <row r="1806" spans="21:21">
      <c r="U1806"/>
    </row>
    <row r="1807" spans="21:21">
      <c r="U1807"/>
    </row>
    <row r="1808" spans="21:21">
      <c r="U1808"/>
    </row>
    <row r="1809" spans="21:21">
      <c r="U1809"/>
    </row>
    <row r="1810" spans="21:21">
      <c r="U1810"/>
    </row>
    <row r="1811" spans="21:21">
      <c r="U1811"/>
    </row>
    <row r="1812" spans="21:21">
      <c r="U1812"/>
    </row>
    <row r="1813" spans="21:21">
      <c r="U1813"/>
    </row>
    <row r="1814" spans="21:21">
      <c r="U1814"/>
    </row>
    <row r="1815" spans="21:21">
      <c r="U1815"/>
    </row>
    <row r="1816" spans="21:21">
      <c r="U1816"/>
    </row>
    <row r="1817" spans="21:21">
      <c r="U1817"/>
    </row>
    <row r="1818" spans="21:21">
      <c r="U1818"/>
    </row>
    <row r="1819" spans="21:21">
      <c r="U1819"/>
    </row>
    <row r="1820" spans="21:21">
      <c r="U1820"/>
    </row>
    <row r="1821" spans="21:21">
      <c r="U1821"/>
    </row>
    <row r="1822" spans="21:21">
      <c r="U1822"/>
    </row>
    <row r="1823" spans="21:21">
      <c r="U1823"/>
    </row>
    <row r="1824" spans="21:21">
      <c r="U1824"/>
    </row>
    <row r="1825" spans="21:21">
      <c r="U1825"/>
    </row>
    <row r="1826" spans="21:21">
      <c r="U1826"/>
    </row>
    <row r="1827" spans="21:21">
      <c r="U1827"/>
    </row>
    <row r="1828" spans="21:21">
      <c r="U1828"/>
    </row>
    <row r="1829" spans="21:21">
      <c r="U1829"/>
    </row>
    <row r="1830" spans="21:21">
      <c r="U1830"/>
    </row>
    <row r="1831" spans="21:21">
      <c r="U1831"/>
    </row>
    <row r="1832" spans="21:21">
      <c r="U1832"/>
    </row>
    <row r="1833" spans="21:21">
      <c r="U1833"/>
    </row>
    <row r="1834" spans="21:21">
      <c r="U1834"/>
    </row>
    <row r="1835" spans="21:21">
      <c r="U1835"/>
    </row>
    <row r="1836" spans="21:21">
      <c r="U1836"/>
    </row>
    <row r="1837" spans="21:21">
      <c r="U1837"/>
    </row>
    <row r="1838" spans="21:21">
      <c r="U1838"/>
    </row>
    <row r="1839" spans="21:21">
      <c r="U1839"/>
    </row>
    <row r="1840" spans="21:21">
      <c r="U1840"/>
    </row>
    <row r="1841" spans="21:21">
      <c r="U1841"/>
    </row>
    <row r="1842" spans="21:21">
      <c r="U1842"/>
    </row>
    <row r="1843" spans="21:21">
      <c r="U1843"/>
    </row>
    <row r="1844" spans="21:21">
      <c r="U1844"/>
    </row>
    <row r="1845" spans="21:21">
      <c r="U1845"/>
    </row>
    <row r="1846" spans="21:21">
      <c r="U1846"/>
    </row>
    <row r="1847" spans="21:21">
      <c r="U1847"/>
    </row>
    <row r="1848" spans="21:21">
      <c r="U1848"/>
    </row>
    <row r="1849" spans="21:21">
      <c r="U1849"/>
    </row>
    <row r="1850" spans="21:21">
      <c r="U1850"/>
    </row>
    <row r="1851" spans="21:21">
      <c r="U1851"/>
    </row>
    <row r="1852" spans="21:21">
      <c r="U1852"/>
    </row>
    <row r="1853" spans="21:21">
      <c r="U1853"/>
    </row>
    <row r="1854" spans="21:21">
      <c r="U1854"/>
    </row>
    <row r="1855" spans="21:21">
      <c r="U1855"/>
    </row>
    <row r="1856" spans="21:21">
      <c r="U1856"/>
    </row>
    <row r="1857" spans="21:21">
      <c r="U1857"/>
    </row>
    <row r="1858" spans="21:21">
      <c r="U1858"/>
    </row>
    <row r="1859" spans="21:21">
      <c r="U1859"/>
    </row>
    <row r="1860" spans="21:21">
      <c r="U1860"/>
    </row>
    <row r="1861" spans="21:21">
      <c r="U1861"/>
    </row>
    <row r="1862" spans="21:21">
      <c r="U1862"/>
    </row>
    <row r="1863" spans="21:21">
      <c r="U1863"/>
    </row>
    <row r="1864" spans="21:21">
      <c r="U1864"/>
    </row>
    <row r="1865" spans="21:21">
      <c r="U1865"/>
    </row>
    <row r="1866" spans="21:21">
      <c r="U1866"/>
    </row>
    <row r="1867" spans="21:21">
      <c r="U1867"/>
    </row>
    <row r="1868" spans="21:21">
      <c r="U1868"/>
    </row>
    <row r="1869" spans="21:21">
      <c r="U1869"/>
    </row>
    <row r="1870" spans="21:21">
      <c r="U1870"/>
    </row>
    <row r="1871" spans="21:21">
      <c r="U1871"/>
    </row>
    <row r="1872" spans="21:21">
      <c r="U1872"/>
    </row>
    <row r="1873" spans="21:21">
      <c r="U1873"/>
    </row>
    <row r="1874" spans="21:21">
      <c r="U1874"/>
    </row>
    <row r="1875" spans="21:21">
      <c r="U1875"/>
    </row>
    <row r="1876" spans="21:21">
      <c r="U1876"/>
    </row>
    <row r="1877" spans="21:21">
      <c r="U1877"/>
    </row>
    <row r="1878" spans="21:21">
      <c r="U1878"/>
    </row>
    <row r="1879" spans="21:21">
      <c r="U1879"/>
    </row>
    <row r="1880" spans="21:21">
      <c r="U1880"/>
    </row>
    <row r="1881" spans="21:21">
      <c r="U1881"/>
    </row>
    <row r="1882" spans="21:21">
      <c r="U1882"/>
    </row>
    <row r="1883" spans="21:21">
      <c r="U1883"/>
    </row>
    <row r="1884" spans="21:21">
      <c r="U1884"/>
    </row>
    <row r="1885" spans="21:21">
      <c r="U1885"/>
    </row>
    <row r="1886" spans="21:21">
      <c r="U1886"/>
    </row>
    <row r="1887" spans="21:21">
      <c r="U1887"/>
    </row>
    <row r="1888" spans="21:21">
      <c r="U1888"/>
    </row>
    <row r="1889" spans="21:21">
      <c r="U1889"/>
    </row>
    <row r="1890" spans="21:21">
      <c r="U1890"/>
    </row>
    <row r="1891" spans="21:21">
      <c r="U1891"/>
    </row>
    <row r="1892" spans="21:21">
      <c r="U1892"/>
    </row>
    <row r="1893" spans="21:21">
      <c r="U1893"/>
    </row>
    <row r="1894" spans="21:21">
      <c r="U1894"/>
    </row>
    <row r="1895" spans="21:21">
      <c r="U1895"/>
    </row>
    <row r="1896" spans="21:21">
      <c r="U1896"/>
    </row>
    <row r="1897" spans="21:21">
      <c r="U1897"/>
    </row>
    <row r="1898" spans="21:21">
      <c r="U1898"/>
    </row>
    <row r="1899" spans="21:21">
      <c r="U1899"/>
    </row>
    <row r="1900" spans="21:21">
      <c r="U1900"/>
    </row>
    <row r="1901" spans="21:21">
      <c r="U1901"/>
    </row>
    <row r="1902" spans="21:21">
      <c r="U1902"/>
    </row>
    <row r="1903" spans="21:21">
      <c r="U1903"/>
    </row>
    <row r="1904" spans="21:21">
      <c r="U1904"/>
    </row>
    <row r="1905" spans="21:21">
      <c r="U1905"/>
    </row>
    <row r="1906" spans="21:21">
      <c r="U1906"/>
    </row>
    <row r="1907" spans="21:21">
      <c r="U1907"/>
    </row>
    <row r="1908" spans="21:21">
      <c r="U1908"/>
    </row>
    <row r="1909" spans="21:21">
      <c r="U1909"/>
    </row>
    <row r="1910" spans="21:21">
      <c r="U1910"/>
    </row>
    <row r="1911" spans="21:21">
      <c r="U1911"/>
    </row>
    <row r="1912" spans="21:21">
      <c r="U1912"/>
    </row>
    <row r="1913" spans="21:21">
      <c r="U1913"/>
    </row>
    <row r="1914" spans="21:21">
      <c r="U1914"/>
    </row>
    <row r="1915" spans="21:21">
      <c r="U1915"/>
    </row>
    <row r="1916" spans="21:21">
      <c r="U1916"/>
    </row>
    <row r="1917" spans="21:21">
      <c r="U1917"/>
    </row>
    <row r="1918" spans="21:21">
      <c r="U1918"/>
    </row>
    <row r="1919" spans="21:21">
      <c r="U1919"/>
    </row>
    <row r="1920" spans="21:21">
      <c r="U1920"/>
    </row>
    <row r="1921" spans="21:21">
      <c r="U1921"/>
    </row>
    <row r="1922" spans="21:21">
      <c r="U1922"/>
    </row>
    <row r="1923" spans="21:21">
      <c r="U1923"/>
    </row>
    <row r="1924" spans="21:21">
      <c r="U1924"/>
    </row>
    <row r="1925" spans="21:21">
      <c r="U1925"/>
    </row>
    <row r="1926" spans="21:21">
      <c r="U1926"/>
    </row>
    <row r="1927" spans="21:21">
      <c r="U1927"/>
    </row>
    <row r="1928" spans="21:21">
      <c r="U1928"/>
    </row>
    <row r="1929" spans="21:21">
      <c r="U1929"/>
    </row>
    <row r="1930" spans="21:21">
      <c r="U1930"/>
    </row>
    <row r="1931" spans="21:21">
      <c r="U1931"/>
    </row>
    <row r="1932" spans="21:21">
      <c r="U1932"/>
    </row>
    <row r="1933" spans="21:21">
      <c r="U1933"/>
    </row>
    <row r="1934" spans="21:21">
      <c r="U1934"/>
    </row>
    <row r="1935" spans="21:21">
      <c r="U1935"/>
    </row>
    <row r="1936" spans="21:21">
      <c r="U1936"/>
    </row>
    <row r="1937" spans="21:21">
      <c r="U1937"/>
    </row>
    <row r="1938" spans="21:21">
      <c r="U1938"/>
    </row>
    <row r="1939" spans="21:21">
      <c r="U1939"/>
    </row>
    <row r="1940" spans="21:21">
      <c r="U1940"/>
    </row>
    <row r="1941" spans="21:21">
      <c r="U1941"/>
    </row>
    <row r="1942" spans="21:21">
      <c r="U1942"/>
    </row>
    <row r="1943" spans="21:21">
      <c r="U1943"/>
    </row>
    <row r="1944" spans="21:21">
      <c r="U1944"/>
    </row>
    <row r="1945" spans="21:21">
      <c r="U1945"/>
    </row>
    <row r="1946" spans="21:21">
      <c r="U1946"/>
    </row>
    <row r="1947" spans="21:21">
      <c r="U1947"/>
    </row>
    <row r="1948" spans="21:21">
      <c r="U1948"/>
    </row>
    <row r="1949" spans="21:21">
      <c r="U1949"/>
    </row>
    <row r="1950" spans="21:21">
      <c r="U1950"/>
    </row>
    <row r="1951" spans="21:21">
      <c r="U1951"/>
    </row>
    <row r="1952" spans="21:21">
      <c r="U1952"/>
    </row>
    <row r="1953" spans="21:21">
      <c r="U1953"/>
    </row>
    <row r="1954" spans="21:21">
      <c r="U1954"/>
    </row>
    <row r="1955" spans="21:21">
      <c r="U1955"/>
    </row>
    <row r="1956" spans="21:21">
      <c r="U1956"/>
    </row>
    <row r="1957" spans="21:21">
      <c r="U1957"/>
    </row>
    <row r="1958" spans="21:21">
      <c r="U1958"/>
    </row>
    <row r="1959" spans="21:21">
      <c r="U1959"/>
    </row>
    <row r="1960" spans="21:21">
      <c r="U1960"/>
    </row>
    <row r="1961" spans="21:21">
      <c r="U1961"/>
    </row>
    <row r="1962" spans="21:21">
      <c r="U1962"/>
    </row>
    <row r="1963" spans="21:21">
      <c r="U1963"/>
    </row>
    <row r="1964" spans="21:21">
      <c r="U1964"/>
    </row>
    <row r="1965" spans="21:21">
      <c r="U1965"/>
    </row>
    <row r="1966" spans="21:21">
      <c r="U1966"/>
    </row>
    <row r="1967" spans="21:21">
      <c r="U1967"/>
    </row>
    <row r="1968" spans="21:21">
      <c r="U1968"/>
    </row>
    <row r="1969" spans="21:21">
      <c r="U1969"/>
    </row>
    <row r="1970" spans="21:21">
      <c r="U1970"/>
    </row>
    <row r="1971" spans="21:21">
      <c r="U1971"/>
    </row>
    <row r="1972" spans="21:21">
      <c r="U1972"/>
    </row>
    <row r="1973" spans="21:21">
      <c r="U1973"/>
    </row>
    <row r="1974" spans="21:21">
      <c r="U1974"/>
    </row>
    <row r="1975" spans="21:21">
      <c r="U1975"/>
    </row>
    <row r="1976" spans="21:21">
      <c r="U1976"/>
    </row>
    <row r="1977" spans="21:21">
      <c r="U1977"/>
    </row>
    <row r="1978" spans="21:21">
      <c r="U1978"/>
    </row>
    <row r="1979" spans="21:21">
      <c r="U1979"/>
    </row>
    <row r="1980" spans="21:21">
      <c r="U1980"/>
    </row>
    <row r="1981" spans="21:21">
      <c r="U1981"/>
    </row>
    <row r="1982" spans="21:21">
      <c r="U1982"/>
    </row>
    <row r="1983" spans="21:21">
      <c r="U1983"/>
    </row>
    <row r="1984" spans="21:21">
      <c r="U1984"/>
    </row>
    <row r="1985" spans="21:21">
      <c r="U1985"/>
    </row>
    <row r="1986" spans="21:21">
      <c r="U1986"/>
    </row>
    <row r="1987" spans="21:21">
      <c r="U1987"/>
    </row>
    <row r="1988" spans="21:21">
      <c r="U1988"/>
    </row>
    <row r="1989" spans="21:21">
      <c r="U1989"/>
    </row>
    <row r="1990" spans="21:21">
      <c r="U1990"/>
    </row>
    <row r="1991" spans="21:21">
      <c r="U1991"/>
    </row>
    <row r="1992" spans="21:21">
      <c r="U1992"/>
    </row>
    <row r="1993" spans="21:21">
      <c r="U1993"/>
    </row>
    <row r="1994" spans="21:21">
      <c r="U1994"/>
    </row>
    <row r="1995" spans="21:21">
      <c r="U1995"/>
    </row>
    <row r="1996" spans="21:21">
      <c r="U1996"/>
    </row>
    <row r="1997" spans="21:21">
      <c r="U1997"/>
    </row>
    <row r="1998" spans="21:21">
      <c r="U1998"/>
    </row>
    <row r="1999" spans="21:21">
      <c r="U1999"/>
    </row>
    <row r="2000" spans="21:21">
      <c r="U2000"/>
    </row>
    <row r="2001" spans="21:21">
      <c r="U2001"/>
    </row>
    <row r="2002" spans="21:21">
      <c r="U2002"/>
    </row>
    <row r="2003" spans="21:21">
      <c r="U2003"/>
    </row>
    <row r="2004" spans="21:21">
      <c r="U2004"/>
    </row>
    <row r="2005" spans="21:21">
      <c r="U2005"/>
    </row>
    <row r="2006" spans="21:21">
      <c r="U2006"/>
    </row>
    <row r="2007" spans="21:21">
      <c r="U2007"/>
    </row>
    <row r="2008" spans="21:21">
      <c r="U2008"/>
    </row>
    <row r="2009" spans="21:21">
      <c r="U2009"/>
    </row>
    <row r="2010" spans="21:21">
      <c r="U2010"/>
    </row>
    <row r="2011" spans="21:21">
      <c r="U2011"/>
    </row>
    <row r="2012" spans="21:21">
      <c r="U2012"/>
    </row>
    <row r="2013" spans="21:21">
      <c r="U2013"/>
    </row>
    <row r="2014" spans="21:21">
      <c r="U2014"/>
    </row>
    <row r="2015" spans="21:21">
      <c r="U2015"/>
    </row>
    <row r="2016" spans="21:21">
      <c r="U2016"/>
    </row>
    <row r="2017" spans="21:21">
      <c r="U2017"/>
    </row>
    <row r="2018" spans="21:21">
      <c r="U2018"/>
    </row>
    <row r="2019" spans="21:21">
      <c r="U2019"/>
    </row>
    <row r="2020" spans="21:21">
      <c r="U2020"/>
    </row>
    <row r="2021" spans="21:21">
      <c r="U2021"/>
    </row>
    <row r="2022" spans="21:21">
      <c r="U2022"/>
    </row>
    <row r="2023" spans="21:21">
      <c r="U2023"/>
    </row>
    <row r="2024" spans="21:21">
      <c r="U2024"/>
    </row>
    <row r="2025" spans="21:21">
      <c r="U2025"/>
    </row>
    <row r="2026" spans="21:21">
      <c r="U2026"/>
    </row>
    <row r="2027" spans="21:21">
      <c r="U2027"/>
    </row>
    <row r="2028" spans="21:21">
      <c r="U2028"/>
    </row>
    <row r="2029" spans="21:21">
      <c r="U2029"/>
    </row>
    <row r="2030" spans="21:21">
      <c r="U2030"/>
    </row>
    <row r="2031" spans="21:21">
      <c r="U2031"/>
    </row>
    <row r="2032" spans="21:21">
      <c r="U2032"/>
    </row>
    <row r="2033" spans="21:21">
      <c r="U2033"/>
    </row>
    <row r="2034" spans="21:21">
      <c r="U2034"/>
    </row>
    <row r="2035" spans="21:21">
      <c r="U2035"/>
    </row>
    <row r="2036" spans="21:21">
      <c r="U2036"/>
    </row>
    <row r="2037" spans="21:21">
      <c r="U2037"/>
    </row>
    <row r="2038" spans="21:21">
      <c r="U2038"/>
    </row>
    <row r="2039" spans="21:21">
      <c r="U2039"/>
    </row>
    <row r="2040" spans="21:21">
      <c r="U2040"/>
    </row>
    <row r="2041" spans="21:21">
      <c r="U2041"/>
    </row>
    <row r="2042" spans="21:21">
      <c r="U2042"/>
    </row>
    <row r="2043" spans="21:21">
      <c r="U2043"/>
    </row>
    <row r="2044" spans="21:21">
      <c r="U2044"/>
    </row>
    <row r="2045" spans="21:21">
      <c r="U2045"/>
    </row>
    <row r="2046" spans="21:21">
      <c r="U2046"/>
    </row>
    <row r="2047" spans="21:21">
      <c r="U2047"/>
    </row>
    <row r="2048" spans="21:21">
      <c r="U2048"/>
    </row>
    <row r="2049" spans="21:21">
      <c r="U2049"/>
    </row>
    <row r="2050" spans="21:21">
      <c r="U2050"/>
    </row>
    <row r="2051" spans="21:21">
      <c r="U2051"/>
    </row>
    <row r="2052" spans="21:21">
      <c r="U2052"/>
    </row>
    <row r="2053" spans="21:21">
      <c r="U2053"/>
    </row>
    <row r="2054" spans="21:21">
      <c r="U2054"/>
    </row>
    <row r="2055" spans="21:21">
      <c r="U2055"/>
    </row>
    <row r="2056" spans="21:21">
      <c r="U2056"/>
    </row>
    <row r="2057" spans="21:21">
      <c r="U2057"/>
    </row>
    <row r="2058" spans="21:21">
      <c r="U2058"/>
    </row>
    <row r="2059" spans="21:21">
      <c r="U2059"/>
    </row>
    <row r="2060" spans="21:21">
      <c r="U2060"/>
    </row>
    <row r="2061" spans="21:21">
      <c r="U2061"/>
    </row>
    <row r="2062" spans="21:21">
      <c r="U2062"/>
    </row>
    <row r="2063" spans="21:21">
      <c r="U2063"/>
    </row>
    <row r="2064" spans="21:21">
      <c r="U2064"/>
    </row>
    <row r="2065" spans="21:21">
      <c r="U2065"/>
    </row>
    <row r="2066" spans="21:21">
      <c r="U2066"/>
    </row>
    <row r="2067" spans="21:21">
      <c r="U2067"/>
    </row>
    <row r="2068" spans="21:21">
      <c r="U2068"/>
    </row>
    <row r="2069" spans="21:21">
      <c r="U2069"/>
    </row>
    <row r="2070" spans="21:21">
      <c r="U2070"/>
    </row>
    <row r="2071" spans="21:21">
      <c r="U2071"/>
    </row>
    <row r="2072" spans="21:21">
      <c r="U2072"/>
    </row>
    <row r="2073" spans="21:21">
      <c r="U2073"/>
    </row>
    <row r="2074" spans="21:21">
      <c r="U2074"/>
    </row>
    <row r="2075" spans="21:21">
      <c r="U2075"/>
    </row>
    <row r="2076" spans="21:21">
      <c r="U2076"/>
    </row>
    <row r="2077" spans="21:21">
      <c r="U2077"/>
    </row>
    <row r="2078" spans="21:21">
      <c r="U2078"/>
    </row>
    <row r="2079" spans="21:21">
      <c r="U2079"/>
    </row>
    <row r="2080" spans="21:21">
      <c r="U2080"/>
    </row>
    <row r="2081" spans="21:21">
      <c r="U2081"/>
    </row>
    <row r="2082" spans="21:21">
      <c r="U2082"/>
    </row>
    <row r="2083" spans="21:21">
      <c r="U2083"/>
    </row>
    <row r="2084" spans="21:21">
      <c r="U2084"/>
    </row>
    <row r="2085" spans="21:21">
      <c r="U2085"/>
    </row>
    <row r="2086" spans="21:21">
      <c r="U2086"/>
    </row>
    <row r="2087" spans="21:21">
      <c r="U2087"/>
    </row>
    <row r="2088" spans="21:21">
      <c r="U2088"/>
    </row>
    <row r="2089" spans="21:21">
      <c r="U2089"/>
    </row>
    <row r="2090" spans="21:21">
      <c r="U2090"/>
    </row>
    <row r="2091" spans="21:21">
      <c r="U2091"/>
    </row>
    <row r="2092" spans="21:21">
      <c r="U2092"/>
    </row>
    <row r="2093" spans="21:21">
      <c r="U2093"/>
    </row>
    <row r="2094" spans="21:21">
      <c r="U2094"/>
    </row>
    <row r="2095" spans="21:21">
      <c r="U2095"/>
    </row>
    <row r="2096" spans="21:21">
      <c r="U2096"/>
    </row>
    <row r="2097" spans="21:21">
      <c r="U2097"/>
    </row>
    <row r="2098" spans="21:21">
      <c r="U2098"/>
    </row>
    <row r="2099" spans="21:21">
      <c r="U2099"/>
    </row>
    <row r="2100" spans="21:21">
      <c r="U2100"/>
    </row>
    <row r="2101" spans="21:21">
      <c r="U2101"/>
    </row>
    <row r="2102" spans="21:21">
      <c r="U2102"/>
    </row>
    <row r="2103" spans="21:21">
      <c r="U2103"/>
    </row>
    <row r="2104" spans="21:21">
      <c r="U2104"/>
    </row>
    <row r="2105" spans="21:21">
      <c r="U2105"/>
    </row>
    <row r="2106" spans="21:21">
      <c r="U2106"/>
    </row>
    <row r="2107" spans="21:21">
      <c r="U2107"/>
    </row>
    <row r="2108" spans="21:21">
      <c r="U2108"/>
    </row>
    <row r="2109" spans="21:21">
      <c r="U2109"/>
    </row>
    <row r="2110" spans="21:21">
      <c r="U2110"/>
    </row>
    <row r="2111" spans="21:21">
      <c r="U2111"/>
    </row>
    <row r="2112" spans="21:21">
      <c r="U2112"/>
    </row>
    <row r="2113" spans="21:21">
      <c r="U2113"/>
    </row>
    <row r="2114" spans="21:21">
      <c r="U2114"/>
    </row>
    <row r="2115" spans="21:21">
      <c r="U2115"/>
    </row>
    <row r="2116" spans="21:21">
      <c r="U2116"/>
    </row>
    <row r="2117" spans="21:21">
      <c r="U2117"/>
    </row>
  </sheetData>
  <printOptions headings="1" gridLines="1"/>
  <pageMargins left="0.7" right="0.7" top="0.75" bottom="0.75" header="0.3" footer="0.3"/>
  <pageSetup orientation="portrait" r:id="rId1"/>
  <headerFooter>
    <oddFooter>&amp;A&amp;RPage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E20"/>
  <sheetViews>
    <sheetView workbookViewId="0">
      <selection activeCell="A20" sqref="A20"/>
    </sheetView>
  </sheetViews>
  <sheetFormatPr defaultColWidth="9.33203125" defaultRowHeight="15"/>
  <cols>
    <col min="1" max="1" width="34.1640625" style="612" customWidth="1"/>
    <col min="2" max="2" width="13.5" style="612" bestFit="1" customWidth="1"/>
    <col min="3" max="3" width="9.33203125" style="612"/>
    <col min="4" max="4" width="15.5" style="612" bestFit="1" customWidth="1"/>
    <col min="5" max="16384" width="9.33203125" style="612"/>
  </cols>
  <sheetData>
    <row r="1" spans="1:5">
      <c r="A1" s="611" t="s">
        <v>375</v>
      </c>
    </row>
    <row r="2" spans="1:5">
      <c r="A2" s="613"/>
      <c r="B2" s="614" t="s">
        <v>376</v>
      </c>
      <c r="C2" s="614" t="s">
        <v>377</v>
      </c>
    </row>
    <row r="3" spans="1:5">
      <c r="A3" s="613" t="s">
        <v>378</v>
      </c>
      <c r="B3" s="615">
        <v>28181</v>
      </c>
      <c r="C3" s="616">
        <v>28181</v>
      </c>
    </row>
    <row r="4" spans="1:5">
      <c r="A4" s="613" t="s">
        <v>379</v>
      </c>
      <c r="B4" s="613">
        <v>6</v>
      </c>
      <c r="C4" s="613">
        <v>6</v>
      </c>
    </row>
    <row r="5" spans="1:5">
      <c r="A5" s="613" t="s">
        <v>380</v>
      </c>
      <c r="B5" s="616">
        <f>B3*B4</f>
        <v>169086</v>
      </c>
      <c r="C5" s="616">
        <f>C3*C4</f>
        <v>169086</v>
      </c>
    </row>
    <row r="6" spans="1:5">
      <c r="A6" s="613" t="s">
        <v>381</v>
      </c>
      <c r="B6" s="613">
        <v>31</v>
      </c>
      <c r="C6" s="613">
        <v>31</v>
      </c>
    </row>
    <row r="7" spans="1:5">
      <c r="A7" s="613" t="s">
        <v>382</v>
      </c>
      <c r="B7" s="616">
        <f>B5/B6</f>
        <v>5454.3870967741932</v>
      </c>
      <c r="C7" s="616">
        <f>C5/C6</f>
        <v>5454.3870967741932</v>
      </c>
      <c r="D7" s="620">
        <f>C7</f>
        <v>5454.3870967741932</v>
      </c>
    </row>
    <row r="8" spans="1:5">
      <c r="A8" s="613" t="s">
        <v>383</v>
      </c>
      <c r="B8" s="617">
        <v>0.85</v>
      </c>
      <c r="C8" s="617">
        <v>0.95</v>
      </c>
    </row>
    <row r="9" spans="1:5">
      <c r="A9" s="613" t="s">
        <v>384</v>
      </c>
      <c r="B9" s="616">
        <f>B7/B8</f>
        <v>6416.9259962049337</v>
      </c>
      <c r="C9" s="616">
        <f>C7/C8</f>
        <v>5741.4601018675721</v>
      </c>
    </row>
    <row r="10" spans="1:5">
      <c r="A10" s="613" t="s">
        <v>385</v>
      </c>
      <c r="B10" s="617">
        <v>0.15</v>
      </c>
      <c r="C10" s="617">
        <v>0.15</v>
      </c>
    </row>
    <row r="11" spans="1:5">
      <c r="A11" s="613" t="s">
        <v>386</v>
      </c>
      <c r="B11" s="618">
        <f>B7*B10</f>
        <v>818.158064516129</v>
      </c>
      <c r="C11" s="618">
        <f>C7*C10</f>
        <v>818.158064516129</v>
      </c>
      <c r="D11" s="620">
        <f>C11*C8</f>
        <v>777.25016129032247</v>
      </c>
      <c r="E11" s="621">
        <f>D11/D12</f>
        <v>0.12472647702407001</v>
      </c>
    </row>
    <row r="12" spans="1:5">
      <c r="A12" s="613" t="s">
        <v>387</v>
      </c>
      <c r="B12" s="616">
        <f>B9+B11</f>
        <v>7235.084060721063</v>
      </c>
      <c r="C12" s="616">
        <f>C9+C11</f>
        <v>6559.6181663837015</v>
      </c>
      <c r="D12" s="620">
        <f>D11+D7</f>
        <v>6231.6372580645157</v>
      </c>
    </row>
    <row r="13" spans="1:5">
      <c r="D13" s="622">
        <f>D12*365</f>
        <v>2274547.5991935483</v>
      </c>
    </row>
    <row r="15" spans="1:5">
      <c r="A15" s="612" t="s">
        <v>388</v>
      </c>
    </row>
    <row r="16" spans="1:5">
      <c r="A16" s="612" t="s">
        <v>389</v>
      </c>
    </row>
    <row r="17" spans="1:1">
      <c r="A17" s="612" t="s">
        <v>390</v>
      </c>
    </row>
    <row r="20" spans="1:1">
      <c r="A20" s="7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30</vt:i4>
      </vt:variant>
    </vt:vector>
  </HeadingPairs>
  <TitlesOfParts>
    <vt:vector size="52" baseType="lpstr">
      <vt:lpstr>Assumptions</vt:lpstr>
      <vt:lpstr>Use_Summary</vt:lpstr>
      <vt:lpstr>Region Assumptions</vt:lpstr>
      <vt:lpstr>Deal Summary</vt:lpstr>
      <vt:lpstr>TOTAL FFU</vt:lpstr>
      <vt:lpstr>COCP</vt:lpstr>
      <vt:lpstr>DCCP</vt:lpstr>
      <vt:lpstr>GCCP</vt:lpstr>
      <vt:lpstr>MCCP</vt:lpstr>
      <vt:lpstr>MWCP</vt:lpstr>
      <vt:lpstr>SACP</vt:lpstr>
      <vt:lpstr>PSW</vt:lpstr>
      <vt:lpstr>Customer Output - LA</vt:lpstr>
      <vt:lpstr>Customer Output - APMT</vt:lpstr>
      <vt:lpstr>PNW</vt:lpstr>
      <vt:lpstr>Oakland</vt:lpstr>
      <vt:lpstr>NE</vt:lpstr>
      <vt:lpstr>HRCP</vt:lpstr>
      <vt:lpstr>Support Data --&gt;</vt:lpstr>
      <vt:lpstr>PoP Usage Data</vt:lpstr>
      <vt:lpstr>Fleet Summary - Pending</vt:lpstr>
      <vt:lpstr>Fleet Sizing</vt:lpstr>
      <vt:lpstr>Factor</vt:lpstr>
      <vt:lpstr>COCP!Print_Area</vt:lpstr>
      <vt:lpstr>'Customer Output - LA'!Print_Area</vt:lpstr>
      <vt:lpstr>DCCP!Print_Area</vt:lpstr>
      <vt:lpstr>'Deal Summary'!Print_Area</vt:lpstr>
      <vt:lpstr>GCCP!Print_Area</vt:lpstr>
      <vt:lpstr>HRCP!Print_Area</vt:lpstr>
      <vt:lpstr>MCCP!Print_Area</vt:lpstr>
      <vt:lpstr>MWCP!Print_Area</vt:lpstr>
      <vt:lpstr>NE!Print_Area</vt:lpstr>
      <vt:lpstr>Oakland!Print_Area</vt:lpstr>
      <vt:lpstr>PNW!Print_Area</vt:lpstr>
      <vt:lpstr>'PoP Usage Data'!Print_Area</vt:lpstr>
      <vt:lpstr>PSW!Print_Area</vt:lpstr>
      <vt:lpstr>SACP!Print_Area</vt:lpstr>
      <vt:lpstr>'TOTAL FFU'!Print_Area</vt:lpstr>
      <vt:lpstr>Use_Summary!Print_Area</vt:lpstr>
      <vt:lpstr>COCP!Print_Titles</vt:lpstr>
      <vt:lpstr>DCCP!Print_Titles</vt:lpstr>
      <vt:lpstr>'Deal Summary'!Print_Titles</vt:lpstr>
      <vt:lpstr>GCCP!Print_Titles</vt:lpstr>
      <vt:lpstr>HRCP!Print_Titles</vt:lpstr>
      <vt:lpstr>MCCP!Print_Titles</vt:lpstr>
      <vt:lpstr>MWCP!Print_Titles</vt:lpstr>
      <vt:lpstr>NE!Print_Titles</vt:lpstr>
      <vt:lpstr>Oakland!Print_Titles</vt:lpstr>
      <vt:lpstr>PNW!Print_Titles</vt:lpstr>
      <vt:lpstr>PSW!Print_Titles</vt:lpstr>
      <vt:lpstr>SACP!Print_Titles</vt:lpstr>
      <vt:lpstr>'TOTAL FFU'!Print_Titles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McDavid</dc:creator>
  <cp:lastModifiedBy>Pieter Kreuk</cp:lastModifiedBy>
  <cp:lastPrinted>2025-10-16T20:03:05Z</cp:lastPrinted>
  <dcterms:created xsi:type="dcterms:W3CDTF">2014-02-13T15:15:46Z</dcterms:created>
  <dcterms:modified xsi:type="dcterms:W3CDTF">2025-10-16T20:03:28Z</dcterms:modified>
</cp:coreProperties>
</file>